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J:\Paul Lasiter\Excel\Annual Budget Development\"/>
    </mc:Choice>
  </mc:AlternateContent>
  <xr:revisionPtr revIDLastSave="0" documentId="13_ncr:1_{26F30F40-5629-4BE8-A562-94988890B274}" xr6:coauthVersionLast="47" xr6:coauthVersionMax="47" xr10:uidLastSave="{00000000-0000-0000-0000-000000000000}"/>
  <bookViews>
    <workbookView xWindow="-120" yWindow="-120" windowWidth="38640" windowHeight="21120" activeTab="2" xr2:uid="{F3C5EE23-5354-4505-960C-9710E9F1E186}"/>
  </bookViews>
  <sheets>
    <sheet name="Student Type by Acct Code" sheetId="8" r:id="rId1"/>
    <sheet name="Summary by Student Type" sheetId="3" r:id="rId2"/>
    <sheet name="Changes in Enrollment" sheetId="9" r:id="rId3"/>
  </sheets>
  <definedNames>
    <definedName name="_xlnm.Print_Area" localSheetId="1">'Summary by Student Type'!$A$1:$BC$34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6" i="9" l="1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8" i="9"/>
  <c r="N12" i="3"/>
  <c r="N11" i="3"/>
  <c r="Q20" i="9"/>
  <c r="Q23" i="9"/>
  <c r="Q18" i="9"/>
  <c r="I26" i="9"/>
  <c r="L26" i="9"/>
  <c r="F9" i="9"/>
  <c r="F10" i="9"/>
  <c r="Q10" i="9" s="1"/>
  <c r="F11" i="9"/>
  <c r="Q11" i="9" s="1"/>
  <c r="F12" i="9"/>
  <c r="F13" i="9"/>
  <c r="F14" i="9"/>
  <c r="F15" i="9"/>
  <c r="F16" i="9"/>
  <c r="F17" i="9"/>
  <c r="F18" i="9"/>
  <c r="F19" i="9"/>
  <c r="Q19" i="9" s="1"/>
  <c r="F20" i="9"/>
  <c r="F21" i="9"/>
  <c r="Q21" i="9" s="1"/>
  <c r="F22" i="9"/>
  <c r="Q22" i="9" s="1"/>
  <c r="F23" i="9"/>
  <c r="F24" i="9"/>
  <c r="Q24" i="9" s="1"/>
  <c r="F8" i="9"/>
  <c r="Q8" i="9" s="1"/>
  <c r="K15" i="9"/>
  <c r="K16" i="9"/>
  <c r="K14" i="9"/>
  <c r="K9" i="9"/>
  <c r="K8" i="9"/>
  <c r="K26" i="9" s="1"/>
  <c r="J11" i="9"/>
  <c r="M11" i="9" s="1"/>
  <c r="J14" i="9"/>
  <c r="J15" i="9"/>
  <c r="J23" i="9"/>
  <c r="M23" i="9" s="1"/>
  <c r="H9" i="9"/>
  <c r="J9" i="9" s="1"/>
  <c r="H10" i="9"/>
  <c r="J10" i="9" s="1"/>
  <c r="M10" i="9" s="1"/>
  <c r="H11" i="9"/>
  <c r="H12" i="9"/>
  <c r="J12" i="9" s="1"/>
  <c r="M12" i="9" s="1"/>
  <c r="Q12" i="9" s="1"/>
  <c r="H13" i="9"/>
  <c r="J13" i="9" s="1"/>
  <c r="M13" i="9" s="1"/>
  <c r="Q13" i="9" s="1"/>
  <c r="H14" i="9"/>
  <c r="H15" i="9"/>
  <c r="H16" i="9"/>
  <c r="J16" i="9" s="1"/>
  <c r="H17" i="9"/>
  <c r="J17" i="9" s="1"/>
  <c r="M17" i="9" s="1"/>
  <c r="Q17" i="9" s="1"/>
  <c r="H18" i="9"/>
  <c r="J18" i="9" s="1"/>
  <c r="M18" i="9" s="1"/>
  <c r="H19" i="9"/>
  <c r="J19" i="9" s="1"/>
  <c r="M19" i="9" s="1"/>
  <c r="H20" i="9"/>
  <c r="J20" i="9" s="1"/>
  <c r="M20" i="9" s="1"/>
  <c r="H21" i="9"/>
  <c r="J21" i="9" s="1"/>
  <c r="M21" i="9" s="1"/>
  <c r="H22" i="9"/>
  <c r="J22" i="9" s="1"/>
  <c r="M22" i="9" s="1"/>
  <c r="H23" i="9"/>
  <c r="H24" i="9"/>
  <c r="J24" i="9" s="1"/>
  <c r="M24" i="9" s="1"/>
  <c r="H8" i="9"/>
  <c r="J8" i="9" s="1"/>
  <c r="J26" i="9" s="1"/>
  <c r="F26" i="9" l="1"/>
  <c r="Q30" i="9" s="1"/>
  <c r="M15" i="9"/>
  <c r="Q15" i="9" s="1"/>
  <c r="M9" i="9"/>
  <c r="Q9" i="9" s="1"/>
  <c r="M16" i="9"/>
  <c r="Q16" i="9" s="1"/>
  <c r="M14" i="9"/>
  <c r="Q14" i="9" s="1"/>
  <c r="Q26" i="9" s="1"/>
  <c r="H26" i="9"/>
  <c r="L27" i="9"/>
  <c r="M8" i="9"/>
  <c r="M26" i="9" l="1"/>
  <c r="Q28" i="9"/>
  <c r="R12" i="9"/>
  <c r="S12" i="9" s="1"/>
  <c r="R24" i="9"/>
  <c r="S24" i="9" s="1"/>
  <c r="R14" i="9"/>
  <c r="S14" i="9" s="1"/>
  <c r="R18" i="9"/>
  <c r="S18" i="9" s="1"/>
  <c r="R13" i="9"/>
  <c r="S13" i="9" s="1"/>
  <c r="R8" i="9"/>
  <c r="R15" i="9"/>
  <c r="S15" i="9" s="1"/>
  <c r="R19" i="9"/>
  <c r="S19" i="9" s="1"/>
  <c r="R20" i="9"/>
  <c r="S20" i="9" s="1"/>
  <c r="R16" i="9"/>
  <c r="S16" i="9" s="1"/>
  <c r="R17" i="9"/>
  <c r="S17" i="9" s="1"/>
  <c r="R9" i="9"/>
  <c r="S9" i="9" s="1"/>
  <c r="R21" i="9"/>
  <c r="S21" i="9" s="1"/>
  <c r="S10" i="9"/>
  <c r="R22" i="9"/>
  <c r="S22" i="9" s="1"/>
  <c r="S11" i="9"/>
  <c r="R23" i="9"/>
  <c r="S23" i="9" s="1"/>
  <c r="U15" i="9" l="1"/>
  <c r="V15" i="9" s="1"/>
  <c r="D12" i="3"/>
  <c r="D8" i="3"/>
  <c r="U11" i="9"/>
  <c r="V11" i="9" s="1"/>
  <c r="D15" i="3"/>
  <c r="U18" i="9"/>
  <c r="V18" i="9" s="1"/>
  <c r="U22" i="9"/>
  <c r="V22" i="9" s="1"/>
  <c r="D19" i="3"/>
  <c r="U14" i="9"/>
  <c r="V14" i="9" s="1"/>
  <c r="D11" i="3"/>
  <c r="D14" i="3"/>
  <c r="U17" i="9"/>
  <c r="V17" i="9" s="1"/>
  <c r="D20" i="3"/>
  <c r="U23" i="9"/>
  <c r="V23" i="9" s="1"/>
  <c r="U10" i="9"/>
  <c r="V10" i="9" s="1"/>
  <c r="D7" i="3"/>
  <c r="U24" i="9"/>
  <c r="V24" i="9" s="1"/>
  <c r="D21" i="3"/>
  <c r="D17" i="3"/>
  <c r="U20" i="9"/>
  <c r="V20" i="9" s="1"/>
  <c r="R26" i="9"/>
  <c r="S8" i="9"/>
  <c r="U21" i="9"/>
  <c r="V21" i="9" s="1"/>
  <c r="D18" i="3"/>
  <c r="D9" i="3"/>
  <c r="U12" i="9"/>
  <c r="V12" i="9" s="1"/>
  <c r="U16" i="9"/>
  <c r="V16" i="9" s="1"/>
  <c r="D13" i="3"/>
  <c r="D16" i="3"/>
  <c r="U19" i="9"/>
  <c r="V19" i="9" s="1"/>
  <c r="U13" i="9"/>
  <c r="V13" i="9" s="1"/>
  <c r="D10" i="3"/>
  <c r="U9" i="9"/>
  <c r="V9" i="9" s="1"/>
  <c r="D6" i="3"/>
  <c r="U8" i="9" l="1"/>
  <c r="D5" i="3"/>
  <c r="S26" i="9"/>
  <c r="S28" i="9" s="1"/>
  <c r="U26" i="9" l="1"/>
  <c r="V26" i="9" s="1"/>
  <c r="V8" i="9"/>
  <c r="BL63" i="3" l="1"/>
  <c r="BL55" i="3"/>
  <c r="BO46" i="3"/>
  <c r="D24" i="3"/>
  <c r="AT21" i="3" l="1"/>
  <c r="AT20" i="3"/>
  <c r="AT19" i="3"/>
  <c r="AT18" i="3"/>
  <c r="AT17" i="3"/>
  <c r="AT16" i="3"/>
  <c r="AT15" i="3"/>
  <c r="AT14" i="3"/>
  <c r="AT13" i="3"/>
  <c r="AT12" i="3"/>
  <c r="AT11" i="3"/>
  <c r="AT10" i="3"/>
  <c r="AT9" i="3"/>
  <c r="AT8" i="3"/>
  <c r="AT7" i="3"/>
  <c r="AT6" i="3"/>
  <c r="AT5" i="3"/>
  <c r="AA5" i="3"/>
  <c r="AA21" i="3"/>
  <c r="AA20" i="3"/>
  <c r="AA19" i="3"/>
  <c r="AA18" i="3"/>
  <c r="AA17" i="3"/>
  <c r="AA16" i="3"/>
  <c r="AA15" i="3"/>
  <c r="AA14" i="3"/>
  <c r="AA13" i="3"/>
  <c r="AA12" i="3"/>
  <c r="AA11" i="3"/>
  <c r="AA10" i="3"/>
  <c r="AA9" i="3"/>
  <c r="AA8" i="3"/>
  <c r="AA7" i="3"/>
  <c r="AA6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  <c r="X8" i="3"/>
  <c r="X7" i="3"/>
  <c r="X6" i="3"/>
  <c r="X5" i="3"/>
  <c r="V21" i="3"/>
  <c r="V20" i="3"/>
  <c r="V19" i="3"/>
  <c r="V18" i="3"/>
  <c r="V17" i="3"/>
  <c r="V16" i="3"/>
  <c r="V15" i="3"/>
  <c r="V14" i="3"/>
  <c r="AB14" i="3" s="1"/>
  <c r="V13" i="3"/>
  <c r="AB13" i="3" s="1"/>
  <c r="V12" i="3"/>
  <c r="AB12" i="3" s="1"/>
  <c r="V11" i="3"/>
  <c r="V10" i="3"/>
  <c r="V9" i="3"/>
  <c r="V8" i="3"/>
  <c r="V7" i="3"/>
  <c r="V6" i="3"/>
  <c r="V5" i="3"/>
  <c r="BG53" i="3" s="1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U21" i="3"/>
  <c r="U20" i="3"/>
  <c r="U19" i="3"/>
  <c r="U18" i="3"/>
  <c r="U17" i="3"/>
  <c r="U16" i="3"/>
  <c r="U15" i="3"/>
  <c r="U14" i="3"/>
  <c r="U13" i="3"/>
  <c r="U12" i="3"/>
  <c r="U11" i="3"/>
  <c r="U10" i="3"/>
  <c r="U9" i="3"/>
  <c r="U8" i="3"/>
  <c r="U7" i="3"/>
  <c r="U6" i="3"/>
  <c r="U5" i="3"/>
  <c r="BG38" i="3" l="1"/>
  <c r="BG61" i="3"/>
  <c r="AB10" i="3"/>
  <c r="AB11" i="3"/>
  <c r="W10" i="3"/>
  <c r="Y10" i="3" s="1"/>
  <c r="AB5" i="3"/>
  <c r="AB7" i="3"/>
  <c r="AB19" i="3"/>
  <c r="AB16" i="3"/>
  <c r="AB17" i="3"/>
  <c r="AB6" i="3"/>
  <c r="AB20" i="3"/>
  <c r="AB18" i="3"/>
  <c r="AB9" i="3"/>
  <c r="AB21" i="3"/>
  <c r="AB15" i="3"/>
  <c r="W8" i="3"/>
  <c r="Y8" i="3" s="1"/>
  <c r="AB8" i="3"/>
  <c r="W11" i="3"/>
  <c r="Y11" i="3" s="1"/>
  <c r="W13" i="3"/>
  <c r="Y13" i="3" s="1"/>
  <c r="W15" i="3"/>
  <c r="W5" i="3"/>
  <c r="Y5" i="3" s="1"/>
  <c r="W6" i="3"/>
  <c r="W18" i="3"/>
  <c r="W20" i="3"/>
  <c r="W7" i="3"/>
  <c r="Y7" i="3" s="1"/>
  <c r="W19" i="3"/>
  <c r="Y19" i="3" s="1"/>
  <c r="W9" i="3"/>
  <c r="W21" i="3"/>
  <c r="W12" i="3"/>
  <c r="W14" i="3"/>
  <c r="Y14" i="3" s="1"/>
  <c r="W17" i="3"/>
  <c r="Y17" i="3" s="1"/>
  <c r="W16" i="3"/>
  <c r="BH61" i="3" l="1"/>
  <c r="BH53" i="3"/>
  <c r="BH38" i="3" s="1"/>
  <c r="BI61" i="3"/>
  <c r="AB24" i="3"/>
  <c r="Y12" i="3"/>
  <c r="Y21" i="3"/>
  <c r="Y9" i="3"/>
  <c r="Y18" i="3"/>
  <c r="Y16" i="3"/>
  <c r="Y6" i="3"/>
  <c r="Y15" i="3"/>
  <c r="Y20" i="3"/>
  <c r="BI53" i="3" l="1"/>
  <c r="C7" i="3"/>
  <c r="E7" i="3" s="1"/>
  <c r="S7" i="3" s="1"/>
  <c r="T7" i="3" s="1"/>
  <c r="Z7" i="3" s="1"/>
  <c r="C6" i="3"/>
  <c r="E6" i="3" s="1"/>
  <c r="S6" i="3" s="1"/>
  <c r="T6" i="3" s="1"/>
  <c r="Z6" i="3" s="1"/>
  <c r="C5" i="3"/>
  <c r="E5" i="3" s="1"/>
  <c r="S5" i="3" s="1"/>
  <c r="T5" i="3" l="1"/>
  <c r="BA25" i="3"/>
  <c r="Z5" i="3" l="1"/>
  <c r="AM21" i="3"/>
  <c r="AO21" i="3" s="1"/>
  <c r="AM20" i="3"/>
  <c r="AO20" i="3" s="1"/>
  <c r="AM19" i="3"/>
  <c r="AO19" i="3" s="1"/>
  <c r="AM18" i="3"/>
  <c r="AO18" i="3" s="1"/>
  <c r="AM17" i="3"/>
  <c r="AO17" i="3" s="1"/>
  <c r="AM16" i="3"/>
  <c r="AO16" i="3" s="1"/>
  <c r="AM15" i="3"/>
  <c r="AO15" i="3" s="1"/>
  <c r="AM14" i="3"/>
  <c r="AO14" i="3" s="1"/>
  <c r="AM13" i="3"/>
  <c r="AO13" i="3" s="1"/>
  <c r="AM12" i="3"/>
  <c r="AO12" i="3" s="1"/>
  <c r="AM11" i="3"/>
  <c r="AO11" i="3" s="1"/>
  <c r="AM10" i="3"/>
  <c r="AO10" i="3" s="1"/>
  <c r="AM9" i="3"/>
  <c r="AO9" i="3" s="1"/>
  <c r="AM8" i="3"/>
  <c r="AO8" i="3" s="1"/>
  <c r="AM7" i="3"/>
  <c r="AO7" i="3" s="1"/>
  <c r="AM6" i="3"/>
  <c r="AO6" i="3" s="1"/>
  <c r="AM5" i="3"/>
  <c r="AO5" i="3" s="1"/>
  <c r="AW21" i="3" l="1"/>
  <c r="AW20" i="3"/>
  <c r="AW19" i="3"/>
  <c r="AW18" i="3"/>
  <c r="AW17" i="3"/>
  <c r="AW16" i="3"/>
  <c r="AW15" i="3"/>
  <c r="AW14" i="3"/>
  <c r="AW13" i="3"/>
  <c r="AW12" i="3"/>
  <c r="AW11" i="3"/>
  <c r="AW10" i="3"/>
  <c r="AW9" i="3"/>
  <c r="AW8" i="3"/>
  <c r="AW7" i="3"/>
  <c r="AW6" i="3"/>
  <c r="AW5" i="3"/>
  <c r="AR21" i="3"/>
  <c r="AR20" i="3"/>
  <c r="AR19" i="3"/>
  <c r="AR18" i="3"/>
  <c r="AR17" i="3"/>
  <c r="AR16" i="3"/>
  <c r="AR15" i="3"/>
  <c r="AR14" i="3"/>
  <c r="AR13" i="3"/>
  <c r="AR12" i="3"/>
  <c r="AR11" i="3"/>
  <c r="AR10" i="3"/>
  <c r="AR9" i="3"/>
  <c r="AR8" i="3"/>
  <c r="AR7" i="3"/>
  <c r="AR6" i="3"/>
  <c r="AR5" i="3"/>
  <c r="BG55" i="3" s="1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AP12" i="3"/>
  <c r="AP13" i="3"/>
  <c r="AP14" i="3"/>
  <c r="AP15" i="3"/>
  <c r="AP16" i="3"/>
  <c r="AP17" i="3"/>
  <c r="AP18" i="3"/>
  <c r="AP19" i="3"/>
  <c r="AP20" i="3"/>
  <c r="AP21" i="3"/>
  <c r="AP11" i="3"/>
  <c r="AP10" i="3"/>
  <c r="AP9" i="3"/>
  <c r="AP8" i="3"/>
  <c r="AP7" i="3"/>
  <c r="AP6" i="3"/>
  <c r="AP5" i="3"/>
  <c r="AK22" i="3"/>
  <c r="BD22" i="3"/>
  <c r="BD23" i="3"/>
  <c r="V25" i="3"/>
  <c r="L6" i="3"/>
  <c r="L5" i="3"/>
  <c r="AQ25" i="3"/>
  <c r="G25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C21" i="3"/>
  <c r="E21" i="3" s="1"/>
  <c r="S21" i="3" s="1"/>
  <c r="T21" i="3" s="1"/>
  <c r="Z21" i="3" s="1"/>
  <c r="C20" i="3"/>
  <c r="E20" i="3" s="1"/>
  <c r="S20" i="3" s="1"/>
  <c r="T20" i="3" s="1"/>
  <c r="Z20" i="3" s="1"/>
  <c r="C19" i="3"/>
  <c r="E19" i="3" s="1"/>
  <c r="S19" i="3" s="1"/>
  <c r="T19" i="3" s="1"/>
  <c r="Z19" i="3" s="1"/>
  <c r="C18" i="3"/>
  <c r="E18" i="3" s="1"/>
  <c r="S18" i="3" s="1"/>
  <c r="T18" i="3" s="1"/>
  <c r="Z18" i="3" s="1"/>
  <c r="C17" i="3"/>
  <c r="E17" i="3" s="1"/>
  <c r="S17" i="3" s="1"/>
  <c r="T17" i="3" s="1"/>
  <c r="Z17" i="3" s="1"/>
  <c r="C16" i="3"/>
  <c r="E16" i="3" s="1"/>
  <c r="S16" i="3" s="1"/>
  <c r="T16" i="3" s="1"/>
  <c r="Z16" i="3" s="1"/>
  <c r="C15" i="3"/>
  <c r="E15" i="3" s="1"/>
  <c r="S15" i="3" s="1"/>
  <c r="T15" i="3" s="1"/>
  <c r="Z15" i="3" s="1"/>
  <c r="C14" i="3"/>
  <c r="E14" i="3" s="1"/>
  <c r="S14" i="3" s="1"/>
  <c r="T14" i="3" s="1"/>
  <c r="Z14" i="3" s="1"/>
  <c r="C13" i="3"/>
  <c r="E13" i="3" s="1"/>
  <c r="S13" i="3" s="1"/>
  <c r="T13" i="3" s="1"/>
  <c r="Z13" i="3" s="1"/>
  <c r="C12" i="3"/>
  <c r="E12" i="3" s="1"/>
  <c r="S12" i="3" s="1"/>
  <c r="T12" i="3" s="1"/>
  <c r="Z12" i="3" s="1"/>
  <c r="C11" i="3"/>
  <c r="E11" i="3" s="1"/>
  <c r="S11" i="3" s="1"/>
  <c r="T11" i="3" s="1"/>
  <c r="Z11" i="3" s="1"/>
  <c r="C10" i="3"/>
  <c r="E10" i="3" s="1"/>
  <c r="S10" i="3" s="1"/>
  <c r="T10" i="3" s="1"/>
  <c r="Z10" i="3" s="1"/>
  <c r="C9" i="3"/>
  <c r="E9" i="3" s="1"/>
  <c r="S9" i="3" s="1"/>
  <c r="T9" i="3" s="1"/>
  <c r="Z9" i="3" s="1"/>
  <c r="C8" i="3"/>
  <c r="E8" i="3" s="1"/>
  <c r="S8" i="3" s="1"/>
  <c r="BK53" i="3" l="1"/>
  <c r="BO53" i="3" s="1"/>
  <c r="T8" i="3"/>
  <c r="S24" i="3"/>
  <c r="BG63" i="3"/>
  <c r="BG52" i="3"/>
  <c r="BG40" i="3"/>
  <c r="BG60" i="3"/>
  <c r="AQ7" i="3"/>
  <c r="AU7" i="3" s="1"/>
  <c r="AS7" i="3"/>
  <c r="AQ8" i="3"/>
  <c r="AU8" i="3" s="1"/>
  <c r="AS8" i="3"/>
  <c r="AQ20" i="3"/>
  <c r="AU20" i="3" s="1"/>
  <c r="AS20" i="3"/>
  <c r="AQ18" i="3"/>
  <c r="AU18" i="3" s="1"/>
  <c r="AS18" i="3"/>
  <c r="AQ10" i="3"/>
  <c r="AU10" i="3" s="1"/>
  <c r="AS10" i="3"/>
  <c r="AQ11" i="3"/>
  <c r="AU11" i="3" s="1"/>
  <c r="AS11" i="3"/>
  <c r="AS5" i="3"/>
  <c r="AQ19" i="3"/>
  <c r="AU19" i="3" s="1"/>
  <c r="AS19" i="3"/>
  <c r="AQ9" i="3"/>
  <c r="AU9" i="3" s="1"/>
  <c r="AS9" i="3"/>
  <c r="AS12" i="3"/>
  <c r="AQ17" i="3"/>
  <c r="AU17" i="3" s="1"/>
  <c r="AS17" i="3"/>
  <c r="AQ6" i="3"/>
  <c r="AU6" i="3" s="1"/>
  <c r="AS6" i="3"/>
  <c r="AQ21" i="3"/>
  <c r="AU21" i="3" s="1"/>
  <c r="AS21" i="3"/>
  <c r="AQ13" i="3"/>
  <c r="AU13" i="3" s="1"/>
  <c r="AS13" i="3"/>
  <c r="AQ15" i="3"/>
  <c r="AU15" i="3" s="1"/>
  <c r="AS15" i="3"/>
  <c r="AQ16" i="3"/>
  <c r="AU16" i="3" s="1"/>
  <c r="AS16" i="3"/>
  <c r="AQ14" i="3"/>
  <c r="AU14" i="3" s="1"/>
  <c r="AS14" i="3"/>
  <c r="N21" i="3"/>
  <c r="AC21" i="3" s="1"/>
  <c r="M21" i="3"/>
  <c r="N20" i="3"/>
  <c r="AC20" i="3" s="1"/>
  <c r="M20" i="3"/>
  <c r="N19" i="3"/>
  <c r="AC19" i="3" s="1"/>
  <c r="M19" i="3"/>
  <c r="N18" i="3"/>
  <c r="AC18" i="3" s="1"/>
  <c r="M18" i="3"/>
  <c r="N17" i="3"/>
  <c r="AC17" i="3" s="1"/>
  <c r="M17" i="3"/>
  <c r="N16" i="3"/>
  <c r="AC16" i="3" s="1"/>
  <c r="M16" i="3"/>
  <c r="N15" i="3"/>
  <c r="AC15" i="3" s="1"/>
  <c r="M15" i="3"/>
  <c r="N14" i="3"/>
  <c r="AC14" i="3" s="1"/>
  <c r="M14" i="3"/>
  <c r="N13" i="3"/>
  <c r="AC13" i="3" s="1"/>
  <c r="M13" i="3"/>
  <c r="AC12" i="3"/>
  <c r="M12" i="3"/>
  <c r="AC11" i="3"/>
  <c r="M11" i="3"/>
  <c r="N10" i="3"/>
  <c r="AC10" i="3" s="1"/>
  <c r="M10" i="3"/>
  <c r="N9" i="3"/>
  <c r="AC9" i="3" s="1"/>
  <c r="M9" i="3"/>
  <c r="N8" i="3"/>
  <c r="AC8" i="3" s="1"/>
  <c r="M8" i="3"/>
  <c r="N7" i="3"/>
  <c r="AC7" i="3" s="1"/>
  <c r="M7" i="3"/>
  <c r="N6" i="3"/>
  <c r="AC6" i="3" s="1"/>
  <c r="M6" i="3"/>
  <c r="N5" i="3"/>
  <c r="AC5" i="3" s="1"/>
  <c r="M5" i="3"/>
  <c r="BH52" i="3" s="1"/>
  <c r="AU25" i="3"/>
  <c r="BB25" i="3"/>
  <c r="AQ12" i="3"/>
  <c r="AU12" i="3" s="1"/>
  <c r="AQ5" i="3"/>
  <c r="AU5" i="3" s="1"/>
  <c r="H16" i="3"/>
  <c r="H18" i="3"/>
  <c r="C24" i="3"/>
  <c r="H12" i="3"/>
  <c r="H20" i="3"/>
  <c r="H19" i="3"/>
  <c r="H8" i="3"/>
  <c r="H21" i="3"/>
  <c r="H17" i="3"/>
  <c r="H15" i="3"/>
  <c r="H14" i="3"/>
  <c r="H13" i="3"/>
  <c r="H11" i="3"/>
  <c r="H10" i="3"/>
  <c r="H9" i="3"/>
  <c r="H7" i="3"/>
  <c r="H6" i="3"/>
  <c r="H5" i="3"/>
  <c r="J5" i="3" s="1"/>
  <c r="Z8" i="3" l="1"/>
  <c r="BK61" i="3" s="1"/>
  <c r="T24" i="3"/>
  <c r="BH63" i="3"/>
  <c r="BH55" i="3"/>
  <c r="BH40" i="3" s="1"/>
  <c r="BH60" i="3"/>
  <c r="BH62" i="3" s="1"/>
  <c r="BH64" i="3" s="1"/>
  <c r="BG37" i="3"/>
  <c r="BG39" i="3" s="1"/>
  <c r="BG41" i="3" s="1"/>
  <c r="BG54" i="3"/>
  <c r="BI60" i="3"/>
  <c r="BG62" i="3"/>
  <c r="BG64" i="3" s="1"/>
  <c r="AS24" i="3"/>
  <c r="BI55" i="3"/>
  <c r="BG56" i="3"/>
  <c r="BI63" i="3"/>
  <c r="M24" i="3"/>
  <c r="R24" i="3"/>
  <c r="G24" i="3"/>
  <c r="BO61" i="3" l="1"/>
  <c r="BK38" i="3"/>
  <c r="BO38" i="3" s="1"/>
  <c r="BO44" i="3" s="1"/>
  <c r="BH37" i="3"/>
  <c r="BH39" i="3" s="1"/>
  <c r="BH41" i="3" s="1"/>
  <c r="BI52" i="3"/>
  <c r="BI54" i="3" s="1"/>
  <c r="BI56" i="3" s="1"/>
  <c r="BH54" i="3"/>
  <c r="BH56" i="3" s="1"/>
  <c r="BI62" i="3"/>
  <c r="BI64" i="3" s="1"/>
  <c r="M29" i="3"/>
  <c r="M30" i="3" s="1"/>
  <c r="L24" i="3"/>
  <c r="G26" i="3"/>
  <c r="O25" i="3"/>
  <c r="BI37" i="3" l="1"/>
  <c r="AV11" i="3"/>
  <c r="AX11" i="3" s="1"/>
  <c r="AV7" i="3"/>
  <c r="AV10" i="3"/>
  <c r="AX10" i="3" s="1"/>
  <c r="AV14" i="3"/>
  <c r="AX14" i="3" s="1"/>
  <c r="AV6" i="3"/>
  <c r="AX6" i="3" s="1"/>
  <c r="AV21" i="3"/>
  <c r="AX21" i="3" s="1"/>
  <c r="AV5" i="3"/>
  <c r="AV19" i="3"/>
  <c r="AX19" i="3" s="1"/>
  <c r="AV16" i="3"/>
  <c r="AX16" i="3" s="1"/>
  <c r="AV12" i="3"/>
  <c r="AX12" i="3" s="1"/>
  <c r="AV8" i="3"/>
  <c r="AX8" i="3" s="1"/>
  <c r="AV20" i="3"/>
  <c r="AX20" i="3" s="1"/>
  <c r="AV15" i="3"/>
  <c r="AX15" i="3" s="1"/>
  <c r="AV18" i="3"/>
  <c r="AX18" i="3" s="1"/>
  <c r="AV13" i="3"/>
  <c r="AX13" i="3" s="1"/>
  <c r="AV17" i="3"/>
  <c r="AX17" i="3" s="1"/>
  <c r="AV9" i="3"/>
  <c r="AX9" i="3" s="1"/>
  <c r="P25" i="3"/>
  <c r="AO24" i="3"/>
  <c r="BK55" i="3" l="1"/>
  <c r="AX7" i="3"/>
  <c r="BP63" i="3" s="1"/>
  <c r="BK63" i="3"/>
  <c r="AX5" i="3"/>
  <c r="BL40" i="3" s="1"/>
  <c r="BP40" i="3" s="1"/>
  <c r="BP46" i="3" s="1"/>
  <c r="BO55" i="3"/>
  <c r="AY21" i="3"/>
  <c r="AY12" i="3"/>
  <c r="AV24" i="3"/>
  <c r="BK40" i="3" l="1"/>
  <c r="BO40" i="3" s="1"/>
  <c r="BO63" i="3"/>
  <c r="BM63" i="3"/>
  <c r="BQ63" i="3" s="1"/>
  <c r="BM55" i="3"/>
  <c r="BQ55" i="3" s="1"/>
  <c r="BP55" i="3"/>
  <c r="AY5" i="3"/>
  <c r="AU26" i="3"/>
  <c r="AM24" i="3" l="1"/>
  <c r="AY14" i="3" l="1"/>
  <c r="AY19" i="3"/>
  <c r="AY11" i="3"/>
  <c r="AY16" i="3"/>
  <c r="AY17" i="3"/>
  <c r="AY9" i="3"/>
  <c r="AY15" i="3"/>
  <c r="AY10" i="3"/>
  <c r="AY7" i="3"/>
  <c r="AY13" i="3"/>
  <c r="AY18" i="3"/>
  <c r="AY8" i="3"/>
  <c r="AY6" i="3" l="1"/>
  <c r="B24" i="3" l="1"/>
  <c r="J6" i="3" l="1"/>
  <c r="K6" i="3" s="1"/>
  <c r="AG6" i="3" s="1"/>
  <c r="J12" i="3"/>
  <c r="K12" i="3" s="1"/>
  <c r="AG12" i="3" s="1"/>
  <c r="K5" i="3"/>
  <c r="AG5" i="3" s="1"/>
  <c r="J19" i="3"/>
  <c r="K19" i="3" s="1"/>
  <c r="AG19" i="3" s="1"/>
  <c r="J10" i="3"/>
  <c r="K10" i="3" s="1"/>
  <c r="AG10" i="3" s="1"/>
  <c r="J9" i="3"/>
  <c r="K9" i="3" s="1"/>
  <c r="AG9" i="3" s="1"/>
  <c r="J21" i="3"/>
  <c r="K21" i="3" s="1"/>
  <c r="AG21" i="3" s="1"/>
  <c r="J15" i="3"/>
  <c r="K15" i="3" s="1"/>
  <c r="AG15" i="3" s="1"/>
  <c r="J8" i="3"/>
  <c r="K8" i="3" s="1"/>
  <c r="AG8" i="3" s="1"/>
  <c r="J14" i="3"/>
  <c r="K14" i="3" s="1"/>
  <c r="AG14" i="3" s="1"/>
  <c r="J11" i="3"/>
  <c r="K11" i="3" s="1"/>
  <c r="AG11" i="3" s="1"/>
  <c r="J18" i="3"/>
  <c r="K18" i="3" s="1"/>
  <c r="AG18" i="3" s="1"/>
  <c r="J17" i="3"/>
  <c r="K17" i="3" s="1"/>
  <c r="AG17" i="3" s="1"/>
  <c r="J20" i="3"/>
  <c r="K20" i="3" s="1"/>
  <c r="AG20" i="3" s="1"/>
  <c r="J16" i="3"/>
  <c r="K16" i="3" s="1"/>
  <c r="AG16" i="3" s="1"/>
  <c r="J7" i="3"/>
  <c r="K7" i="3" s="1"/>
  <c r="AG7" i="3" s="1"/>
  <c r="J13" i="3"/>
  <c r="K13" i="3" s="1"/>
  <c r="AG13" i="3" s="1"/>
  <c r="E24" i="3"/>
  <c r="BA21" i="3" l="1"/>
  <c r="BA11" i="3"/>
  <c r="BA14" i="3"/>
  <c r="BA12" i="3"/>
  <c r="BA18" i="3"/>
  <c r="BA8" i="3"/>
  <c r="BA15" i="3"/>
  <c r="BA9" i="3"/>
  <c r="BA13" i="3"/>
  <c r="BA10" i="3"/>
  <c r="BA7" i="3"/>
  <c r="BA19" i="3"/>
  <c r="BA16" i="3"/>
  <c r="BA20" i="3"/>
  <c r="BA17" i="3"/>
  <c r="BA6" i="3"/>
  <c r="H24" i="3"/>
  <c r="E27" i="3"/>
  <c r="BK52" i="3"/>
  <c r="BO52" i="3" s="1"/>
  <c r="BO54" i="3" s="1"/>
  <c r="BO56" i="3" s="1"/>
  <c r="BK60" i="3"/>
  <c r="BK62" i="3" s="1"/>
  <c r="BK64" i="3" s="1"/>
  <c r="O15" i="3"/>
  <c r="O14" i="3"/>
  <c r="O19" i="3"/>
  <c r="O13" i="3"/>
  <c r="O7" i="3"/>
  <c r="O10" i="3"/>
  <c r="O16" i="3"/>
  <c r="O18" i="3"/>
  <c r="O12" i="3"/>
  <c r="O11" i="3"/>
  <c r="O5" i="3"/>
  <c r="O8" i="3"/>
  <c r="O9" i="3"/>
  <c r="O20" i="3"/>
  <c r="O17" i="3"/>
  <c r="O6" i="3"/>
  <c r="O21" i="3"/>
  <c r="K24" i="3"/>
  <c r="BL60" i="3" l="1"/>
  <c r="BP60" i="3" s="1"/>
  <c r="BO60" i="3"/>
  <c r="BO62" i="3" s="1"/>
  <c r="BO64" i="3" s="1"/>
  <c r="BL52" i="3"/>
  <c r="BP52" i="3" s="1"/>
  <c r="BK37" i="3"/>
  <c r="BK54" i="3"/>
  <c r="BK56" i="3" s="1"/>
  <c r="J24" i="3"/>
  <c r="K26" i="3"/>
  <c r="K27" i="3" s="1"/>
  <c r="P12" i="3"/>
  <c r="P5" i="3"/>
  <c r="P9" i="3"/>
  <c r="P8" i="3"/>
  <c r="P11" i="3"/>
  <c r="P20" i="3"/>
  <c r="P21" i="3"/>
  <c r="P18" i="3"/>
  <c r="P10" i="3"/>
  <c r="P13" i="3"/>
  <c r="P16" i="3"/>
  <c r="P19" i="3"/>
  <c r="P6" i="3"/>
  <c r="P15" i="3"/>
  <c r="P14" i="3"/>
  <c r="P17" i="3"/>
  <c r="P7" i="3"/>
  <c r="O24" i="3"/>
  <c r="BM60" i="3" l="1"/>
  <c r="BQ60" i="3" s="1"/>
  <c r="BL37" i="3"/>
  <c r="BP37" i="3" s="1"/>
  <c r="BP43" i="3" s="1"/>
  <c r="BM52" i="3"/>
  <c r="BK39" i="3"/>
  <c r="BO37" i="3"/>
  <c r="BO43" i="3" s="1"/>
  <c r="P29" i="3"/>
  <c r="P30" i="3" s="1"/>
  <c r="BQ52" i="3"/>
  <c r="AD5" i="3"/>
  <c r="V24" i="3"/>
  <c r="N24" i="3"/>
  <c r="P24" i="3"/>
  <c r="P26" i="3" s="1"/>
  <c r="P27" i="3" s="1"/>
  <c r="AH5" i="3" l="1"/>
  <c r="AI5" i="3" s="1"/>
  <c r="BE5" i="3" s="1"/>
  <c r="BK41" i="3"/>
  <c r="BO41" i="3" s="1"/>
  <c r="BO39" i="3"/>
  <c r="BO45" i="3" s="1"/>
  <c r="BI38" i="3"/>
  <c r="BI39" i="3" s="1"/>
  <c r="W24" i="3"/>
  <c r="BB5" i="3" l="1"/>
  <c r="BO47" i="3"/>
  <c r="AD14" i="3"/>
  <c r="AD15" i="3"/>
  <c r="AD10" i="3"/>
  <c r="AH10" i="3" s="1"/>
  <c r="AD8" i="3"/>
  <c r="AH8" i="3" s="1"/>
  <c r="AD19" i="3"/>
  <c r="AD21" i="3"/>
  <c r="AH21" i="3" s="1"/>
  <c r="AD6" i="3"/>
  <c r="AD18" i="3"/>
  <c r="AD16" i="3"/>
  <c r="AH16" i="3" s="1"/>
  <c r="AD7" i="3"/>
  <c r="AD17" i="3"/>
  <c r="AH17" i="3" s="1"/>
  <c r="AD9" i="3"/>
  <c r="AH9" i="3" s="1"/>
  <c r="AD20" i="3"/>
  <c r="AH20" i="3" s="1"/>
  <c r="AD13" i="3"/>
  <c r="AD12" i="3"/>
  <c r="AH12" i="3" s="1"/>
  <c r="AD11" i="3"/>
  <c r="AE5" i="3"/>
  <c r="Z24" i="3"/>
  <c r="BB8" i="3" l="1"/>
  <c r="BC8" i="3" s="1"/>
  <c r="AI8" i="3"/>
  <c r="BE8" i="3" s="1"/>
  <c r="BB9" i="3"/>
  <c r="BC9" i="3" s="1"/>
  <c r="AI9" i="3"/>
  <c r="BE9" i="3" s="1"/>
  <c r="BB16" i="3"/>
  <c r="BC16" i="3" s="1"/>
  <c r="AI16" i="3"/>
  <c r="BE16" i="3" s="1"/>
  <c r="AE18" i="3"/>
  <c r="AH18" i="3"/>
  <c r="BB21" i="3"/>
  <c r="BC21" i="3" s="1"/>
  <c r="AI21" i="3"/>
  <c r="BE21" i="3" s="1"/>
  <c r="AE11" i="3"/>
  <c r="AH11" i="3"/>
  <c r="BB10" i="3"/>
  <c r="BC10" i="3" s="1"/>
  <c r="AI10" i="3"/>
  <c r="BE10" i="3" s="1"/>
  <c r="AE15" i="3"/>
  <c r="AH15" i="3"/>
  <c r="BB17" i="3"/>
  <c r="BC17" i="3" s="1"/>
  <c r="AI17" i="3"/>
  <c r="BE17" i="3" s="1"/>
  <c r="AH6" i="3"/>
  <c r="BL53" i="3"/>
  <c r="AE19" i="3"/>
  <c r="AH19" i="3"/>
  <c r="AK19" i="3" s="1"/>
  <c r="BB12" i="3"/>
  <c r="BC12" i="3" s="1"/>
  <c r="AI12" i="3"/>
  <c r="BE12" i="3" s="1"/>
  <c r="AE13" i="3"/>
  <c r="AH13" i="3"/>
  <c r="BB20" i="3"/>
  <c r="BC20" i="3" s="1"/>
  <c r="AI20" i="3"/>
  <c r="BE20" i="3" s="1"/>
  <c r="AE14" i="3"/>
  <c r="AH14" i="3"/>
  <c r="BL61" i="3"/>
  <c r="AH7" i="3"/>
  <c r="AE12" i="3"/>
  <c r="BP53" i="3"/>
  <c r="BP54" i="3" s="1"/>
  <c r="BP56" i="3" s="1"/>
  <c r="BM53" i="3"/>
  <c r="BL54" i="3"/>
  <c r="BL56" i="3" s="1"/>
  <c r="Y24" i="3"/>
  <c r="AK10" i="3"/>
  <c r="AE10" i="3"/>
  <c r="AE21" i="3"/>
  <c r="AK21" i="3"/>
  <c r="AE9" i="3"/>
  <c r="AE8" i="3"/>
  <c r="AE17" i="3"/>
  <c r="AE6" i="3"/>
  <c r="BM37" i="3"/>
  <c r="BQ37" i="3" s="1"/>
  <c r="BQ43" i="3" s="1"/>
  <c r="AE7" i="3"/>
  <c r="AE20" i="3"/>
  <c r="AD24" i="3"/>
  <c r="AE16" i="3"/>
  <c r="AK8" i="3"/>
  <c r="AK20" i="3"/>
  <c r="AK16" i="3"/>
  <c r="AK17" i="3"/>
  <c r="BA5" i="3"/>
  <c r="BC5" i="3" s="1"/>
  <c r="AK5" i="3"/>
  <c r="AG24" i="3"/>
  <c r="BB18" i="3" l="1"/>
  <c r="BC18" i="3" s="1"/>
  <c r="AI18" i="3"/>
  <c r="BE18" i="3" s="1"/>
  <c r="BB14" i="3"/>
  <c r="BC14" i="3" s="1"/>
  <c r="AI14" i="3"/>
  <c r="BE14" i="3" s="1"/>
  <c r="BB11" i="3"/>
  <c r="BC11" i="3" s="1"/>
  <c r="AI11" i="3"/>
  <c r="BE11" i="3" s="1"/>
  <c r="BB19" i="3"/>
  <c r="BC19" i="3" s="1"/>
  <c r="AI19" i="3"/>
  <c r="BE19" i="3" s="1"/>
  <c r="BB6" i="3"/>
  <c r="BC6" i="3" s="1"/>
  <c r="AI6" i="3"/>
  <c r="BE6" i="3" s="1"/>
  <c r="BB15" i="3"/>
  <c r="BC15" i="3" s="1"/>
  <c r="AI15" i="3"/>
  <c r="BE15" i="3" s="1"/>
  <c r="AK11" i="3"/>
  <c r="BB7" i="3"/>
  <c r="BC7" i="3" s="1"/>
  <c r="AI7" i="3"/>
  <c r="BE7" i="3" s="1"/>
  <c r="BB13" i="3"/>
  <c r="BC13" i="3" s="1"/>
  <c r="AI13" i="3"/>
  <c r="BE13" i="3" s="1"/>
  <c r="BL38" i="3"/>
  <c r="BP61" i="3"/>
  <c r="BP62" i="3" s="1"/>
  <c r="BP64" i="3" s="1"/>
  <c r="BM61" i="3"/>
  <c r="BL62" i="3"/>
  <c r="BL64" i="3" s="1"/>
  <c r="BQ53" i="3"/>
  <c r="BQ54" i="3" s="1"/>
  <c r="BQ56" i="3" s="1"/>
  <c r="BM54" i="3"/>
  <c r="BM56" i="3" s="1"/>
  <c r="AK18" i="3"/>
  <c r="AK9" i="3"/>
  <c r="AE24" i="3"/>
  <c r="AK7" i="3"/>
  <c r="AK12" i="3"/>
  <c r="AK13" i="3"/>
  <c r="AH24" i="3"/>
  <c r="AK24" i="3" s="1"/>
  <c r="AK15" i="3"/>
  <c r="AK6" i="3"/>
  <c r="AK14" i="3"/>
  <c r="BD14" i="3"/>
  <c r="BD17" i="3"/>
  <c r="BD16" i="3"/>
  <c r="BD12" i="3"/>
  <c r="BD7" i="3"/>
  <c r="BD8" i="3"/>
  <c r="BD15" i="3" l="1"/>
  <c r="BD6" i="3"/>
  <c r="BE24" i="3"/>
  <c r="BD13" i="3"/>
  <c r="BL39" i="3"/>
  <c r="BP38" i="3"/>
  <c r="BP44" i="3" s="1"/>
  <c r="BQ61" i="3"/>
  <c r="BQ62" i="3" s="1"/>
  <c r="BQ64" i="3" s="1"/>
  <c r="BM62" i="3"/>
  <c r="BM64" i="3" s="1"/>
  <c r="BM38" i="3"/>
  <c r="BQ38" i="3" s="1"/>
  <c r="BQ44" i="3" s="1"/>
  <c r="BD10" i="3"/>
  <c r="BD18" i="3"/>
  <c r="BD21" i="3"/>
  <c r="BD11" i="3"/>
  <c r="BD9" i="3"/>
  <c r="BD19" i="3"/>
  <c r="AI24" i="3"/>
  <c r="BL41" i="3" l="1"/>
  <c r="BP41" i="3" s="1"/>
  <c r="BP39" i="3"/>
  <c r="BP45" i="3" s="1"/>
  <c r="BM39" i="3"/>
  <c r="BQ39" i="3" s="1"/>
  <c r="BQ45" i="3" s="1"/>
  <c r="BA24" i="3"/>
  <c r="BD5" i="3"/>
  <c r="BP47" i="3" l="1"/>
  <c r="AR24" i="3"/>
  <c r="BI40" i="3" l="1"/>
  <c r="BI41" i="3" s="1"/>
  <c r="AY20" i="3"/>
  <c r="AY24" i="3" s="1"/>
  <c r="AX24" i="3"/>
  <c r="BC24" i="3" l="1"/>
  <c r="BB24" i="3"/>
  <c r="BD24" i="3" s="1"/>
  <c r="AX26" i="3"/>
  <c r="BD20" i="3"/>
  <c r="BM40" i="3" l="1"/>
  <c r="BM41" i="3" l="1"/>
  <c r="BQ41" i="3" s="1"/>
  <c r="BQ40" i="3"/>
  <c r="BQ46" i="3" s="1"/>
  <c r="BQ4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Johnson, Cindy</author>
  </authors>
  <commentList>
    <comment ref="O14" authorId="0" shapeId="0" xr:uid="{7DEE9293-09A7-4AD3-BAE8-90890A04F287}">
      <text>
        <r>
          <rPr>
            <b/>
            <sz val="9"/>
            <color indexed="81"/>
            <rFont val="Tahoma"/>
            <family val="2"/>
          </rPr>
          <t>Johnson, Cindy:</t>
        </r>
        <r>
          <rPr>
            <sz val="9"/>
            <color indexed="81"/>
            <rFont val="Tahoma"/>
            <family val="2"/>
          </rPr>
          <t xml:space="preserve">
Reduce by $62,603 Doct. Funding adj.</t>
        </r>
      </text>
    </comment>
    <comment ref="AD14" authorId="0" shapeId="0" xr:uid="{10B66FA5-A5AB-4A38-9232-C524B0635B5E}">
      <text>
        <r>
          <rPr>
            <b/>
            <sz val="9"/>
            <color indexed="81"/>
            <rFont val="Tahoma"/>
            <family val="2"/>
          </rPr>
          <t>Johnson, Cindy:</t>
        </r>
        <r>
          <rPr>
            <sz val="9"/>
            <color indexed="81"/>
            <rFont val="Tahoma"/>
            <family val="2"/>
          </rPr>
          <t xml:space="preserve">
Reduce by $62,603 Doct. Funding adj.</t>
        </r>
      </text>
    </comment>
    <comment ref="O15" authorId="0" shapeId="0" xr:uid="{51038145-D1B5-4A81-B254-D6198A43D337}">
      <text>
        <r>
          <rPr>
            <b/>
            <sz val="9"/>
            <color indexed="81"/>
            <rFont val="Tahoma"/>
            <family val="2"/>
          </rPr>
          <t>Johnson, Cindy:</t>
        </r>
        <r>
          <rPr>
            <sz val="9"/>
            <color indexed="81"/>
            <rFont val="Tahoma"/>
            <family val="2"/>
          </rPr>
          <t xml:space="preserve">
Reduce by $62,603 Doct. Funding adj.</t>
        </r>
      </text>
    </comment>
    <comment ref="AD15" authorId="0" shapeId="0" xr:uid="{3047BCC1-EC53-4098-AD1C-C75645262839}">
      <text>
        <r>
          <rPr>
            <b/>
            <sz val="9"/>
            <color indexed="81"/>
            <rFont val="Tahoma"/>
            <family val="2"/>
          </rPr>
          <t>Johnson, Cindy:</t>
        </r>
        <r>
          <rPr>
            <sz val="9"/>
            <color indexed="81"/>
            <rFont val="Tahoma"/>
            <family val="2"/>
          </rPr>
          <t xml:space="preserve">
Reduce by $62,604
 Doct. Funding adj.</t>
        </r>
      </text>
    </comment>
  </commentList>
</comments>
</file>

<file path=xl/sharedStrings.xml><?xml version="1.0" encoding="utf-8"?>
<sst xmlns="http://schemas.openxmlformats.org/spreadsheetml/2006/main" count="1276" uniqueCount="145">
  <si>
    <t>Tuition Amount</t>
  </si>
  <si>
    <t>Waiver Amount</t>
  </si>
  <si>
    <t>Net Tuition Amount</t>
  </si>
  <si>
    <t>Program Tuition Amount</t>
  </si>
  <si>
    <t>Total Net Tuition Amount</t>
  </si>
  <si>
    <t>GF Fees (Registration)</t>
  </si>
  <si>
    <t>Total Net Tuition + GF Fees</t>
  </si>
  <si>
    <t>Mandatory Fees</t>
  </si>
  <si>
    <t>Course Fees</t>
  </si>
  <si>
    <t>Housing Fees</t>
  </si>
  <si>
    <t>Dining Fees</t>
  </si>
  <si>
    <t>Registration Activity Fees</t>
  </si>
  <si>
    <t>Other Non Aux Fees</t>
  </si>
  <si>
    <t>RPU (SCH Flat)</t>
  </si>
  <si>
    <t>Total Credits Taken (SCH tot)</t>
  </si>
  <si>
    <t>Unduplicated Headcount</t>
  </si>
  <si>
    <t>Average RPU per Student</t>
  </si>
  <si>
    <t>Average SCH per student</t>
  </si>
  <si>
    <t>Gross Tuition per Student</t>
  </si>
  <si>
    <t>Waivers per Student</t>
  </si>
  <si>
    <t>Net Tuition per Student</t>
  </si>
  <si>
    <t>Program Tuition per Student</t>
  </si>
  <si>
    <t>Total Net Tuition per Student</t>
  </si>
  <si>
    <t>GF Fees per Student</t>
  </si>
  <si>
    <t>Total Net Tuition + GF Fees per Student</t>
  </si>
  <si>
    <t>Net Tuition per SCH</t>
  </si>
  <si>
    <t>Base Tuition Discount Rate</t>
  </si>
  <si>
    <t>Total Discount Rate</t>
  </si>
  <si>
    <t>Unduplicated Headcount Tuition</t>
  </si>
  <si>
    <t>Msla College Resident UG</t>
  </si>
  <si>
    <t>Msla College Resident UG Distance</t>
  </si>
  <si>
    <t>Mtn Campus GR 150</t>
  </si>
  <si>
    <t>Mtn Campus Resident GR</t>
  </si>
  <si>
    <t>Mtn Campus Resident GR Distance</t>
  </si>
  <si>
    <t>Mtn Campus Resident Law</t>
  </si>
  <si>
    <t>Mtn Campus Resident PB</t>
  </si>
  <si>
    <t>Mtn Campus Resident PB Distance</t>
  </si>
  <si>
    <t>Mtn Campus WUE</t>
  </si>
  <si>
    <t>Msla College non-resident UG</t>
  </si>
  <si>
    <t>Mtn Campus non-resident Law</t>
  </si>
  <si>
    <t>Msla College non-resident UG Distance</t>
  </si>
  <si>
    <t>Mtn Campus non-resident PB</t>
  </si>
  <si>
    <t>Mtn Campus non-resident GR</t>
  </si>
  <si>
    <t>Mtn Campus non-resident TARA GR</t>
  </si>
  <si>
    <t>Mtn Campus non-resdient PB Distance</t>
  </si>
  <si>
    <t>Mtn Campus non-resident GR Distance</t>
  </si>
  <si>
    <t>Spring Semester</t>
  </si>
  <si>
    <t>AY</t>
  </si>
  <si>
    <t>Summer Semester</t>
  </si>
  <si>
    <t>Avg</t>
  </si>
  <si>
    <t xml:space="preserve">Fall Change </t>
  </si>
  <si>
    <t>FY26 Budget</t>
  </si>
  <si>
    <t>Academic Year</t>
  </si>
  <si>
    <t>Discount</t>
  </si>
  <si>
    <t>Summer</t>
  </si>
  <si>
    <t>Fiscal Year</t>
  </si>
  <si>
    <t>Head count</t>
  </si>
  <si>
    <t>Rate</t>
  </si>
  <si>
    <t>Headcount</t>
  </si>
  <si>
    <t>SCH</t>
  </si>
  <si>
    <t xml:space="preserve"> Gross Tuition</t>
  </si>
  <si>
    <t>Gross Tuition Per Student</t>
  </si>
  <si>
    <t>Gross</t>
  </si>
  <si>
    <t>Discount Rate</t>
  </si>
  <si>
    <t>Change Rate</t>
  </si>
  <si>
    <t>net</t>
  </si>
  <si>
    <t>5X8025</t>
  </si>
  <si>
    <t>Msla College Non-Resident UG</t>
  </si>
  <si>
    <t>5X8026</t>
  </si>
  <si>
    <t>5X8030</t>
  </si>
  <si>
    <t>Mtn Campus Non-Resident Law</t>
  </si>
  <si>
    <t>5X8031</t>
  </si>
  <si>
    <t>5X8080</t>
  </si>
  <si>
    <t>Msla College Non-Resident UG Distance</t>
  </si>
  <si>
    <t>5X8081</t>
  </si>
  <si>
    <t>5X8201</t>
  </si>
  <si>
    <t>Mtn Campus Non-Resident PB</t>
  </si>
  <si>
    <t>5X8202</t>
  </si>
  <si>
    <t>5X8203</t>
  </si>
  <si>
    <t>5X8204</t>
  </si>
  <si>
    <t>Mtn Campus Non-Resident GR</t>
  </si>
  <si>
    <t>5X8205</t>
  </si>
  <si>
    <t>5X8206</t>
  </si>
  <si>
    <t>5X8207</t>
  </si>
  <si>
    <t>5X8208</t>
  </si>
  <si>
    <t>5X8209</t>
  </si>
  <si>
    <t>Mtn Campus Non-Resident GR Distance</t>
  </si>
  <si>
    <t>5X8210</t>
  </si>
  <si>
    <t>5X8222</t>
  </si>
  <si>
    <t>Check Figure (Before Changes to Rate and Volume)</t>
  </si>
  <si>
    <t>% Change</t>
  </si>
  <si>
    <t>Net Tuition</t>
  </si>
  <si>
    <t>Mtn Campus Non-Resident TARA GR</t>
  </si>
  <si>
    <t>FY 2026</t>
  </si>
  <si>
    <t>Volume</t>
  </si>
  <si>
    <t>$ Change</t>
  </si>
  <si>
    <t>Net</t>
  </si>
  <si>
    <t>Fall 25</t>
  </si>
  <si>
    <t>Mtn Campus Non-Resident PB Distance</t>
  </si>
  <si>
    <t>Waivers</t>
  </si>
  <si>
    <t>Gross Revenue</t>
  </si>
  <si>
    <t>Fall 2025</t>
  </si>
  <si>
    <t>Spring 2026</t>
  </si>
  <si>
    <t>Summer 2025</t>
  </si>
  <si>
    <t>Fall 2026</t>
  </si>
  <si>
    <t>Fall 2026P</t>
  </si>
  <si>
    <t>Fall SemesteF (p)</t>
  </si>
  <si>
    <t>FY 2027</t>
  </si>
  <si>
    <t>Change</t>
  </si>
  <si>
    <t>Fall (A)</t>
  </si>
  <si>
    <t>Spring (P)</t>
  </si>
  <si>
    <t>Summer (A)</t>
  </si>
  <si>
    <t>Spring 2027</t>
  </si>
  <si>
    <t>Fall 26 Change</t>
  </si>
  <si>
    <t>Avg Fall 25</t>
  </si>
  <si>
    <t>Spring 26</t>
  </si>
  <si>
    <t>Spring  2027</t>
  </si>
  <si>
    <t>Avg Spring 26</t>
  </si>
  <si>
    <t>Gross Tuition</t>
  </si>
  <si>
    <t>Spring 27</t>
  </si>
  <si>
    <t>Fall 26</t>
  </si>
  <si>
    <t>Spring Change</t>
  </si>
  <si>
    <t>Spring 27 Change</t>
  </si>
  <si>
    <t>Summer 25</t>
  </si>
  <si>
    <t>Summer 26</t>
  </si>
  <si>
    <t>FY26 Gross Tuition</t>
  </si>
  <si>
    <t>MISSOULA COLLEGE</t>
  </si>
  <si>
    <t>MOUNTAIN CAMPUS</t>
  </si>
  <si>
    <t>Fall</t>
  </si>
  <si>
    <t>Spring</t>
  </si>
  <si>
    <t>Grads</t>
  </si>
  <si>
    <t>Fall 27</t>
  </si>
  <si>
    <t>Subtotal</t>
  </si>
  <si>
    <t>To Go</t>
  </si>
  <si>
    <t>Max</t>
  </si>
  <si>
    <t>Less</t>
  </si>
  <si>
    <t>Add</t>
  </si>
  <si>
    <t>Estimate</t>
  </si>
  <si>
    <t>Reduction</t>
  </si>
  <si>
    <t>Projection</t>
  </si>
  <si>
    <t>&lt;--Reduction from non-persistance to get to 2% +/- Growth</t>
  </si>
  <si>
    <t>Confirms</t>
  </si>
  <si>
    <t>TUITION PAYING STUDENT ENROLLMENT</t>
  </si>
  <si>
    <t>Persistance</t>
  </si>
  <si>
    <t>Impact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</si>
</sst>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0%"/>
    <numFmt numFmtId="167" formatCode="&quot;$&quot;#,##0.00;\(&quot;$&quot;#,##0.00\)"/>
    <numFmt numFmtId="168" formatCode="[$$-409]#,##0.00;\-[$$-409]#,##0.00"/>
    <numFmt numFmtId="169" formatCode="#,##0.00;\-#,##0.00"/>
    <numFmt numFmtId="170" formatCode="_(&quot;$&quot;* #,##0_);_(&quot;$&quot;* \(#,##0\);_(&quot;$&quot;* &quot;-&quot;??_);_(@_)"/>
  </numFmts>
  <fonts count="19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333333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sz val="10"/>
      <color rgb="FF000000"/>
      <name val="Arial"/>
      <family val="2"/>
    </font>
    <font>
      <b/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rgb="FFBAD6F4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8">
    <xf numFmtId="0" fontId="0" fillId="0" borderId="0"/>
    <xf numFmtId="43" fontId="7" fillId="0" borderId="1" applyFont="0" applyFill="0" applyBorder="0" applyAlignment="0" applyProtection="0"/>
    <xf numFmtId="9" fontId="7" fillId="0" borderId="1" applyFont="0" applyFill="0" applyBorder="0" applyAlignment="0" applyProtection="0"/>
    <xf numFmtId="0" fontId="7" fillId="0" borderId="1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5" fillId="0" borderId="1"/>
    <xf numFmtId="43" fontId="5" fillId="0" borderId="1" applyFont="0" applyFill="0" applyBorder="0" applyAlignment="0" applyProtection="0"/>
    <xf numFmtId="43" fontId="4" fillId="0" borderId="1" applyFont="0" applyFill="0" applyBorder="0" applyAlignment="0" applyProtection="0"/>
    <xf numFmtId="0" fontId="4" fillId="0" borderId="1"/>
    <xf numFmtId="0" fontId="4" fillId="0" borderId="1"/>
    <xf numFmtId="0" fontId="3" fillId="0" borderId="1"/>
    <xf numFmtId="43" fontId="3" fillId="0" borderId="1" applyFont="0" applyFill="0" applyBorder="0" applyAlignment="0" applyProtection="0"/>
    <xf numFmtId="0" fontId="2" fillId="0" borderId="1"/>
    <xf numFmtId="43" fontId="2" fillId="0" borderId="1" applyFont="0" applyFill="0" applyBorder="0" applyAlignment="0" applyProtection="0"/>
    <xf numFmtId="0" fontId="1" fillId="0" borderId="1"/>
    <xf numFmtId="43" fontId="1" fillId="0" borderId="1" applyFont="0" applyFill="0" applyBorder="0" applyAlignment="0" applyProtection="0"/>
    <xf numFmtId="44" fontId="16" fillId="0" borderId="0" applyFont="0" applyFill="0" applyBorder="0" applyAlignment="0" applyProtection="0"/>
  </cellStyleXfs>
  <cellXfs count="243">
    <xf numFmtId="0" fontId="0" fillId="0" borderId="0" xfId="0"/>
    <xf numFmtId="164" fontId="8" fillId="0" borderId="1" xfId="1" applyNumberFormat="1" applyFont="1"/>
    <xf numFmtId="43" fontId="8" fillId="0" borderId="1" xfId="1" applyFont="1"/>
    <xf numFmtId="164" fontId="8" fillId="0" borderId="1" xfId="1" applyNumberFormat="1" applyFont="1" applyAlignment="1">
      <alignment horizontal="center"/>
    </xf>
    <xf numFmtId="165" fontId="8" fillId="0" borderId="1" xfId="2" applyNumberFormat="1" applyFont="1"/>
    <xf numFmtId="164" fontId="8" fillId="0" borderId="1" xfId="1" applyNumberFormat="1" applyFont="1" applyAlignment="1">
      <alignment horizontal="center" wrapText="1"/>
    </xf>
    <xf numFmtId="164" fontId="8" fillId="0" borderId="1" xfId="1" applyNumberFormat="1" applyFont="1" applyBorder="1" applyAlignment="1">
      <alignment horizontal="center" wrapText="1"/>
    </xf>
    <xf numFmtId="43" fontId="8" fillId="0" borderId="1" xfId="1" applyFont="1" applyBorder="1" applyAlignment="1">
      <alignment horizontal="center" wrapText="1"/>
    </xf>
    <xf numFmtId="164" fontId="8" fillId="0" borderId="8" xfId="1" applyNumberFormat="1" applyFont="1" applyBorder="1" applyAlignment="1">
      <alignment horizontal="center" wrapText="1"/>
    </xf>
    <xf numFmtId="43" fontId="8" fillId="0" borderId="8" xfId="1" applyFont="1" applyBorder="1" applyAlignment="1">
      <alignment horizontal="center" wrapText="1"/>
    </xf>
    <xf numFmtId="164" fontId="8" fillId="0" borderId="1" xfId="1" applyNumberFormat="1" applyFont="1" applyBorder="1" applyAlignment="1">
      <alignment horizontal="center"/>
    </xf>
    <xf numFmtId="43" fontId="8" fillId="0" borderId="1" xfId="1" applyFont="1" applyBorder="1" applyAlignment="1">
      <alignment horizontal="center"/>
    </xf>
    <xf numFmtId="164" fontId="8" fillId="0" borderId="6" xfId="1" applyNumberFormat="1" applyFont="1" applyBorder="1"/>
    <xf numFmtId="164" fontId="8" fillId="0" borderId="1" xfId="1" applyNumberFormat="1" applyFont="1" applyBorder="1"/>
    <xf numFmtId="43" fontId="8" fillId="0" borderId="1" xfId="1" applyFont="1" applyBorder="1"/>
    <xf numFmtId="164" fontId="8" fillId="0" borderId="5" xfId="1" applyNumberFormat="1" applyFont="1" applyBorder="1"/>
    <xf numFmtId="164" fontId="8" fillId="0" borderId="10" xfId="1" applyNumberFormat="1" applyFont="1" applyBorder="1"/>
    <xf numFmtId="164" fontId="8" fillId="0" borderId="11" xfId="1" applyNumberFormat="1" applyFont="1" applyBorder="1"/>
    <xf numFmtId="43" fontId="8" fillId="0" borderId="11" xfId="1" applyFont="1" applyBorder="1"/>
    <xf numFmtId="164" fontId="8" fillId="0" borderId="12" xfId="1" applyNumberFormat="1" applyFont="1" applyBorder="1"/>
    <xf numFmtId="164" fontId="8" fillId="0" borderId="3" xfId="1" applyNumberFormat="1" applyFont="1" applyBorder="1"/>
    <xf numFmtId="43" fontId="8" fillId="3" borderId="1" xfId="1" applyFont="1" applyFill="1" applyBorder="1" applyAlignment="1">
      <alignment horizontal="center" wrapText="1"/>
    </xf>
    <xf numFmtId="43" fontId="8" fillId="3" borderId="8" xfId="1" applyFont="1" applyFill="1" applyBorder="1" applyAlignment="1">
      <alignment horizontal="center" wrapText="1"/>
    </xf>
    <xf numFmtId="43" fontId="8" fillId="4" borderId="1" xfId="1" applyFont="1" applyFill="1" applyBorder="1" applyAlignment="1">
      <alignment horizontal="center" wrapText="1"/>
    </xf>
    <xf numFmtId="43" fontId="8" fillId="4" borderId="8" xfId="1" applyFont="1" applyFill="1" applyBorder="1" applyAlignment="1">
      <alignment horizontal="center" wrapText="1"/>
    </xf>
    <xf numFmtId="43" fontId="8" fillId="6" borderId="1" xfId="1" applyFont="1" applyFill="1" applyBorder="1" applyAlignment="1">
      <alignment horizontal="center" wrapText="1"/>
    </xf>
    <xf numFmtId="43" fontId="8" fillId="6" borderId="8" xfId="1" applyFont="1" applyFill="1" applyBorder="1" applyAlignment="1">
      <alignment horizontal="center" wrapText="1"/>
    </xf>
    <xf numFmtId="10" fontId="8" fillId="0" borderId="1" xfId="5" applyNumberFormat="1" applyFont="1" applyBorder="1" applyAlignment="1">
      <alignment horizontal="center" wrapText="1"/>
    </xf>
    <xf numFmtId="10" fontId="8" fillId="0" borderId="8" xfId="5" applyNumberFormat="1" applyFont="1" applyBorder="1" applyAlignment="1">
      <alignment horizontal="center" wrapText="1"/>
    </xf>
    <xf numFmtId="10" fontId="8" fillId="0" borderId="1" xfId="5" applyNumberFormat="1" applyFont="1" applyBorder="1"/>
    <xf numFmtId="10" fontId="8" fillId="0" borderId="11" xfId="5" applyNumberFormat="1" applyFont="1" applyBorder="1"/>
    <xf numFmtId="164" fontId="8" fillId="0" borderId="1" xfId="1" quotePrefix="1" applyNumberFormat="1" applyFont="1" applyBorder="1" applyAlignment="1">
      <alignment horizontal="center" wrapText="1"/>
    </xf>
    <xf numFmtId="43" fontId="8" fillId="0" borderId="1" xfId="1" quotePrefix="1" applyFont="1" applyBorder="1" applyAlignment="1">
      <alignment horizontal="center" wrapText="1"/>
    </xf>
    <xf numFmtId="43" fontId="8" fillId="0" borderId="1" xfId="1" applyFont="1" applyFill="1" applyBorder="1"/>
    <xf numFmtId="164" fontId="8" fillId="0" borderId="1" xfId="1" applyNumberFormat="1" applyFont="1" applyFill="1" applyBorder="1"/>
    <xf numFmtId="165" fontId="8" fillId="0" borderId="1" xfId="5" applyNumberFormat="1" applyFont="1" applyBorder="1"/>
    <xf numFmtId="10" fontId="8" fillId="0" borderId="1" xfId="5" applyNumberFormat="1" applyFont="1" applyFill="1" applyBorder="1" applyAlignment="1">
      <alignment horizontal="center"/>
    </xf>
    <xf numFmtId="164" fontId="8" fillId="0" borderId="1" xfId="1" applyNumberFormat="1" applyFont="1" applyFill="1" applyBorder="1" applyAlignment="1">
      <alignment horizontal="center"/>
    </xf>
    <xf numFmtId="164" fontId="8" fillId="0" borderId="1" xfId="1" quotePrefix="1" applyNumberFormat="1" applyFont="1" applyAlignment="1">
      <alignment horizontal="left"/>
    </xf>
    <xf numFmtId="164" fontId="8" fillId="0" borderId="1" xfId="4" applyNumberFormat="1" applyFont="1" applyBorder="1"/>
    <xf numFmtId="164" fontId="12" fillId="0" borderId="1" xfId="1" applyNumberFormat="1" applyFont="1"/>
    <xf numFmtId="164" fontId="8" fillId="0" borderId="20" xfId="1" applyNumberFormat="1" applyFont="1" applyBorder="1"/>
    <xf numFmtId="164" fontId="8" fillId="0" borderId="21" xfId="1" applyNumberFormat="1" applyFont="1" applyBorder="1"/>
    <xf numFmtId="10" fontId="8" fillId="0" borderId="1" xfId="5" applyNumberFormat="1" applyFont="1" applyFill="1" applyBorder="1"/>
    <xf numFmtId="164" fontId="8" fillId="0" borderId="22" xfId="1" applyNumberFormat="1" applyFont="1" applyBorder="1"/>
    <xf numFmtId="164" fontId="8" fillId="0" borderId="23" xfId="1" applyNumberFormat="1" applyFont="1" applyBorder="1"/>
    <xf numFmtId="10" fontId="8" fillId="0" borderId="23" xfId="5" applyNumberFormat="1" applyFont="1" applyFill="1" applyBorder="1"/>
    <xf numFmtId="43" fontId="8" fillId="0" borderId="23" xfId="1" applyFont="1" applyBorder="1"/>
    <xf numFmtId="164" fontId="8" fillId="0" borderId="23" xfId="1" applyNumberFormat="1" applyFont="1" applyFill="1" applyBorder="1"/>
    <xf numFmtId="165" fontId="8" fillId="0" borderId="23" xfId="2" applyNumberFormat="1" applyFont="1" applyBorder="1"/>
    <xf numFmtId="164" fontId="8" fillId="0" borderId="27" xfId="1" applyNumberFormat="1" applyFont="1" applyBorder="1"/>
    <xf numFmtId="164" fontId="8" fillId="0" borderId="19" xfId="1" applyNumberFormat="1" applyFont="1" applyBorder="1"/>
    <xf numFmtId="10" fontId="8" fillId="0" borderId="19" xfId="5" applyNumberFormat="1" applyFont="1" applyFill="1" applyBorder="1"/>
    <xf numFmtId="43" fontId="8" fillId="0" borderId="19" xfId="1" applyFont="1" applyFill="1" applyBorder="1"/>
    <xf numFmtId="164" fontId="8" fillId="0" borderId="19" xfId="1" applyNumberFormat="1" applyFont="1" applyFill="1" applyBorder="1"/>
    <xf numFmtId="165" fontId="8" fillId="0" borderId="19" xfId="2" applyNumberFormat="1" applyFont="1" applyBorder="1"/>
    <xf numFmtId="10" fontId="11" fillId="0" borderId="19" xfId="5" applyNumberFormat="1" applyFont="1" applyFill="1" applyBorder="1"/>
    <xf numFmtId="43" fontId="8" fillId="0" borderId="1" xfId="4" applyFont="1" applyBorder="1"/>
    <xf numFmtId="164" fontId="8" fillId="0" borderId="1" xfId="5" applyNumberFormat="1" applyFont="1" applyBorder="1"/>
    <xf numFmtId="166" fontId="8" fillId="0" borderId="1" xfId="5" applyNumberFormat="1" applyFont="1" applyBorder="1"/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" xfId="0" applyFont="1" applyBorder="1"/>
    <xf numFmtId="0" fontId="8" fillId="0" borderId="1" xfId="0" applyFont="1" applyBorder="1"/>
    <xf numFmtId="0" fontId="13" fillId="0" borderId="0" xfId="0" applyFont="1"/>
    <xf numFmtId="164" fontId="13" fillId="0" borderId="0" xfId="0" applyNumberFormat="1" applyFont="1"/>
    <xf numFmtId="164" fontId="8" fillId="0" borderId="1" xfId="1" applyNumberFormat="1" applyFont="1" applyFill="1"/>
    <xf numFmtId="164" fontId="12" fillId="0" borderId="1" xfId="1" applyNumberFormat="1" applyFont="1" applyFill="1" applyAlignment="1">
      <alignment horizontal="right"/>
    </xf>
    <xf numFmtId="164" fontId="12" fillId="0" borderId="1" xfId="1" applyNumberFormat="1" applyFont="1" applyFill="1"/>
    <xf numFmtId="165" fontId="8" fillId="0" borderId="1" xfId="5" applyNumberFormat="1" applyFont="1" applyFill="1" applyBorder="1"/>
    <xf numFmtId="43" fontId="8" fillId="3" borderId="1" xfId="1" quotePrefix="1" applyFont="1" applyFill="1" applyBorder="1" applyAlignment="1">
      <alignment horizontal="center" wrapText="1"/>
    </xf>
    <xf numFmtId="164" fontId="8" fillId="0" borderId="1" xfId="1" applyNumberFormat="1" applyFont="1" applyFill="1" applyAlignment="1">
      <alignment horizontal="center" wrapText="1"/>
    </xf>
    <xf numFmtId="164" fontId="8" fillId="0" borderId="1" xfId="1" applyNumberFormat="1" applyFont="1" applyFill="1" applyBorder="1" applyAlignment="1">
      <alignment horizontal="center" wrapText="1"/>
    </xf>
    <xf numFmtId="164" fontId="8" fillId="0" borderId="1" xfId="1" applyNumberFormat="1" applyFont="1" applyFill="1" applyAlignment="1">
      <alignment horizontal="center"/>
    </xf>
    <xf numFmtId="165" fontId="8" fillId="0" borderId="1" xfId="2" applyNumberFormat="1" applyFont="1" applyFill="1"/>
    <xf numFmtId="165" fontId="8" fillId="0" borderId="23" xfId="2" applyNumberFormat="1" applyFont="1" applyFill="1" applyBorder="1"/>
    <xf numFmtId="165" fontId="8" fillId="0" borderId="19" xfId="2" applyNumberFormat="1" applyFont="1" applyFill="1" applyBorder="1"/>
    <xf numFmtId="164" fontId="8" fillId="0" borderId="8" xfId="1" applyNumberFormat="1" applyFont="1" applyFill="1" applyBorder="1" applyAlignment="1">
      <alignment horizontal="center" wrapText="1"/>
    </xf>
    <xf numFmtId="165" fontId="8" fillId="0" borderId="26" xfId="2" applyNumberFormat="1" applyFont="1" applyFill="1" applyBorder="1"/>
    <xf numFmtId="165" fontId="8" fillId="0" borderId="30" xfId="2" applyNumberFormat="1" applyFont="1" applyFill="1" applyBorder="1"/>
    <xf numFmtId="164" fontId="8" fillId="0" borderId="3" xfId="1" applyNumberFormat="1" applyFont="1" applyFill="1" applyBorder="1"/>
    <xf numFmtId="164" fontId="8" fillId="0" borderId="14" xfId="1" applyNumberFormat="1" applyFont="1" applyFill="1" applyBorder="1"/>
    <xf numFmtId="164" fontId="8" fillId="0" borderId="15" xfId="1" applyNumberFormat="1" applyFont="1" applyFill="1" applyBorder="1"/>
    <xf numFmtId="164" fontId="8" fillId="0" borderId="1" xfId="4" applyNumberFormat="1" applyFont="1" applyFill="1" applyBorder="1"/>
    <xf numFmtId="164" fontId="8" fillId="0" borderId="16" xfId="1" applyNumberFormat="1" applyFont="1" applyFill="1" applyBorder="1"/>
    <xf numFmtId="164" fontId="8" fillId="0" borderId="17" xfId="1" applyNumberFormat="1" applyFont="1" applyFill="1" applyBorder="1"/>
    <xf numFmtId="164" fontId="8" fillId="0" borderId="18" xfId="1" applyNumberFormat="1" applyFont="1" applyFill="1" applyBorder="1"/>
    <xf numFmtId="164" fontId="8" fillId="0" borderId="1" xfId="4" applyNumberFormat="1" applyFont="1" applyFill="1" applyBorder="1" applyAlignment="1">
      <alignment horizontal="center" wrapText="1"/>
    </xf>
    <xf numFmtId="164" fontId="8" fillId="0" borderId="1" xfId="4" applyNumberFormat="1" applyFont="1" applyFill="1" applyBorder="1" applyAlignment="1">
      <alignment horizontal="center"/>
    </xf>
    <xf numFmtId="164" fontId="9" fillId="0" borderId="1" xfId="4" applyNumberFormat="1" applyFont="1" applyFill="1" applyBorder="1"/>
    <xf numFmtId="164" fontId="9" fillId="0" borderId="1" xfId="4" applyNumberFormat="1" applyFont="1" applyBorder="1"/>
    <xf numFmtId="164" fontId="9" fillId="0" borderId="1" xfId="1" applyNumberFormat="1" applyFont="1" applyFill="1"/>
    <xf numFmtId="164" fontId="9" fillId="0" borderId="1" xfId="1" applyNumberFormat="1" applyFont="1" applyFill="1" applyBorder="1"/>
    <xf numFmtId="164" fontId="9" fillId="0" borderId="1" xfId="4" quotePrefix="1" applyNumberFormat="1" applyFont="1" applyFill="1" applyBorder="1"/>
    <xf numFmtId="43" fontId="8" fillId="9" borderId="1" xfId="1" quotePrefix="1" applyFont="1" applyFill="1" applyBorder="1" applyAlignment="1">
      <alignment horizontal="center" wrapText="1"/>
    </xf>
    <xf numFmtId="164" fontId="8" fillId="9" borderId="8" xfId="1" applyNumberFormat="1" applyFont="1" applyFill="1" applyBorder="1" applyAlignment="1">
      <alignment horizontal="center" wrapText="1"/>
    </xf>
    <xf numFmtId="164" fontId="8" fillId="9" borderId="1" xfId="1" applyNumberFormat="1" applyFont="1" applyFill="1" applyBorder="1" applyAlignment="1">
      <alignment horizontal="center"/>
    </xf>
    <xf numFmtId="164" fontId="8" fillId="9" borderId="1" xfId="1" applyNumberFormat="1" applyFont="1" applyFill="1" applyBorder="1"/>
    <xf numFmtId="164" fontId="8" fillId="9" borderId="23" xfId="1" applyNumberFormat="1" applyFont="1" applyFill="1" applyBorder="1"/>
    <xf numFmtId="164" fontId="8" fillId="9" borderId="19" xfId="1" applyNumberFormat="1" applyFont="1" applyFill="1" applyBorder="1"/>
    <xf numFmtId="164" fontId="8" fillId="9" borderId="1" xfId="1" applyNumberFormat="1" applyFont="1" applyFill="1" applyBorder="1" applyAlignment="1">
      <alignment horizontal="center" wrapText="1"/>
    </xf>
    <xf numFmtId="164" fontId="8" fillId="0" borderId="23" xfId="4" applyNumberFormat="1" applyFont="1" applyFill="1" applyBorder="1"/>
    <xf numFmtId="164" fontId="8" fillId="0" borderId="19" xfId="4" applyNumberFormat="1" applyFont="1" applyFill="1" applyBorder="1"/>
    <xf numFmtId="10" fontId="11" fillId="0" borderId="1" xfId="5" applyNumberFormat="1" applyFont="1" applyFill="1" applyBorder="1"/>
    <xf numFmtId="10" fontId="11" fillId="0" borderId="23" xfId="5" applyNumberFormat="1" applyFont="1" applyFill="1" applyBorder="1"/>
    <xf numFmtId="0" fontId="13" fillId="8" borderId="0" xfId="0" applyFont="1" applyFill="1"/>
    <xf numFmtId="43" fontId="9" fillId="0" borderId="1" xfId="4" quotePrefix="1" applyFont="1" applyFill="1" applyBorder="1" applyAlignment="1">
      <alignment horizontal="left"/>
    </xf>
    <xf numFmtId="43" fontId="9" fillId="0" borderId="1" xfId="4" quotePrefix="1" applyFont="1" applyBorder="1" applyAlignment="1">
      <alignment horizontal="left"/>
    </xf>
    <xf numFmtId="164" fontId="8" fillId="0" borderId="3" xfId="4" applyNumberFormat="1" applyFont="1" applyBorder="1"/>
    <xf numFmtId="43" fontId="11" fillId="0" borderId="1" xfId="4" applyFont="1" applyFill="1" applyBorder="1"/>
    <xf numFmtId="9" fontId="8" fillId="0" borderId="1" xfId="5" applyFont="1" applyFill="1" applyBorder="1"/>
    <xf numFmtId="164" fontId="8" fillId="0" borderId="1" xfId="1" quotePrefix="1" applyNumberFormat="1" applyFont="1" applyFill="1" applyBorder="1" applyAlignment="1">
      <alignment horizontal="left"/>
    </xf>
    <xf numFmtId="164" fontId="12" fillId="0" borderId="1" xfId="1" applyNumberFormat="1" applyFont="1" applyFill="1" applyBorder="1"/>
    <xf numFmtId="164" fontId="8" fillId="0" borderId="1" xfId="1" quotePrefix="1" applyNumberFormat="1" applyFont="1" applyFill="1" applyBorder="1" applyAlignment="1">
      <alignment horizontal="center" wrapText="1"/>
    </xf>
    <xf numFmtId="43" fontId="8" fillId="0" borderId="1" xfId="1" applyFont="1" applyFill="1" applyBorder="1" applyAlignment="1">
      <alignment horizontal="center"/>
    </xf>
    <xf numFmtId="165" fontId="8" fillId="0" borderId="1" xfId="1" applyNumberFormat="1" applyFont="1" applyFill="1" applyBorder="1"/>
    <xf numFmtId="165" fontId="8" fillId="0" borderId="1" xfId="2" applyNumberFormat="1" applyFont="1" applyFill="1" applyBorder="1"/>
    <xf numFmtId="164" fontId="8" fillId="0" borderId="31" xfId="4" applyNumberFormat="1" applyFont="1" applyFill="1" applyBorder="1"/>
    <xf numFmtId="164" fontId="8" fillId="0" borderId="31" xfId="1" applyNumberFormat="1" applyFont="1" applyFill="1" applyBorder="1"/>
    <xf numFmtId="164" fontId="8" fillId="0" borderId="32" xfId="1" applyNumberFormat="1" applyFont="1" applyFill="1" applyBorder="1"/>
    <xf numFmtId="164" fontId="9" fillId="0" borderId="13" xfId="4" applyNumberFormat="1" applyFont="1" applyBorder="1"/>
    <xf numFmtId="164" fontId="9" fillId="0" borderId="13" xfId="1" applyNumberFormat="1" applyFont="1" applyFill="1" applyBorder="1"/>
    <xf numFmtId="0" fontId="17" fillId="0" borderId="1" xfId="0" applyFont="1" applyBorder="1" applyAlignment="1">
      <alignment horizontal="center"/>
    </xf>
    <xf numFmtId="167" fontId="17" fillId="0" borderId="1" xfId="0" applyNumberFormat="1" applyFont="1" applyBorder="1" applyAlignment="1">
      <alignment vertical="center"/>
    </xf>
    <xf numFmtId="168" fontId="17" fillId="0" borderId="1" xfId="0" applyNumberFormat="1" applyFont="1" applyBorder="1" applyAlignment="1">
      <alignment vertical="center"/>
    </xf>
    <xf numFmtId="3" fontId="17" fillId="0" borderId="1" xfId="0" applyNumberFormat="1" applyFont="1" applyBorder="1" applyAlignment="1">
      <alignment vertical="center"/>
    </xf>
    <xf numFmtId="169" fontId="17" fillId="0" borderId="1" xfId="0" applyNumberFormat="1" applyFont="1" applyBorder="1" applyAlignment="1">
      <alignment vertical="center"/>
    </xf>
    <xf numFmtId="10" fontId="17" fillId="0" borderId="1" xfId="0" applyNumberFormat="1" applyFont="1" applyBorder="1" applyAlignment="1">
      <alignment vertical="center"/>
    </xf>
    <xf numFmtId="164" fontId="8" fillId="0" borderId="11" xfId="4" applyNumberFormat="1" applyFont="1" applyBorder="1"/>
    <xf numFmtId="170" fontId="8" fillId="0" borderId="1" xfId="17" applyNumberFormat="1" applyFont="1" applyBorder="1"/>
    <xf numFmtId="170" fontId="8" fillId="0" borderId="11" xfId="17" applyNumberFormat="1" applyFont="1" applyBorder="1"/>
    <xf numFmtId="170" fontId="8" fillId="0" borderId="1" xfId="17" applyNumberFormat="1" applyFont="1" applyFill="1" applyBorder="1"/>
    <xf numFmtId="170" fontId="8" fillId="9" borderId="1" xfId="17" applyNumberFormat="1" applyFont="1" applyFill="1" applyBorder="1"/>
    <xf numFmtId="170" fontId="8" fillId="9" borderId="23" xfId="17" applyNumberFormat="1" applyFont="1" applyFill="1" applyBorder="1"/>
    <xf numFmtId="170" fontId="8" fillId="9" borderId="19" xfId="17" applyNumberFormat="1" applyFont="1" applyFill="1" applyBorder="1"/>
    <xf numFmtId="170" fontId="8" fillId="0" borderId="10" xfId="17" applyNumberFormat="1" applyFont="1" applyBorder="1"/>
    <xf numFmtId="170" fontId="8" fillId="9" borderId="1" xfId="17" applyNumberFormat="1" applyFont="1" applyFill="1" applyBorder="1" applyAlignment="1">
      <alignment horizontal="center"/>
    </xf>
    <xf numFmtId="170" fontId="8" fillId="0" borderId="5" xfId="17" applyNumberFormat="1" applyFont="1" applyBorder="1"/>
    <xf numFmtId="10" fontId="8" fillId="9" borderId="1" xfId="5" applyNumberFormat="1" applyFont="1" applyFill="1" applyBorder="1" applyAlignment="1">
      <alignment horizontal="center"/>
    </xf>
    <xf numFmtId="10" fontId="11" fillId="9" borderId="1" xfId="5" applyNumberFormat="1" applyFont="1" applyFill="1" applyBorder="1"/>
    <xf numFmtId="10" fontId="11" fillId="9" borderId="23" xfId="5" applyNumberFormat="1" applyFont="1" applyFill="1" applyBorder="1"/>
    <xf numFmtId="10" fontId="11" fillId="9" borderId="19" xfId="5" applyNumberFormat="1" applyFont="1" applyFill="1" applyBorder="1"/>
    <xf numFmtId="43" fontId="8" fillId="0" borderId="1" xfId="1" quotePrefix="1" applyFont="1" applyFill="1" applyBorder="1" applyAlignment="1">
      <alignment horizontal="center" wrapText="1"/>
    </xf>
    <xf numFmtId="43" fontId="8" fillId="0" borderId="8" xfId="1" applyFont="1" applyFill="1" applyBorder="1" applyAlignment="1">
      <alignment horizontal="center" wrapText="1"/>
    </xf>
    <xf numFmtId="164" fontId="8" fillId="9" borderId="5" xfId="1" applyNumberFormat="1" applyFont="1" applyFill="1" applyBorder="1" applyAlignment="1">
      <alignment horizontal="center" wrapText="1"/>
    </xf>
    <xf numFmtId="164" fontId="8" fillId="9" borderId="8" xfId="1" quotePrefix="1" applyNumberFormat="1" applyFont="1" applyFill="1" applyBorder="1" applyAlignment="1">
      <alignment horizontal="center" wrapText="1"/>
    </xf>
    <xf numFmtId="164" fontId="8" fillId="9" borderId="9" xfId="1" applyNumberFormat="1" applyFont="1" applyFill="1" applyBorder="1" applyAlignment="1">
      <alignment horizontal="center" wrapText="1"/>
    </xf>
    <xf numFmtId="164" fontId="8" fillId="9" borderId="5" xfId="1" applyNumberFormat="1" applyFont="1" applyFill="1" applyBorder="1" applyAlignment="1">
      <alignment horizontal="center"/>
    </xf>
    <xf numFmtId="164" fontId="8" fillId="9" borderId="5" xfId="1" applyNumberFormat="1" applyFont="1" applyFill="1" applyBorder="1"/>
    <xf numFmtId="164" fontId="8" fillId="9" borderId="25" xfId="1" applyNumberFormat="1" applyFont="1" applyFill="1" applyBorder="1"/>
    <xf numFmtId="164" fontId="8" fillId="9" borderId="29" xfId="1" applyNumberFormat="1" applyFont="1" applyFill="1" applyBorder="1"/>
    <xf numFmtId="43" fontId="8" fillId="4" borderId="1" xfId="1" quotePrefix="1" applyFont="1" applyFill="1" applyBorder="1" applyAlignment="1">
      <alignment horizontal="center" wrapText="1"/>
    </xf>
    <xf numFmtId="164" fontId="8" fillId="4" borderId="1" xfId="1" applyNumberFormat="1" applyFont="1" applyFill="1" applyBorder="1" applyAlignment="1">
      <alignment horizontal="center"/>
    </xf>
    <xf numFmtId="164" fontId="8" fillId="4" borderId="1" xfId="1" applyNumberFormat="1" applyFont="1" applyFill="1" applyBorder="1"/>
    <xf numFmtId="164" fontId="8" fillId="4" borderId="23" xfId="1" applyNumberFormat="1" applyFont="1" applyFill="1" applyBorder="1"/>
    <xf numFmtId="164" fontId="8" fillId="4" borderId="19" xfId="1" applyNumberFormat="1" applyFont="1" applyFill="1" applyBorder="1"/>
    <xf numFmtId="43" fontId="8" fillId="4" borderId="1" xfId="1" applyFont="1" applyFill="1" applyBorder="1" applyAlignment="1">
      <alignment horizontal="center"/>
    </xf>
    <xf numFmtId="170" fontId="8" fillId="4" borderId="1" xfId="17" applyNumberFormat="1" applyFont="1" applyFill="1" applyBorder="1" applyAlignment="1">
      <alignment horizontal="center"/>
    </xf>
    <xf numFmtId="10" fontId="6" fillId="4" borderId="1" xfId="3" applyNumberFormat="1" applyFont="1" applyFill="1" applyAlignment="1">
      <alignment vertical="center"/>
    </xf>
    <xf numFmtId="170" fontId="6" fillId="4" borderId="1" xfId="17" applyNumberFormat="1" applyFont="1" applyFill="1" applyBorder="1" applyAlignment="1">
      <alignment vertical="center"/>
    </xf>
    <xf numFmtId="10" fontId="6" fillId="4" borderId="23" xfId="3" applyNumberFormat="1" applyFont="1" applyFill="1" applyBorder="1" applyAlignment="1">
      <alignment vertical="center"/>
    </xf>
    <xf numFmtId="170" fontId="6" fillId="4" borderId="23" xfId="17" applyNumberFormat="1" applyFont="1" applyFill="1" applyBorder="1" applyAlignment="1">
      <alignment vertical="center"/>
    </xf>
    <xf numFmtId="10" fontId="6" fillId="4" borderId="19" xfId="3" applyNumberFormat="1" applyFont="1" applyFill="1" applyBorder="1" applyAlignment="1">
      <alignment vertical="center"/>
    </xf>
    <xf numFmtId="170" fontId="6" fillId="4" borderId="19" xfId="17" applyNumberFormat="1" applyFont="1" applyFill="1" applyBorder="1" applyAlignment="1">
      <alignment vertical="center"/>
    </xf>
    <xf numFmtId="10" fontId="8" fillId="4" borderId="1" xfId="1" applyNumberFormat="1" applyFont="1" applyFill="1" applyBorder="1"/>
    <xf numFmtId="170" fontId="8" fillId="4" borderId="1" xfId="17" applyNumberFormat="1" applyFont="1" applyFill="1" applyBorder="1"/>
    <xf numFmtId="164" fontId="8" fillId="4" borderId="1" xfId="4" applyNumberFormat="1" applyFont="1" applyFill="1" applyBorder="1"/>
    <xf numFmtId="164" fontId="8" fillId="4" borderId="23" xfId="4" applyNumberFormat="1" applyFont="1" applyFill="1" applyBorder="1"/>
    <xf numFmtId="164" fontId="8" fillId="4" borderId="19" xfId="4" applyNumberFormat="1" applyFont="1" applyFill="1" applyBorder="1"/>
    <xf numFmtId="164" fontId="8" fillId="4" borderId="6" xfId="1" applyNumberFormat="1" applyFont="1" applyFill="1" applyBorder="1" applyAlignment="1">
      <alignment horizontal="center" wrapText="1"/>
    </xf>
    <xf numFmtId="164" fontId="8" fillId="4" borderId="7" xfId="1" applyNumberFormat="1" applyFont="1" applyFill="1" applyBorder="1" applyAlignment="1">
      <alignment horizontal="center"/>
    </xf>
    <xf numFmtId="164" fontId="8" fillId="4" borderId="6" xfId="1" applyNumberFormat="1" applyFont="1" applyFill="1" applyBorder="1" applyAlignment="1">
      <alignment horizontal="center"/>
    </xf>
    <xf numFmtId="164" fontId="8" fillId="4" borderId="6" xfId="1" applyNumberFormat="1" applyFont="1" applyFill="1" applyBorder="1"/>
    <xf numFmtId="164" fontId="8" fillId="4" borderId="24" xfId="1" applyNumberFormat="1" applyFont="1" applyFill="1" applyBorder="1"/>
    <xf numFmtId="164" fontId="8" fillId="4" borderId="28" xfId="1" applyNumberFormat="1" applyFont="1" applyFill="1" applyBorder="1"/>
    <xf numFmtId="43" fontId="8" fillId="4" borderId="1" xfId="1" applyFont="1" applyFill="1" applyBorder="1"/>
    <xf numFmtId="43" fontId="8" fillId="4" borderId="23" xfId="1" applyFont="1" applyFill="1" applyBorder="1"/>
    <xf numFmtId="43" fontId="8" fillId="4" borderId="19" xfId="1" applyFont="1" applyFill="1" applyBorder="1"/>
    <xf numFmtId="164" fontId="8" fillId="9" borderId="1" xfId="1" quotePrefix="1" applyNumberFormat="1" applyFont="1" applyFill="1" applyBorder="1" applyAlignment="1">
      <alignment horizontal="center" wrapText="1"/>
    </xf>
    <xf numFmtId="164" fontId="8" fillId="9" borderId="6" xfId="1" applyNumberFormat="1" applyFont="1" applyFill="1" applyBorder="1"/>
    <xf numFmtId="164" fontId="8" fillId="9" borderId="24" xfId="1" applyNumberFormat="1" applyFont="1" applyFill="1" applyBorder="1"/>
    <xf numFmtId="164" fontId="8" fillId="9" borderId="28" xfId="1" applyNumberFormat="1" applyFont="1" applyFill="1" applyBorder="1"/>
    <xf numFmtId="43" fontId="8" fillId="10" borderId="1" xfId="1" applyFont="1" applyFill="1" applyBorder="1" applyAlignment="1">
      <alignment horizontal="center" wrapText="1"/>
    </xf>
    <xf numFmtId="43" fontId="8" fillId="10" borderId="8" xfId="1" applyFont="1" applyFill="1" applyBorder="1" applyAlignment="1">
      <alignment horizontal="center" wrapText="1"/>
    </xf>
    <xf numFmtId="170" fontId="8" fillId="10" borderId="1" xfId="17" applyNumberFormat="1" applyFont="1" applyFill="1" applyBorder="1" applyAlignment="1">
      <alignment horizontal="center"/>
    </xf>
    <xf numFmtId="170" fontId="8" fillId="10" borderId="1" xfId="17" applyNumberFormat="1" applyFont="1" applyFill="1" applyBorder="1"/>
    <xf numFmtId="170" fontId="8" fillId="10" borderId="23" xfId="17" applyNumberFormat="1" applyFont="1" applyFill="1" applyBorder="1"/>
    <xf numFmtId="170" fontId="8" fillId="10" borderId="19" xfId="17" applyNumberFormat="1" applyFont="1" applyFill="1" applyBorder="1"/>
    <xf numFmtId="43" fontId="8" fillId="10" borderId="1" xfId="1" quotePrefix="1" applyFont="1" applyFill="1" applyBorder="1" applyAlignment="1">
      <alignment horizontal="center" wrapText="1"/>
    </xf>
    <xf numFmtId="164" fontId="8" fillId="10" borderId="6" xfId="1" applyNumberFormat="1" applyFont="1" applyFill="1" applyBorder="1" applyAlignment="1">
      <alignment horizontal="center" wrapText="1"/>
    </xf>
    <xf numFmtId="164" fontId="8" fillId="10" borderId="7" xfId="1" applyNumberFormat="1" applyFont="1" applyFill="1" applyBorder="1" applyAlignment="1">
      <alignment horizontal="center" wrapText="1"/>
    </xf>
    <xf numFmtId="164" fontId="8" fillId="10" borderId="6" xfId="1" applyNumberFormat="1" applyFont="1" applyFill="1" applyBorder="1" applyAlignment="1">
      <alignment horizontal="center"/>
    </xf>
    <xf numFmtId="164" fontId="8" fillId="10" borderId="6" xfId="1" applyNumberFormat="1" applyFont="1" applyFill="1" applyBorder="1"/>
    <xf numFmtId="164" fontId="8" fillId="10" borderId="24" xfId="1" applyNumberFormat="1" applyFont="1" applyFill="1" applyBorder="1"/>
    <xf numFmtId="164" fontId="8" fillId="10" borderId="28" xfId="1" applyNumberFormat="1" applyFont="1" applyFill="1" applyBorder="1"/>
    <xf numFmtId="43" fontId="8" fillId="10" borderId="1" xfId="1" applyFont="1" applyFill="1" applyBorder="1" applyAlignment="1">
      <alignment horizontal="center"/>
    </xf>
    <xf numFmtId="43" fontId="8" fillId="10" borderId="1" xfId="1" applyFont="1" applyFill="1" applyBorder="1"/>
    <xf numFmtId="43" fontId="8" fillId="10" borderId="23" xfId="1" applyFont="1" applyFill="1" applyBorder="1"/>
    <xf numFmtId="43" fontId="8" fillId="10" borderId="19" xfId="1" applyFont="1" applyFill="1" applyBorder="1"/>
    <xf numFmtId="10" fontId="8" fillId="4" borderId="1" xfId="5" applyNumberFormat="1" applyFont="1" applyFill="1" applyBorder="1"/>
    <xf numFmtId="10" fontId="8" fillId="4" borderId="23" xfId="5" applyNumberFormat="1" applyFont="1" applyFill="1" applyBorder="1"/>
    <xf numFmtId="10" fontId="8" fillId="4" borderId="19" xfId="5" applyNumberFormat="1" applyFont="1" applyFill="1" applyBorder="1"/>
    <xf numFmtId="164" fontId="8" fillId="9" borderId="1" xfId="1" applyNumberFormat="1" applyFont="1" applyFill="1"/>
    <xf numFmtId="43" fontId="8" fillId="3" borderId="8" xfId="1" applyFont="1" applyFill="1" applyBorder="1" applyAlignment="1">
      <alignment horizontal="center"/>
    </xf>
    <xf numFmtId="10" fontId="8" fillId="0" borderId="23" xfId="5" applyNumberFormat="1" applyFont="1" applyBorder="1"/>
    <xf numFmtId="164" fontId="8" fillId="9" borderId="1" xfId="1" applyNumberFormat="1" applyFont="1" applyFill="1" applyAlignment="1">
      <alignment horizontal="center" wrapText="1"/>
    </xf>
    <xf numFmtId="43" fontId="8" fillId="9" borderId="1" xfId="1" applyFont="1" applyFill="1" applyBorder="1" applyAlignment="1">
      <alignment horizontal="center" wrapText="1"/>
    </xf>
    <xf numFmtId="164" fontId="8" fillId="9" borderId="1" xfId="1" applyNumberFormat="1" applyFont="1" applyFill="1" applyBorder="1" applyAlignment="1">
      <alignment wrapText="1"/>
    </xf>
    <xf numFmtId="43" fontId="8" fillId="9" borderId="8" xfId="1" applyFont="1" applyFill="1" applyBorder="1" applyAlignment="1">
      <alignment horizontal="center" wrapText="1"/>
    </xf>
    <xf numFmtId="164" fontId="8" fillId="9" borderId="19" xfId="1" applyNumberFormat="1" applyFont="1" applyFill="1" applyBorder="1" applyAlignment="1">
      <alignment horizontal="center" wrapText="1"/>
    </xf>
    <xf numFmtId="10" fontId="6" fillId="9" borderId="1" xfId="3" applyNumberFormat="1" applyFont="1" applyFill="1" applyAlignment="1">
      <alignment vertical="center"/>
    </xf>
    <xf numFmtId="10" fontId="6" fillId="9" borderId="23" xfId="3" applyNumberFormat="1" applyFont="1" applyFill="1" applyBorder="1" applyAlignment="1">
      <alignment vertical="center"/>
    </xf>
    <xf numFmtId="10" fontId="6" fillId="9" borderId="19" xfId="3" applyNumberFormat="1" applyFont="1" applyFill="1" applyBorder="1" applyAlignment="1">
      <alignment vertical="center"/>
    </xf>
    <xf numFmtId="10" fontId="8" fillId="9" borderId="1" xfId="1" applyNumberFormat="1" applyFont="1" applyFill="1" applyBorder="1"/>
    <xf numFmtId="164" fontId="0" fillId="0" borderId="0" xfId="4" applyNumberFormat="1" applyFont="1"/>
    <xf numFmtId="43" fontId="8" fillId="0" borderId="1" xfId="4" quotePrefix="1" applyFont="1" applyFill="1" applyBorder="1" applyAlignment="1">
      <alignment horizontal="left"/>
    </xf>
    <xf numFmtId="43" fontId="8" fillId="0" borderId="1" xfId="4" quotePrefix="1" applyFont="1" applyBorder="1" applyAlignment="1">
      <alignment horizontal="left"/>
    </xf>
    <xf numFmtId="164" fontId="8" fillId="0" borderId="33" xfId="4" applyNumberFormat="1" applyFont="1" applyBorder="1"/>
    <xf numFmtId="164" fontId="8" fillId="0" borderId="3" xfId="4" applyNumberFormat="1" applyFont="1" applyFill="1" applyBorder="1"/>
    <xf numFmtId="164" fontId="9" fillId="0" borderId="8" xfId="4" applyNumberFormat="1" applyFont="1" applyFill="1" applyBorder="1"/>
    <xf numFmtId="164" fontId="9" fillId="0" borderId="8" xfId="4" applyNumberFormat="1" applyFont="1" applyBorder="1"/>
    <xf numFmtId="165" fontId="8" fillId="0" borderId="13" xfId="5" applyNumberFormat="1" applyFont="1" applyFill="1" applyBorder="1"/>
    <xf numFmtId="164" fontId="0" fillId="0" borderId="0" xfId="0" applyNumberFormat="1"/>
    <xf numFmtId="164" fontId="0" fillId="0" borderId="3" xfId="0" applyNumberFormat="1" applyBorder="1"/>
    <xf numFmtId="43" fontId="0" fillId="0" borderId="0" xfId="0" applyNumberFormat="1"/>
    <xf numFmtId="165" fontId="0" fillId="0" borderId="0" xfId="5" applyNumberFormat="1" applyFont="1"/>
    <xf numFmtId="10" fontId="0" fillId="0" borderId="0" xfId="5" applyNumberFormat="1" applyFont="1"/>
    <xf numFmtId="0" fontId="18" fillId="0" borderId="0" xfId="0" applyFont="1" applyAlignment="1">
      <alignment horizontal="center"/>
    </xf>
    <xf numFmtId="0" fontId="18" fillId="0" borderId="8" xfId="0" applyFont="1" applyBorder="1" applyAlignment="1">
      <alignment horizontal="center"/>
    </xf>
    <xf numFmtId="10" fontId="11" fillId="11" borderId="1" xfId="5" applyNumberFormat="1" applyFont="1" applyFill="1" applyBorder="1"/>
    <xf numFmtId="0" fontId="0" fillId="0" borderId="0" xfId="0" quotePrefix="1" applyAlignment="1">
      <alignment horizontal="left"/>
    </xf>
    <xf numFmtId="164" fontId="9" fillId="2" borderId="2" xfId="1" quotePrefix="1" applyNumberFormat="1" applyFont="1" applyFill="1" applyBorder="1" applyAlignment="1">
      <alignment horizontal="center"/>
    </xf>
    <xf numFmtId="164" fontId="9" fillId="2" borderId="3" xfId="1" applyNumberFormat="1" applyFont="1" applyFill="1" applyBorder="1" applyAlignment="1">
      <alignment horizontal="center"/>
    </xf>
    <xf numFmtId="164" fontId="9" fillId="2" borderId="4" xfId="1" applyNumberFormat="1" applyFont="1" applyFill="1" applyBorder="1" applyAlignment="1">
      <alignment horizontal="center"/>
    </xf>
    <xf numFmtId="164" fontId="8" fillId="9" borderId="1" xfId="1" applyNumberFormat="1" applyFont="1" applyFill="1" applyBorder="1" applyAlignment="1">
      <alignment horizontal="center" wrapText="1"/>
    </xf>
    <xf numFmtId="164" fontId="8" fillId="0" borderId="1" xfId="1" applyNumberFormat="1" applyFont="1" applyFill="1" applyBorder="1" applyAlignment="1">
      <alignment horizontal="center" wrapText="1"/>
    </xf>
    <xf numFmtId="164" fontId="8" fillId="7" borderId="1" xfId="1" applyNumberFormat="1" applyFont="1" applyFill="1" applyBorder="1" applyAlignment="1">
      <alignment horizontal="center" wrapText="1"/>
    </xf>
    <xf numFmtId="164" fontId="8" fillId="0" borderId="1" xfId="1" applyNumberFormat="1" applyFont="1" applyAlignment="1">
      <alignment horizontal="center"/>
    </xf>
    <xf numFmtId="164" fontId="8" fillId="5" borderId="2" xfId="1" applyNumberFormat="1" applyFont="1" applyFill="1" applyBorder="1" applyAlignment="1">
      <alignment horizontal="center"/>
    </xf>
    <xf numFmtId="164" fontId="8" fillId="5" borderId="3" xfId="1" applyNumberFormat="1" applyFont="1" applyFill="1" applyBorder="1" applyAlignment="1">
      <alignment horizontal="center"/>
    </xf>
    <xf numFmtId="164" fontId="8" fillId="5" borderId="4" xfId="1" applyNumberFormat="1" applyFont="1" applyFill="1" applyBorder="1" applyAlignment="1">
      <alignment horizontal="center"/>
    </xf>
    <xf numFmtId="0" fontId="18" fillId="0" borderId="8" xfId="0" quotePrefix="1" applyFont="1" applyBorder="1" applyAlignment="1">
      <alignment horizontal="center"/>
    </xf>
    <xf numFmtId="0" fontId="18" fillId="0" borderId="8" xfId="0" applyFont="1" applyBorder="1" applyAlignment="1">
      <alignment horizontal="center"/>
    </xf>
  </cellXfs>
  <cellStyles count="18">
    <cellStyle name="Comma" xfId="4" builtinId="3"/>
    <cellStyle name="Comma 2" xfId="1" xr:uid="{00000000-0005-0000-0000-000001000000}"/>
    <cellStyle name="Comma 3" xfId="7" xr:uid="{7454F272-CE29-47D1-B716-9633235893B3}"/>
    <cellStyle name="Comma 4" xfId="8" xr:uid="{4D1D49E3-5627-4915-85F8-1E3982C9DFC7}"/>
    <cellStyle name="Comma 5" xfId="12" xr:uid="{BEDF4A50-B20A-4044-8465-CBACE0C0B122}"/>
    <cellStyle name="Comma 6" xfId="14" xr:uid="{76173D4D-7A13-4E77-97E2-A528B3CCE1B5}"/>
    <cellStyle name="Comma 7" xfId="16" xr:uid="{52E1D62D-3A58-4FE6-8D3D-10F103C85CB6}"/>
    <cellStyle name="Currency" xfId="17" builtinId="4"/>
    <cellStyle name="Normal" xfId="0" builtinId="0"/>
    <cellStyle name="Normal 2" xfId="3" xr:uid="{00000000-0005-0000-0000-000004000000}"/>
    <cellStyle name="Normal 3" xfId="6" xr:uid="{020F7E5C-4B55-47CE-B6A5-30B5A805A0D6}"/>
    <cellStyle name="Normal 3 2" xfId="10" xr:uid="{37BA26B6-C854-476A-871C-443551D03427}"/>
    <cellStyle name="Normal 4" xfId="9" xr:uid="{F705F5C3-8F2A-40D0-90B4-F9DC87DBA7E1}"/>
    <cellStyle name="Normal 5" xfId="11" xr:uid="{2EA45520-A6B6-44E1-A6E3-3CDD3E644BBC}"/>
    <cellStyle name="Normal 6" xfId="13" xr:uid="{35CC9577-7381-4171-A548-C48DC2658B70}"/>
    <cellStyle name="Normal 7" xfId="15" xr:uid="{B14D3E95-6E25-4B0B-BDCE-5FBD2FF9E36C}"/>
    <cellStyle name="Percent" xfId="5" builtinId="5"/>
    <cellStyle name="Percent 2" xfId="2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B3"/>
      <color rgb="FFBAD6F4"/>
      <color rgb="FFFED4DA"/>
      <color rgb="FF00CC00"/>
      <color rgb="FFCCFF99"/>
      <color rgb="FFDDEDDD"/>
      <color rgb="FFB7E1FB"/>
      <color rgb="FFFBA3B0"/>
      <color rgb="FFF8687D"/>
      <color rgb="FFD7B3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B0C8A-66F9-4750-8599-FD6F4633F6A6}">
  <dimension ref="A1:F552"/>
  <sheetViews>
    <sheetView workbookViewId="0">
      <selection activeCell="I34" sqref="I34"/>
    </sheetView>
  </sheetViews>
  <sheetFormatPr defaultColWidth="9.140625" defaultRowHeight="15" x14ac:dyDescent="0.25"/>
  <cols>
    <col min="1" max="1" width="35.7109375" style="64" bestFit="1" customWidth="1"/>
    <col min="2" max="2" width="9.140625" style="64"/>
    <col min="3" max="3" width="34" style="64" bestFit="1" customWidth="1"/>
    <col min="4" max="4" width="12.7109375" bestFit="1" customWidth="1"/>
    <col min="5" max="6" width="13.85546875" bestFit="1" customWidth="1"/>
    <col min="7" max="16384" width="9.140625" style="64"/>
  </cols>
  <sheetData>
    <row r="1" spans="2:6" s="61" customFormat="1" ht="14.25" x14ac:dyDescent="0.2">
      <c r="B1" s="60"/>
      <c r="C1" s="60"/>
      <c r="D1" s="122" t="s">
        <v>103</v>
      </c>
      <c r="E1" s="122" t="s">
        <v>101</v>
      </c>
      <c r="F1" s="122" t="s">
        <v>102</v>
      </c>
    </row>
    <row r="2" spans="2:6" ht="14.25" x14ac:dyDescent="0.2">
      <c r="B2" s="62">
        <v>1000</v>
      </c>
      <c r="C2" s="63" t="s">
        <v>0</v>
      </c>
      <c r="D2" s="123">
        <v>0</v>
      </c>
      <c r="E2" s="123">
        <v>0</v>
      </c>
      <c r="F2" s="123">
        <v>0</v>
      </c>
    </row>
    <row r="3" spans="2:6" ht="14.25" x14ac:dyDescent="0.2">
      <c r="B3" s="62">
        <v>1000</v>
      </c>
      <c r="C3" s="63" t="s">
        <v>1</v>
      </c>
      <c r="D3" s="123">
        <v>10142</v>
      </c>
      <c r="E3" s="123">
        <v>3904</v>
      </c>
      <c r="F3" s="123">
        <v>1382</v>
      </c>
    </row>
    <row r="4" spans="2:6" ht="14.25" x14ac:dyDescent="0.2">
      <c r="B4" s="62">
        <v>1000</v>
      </c>
      <c r="C4" s="63" t="s">
        <v>2</v>
      </c>
      <c r="D4" s="123">
        <v>-10142</v>
      </c>
      <c r="E4" s="123">
        <v>-3904</v>
      </c>
      <c r="F4" s="123">
        <v>-1382</v>
      </c>
    </row>
    <row r="5" spans="2:6" ht="14.25" x14ac:dyDescent="0.2">
      <c r="B5" s="62">
        <v>1000</v>
      </c>
      <c r="C5" s="63" t="s">
        <v>3</v>
      </c>
      <c r="D5" s="123">
        <v>0</v>
      </c>
      <c r="E5" s="123">
        <v>205</v>
      </c>
      <c r="F5" s="123">
        <v>205</v>
      </c>
    </row>
    <row r="6" spans="2:6" ht="14.25" x14ac:dyDescent="0.2">
      <c r="B6" s="62">
        <v>1000</v>
      </c>
      <c r="C6" s="63" t="s">
        <v>4</v>
      </c>
      <c r="D6" s="123">
        <v>-10142</v>
      </c>
      <c r="E6" s="123">
        <v>-3699</v>
      </c>
      <c r="F6" s="123">
        <v>-1177</v>
      </c>
    </row>
    <row r="7" spans="2:6" ht="14.25" x14ac:dyDescent="0.2">
      <c r="B7" s="62">
        <v>1000</v>
      </c>
      <c r="C7" s="63" t="s">
        <v>5</v>
      </c>
      <c r="D7" s="123"/>
      <c r="E7" s="123"/>
      <c r="F7" s="123"/>
    </row>
    <row r="8" spans="2:6" ht="14.25" x14ac:dyDescent="0.2">
      <c r="B8" s="62">
        <v>1000</v>
      </c>
      <c r="C8" s="63" t="s">
        <v>6</v>
      </c>
      <c r="D8" s="123"/>
      <c r="E8" s="123"/>
      <c r="F8" s="123"/>
    </row>
    <row r="9" spans="2:6" ht="14.25" x14ac:dyDescent="0.2">
      <c r="B9" s="62">
        <v>1000</v>
      </c>
      <c r="C9" s="63" t="s">
        <v>7</v>
      </c>
      <c r="D9" s="124">
        <v>2.0816681711721685E-17</v>
      </c>
      <c r="E9" s="124">
        <v>1462.4498639999999</v>
      </c>
      <c r="F9" s="124">
        <v>87</v>
      </c>
    </row>
    <row r="10" spans="2:6" ht="14.25" x14ac:dyDescent="0.2">
      <c r="B10" s="62">
        <v>1000</v>
      </c>
      <c r="C10" s="63" t="s">
        <v>8</v>
      </c>
      <c r="D10" s="124">
        <v>2000099.75</v>
      </c>
      <c r="E10" s="124">
        <v>2464755.64</v>
      </c>
      <c r="F10" s="124">
        <v>2334832.9500000002</v>
      </c>
    </row>
    <row r="11" spans="2:6" ht="14.25" x14ac:dyDescent="0.2">
      <c r="B11" s="62">
        <v>1000</v>
      </c>
      <c r="C11" s="63" t="s">
        <v>9</v>
      </c>
      <c r="D11" s="124">
        <v>12652.8</v>
      </c>
      <c r="E11" s="124">
        <v>46142</v>
      </c>
      <c r="F11" s="124">
        <v>31514.769999999997</v>
      </c>
    </row>
    <row r="12" spans="2:6" ht="14.25" x14ac:dyDescent="0.2">
      <c r="B12" s="62">
        <v>1000</v>
      </c>
      <c r="C12" s="63" t="s">
        <v>10</v>
      </c>
      <c r="D12" s="124">
        <v>0</v>
      </c>
      <c r="E12" s="124">
        <v>43744</v>
      </c>
      <c r="F12" s="124">
        <v>29880</v>
      </c>
    </row>
    <row r="13" spans="2:6" ht="14.25" x14ac:dyDescent="0.2">
      <c r="B13" s="62">
        <v>1000</v>
      </c>
      <c r="C13" s="63" t="s">
        <v>11</v>
      </c>
      <c r="D13" s="124"/>
      <c r="E13" s="124">
        <v>6582.0253752000008</v>
      </c>
      <c r="F13" s="124">
        <v>4753.0268140000007</v>
      </c>
    </row>
    <row r="14" spans="2:6" ht="14.25" x14ac:dyDescent="0.2">
      <c r="B14" s="62">
        <v>1000</v>
      </c>
      <c r="C14" s="63" t="s">
        <v>12</v>
      </c>
      <c r="D14" s="124"/>
      <c r="E14" s="124">
        <v>2206</v>
      </c>
      <c r="F14" s="124">
        <v>980</v>
      </c>
    </row>
    <row r="15" spans="2:6" ht="14.25" x14ac:dyDescent="0.2">
      <c r="B15" s="62">
        <v>1000</v>
      </c>
      <c r="C15" s="63" t="s">
        <v>13</v>
      </c>
      <c r="D15" s="125">
        <v>6397.0000000000009</v>
      </c>
      <c r="E15" s="125">
        <v>7873.0000000000018</v>
      </c>
      <c r="F15" s="125">
        <v>7516</v>
      </c>
    </row>
    <row r="16" spans="2:6" ht="14.25" x14ac:dyDescent="0.2">
      <c r="B16" s="62">
        <v>1000</v>
      </c>
      <c r="C16" s="63" t="s">
        <v>14</v>
      </c>
      <c r="D16" s="125">
        <v>6397.0000000000009</v>
      </c>
      <c r="E16" s="125">
        <v>8088.0000000000009</v>
      </c>
      <c r="F16" s="125">
        <v>7600.0000000000027</v>
      </c>
    </row>
    <row r="17" spans="1:6" ht="14.25" x14ac:dyDescent="0.2">
      <c r="B17" s="62">
        <v>1000</v>
      </c>
      <c r="C17" s="63" t="s">
        <v>15</v>
      </c>
      <c r="D17" s="125">
        <v>1280</v>
      </c>
      <c r="E17" s="125">
        <v>1412</v>
      </c>
      <c r="F17" s="125">
        <v>1414</v>
      </c>
    </row>
    <row r="18" spans="1:6" ht="14.25" x14ac:dyDescent="0.2">
      <c r="B18" s="62">
        <v>1000</v>
      </c>
      <c r="C18" s="63" t="s">
        <v>16</v>
      </c>
      <c r="D18" s="126">
        <v>4.9976562500000004</v>
      </c>
      <c r="E18" s="126">
        <v>5.5757790368271971</v>
      </c>
      <c r="F18" s="126">
        <v>5.3154172560113153</v>
      </c>
    </row>
    <row r="19" spans="1:6" ht="14.25" x14ac:dyDescent="0.2">
      <c r="B19" s="62">
        <v>1000</v>
      </c>
      <c r="C19" s="63" t="s">
        <v>17</v>
      </c>
      <c r="D19" s="126">
        <v>4.9976562500000004</v>
      </c>
      <c r="E19" s="126">
        <v>5.7280453257790374</v>
      </c>
      <c r="F19" s="126">
        <v>5.3748231966053766</v>
      </c>
    </row>
    <row r="20" spans="1:6" ht="14.25" x14ac:dyDescent="0.2">
      <c r="B20" s="62">
        <v>1000</v>
      </c>
      <c r="C20" s="63" t="s">
        <v>18</v>
      </c>
      <c r="D20" s="123"/>
      <c r="E20" s="123"/>
      <c r="F20" s="123"/>
    </row>
    <row r="21" spans="1:6" ht="14.25" x14ac:dyDescent="0.2">
      <c r="B21" s="62">
        <v>1000</v>
      </c>
      <c r="C21" s="63" t="s">
        <v>19</v>
      </c>
      <c r="D21" s="123"/>
      <c r="E21" s="123"/>
      <c r="F21" s="123"/>
    </row>
    <row r="22" spans="1:6" ht="14.25" x14ac:dyDescent="0.2">
      <c r="B22" s="62">
        <v>1000</v>
      </c>
      <c r="C22" s="63" t="s">
        <v>20</v>
      </c>
      <c r="D22" s="124"/>
      <c r="E22" s="124"/>
      <c r="F22" s="124"/>
    </row>
    <row r="23" spans="1:6" ht="14.25" x14ac:dyDescent="0.2">
      <c r="B23" s="62">
        <v>1000</v>
      </c>
      <c r="C23" s="63" t="s">
        <v>21</v>
      </c>
      <c r="D23" s="123"/>
      <c r="E23" s="123"/>
      <c r="F23" s="123"/>
    </row>
    <row r="24" spans="1:6" ht="14.25" x14ac:dyDescent="0.2">
      <c r="B24" s="62">
        <v>1000</v>
      </c>
      <c r="C24" s="63" t="s">
        <v>22</v>
      </c>
      <c r="D24" s="123"/>
      <c r="E24" s="123"/>
      <c r="F24" s="123"/>
    </row>
    <row r="25" spans="1:6" ht="14.25" x14ac:dyDescent="0.2">
      <c r="B25" s="62">
        <v>1000</v>
      </c>
      <c r="C25" s="63" t="s">
        <v>23</v>
      </c>
      <c r="D25" s="123"/>
      <c r="E25" s="123"/>
      <c r="F25" s="123"/>
    </row>
    <row r="26" spans="1:6" ht="14.25" x14ac:dyDescent="0.2">
      <c r="B26" s="62">
        <v>1000</v>
      </c>
      <c r="C26" s="63" t="s">
        <v>24</v>
      </c>
      <c r="D26" s="123"/>
      <c r="E26" s="123"/>
      <c r="F26" s="123"/>
    </row>
    <row r="27" spans="1:6" ht="14.25" x14ac:dyDescent="0.2">
      <c r="B27" s="62">
        <v>1000</v>
      </c>
      <c r="C27" s="63" t="s">
        <v>25</v>
      </c>
      <c r="D27" s="124">
        <v>-1.5854306706268562</v>
      </c>
      <c r="E27" s="124">
        <v>-0.48269040553907017</v>
      </c>
      <c r="F27" s="124">
        <v>-0.18184210526315783</v>
      </c>
    </row>
    <row r="28" spans="1:6" ht="14.25" x14ac:dyDescent="0.2">
      <c r="B28" s="62">
        <v>1000</v>
      </c>
      <c r="C28" s="63" t="s">
        <v>26</v>
      </c>
      <c r="D28" s="127"/>
      <c r="E28" s="127"/>
      <c r="F28" s="127"/>
    </row>
    <row r="29" spans="1:6" ht="14.25" x14ac:dyDescent="0.2">
      <c r="B29" s="62">
        <v>1000</v>
      </c>
      <c r="C29" s="63" t="s">
        <v>27</v>
      </c>
      <c r="D29" s="127"/>
      <c r="E29" s="127">
        <v>19.043902439024389</v>
      </c>
      <c r="F29" s="127">
        <v>6.7414634146341461</v>
      </c>
    </row>
    <row r="30" spans="1:6" ht="14.25" x14ac:dyDescent="0.2">
      <c r="B30" s="62">
        <v>1000</v>
      </c>
      <c r="C30" s="63" t="s">
        <v>28</v>
      </c>
      <c r="D30" s="125">
        <v>0</v>
      </c>
      <c r="E30" s="125">
        <v>0</v>
      </c>
      <c r="F30" s="125">
        <v>0</v>
      </c>
    </row>
    <row r="31" spans="1:6" ht="14.25" x14ac:dyDescent="0.2">
      <c r="A31" s="65" t="s">
        <v>29</v>
      </c>
      <c r="B31" s="62">
        <v>8025</v>
      </c>
      <c r="C31" s="63" t="s">
        <v>0</v>
      </c>
      <c r="D31" s="123">
        <v>139583.09</v>
      </c>
      <c r="E31" s="123">
        <v>1128881.22</v>
      </c>
      <c r="F31" s="123">
        <v>1305433</v>
      </c>
    </row>
    <row r="32" spans="1:6" ht="14.25" x14ac:dyDescent="0.2">
      <c r="A32" s="65" t="s">
        <v>29</v>
      </c>
      <c r="B32" s="62">
        <v>8025</v>
      </c>
      <c r="C32" s="63" t="s">
        <v>1</v>
      </c>
      <c r="D32" s="123">
        <v>4779.45</v>
      </c>
      <c r="E32" s="123">
        <v>76874.5</v>
      </c>
      <c r="F32" s="123">
        <v>53108.5</v>
      </c>
    </row>
    <row r="33" spans="1:6" ht="14.25" x14ac:dyDescent="0.2">
      <c r="A33" s="65" t="s">
        <v>29</v>
      </c>
      <c r="B33" s="62">
        <v>8025</v>
      </c>
      <c r="C33" s="63" t="s">
        <v>2</v>
      </c>
      <c r="D33" s="123">
        <v>134803.63999999998</v>
      </c>
      <c r="E33" s="123">
        <v>1052006.72</v>
      </c>
      <c r="F33" s="123">
        <v>1252324.5</v>
      </c>
    </row>
    <row r="34" spans="1:6" ht="14.25" x14ac:dyDescent="0.2">
      <c r="A34" s="65" t="s">
        <v>29</v>
      </c>
      <c r="B34" s="62">
        <v>8025</v>
      </c>
      <c r="C34" s="63" t="s">
        <v>3</v>
      </c>
      <c r="D34" s="123">
        <v>575</v>
      </c>
      <c r="E34" s="123">
        <v>13360</v>
      </c>
      <c r="F34" s="123">
        <v>13180</v>
      </c>
    </row>
    <row r="35" spans="1:6" ht="14.25" x14ac:dyDescent="0.2">
      <c r="A35" s="65" t="s">
        <v>29</v>
      </c>
      <c r="B35" s="62">
        <v>8025</v>
      </c>
      <c r="C35" s="63" t="s">
        <v>4</v>
      </c>
      <c r="D35" s="123">
        <v>135378.63999999998</v>
      </c>
      <c r="E35" s="123">
        <v>1065366.72</v>
      </c>
      <c r="F35" s="123">
        <v>1265504.5</v>
      </c>
    </row>
    <row r="36" spans="1:6" ht="14.25" x14ac:dyDescent="0.2">
      <c r="A36" s="65" t="s">
        <v>29</v>
      </c>
      <c r="B36" s="62">
        <v>8025</v>
      </c>
      <c r="C36" s="63" t="s">
        <v>5</v>
      </c>
      <c r="D36" s="123">
        <v>4440</v>
      </c>
      <c r="E36" s="123">
        <v>22782</v>
      </c>
      <c r="F36" s="123">
        <v>19980</v>
      </c>
    </row>
    <row r="37" spans="1:6" ht="14.25" x14ac:dyDescent="0.2">
      <c r="A37" s="65" t="s">
        <v>29</v>
      </c>
      <c r="B37" s="62">
        <v>8025</v>
      </c>
      <c r="C37" s="63" t="s">
        <v>6</v>
      </c>
      <c r="D37" s="123">
        <v>139818.63999999998</v>
      </c>
      <c r="E37" s="123">
        <v>1088148.72</v>
      </c>
      <c r="F37" s="123">
        <v>1285484.5</v>
      </c>
    </row>
    <row r="38" spans="1:6" ht="14.25" x14ac:dyDescent="0.2">
      <c r="A38" s="65" t="s">
        <v>29</v>
      </c>
      <c r="B38" s="62">
        <v>8025</v>
      </c>
      <c r="C38" s="63" t="s">
        <v>7</v>
      </c>
      <c r="D38" s="124">
        <v>37080.759974000001</v>
      </c>
      <c r="E38" s="124">
        <v>564895.52693599777</v>
      </c>
      <c r="F38" s="124">
        <v>481193.5878919987</v>
      </c>
    </row>
    <row r="39" spans="1:6" ht="14.25" x14ac:dyDescent="0.2">
      <c r="A39" s="65" t="s">
        <v>29</v>
      </c>
      <c r="B39" s="62">
        <v>8025</v>
      </c>
      <c r="C39" s="63" t="s">
        <v>8</v>
      </c>
      <c r="D39" s="124">
        <v>25574.92</v>
      </c>
      <c r="E39" s="124">
        <v>186743.49000000002</v>
      </c>
      <c r="F39" s="124">
        <v>134333.99</v>
      </c>
    </row>
    <row r="40" spans="1:6" ht="14.25" x14ac:dyDescent="0.2">
      <c r="A40" s="65" t="s">
        <v>29</v>
      </c>
      <c r="B40" s="62">
        <v>8025</v>
      </c>
      <c r="C40" s="63" t="s">
        <v>9</v>
      </c>
      <c r="D40" s="124">
        <v>5709</v>
      </c>
      <c r="E40" s="124">
        <v>467086.36</v>
      </c>
      <c r="F40" s="124">
        <v>285626.01</v>
      </c>
    </row>
    <row r="41" spans="1:6" ht="14.25" x14ac:dyDescent="0.2">
      <c r="A41" s="65" t="s">
        <v>29</v>
      </c>
      <c r="B41" s="62">
        <v>8025</v>
      </c>
      <c r="C41" s="63" t="s">
        <v>10</v>
      </c>
      <c r="D41" s="124">
        <v>0</v>
      </c>
      <c r="E41" s="124">
        <v>299532.19</v>
      </c>
      <c r="F41" s="124">
        <v>198776.43</v>
      </c>
    </row>
    <row r="42" spans="1:6" ht="14.25" x14ac:dyDescent="0.2">
      <c r="A42" s="65" t="s">
        <v>29</v>
      </c>
      <c r="B42" s="62">
        <v>8025</v>
      </c>
      <c r="C42" s="63" t="s">
        <v>11</v>
      </c>
      <c r="D42" s="124"/>
      <c r="E42" s="124">
        <v>96536.372169599999</v>
      </c>
      <c r="F42" s="124">
        <v>66911.334368399985</v>
      </c>
    </row>
    <row r="43" spans="1:6" ht="14.25" x14ac:dyDescent="0.2">
      <c r="A43" s="65" t="s">
        <v>29</v>
      </c>
      <c r="B43" s="62">
        <v>8025</v>
      </c>
      <c r="C43" s="63" t="s">
        <v>12</v>
      </c>
      <c r="D43" s="124">
        <v>3673</v>
      </c>
      <c r="E43" s="124">
        <v>4040</v>
      </c>
      <c r="F43" s="124">
        <v>1536</v>
      </c>
    </row>
    <row r="44" spans="1:6" ht="14.25" x14ac:dyDescent="0.2">
      <c r="A44" s="65" t="s">
        <v>29</v>
      </c>
      <c r="B44" s="62">
        <v>8025</v>
      </c>
      <c r="C44" s="63" t="s">
        <v>13</v>
      </c>
      <c r="D44" s="125">
        <v>1274.9999999999995</v>
      </c>
      <c r="E44" s="125">
        <v>9842.9999999999618</v>
      </c>
      <c r="F44" s="125">
        <v>13670.000000000002</v>
      </c>
    </row>
    <row r="45" spans="1:6" ht="14.25" x14ac:dyDescent="0.2">
      <c r="A45" s="65" t="s">
        <v>29</v>
      </c>
      <c r="B45" s="62">
        <v>8025</v>
      </c>
      <c r="C45" s="63" t="s">
        <v>14</v>
      </c>
      <c r="D45" s="125">
        <v>1280.9999999999998</v>
      </c>
      <c r="E45" s="125">
        <v>10851.00000000002</v>
      </c>
      <c r="F45" s="125">
        <v>14801.999999999971</v>
      </c>
    </row>
    <row r="46" spans="1:6" ht="14.25" x14ac:dyDescent="0.2">
      <c r="A46" s="65" t="s">
        <v>29</v>
      </c>
      <c r="B46" s="62">
        <v>8025</v>
      </c>
      <c r="C46" s="63" t="s">
        <v>15</v>
      </c>
      <c r="D46" s="125">
        <v>225</v>
      </c>
      <c r="E46" s="125">
        <v>1257</v>
      </c>
      <c r="F46" s="125">
        <v>1932</v>
      </c>
    </row>
    <row r="47" spans="1:6" ht="14.25" x14ac:dyDescent="0.2">
      <c r="A47" s="65" t="s">
        <v>29</v>
      </c>
      <c r="B47" s="62">
        <v>8025</v>
      </c>
      <c r="C47" s="63" t="s">
        <v>16</v>
      </c>
      <c r="D47" s="126">
        <v>5.6666666666666643</v>
      </c>
      <c r="E47" s="126">
        <v>7.8305489260142895</v>
      </c>
      <c r="F47" s="126">
        <v>7.075569358178055</v>
      </c>
    </row>
    <row r="48" spans="1:6" ht="14.25" x14ac:dyDescent="0.2">
      <c r="A48" s="65" t="s">
        <v>29</v>
      </c>
      <c r="B48" s="62">
        <v>8025</v>
      </c>
      <c r="C48" s="63" t="s">
        <v>17</v>
      </c>
      <c r="D48" s="126">
        <v>5.6933333333333325</v>
      </c>
      <c r="E48" s="126">
        <v>8.6324582338902314</v>
      </c>
      <c r="F48" s="126">
        <v>7.6614906832297986</v>
      </c>
    </row>
    <row r="49" spans="1:6" ht="14.25" x14ac:dyDescent="0.2">
      <c r="A49" s="65" t="s">
        <v>29</v>
      </c>
      <c r="B49" s="62">
        <v>8025</v>
      </c>
      <c r="C49" s="63" t="s">
        <v>18</v>
      </c>
      <c r="D49" s="123">
        <v>620.36928888888883</v>
      </c>
      <c r="E49" s="123">
        <v>898.07575178997615</v>
      </c>
      <c r="F49" s="123">
        <v>675.68995859213248</v>
      </c>
    </row>
    <row r="50" spans="1:6" ht="14.25" x14ac:dyDescent="0.2">
      <c r="A50" s="65" t="s">
        <v>29</v>
      </c>
      <c r="B50" s="62">
        <v>8025</v>
      </c>
      <c r="C50" s="63" t="s">
        <v>19</v>
      </c>
      <c r="D50" s="123">
        <v>21.242000000000001</v>
      </c>
      <c r="E50" s="123">
        <v>61.157120127287193</v>
      </c>
      <c r="F50" s="123">
        <v>27.488871635610767</v>
      </c>
    </row>
    <row r="51" spans="1:6" ht="14.25" x14ac:dyDescent="0.2">
      <c r="A51" s="65" t="s">
        <v>29</v>
      </c>
      <c r="B51" s="62">
        <v>8025</v>
      </c>
      <c r="C51" s="63" t="s">
        <v>20</v>
      </c>
      <c r="D51" s="124">
        <v>599.12728888888887</v>
      </c>
      <c r="E51" s="124">
        <v>836.91863166268899</v>
      </c>
      <c r="F51" s="124">
        <v>648.20108695652175</v>
      </c>
    </row>
    <row r="52" spans="1:6" ht="14.25" x14ac:dyDescent="0.2">
      <c r="A52" s="65" t="s">
        <v>29</v>
      </c>
      <c r="B52" s="62">
        <v>8025</v>
      </c>
      <c r="C52" s="63" t="s">
        <v>21</v>
      </c>
      <c r="D52" s="123">
        <v>2.5555555555555554</v>
      </c>
      <c r="E52" s="123">
        <v>10.628480509148767</v>
      </c>
      <c r="F52" s="123">
        <v>6.8219461697722563</v>
      </c>
    </row>
    <row r="53" spans="1:6" ht="14.25" x14ac:dyDescent="0.2">
      <c r="A53" s="65" t="s">
        <v>29</v>
      </c>
      <c r="B53" s="62">
        <v>8025</v>
      </c>
      <c r="C53" s="63" t="s">
        <v>22</v>
      </c>
      <c r="D53" s="123">
        <v>601.68284444444441</v>
      </c>
      <c r="E53" s="123">
        <v>847.54711217183774</v>
      </c>
      <c r="F53" s="123">
        <v>655.02303312629397</v>
      </c>
    </row>
    <row r="54" spans="1:6" ht="14.25" x14ac:dyDescent="0.2">
      <c r="A54" s="65" t="s">
        <v>29</v>
      </c>
      <c r="B54" s="62">
        <v>8025</v>
      </c>
      <c r="C54" s="63" t="s">
        <v>23</v>
      </c>
      <c r="D54" s="123">
        <v>19.733333333333334</v>
      </c>
      <c r="E54" s="123">
        <v>18.124105011933175</v>
      </c>
      <c r="F54" s="123">
        <v>10.341614906832298</v>
      </c>
    </row>
    <row r="55" spans="1:6" ht="14.25" x14ac:dyDescent="0.2">
      <c r="A55" s="65" t="s">
        <v>29</v>
      </c>
      <c r="B55" s="62">
        <v>8025</v>
      </c>
      <c r="C55" s="63" t="s">
        <v>24</v>
      </c>
      <c r="D55" s="123">
        <v>621.41617777777776</v>
      </c>
      <c r="E55" s="123">
        <v>865.67121718377086</v>
      </c>
      <c r="F55" s="123">
        <v>665.36464803312629</v>
      </c>
    </row>
    <row r="56" spans="1:6" ht="14.25" x14ac:dyDescent="0.2">
      <c r="A56" s="65" t="s">
        <v>29</v>
      </c>
      <c r="B56" s="62">
        <v>8025</v>
      </c>
      <c r="C56" s="63" t="s">
        <v>25</v>
      </c>
      <c r="D56" s="124">
        <v>105.23313036690087</v>
      </c>
      <c r="E56" s="124">
        <v>96.950209197308823</v>
      </c>
      <c r="F56" s="124">
        <v>84.605087150385245</v>
      </c>
    </row>
    <row r="57" spans="1:6" ht="14.25" x14ac:dyDescent="0.2">
      <c r="A57" s="65" t="s">
        <v>29</v>
      </c>
      <c r="B57" s="62">
        <v>8025</v>
      </c>
      <c r="C57" s="63" t="s">
        <v>26</v>
      </c>
      <c r="D57" s="127">
        <v>3.4240895512486505E-2</v>
      </c>
      <c r="E57" s="127">
        <v>6.8097952767785436E-2</v>
      </c>
      <c r="F57" s="127">
        <v>4.0682670041281323E-2</v>
      </c>
    </row>
    <row r="58" spans="1:6" ht="14.25" x14ac:dyDescent="0.2">
      <c r="A58" s="65" t="s">
        <v>29</v>
      </c>
      <c r="B58" s="62">
        <v>8025</v>
      </c>
      <c r="C58" s="63" t="s">
        <v>27</v>
      </c>
      <c r="D58" s="127">
        <v>3.410042188788389E-2</v>
      </c>
      <c r="E58" s="127">
        <v>6.7301458443252471E-2</v>
      </c>
      <c r="F58" s="127">
        <v>4.027603246744875E-2</v>
      </c>
    </row>
    <row r="59" spans="1:6" ht="14.25" x14ac:dyDescent="0.2">
      <c r="A59" s="65" t="s">
        <v>29</v>
      </c>
      <c r="B59" s="62">
        <v>8025</v>
      </c>
      <c r="C59" s="63" t="s">
        <v>28</v>
      </c>
      <c r="D59" s="125">
        <v>225</v>
      </c>
      <c r="E59" s="125">
        <v>1257</v>
      </c>
      <c r="F59" s="125">
        <v>1932</v>
      </c>
    </row>
    <row r="60" spans="1:6" ht="14.25" x14ac:dyDescent="0.2">
      <c r="A60" s="65" t="s">
        <v>38</v>
      </c>
      <c r="B60" s="62">
        <v>8026</v>
      </c>
      <c r="C60" s="63" t="s">
        <v>0</v>
      </c>
      <c r="D60" s="123">
        <v>64099.7</v>
      </c>
      <c r="E60" s="123">
        <v>756965</v>
      </c>
      <c r="F60" s="123">
        <v>636534</v>
      </c>
    </row>
    <row r="61" spans="1:6" ht="14.25" x14ac:dyDescent="0.2">
      <c r="A61" s="64" t="s">
        <v>38</v>
      </c>
      <c r="B61" s="62">
        <v>8026</v>
      </c>
      <c r="C61" s="63" t="s">
        <v>1</v>
      </c>
      <c r="D61" s="123">
        <v>9533.6</v>
      </c>
      <c r="E61" s="123">
        <v>37604</v>
      </c>
      <c r="F61" s="123">
        <v>47177</v>
      </c>
    </row>
    <row r="62" spans="1:6" ht="14.25" x14ac:dyDescent="0.2">
      <c r="A62" s="64" t="s">
        <v>38</v>
      </c>
      <c r="B62" s="62">
        <v>8026</v>
      </c>
      <c r="C62" s="63" t="s">
        <v>2</v>
      </c>
      <c r="D62" s="123">
        <v>54566.1</v>
      </c>
      <c r="E62" s="123">
        <v>719361</v>
      </c>
      <c r="F62" s="123">
        <v>589357</v>
      </c>
    </row>
    <row r="63" spans="1:6" ht="14.25" x14ac:dyDescent="0.2">
      <c r="A63" s="64" t="s">
        <v>38</v>
      </c>
      <c r="B63" s="62">
        <v>8026</v>
      </c>
      <c r="C63" s="63" t="s">
        <v>3</v>
      </c>
      <c r="D63" s="123">
        <v>500</v>
      </c>
      <c r="E63" s="123">
        <v>1795</v>
      </c>
      <c r="F63" s="123">
        <v>590</v>
      </c>
    </row>
    <row r="64" spans="1:6" ht="14.25" x14ac:dyDescent="0.2">
      <c r="A64" s="64" t="s">
        <v>38</v>
      </c>
      <c r="B64" s="62">
        <v>8026</v>
      </c>
      <c r="C64" s="63" t="s">
        <v>4</v>
      </c>
      <c r="D64" s="123">
        <v>55066.1</v>
      </c>
      <c r="E64" s="123">
        <v>721156</v>
      </c>
      <c r="F64" s="123">
        <v>589947</v>
      </c>
    </row>
    <row r="65" spans="1:6" ht="14.25" x14ac:dyDescent="0.2">
      <c r="A65" s="64" t="s">
        <v>38</v>
      </c>
      <c r="B65" s="62">
        <v>8026</v>
      </c>
      <c r="C65" s="63" t="s">
        <v>5</v>
      </c>
      <c r="D65" s="123">
        <v>630</v>
      </c>
      <c r="E65" s="123">
        <v>3630</v>
      </c>
      <c r="F65" s="123">
        <v>2970</v>
      </c>
    </row>
    <row r="66" spans="1:6" ht="14.25" x14ac:dyDescent="0.2">
      <c r="A66" s="64" t="s">
        <v>38</v>
      </c>
      <c r="B66" s="62">
        <v>8026</v>
      </c>
      <c r="C66" s="63" t="s">
        <v>6</v>
      </c>
      <c r="D66" s="123">
        <v>55696.1</v>
      </c>
      <c r="E66" s="123">
        <v>724786</v>
      </c>
      <c r="F66" s="123">
        <v>592917</v>
      </c>
    </row>
    <row r="67" spans="1:6" ht="14.25" x14ac:dyDescent="0.2">
      <c r="A67" s="64" t="s">
        <v>38</v>
      </c>
      <c r="B67" s="62">
        <v>8026</v>
      </c>
      <c r="C67" s="63" t="s">
        <v>7</v>
      </c>
      <c r="D67" s="124">
        <v>4401.9113440000001</v>
      </c>
      <c r="E67" s="124">
        <v>91006.15080399999</v>
      </c>
      <c r="F67" s="124">
        <v>72330.78747999997</v>
      </c>
    </row>
    <row r="68" spans="1:6" ht="14.25" x14ac:dyDescent="0.2">
      <c r="A68" s="64" t="s">
        <v>38</v>
      </c>
      <c r="B68" s="62">
        <v>8026</v>
      </c>
      <c r="C68" s="63" t="s">
        <v>8</v>
      </c>
      <c r="D68" s="124">
        <v>3480.9700000000003</v>
      </c>
      <c r="E68" s="124">
        <v>35520.92</v>
      </c>
      <c r="F68" s="124">
        <v>23641.98</v>
      </c>
    </row>
    <row r="69" spans="1:6" ht="14.25" x14ac:dyDescent="0.2">
      <c r="A69" s="64" t="s">
        <v>38</v>
      </c>
      <c r="B69" s="62">
        <v>8026</v>
      </c>
      <c r="C69" s="63" t="s">
        <v>9</v>
      </c>
      <c r="D69" s="124">
        <v>1294.6000000000001</v>
      </c>
      <c r="E69" s="124">
        <v>151266.40000000002</v>
      </c>
      <c r="F69" s="124">
        <v>133131.54</v>
      </c>
    </row>
    <row r="70" spans="1:6" ht="14.25" x14ac:dyDescent="0.2">
      <c r="A70" s="64" t="s">
        <v>38</v>
      </c>
      <c r="B70" s="62">
        <v>8026</v>
      </c>
      <c r="C70" s="63" t="s">
        <v>10</v>
      </c>
      <c r="D70" s="124">
        <v>0</v>
      </c>
      <c r="E70" s="124">
        <v>116246.63</v>
      </c>
      <c r="F70" s="124">
        <v>112550</v>
      </c>
    </row>
    <row r="71" spans="1:6" ht="14.25" x14ac:dyDescent="0.2">
      <c r="A71" s="64" t="s">
        <v>38</v>
      </c>
      <c r="B71" s="62">
        <v>8026</v>
      </c>
      <c r="C71" s="63" t="s">
        <v>11</v>
      </c>
      <c r="D71" s="124"/>
      <c r="E71" s="124">
        <v>17552.067667200001</v>
      </c>
      <c r="F71" s="124">
        <v>9506.0536280000015</v>
      </c>
    </row>
    <row r="72" spans="1:6" ht="14.25" x14ac:dyDescent="0.2">
      <c r="A72" s="64" t="s">
        <v>38</v>
      </c>
      <c r="B72" s="62">
        <v>8026</v>
      </c>
      <c r="C72" s="63" t="s">
        <v>12</v>
      </c>
      <c r="D72" s="124">
        <v>2779</v>
      </c>
      <c r="E72" s="124">
        <v>26258</v>
      </c>
      <c r="F72" s="124">
        <v>22316</v>
      </c>
    </row>
    <row r="73" spans="1:6" ht="14.25" x14ac:dyDescent="0.2">
      <c r="A73" s="64" t="s">
        <v>38</v>
      </c>
      <c r="B73" s="62">
        <v>8026</v>
      </c>
      <c r="C73" s="63" t="s">
        <v>13</v>
      </c>
      <c r="D73" s="125">
        <v>147.00000000000014</v>
      </c>
      <c r="E73" s="125">
        <v>1255.0000000000025</v>
      </c>
      <c r="F73" s="125">
        <v>1002.0000000000033</v>
      </c>
    </row>
    <row r="74" spans="1:6" ht="14.25" x14ac:dyDescent="0.2">
      <c r="A74" s="64" t="s">
        <v>38</v>
      </c>
      <c r="B74" s="62">
        <v>8026</v>
      </c>
      <c r="C74" s="63" t="s">
        <v>14</v>
      </c>
      <c r="D74" s="125">
        <v>148.00000000000014</v>
      </c>
      <c r="E74" s="125">
        <v>1467.9999999999986</v>
      </c>
      <c r="F74" s="125">
        <v>1152.0000000000043</v>
      </c>
    </row>
    <row r="75" spans="1:6" ht="14.25" x14ac:dyDescent="0.2">
      <c r="A75" s="64" t="s">
        <v>38</v>
      </c>
      <c r="B75" s="62">
        <v>8026</v>
      </c>
      <c r="C75" s="63" t="s">
        <v>15</v>
      </c>
      <c r="D75" s="125">
        <v>31</v>
      </c>
      <c r="E75" s="125">
        <v>122</v>
      </c>
      <c r="F75" s="125">
        <v>99</v>
      </c>
    </row>
    <row r="76" spans="1:6" ht="14.25" x14ac:dyDescent="0.2">
      <c r="A76" s="64" t="s">
        <v>38</v>
      </c>
      <c r="B76" s="62">
        <v>8026</v>
      </c>
      <c r="C76" s="63" t="s">
        <v>16</v>
      </c>
      <c r="D76" s="126">
        <v>4.7419354838709724</v>
      </c>
      <c r="E76" s="126">
        <v>10.28688524590166</v>
      </c>
      <c r="F76" s="126">
        <v>10.121212121212155</v>
      </c>
    </row>
    <row r="77" spans="1:6" ht="14.25" x14ac:dyDescent="0.2">
      <c r="A77" s="64" t="s">
        <v>38</v>
      </c>
      <c r="B77" s="62">
        <v>8026</v>
      </c>
      <c r="C77" s="63" t="s">
        <v>17</v>
      </c>
      <c r="D77" s="126">
        <v>4.7741935483871014</v>
      </c>
      <c r="E77" s="126">
        <v>12.032786885245891</v>
      </c>
      <c r="F77" s="126">
        <v>11.636363636363679</v>
      </c>
    </row>
    <row r="78" spans="1:6" ht="14.25" x14ac:dyDescent="0.2">
      <c r="A78" s="64" t="s">
        <v>38</v>
      </c>
      <c r="B78" s="62">
        <v>8026</v>
      </c>
      <c r="C78" s="63" t="s">
        <v>18</v>
      </c>
      <c r="D78" s="123">
        <v>2067.7322580645159</v>
      </c>
      <c r="E78" s="123">
        <v>6204.6311475409839</v>
      </c>
      <c r="F78" s="123">
        <v>6429.636363636364</v>
      </c>
    </row>
    <row r="79" spans="1:6" ht="14.25" x14ac:dyDescent="0.2">
      <c r="A79" s="64" t="s">
        <v>38</v>
      </c>
      <c r="B79" s="62">
        <v>8026</v>
      </c>
      <c r="C79" s="63" t="s">
        <v>19</v>
      </c>
      <c r="D79" s="123">
        <v>307.53548387096777</v>
      </c>
      <c r="E79" s="123">
        <v>308.22950819672133</v>
      </c>
      <c r="F79" s="123">
        <v>476.53535353535352</v>
      </c>
    </row>
    <row r="80" spans="1:6" ht="14.25" x14ac:dyDescent="0.2">
      <c r="A80" s="64" t="s">
        <v>38</v>
      </c>
      <c r="B80" s="62">
        <v>8026</v>
      </c>
      <c r="C80" s="63" t="s">
        <v>20</v>
      </c>
      <c r="D80" s="124">
        <v>1760.1967741935482</v>
      </c>
      <c r="E80" s="124">
        <v>5896.4016393442625</v>
      </c>
      <c r="F80" s="124">
        <v>5953.1010101010106</v>
      </c>
    </row>
    <row r="81" spans="1:6" ht="14.25" x14ac:dyDescent="0.2">
      <c r="A81" s="64" t="s">
        <v>38</v>
      </c>
      <c r="B81" s="62">
        <v>8026</v>
      </c>
      <c r="C81" s="63" t="s">
        <v>21</v>
      </c>
      <c r="D81" s="123">
        <v>16.129032258064516</v>
      </c>
      <c r="E81" s="123">
        <v>14.71311475409836</v>
      </c>
      <c r="F81" s="123">
        <v>5.9595959595959593</v>
      </c>
    </row>
    <row r="82" spans="1:6" ht="14.25" x14ac:dyDescent="0.2">
      <c r="A82" s="64" t="s">
        <v>38</v>
      </c>
      <c r="B82" s="62">
        <v>8026</v>
      </c>
      <c r="C82" s="63" t="s">
        <v>22</v>
      </c>
      <c r="D82" s="123">
        <v>1776.3258064516128</v>
      </c>
      <c r="E82" s="123">
        <v>5911.1147540983611</v>
      </c>
      <c r="F82" s="123">
        <v>5959.0606060606069</v>
      </c>
    </row>
    <row r="83" spans="1:6" ht="14.25" x14ac:dyDescent="0.2">
      <c r="A83" s="64" t="s">
        <v>38</v>
      </c>
      <c r="B83" s="62">
        <v>8026</v>
      </c>
      <c r="C83" s="63" t="s">
        <v>23</v>
      </c>
      <c r="D83" s="123">
        <v>20.322580645161292</v>
      </c>
      <c r="E83" s="123">
        <v>29.754098360655739</v>
      </c>
      <c r="F83" s="123">
        <v>30</v>
      </c>
    </row>
    <row r="84" spans="1:6" ht="14.25" x14ac:dyDescent="0.2">
      <c r="A84" s="64" t="s">
        <v>38</v>
      </c>
      <c r="B84" s="62">
        <v>8026</v>
      </c>
      <c r="C84" s="63" t="s">
        <v>24</v>
      </c>
      <c r="D84" s="123">
        <v>1796.6483870967741</v>
      </c>
      <c r="E84" s="123">
        <v>5940.8688524590161</v>
      </c>
      <c r="F84" s="123">
        <v>5989.060606060606</v>
      </c>
    </row>
    <row r="85" spans="1:6" ht="14.25" x14ac:dyDescent="0.2">
      <c r="A85" s="64" t="s">
        <v>38</v>
      </c>
      <c r="B85" s="62">
        <v>8026</v>
      </c>
      <c r="C85" s="63" t="s">
        <v>25</v>
      </c>
      <c r="D85" s="124">
        <v>368.68986486486449</v>
      </c>
      <c r="E85" s="124">
        <v>490.02792915531381</v>
      </c>
      <c r="F85" s="124">
        <v>511.59461805555361</v>
      </c>
    </row>
    <row r="86" spans="1:6" ht="14.25" x14ac:dyDescent="0.2">
      <c r="A86" s="64" t="s">
        <v>38</v>
      </c>
      <c r="B86" s="62">
        <v>8026</v>
      </c>
      <c r="C86" s="63" t="s">
        <v>26</v>
      </c>
      <c r="D86" s="127">
        <v>0.14873080529238047</v>
      </c>
      <c r="E86" s="127">
        <v>4.9677329863335819E-2</v>
      </c>
      <c r="F86" s="127">
        <v>7.4115443951147941E-2</v>
      </c>
    </row>
    <row r="87" spans="1:6" ht="14.25" x14ac:dyDescent="0.2">
      <c r="A87" s="64" t="s">
        <v>38</v>
      </c>
      <c r="B87" s="62">
        <v>8026</v>
      </c>
      <c r="C87" s="63" t="s">
        <v>27</v>
      </c>
      <c r="D87" s="127">
        <v>0.1475796327227526</v>
      </c>
      <c r="E87" s="127">
        <v>4.9559808107965626E-2</v>
      </c>
      <c r="F87" s="127">
        <v>7.4046810354028408E-2</v>
      </c>
    </row>
    <row r="88" spans="1:6" ht="14.25" x14ac:dyDescent="0.2">
      <c r="A88" s="64" t="s">
        <v>38</v>
      </c>
      <c r="B88" s="62">
        <v>8026</v>
      </c>
      <c r="C88" s="63" t="s">
        <v>28</v>
      </c>
      <c r="D88" s="125">
        <v>31</v>
      </c>
      <c r="E88" s="125">
        <v>122</v>
      </c>
      <c r="F88" s="125">
        <v>99</v>
      </c>
    </row>
    <row r="89" spans="1:6" ht="14.25" x14ac:dyDescent="0.2">
      <c r="A89" s="65" t="s">
        <v>34</v>
      </c>
      <c r="B89" s="62">
        <v>8030</v>
      </c>
      <c r="C89" s="63" t="s">
        <v>0</v>
      </c>
      <c r="D89" s="123">
        <v>36633.100000000006</v>
      </c>
      <c r="E89" s="123">
        <v>768504</v>
      </c>
      <c r="F89" s="123">
        <v>762272</v>
      </c>
    </row>
    <row r="90" spans="1:6" ht="14.25" x14ac:dyDescent="0.2">
      <c r="A90" s="64" t="s">
        <v>34</v>
      </c>
      <c r="B90" s="62">
        <v>8030</v>
      </c>
      <c r="C90" s="63" t="s">
        <v>1</v>
      </c>
      <c r="D90" s="123">
        <v>3414.95</v>
      </c>
      <c r="E90" s="123">
        <v>395466.20999999996</v>
      </c>
      <c r="F90" s="123">
        <v>374766.20999999996</v>
      </c>
    </row>
    <row r="91" spans="1:6" ht="14.25" x14ac:dyDescent="0.2">
      <c r="A91" s="64" t="s">
        <v>34</v>
      </c>
      <c r="B91" s="62">
        <v>8030</v>
      </c>
      <c r="C91" s="63" t="s">
        <v>2</v>
      </c>
      <c r="D91" s="123">
        <v>33218.150000000009</v>
      </c>
      <c r="E91" s="123">
        <v>373037.79000000004</v>
      </c>
      <c r="F91" s="123">
        <v>387505.79000000004</v>
      </c>
    </row>
    <row r="92" spans="1:6" ht="14.25" x14ac:dyDescent="0.2">
      <c r="A92" s="64" t="s">
        <v>34</v>
      </c>
      <c r="B92" s="62">
        <v>8030</v>
      </c>
      <c r="C92" s="63" t="s">
        <v>3</v>
      </c>
      <c r="D92" s="123">
        <v>30643</v>
      </c>
      <c r="E92" s="123">
        <v>1646917</v>
      </c>
      <c r="F92" s="123">
        <v>1630139</v>
      </c>
    </row>
    <row r="93" spans="1:6" ht="14.25" x14ac:dyDescent="0.2">
      <c r="A93" s="64" t="s">
        <v>34</v>
      </c>
      <c r="B93" s="62">
        <v>8030</v>
      </c>
      <c r="C93" s="63" t="s">
        <v>4</v>
      </c>
      <c r="D93" s="123">
        <v>63861.150000000009</v>
      </c>
      <c r="E93" s="123">
        <v>2019954.79</v>
      </c>
      <c r="F93" s="123">
        <v>2017644.79</v>
      </c>
    </row>
    <row r="94" spans="1:6" ht="14.25" x14ac:dyDescent="0.2">
      <c r="A94" s="64" t="s">
        <v>34</v>
      </c>
      <c r="B94" s="62">
        <v>8030</v>
      </c>
      <c r="C94" s="63" t="s">
        <v>5</v>
      </c>
      <c r="D94" s="123">
        <v>840</v>
      </c>
      <c r="E94" s="123">
        <v>6090</v>
      </c>
      <c r="F94" s="123">
        <v>6090</v>
      </c>
    </row>
    <row r="95" spans="1:6" ht="14.25" x14ac:dyDescent="0.2">
      <c r="A95" s="64" t="s">
        <v>34</v>
      </c>
      <c r="B95" s="62">
        <v>8030</v>
      </c>
      <c r="C95" s="63" t="s">
        <v>6</v>
      </c>
      <c r="D95" s="123">
        <v>64701.150000000009</v>
      </c>
      <c r="E95" s="123">
        <v>2026044.79</v>
      </c>
      <c r="F95" s="123">
        <v>2023734.79</v>
      </c>
    </row>
    <row r="96" spans="1:6" ht="14.25" x14ac:dyDescent="0.2">
      <c r="A96" s="64" t="s">
        <v>34</v>
      </c>
      <c r="B96" s="62">
        <v>8030</v>
      </c>
      <c r="C96" s="63" t="s">
        <v>7</v>
      </c>
      <c r="D96" s="124">
        <v>9840.8196549999993</v>
      </c>
      <c r="E96" s="124">
        <v>234270.35193199996</v>
      </c>
      <c r="F96" s="124">
        <v>246462.67561599999</v>
      </c>
    </row>
    <row r="97" spans="1:6" ht="14.25" x14ac:dyDescent="0.2">
      <c r="A97" s="64" t="s">
        <v>34</v>
      </c>
      <c r="B97" s="62">
        <v>8030</v>
      </c>
      <c r="C97" s="63" t="s">
        <v>8</v>
      </c>
      <c r="D97" s="124">
        <v>49930.25</v>
      </c>
      <c r="E97" s="124">
        <v>4921.8500000000004</v>
      </c>
      <c r="F97" s="124">
        <v>5579.75</v>
      </c>
    </row>
    <row r="98" spans="1:6" ht="14.25" x14ac:dyDescent="0.2">
      <c r="A98" s="64" t="s">
        <v>34</v>
      </c>
      <c r="B98" s="62">
        <v>8030</v>
      </c>
      <c r="C98" s="63" t="s">
        <v>9</v>
      </c>
      <c r="D98" s="124">
        <v>9238</v>
      </c>
      <c r="E98" s="124">
        <v>56921.96</v>
      </c>
      <c r="F98" s="124">
        <v>34801.68</v>
      </c>
    </row>
    <row r="99" spans="1:6" ht="14.25" x14ac:dyDescent="0.2">
      <c r="A99" s="64" t="s">
        <v>34</v>
      </c>
      <c r="B99" s="62">
        <v>8030</v>
      </c>
      <c r="C99" s="63" t="s">
        <v>10</v>
      </c>
      <c r="D99" s="124">
        <v>0</v>
      </c>
      <c r="E99" s="124">
        <v>0</v>
      </c>
      <c r="F99" s="124">
        <v>0</v>
      </c>
    </row>
    <row r="100" spans="1:6" ht="14.25" x14ac:dyDescent="0.2">
      <c r="A100" s="64" t="s">
        <v>34</v>
      </c>
      <c r="B100" s="62">
        <v>8030</v>
      </c>
      <c r="C100" s="63" t="s">
        <v>11</v>
      </c>
      <c r="D100" s="124"/>
      <c r="E100" s="124">
        <v>1823.5939968</v>
      </c>
      <c r="F100" s="124">
        <v>11793.726628000002</v>
      </c>
    </row>
    <row r="101" spans="1:6" ht="14.25" x14ac:dyDescent="0.2">
      <c r="A101" s="64" t="s">
        <v>34</v>
      </c>
      <c r="B101" s="62">
        <v>8030</v>
      </c>
      <c r="C101" s="63" t="s">
        <v>12</v>
      </c>
      <c r="D101" s="124">
        <v>1927</v>
      </c>
      <c r="E101" s="124">
        <v>14855</v>
      </c>
      <c r="F101" s="124">
        <v>14865</v>
      </c>
    </row>
    <row r="102" spans="1:6" ht="14.25" x14ac:dyDescent="0.2">
      <c r="A102" s="64" t="s">
        <v>34</v>
      </c>
      <c r="B102" s="62">
        <v>8030</v>
      </c>
      <c r="C102" s="63" t="s">
        <v>13</v>
      </c>
      <c r="D102" s="125">
        <v>177.99999999999994</v>
      </c>
      <c r="E102" s="125">
        <v>2352.9999999999923</v>
      </c>
      <c r="F102" s="125">
        <v>2334.9999999999945</v>
      </c>
    </row>
    <row r="103" spans="1:6" ht="14.25" x14ac:dyDescent="0.2">
      <c r="A103" s="64" t="s">
        <v>34</v>
      </c>
      <c r="B103" s="62">
        <v>8030</v>
      </c>
      <c r="C103" s="63" t="s">
        <v>14</v>
      </c>
      <c r="D103" s="125">
        <v>177.99999999999994</v>
      </c>
      <c r="E103" s="125">
        <v>3031.0000000000095</v>
      </c>
      <c r="F103" s="125">
        <v>2952.0000000000041</v>
      </c>
    </row>
    <row r="104" spans="1:6" ht="14.25" x14ac:dyDescent="0.2">
      <c r="A104" s="64" t="s">
        <v>34</v>
      </c>
      <c r="B104" s="62">
        <v>8030</v>
      </c>
      <c r="C104" s="63" t="s">
        <v>15</v>
      </c>
      <c r="D104" s="125">
        <v>29</v>
      </c>
      <c r="E104" s="125">
        <v>197</v>
      </c>
      <c r="F104" s="125">
        <v>195</v>
      </c>
    </row>
    <row r="105" spans="1:6" ht="14.25" x14ac:dyDescent="0.2">
      <c r="A105" s="64" t="s">
        <v>34</v>
      </c>
      <c r="B105" s="62">
        <v>8030</v>
      </c>
      <c r="C105" s="63" t="s">
        <v>16</v>
      </c>
      <c r="D105" s="126">
        <v>6.1379310344827562</v>
      </c>
      <c r="E105" s="126">
        <v>11.944162436548185</v>
      </c>
      <c r="F105" s="126">
        <v>11.974358974358946</v>
      </c>
    </row>
    <row r="106" spans="1:6" ht="14.25" x14ac:dyDescent="0.2">
      <c r="A106" s="64" t="s">
        <v>34</v>
      </c>
      <c r="B106" s="62">
        <v>8030</v>
      </c>
      <c r="C106" s="63" t="s">
        <v>17</v>
      </c>
      <c r="D106" s="126">
        <v>6.1379310344827562</v>
      </c>
      <c r="E106" s="126">
        <v>15.385786802030506</v>
      </c>
      <c r="F106" s="126">
        <v>15.138461538461559</v>
      </c>
    </row>
    <row r="107" spans="1:6" ht="14.25" x14ac:dyDescent="0.2">
      <c r="A107" s="64" t="s">
        <v>34</v>
      </c>
      <c r="B107" s="62">
        <v>8030</v>
      </c>
      <c r="C107" s="63" t="s">
        <v>18</v>
      </c>
      <c r="D107" s="123">
        <v>1263.2103448275864</v>
      </c>
      <c r="E107" s="123">
        <v>3901.0355329949239</v>
      </c>
      <c r="F107" s="123">
        <v>3909.0871794871796</v>
      </c>
    </row>
    <row r="108" spans="1:6" ht="14.25" x14ac:dyDescent="0.2">
      <c r="A108" s="64" t="s">
        <v>34</v>
      </c>
      <c r="B108" s="62">
        <v>8030</v>
      </c>
      <c r="C108" s="63" t="s">
        <v>19</v>
      </c>
      <c r="D108" s="123">
        <v>117.75689655172413</v>
      </c>
      <c r="E108" s="123">
        <v>2007.4426903553297</v>
      </c>
      <c r="F108" s="123">
        <v>1921.8779999999997</v>
      </c>
    </row>
    <row r="109" spans="1:6" ht="14.25" x14ac:dyDescent="0.2">
      <c r="A109" s="64" t="s">
        <v>34</v>
      </c>
      <c r="B109" s="62">
        <v>8030</v>
      </c>
      <c r="C109" s="63" t="s">
        <v>20</v>
      </c>
      <c r="D109" s="124">
        <v>1145.4534482758622</v>
      </c>
      <c r="E109" s="124">
        <v>1893.5928426395942</v>
      </c>
      <c r="F109" s="124">
        <v>1987.2091794871799</v>
      </c>
    </row>
    <row r="110" spans="1:6" ht="14.25" x14ac:dyDescent="0.2">
      <c r="A110" s="64" t="s">
        <v>34</v>
      </c>
      <c r="B110" s="62">
        <v>8030</v>
      </c>
      <c r="C110" s="63" t="s">
        <v>21</v>
      </c>
      <c r="D110" s="123">
        <v>1056.655172413793</v>
      </c>
      <c r="E110" s="123">
        <v>8359.9847715736032</v>
      </c>
      <c r="F110" s="123">
        <v>8359.6871794871786</v>
      </c>
    </row>
    <row r="111" spans="1:6" ht="14.25" x14ac:dyDescent="0.2">
      <c r="A111" s="64" t="s">
        <v>34</v>
      </c>
      <c r="B111" s="62">
        <v>8030</v>
      </c>
      <c r="C111" s="63" t="s">
        <v>22</v>
      </c>
      <c r="D111" s="123">
        <v>2202.1086206896553</v>
      </c>
      <c r="E111" s="123">
        <v>10253.577614213198</v>
      </c>
      <c r="F111" s="123">
        <v>10346.896358974358</v>
      </c>
    </row>
    <row r="112" spans="1:6" ht="14.25" x14ac:dyDescent="0.2">
      <c r="A112" s="64" t="s">
        <v>34</v>
      </c>
      <c r="B112" s="62">
        <v>8030</v>
      </c>
      <c r="C112" s="63" t="s">
        <v>23</v>
      </c>
      <c r="D112" s="123">
        <v>28.96551724137931</v>
      </c>
      <c r="E112" s="123">
        <v>30.913705583756347</v>
      </c>
      <c r="F112" s="123">
        <v>31.23076923076923</v>
      </c>
    </row>
    <row r="113" spans="1:6" ht="14.25" x14ac:dyDescent="0.2">
      <c r="A113" s="64" t="s">
        <v>34</v>
      </c>
      <c r="B113" s="62">
        <v>8030</v>
      </c>
      <c r="C113" s="63" t="s">
        <v>24</v>
      </c>
      <c r="D113" s="123">
        <v>2231.0741379310348</v>
      </c>
      <c r="E113" s="123">
        <v>10284.491319796954</v>
      </c>
      <c r="F113" s="123">
        <v>10378.127128205128</v>
      </c>
    </row>
    <row r="114" spans="1:6" ht="14.25" x14ac:dyDescent="0.2">
      <c r="A114" s="64" t="s">
        <v>34</v>
      </c>
      <c r="B114" s="62">
        <v>8030</v>
      </c>
      <c r="C114" s="63" t="s">
        <v>25</v>
      </c>
      <c r="D114" s="124">
        <v>186.6188202247192</v>
      </c>
      <c r="E114" s="124">
        <v>123.07416364236188</v>
      </c>
      <c r="F114" s="124">
        <v>131.26889905149034</v>
      </c>
    </row>
    <row r="115" spans="1:6" ht="14.25" x14ac:dyDescent="0.2">
      <c r="A115" s="64" t="s">
        <v>34</v>
      </c>
      <c r="B115" s="62">
        <v>8030</v>
      </c>
      <c r="C115" s="63" t="s">
        <v>26</v>
      </c>
      <c r="D115" s="127">
        <v>9.3220338983050821E-2</v>
      </c>
      <c r="E115" s="127">
        <v>0.51459225976702783</v>
      </c>
      <c r="F115" s="127">
        <v>0.49164367837202466</v>
      </c>
    </row>
    <row r="116" spans="1:6" ht="14.25" x14ac:dyDescent="0.2">
      <c r="A116" s="64" t="s">
        <v>34</v>
      </c>
      <c r="B116" s="62">
        <v>8030</v>
      </c>
      <c r="C116" s="63" t="s">
        <v>27</v>
      </c>
      <c r="D116" s="127">
        <v>5.0760225399510368E-2</v>
      </c>
      <c r="E116" s="127">
        <v>0.16372558241399737</v>
      </c>
      <c r="F116" s="127">
        <v>0.15664792128108421</v>
      </c>
    </row>
    <row r="117" spans="1:6" ht="14.25" x14ac:dyDescent="0.2">
      <c r="A117" s="64" t="s">
        <v>34</v>
      </c>
      <c r="B117" s="62">
        <v>8030</v>
      </c>
      <c r="C117" s="63" t="s">
        <v>28</v>
      </c>
      <c r="D117" s="125">
        <v>29</v>
      </c>
      <c r="E117" s="125">
        <v>197</v>
      </c>
      <c r="F117" s="125">
        <v>195</v>
      </c>
    </row>
    <row r="118" spans="1:6" ht="14.25" x14ac:dyDescent="0.2">
      <c r="A118" s="65" t="s">
        <v>39</v>
      </c>
      <c r="B118" s="62">
        <v>8031</v>
      </c>
      <c r="C118" s="63" t="s">
        <v>0</v>
      </c>
      <c r="D118" s="123">
        <v>132061.4</v>
      </c>
      <c r="E118" s="123">
        <v>1297474</v>
      </c>
      <c r="F118" s="123">
        <v>1241160</v>
      </c>
    </row>
    <row r="119" spans="1:6" ht="14.25" x14ac:dyDescent="0.2">
      <c r="A119" s="64" t="s">
        <v>39</v>
      </c>
      <c r="B119" s="62">
        <v>8031</v>
      </c>
      <c r="C119" s="63" t="s">
        <v>1</v>
      </c>
      <c r="D119" s="123">
        <v>0</v>
      </c>
      <c r="E119" s="123">
        <v>260423.75</v>
      </c>
      <c r="F119" s="123">
        <v>248897.75</v>
      </c>
    </row>
    <row r="120" spans="1:6" ht="14.25" x14ac:dyDescent="0.2">
      <c r="A120" s="64" t="s">
        <v>39</v>
      </c>
      <c r="B120" s="62">
        <v>8031</v>
      </c>
      <c r="C120" s="63" t="s">
        <v>2</v>
      </c>
      <c r="D120" s="123">
        <v>132061.4</v>
      </c>
      <c r="E120" s="123">
        <v>1037050.25</v>
      </c>
      <c r="F120" s="123">
        <v>992262.25</v>
      </c>
    </row>
    <row r="121" spans="1:6" ht="14.25" x14ac:dyDescent="0.2">
      <c r="A121" s="64" t="s">
        <v>39</v>
      </c>
      <c r="B121" s="62">
        <v>8031</v>
      </c>
      <c r="C121" s="63" t="s">
        <v>3</v>
      </c>
      <c r="D121" s="123">
        <v>25873</v>
      </c>
      <c r="E121" s="123">
        <v>686370</v>
      </c>
      <c r="F121" s="123">
        <v>602332</v>
      </c>
    </row>
    <row r="122" spans="1:6" ht="14.25" x14ac:dyDescent="0.2">
      <c r="A122" s="64" t="s">
        <v>39</v>
      </c>
      <c r="B122" s="62">
        <v>8031</v>
      </c>
      <c r="C122" s="63" t="s">
        <v>4</v>
      </c>
      <c r="D122" s="123">
        <v>157934.39999999999</v>
      </c>
      <c r="E122" s="123">
        <v>1723420.25</v>
      </c>
      <c r="F122" s="123">
        <v>1594594.25</v>
      </c>
    </row>
    <row r="123" spans="1:6" ht="14.25" x14ac:dyDescent="0.2">
      <c r="A123" s="64" t="s">
        <v>39</v>
      </c>
      <c r="B123" s="62">
        <v>8031</v>
      </c>
      <c r="C123" s="63" t="s">
        <v>5</v>
      </c>
      <c r="D123" s="123">
        <v>510</v>
      </c>
      <c r="E123" s="123">
        <v>2580</v>
      </c>
      <c r="F123" s="123">
        <v>2310</v>
      </c>
    </row>
    <row r="124" spans="1:6" ht="14.25" x14ac:dyDescent="0.2">
      <c r="A124" s="64" t="s">
        <v>39</v>
      </c>
      <c r="B124" s="62">
        <v>8031</v>
      </c>
      <c r="C124" s="63" t="s">
        <v>6</v>
      </c>
      <c r="D124" s="123">
        <v>158444.4</v>
      </c>
      <c r="E124" s="123">
        <v>1726000.25</v>
      </c>
      <c r="F124" s="123">
        <v>1596904.25</v>
      </c>
    </row>
    <row r="125" spans="1:6" ht="14.25" x14ac:dyDescent="0.2">
      <c r="A125" s="64" t="s">
        <v>39</v>
      </c>
      <c r="B125" s="62">
        <v>8031</v>
      </c>
      <c r="C125" s="63" t="s">
        <v>7</v>
      </c>
      <c r="D125" s="124">
        <v>7163.9359749999985</v>
      </c>
      <c r="E125" s="124">
        <v>97876.710820000008</v>
      </c>
      <c r="F125" s="124">
        <v>91323.184011999983</v>
      </c>
    </row>
    <row r="126" spans="1:6" ht="14.25" x14ac:dyDescent="0.2">
      <c r="A126" s="64" t="s">
        <v>39</v>
      </c>
      <c r="B126" s="62">
        <v>8031</v>
      </c>
      <c r="C126" s="63" t="s">
        <v>8</v>
      </c>
      <c r="D126" s="124">
        <v>12670</v>
      </c>
      <c r="E126" s="124">
        <v>1694.75</v>
      </c>
      <c r="F126" s="124">
        <v>2944</v>
      </c>
    </row>
    <row r="127" spans="1:6" ht="14.25" x14ac:dyDescent="0.2">
      <c r="A127" s="64" t="s">
        <v>39</v>
      </c>
      <c r="B127" s="62">
        <v>8031</v>
      </c>
      <c r="C127" s="63" t="s">
        <v>9</v>
      </c>
      <c r="D127" s="124">
        <v>0</v>
      </c>
      <c r="E127" s="124">
        <v>8344</v>
      </c>
      <c r="F127" s="124">
        <v>7638</v>
      </c>
    </row>
    <row r="128" spans="1:6" ht="14.25" x14ac:dyDescent="0.2">
      <c r="A128" s="64" t="s">
        <v>39</v>
      </c>
      <c r="B128" s="62">
        <v>8031</v>
      </c>
      <c r="C128" s="63" t="s">
        <v>10</v>
      </c>
      <c r="D128" s="124">
        <v>0</v>
      </c>
      <c r="E128" s="124">
        <v>0</v>
      </c>
      <c r="F128" s="124">
        <v>3466</v>
      </c>
    </row>
    <row r="129" spans="1:6" ht="14.25" x14ac:dyDescent="0.2">
      <c r="A129" s="64" t="s">
        <v>39</v>
      </c>
      <c r="B129" s="62">
        <v>8031</v>
      </c>
      <c r="C129" s="63" t="s">
        <v>11</v>
      </c>
      <c r="D129" s="124"/>
      <c r="E129" s="124">
        <v>797.82237359999999</v>
      </c>
      <c r="F129" s="124">
        <v>21004.028427200003</v>
      </c>
    </row>
    <row r="130" spans="1:6" ht="14.25" x14ac:dyDescent="0.2">
      <c r="A130" s="64" t="s">
        <v>39</v>
      </c>
      <c r="B130" s="62">
        <v>8031</v>
      </c>
      <c r="C130" s="63" t="s">
        <v>12</v>
      </c>
      <c r="D130" s="124">
        <v>3603</v>
      </c>
      <c r="E130" s="124">
        <v>28050</v>
      </c>
      <c r="F130" s="124">
        <v>26576</v>
      </c>
    </row>
    <row r="131" spans="1:6" ht="14.25" x14ac:dyDescent="0.2">
      <c r="A131" s="64" t="s">
        <v>39</v>
      </c>
      <c r="B131" s="62">
        <v>8031</v>
      </c>
      <c r="C131" s="63" t="s">
        <v>13</v>
      </c>
      <c r="D131" s="125">
        <v>105.00000000000001</v>
      </c>
      <c r="E131" s="125">
        <v>970.00000000000091</v>
      </c>
      <c r="F131" s="125">
        <v>877.9999999999992</v>
      </c>
    </row>
    <row r="132" spans="1:6" ht="14.25" x14ac:dyDescent="0.2">
      <c r="A132" s="64" t="s">
        <v>39</v>
      </c>
      <c r="B132" s="62">
        <v>8031</v>
      </c>
      <c r="C132" s="63" t="s">
        <v>14</v>
      </c>
      <c r="D132" s="125">
        <v>105.00000000000001</v>
      </c>
      <c r="E132" s="125">
        <v>1231</v>
      </c>
      <c r="F132" s="125">
        <v>1094.999999999998</v>
      </c>
    </row>
    <row r="133" spans="1:6" ht="14.25" x14ac:dyDescent="0.2">
      <c r="A133" s="64" t="s">
        <v>39</v>
      </c>
      <c r="B133" s="62">
        <v>8031</v>
      </c>
      <c r="C133" s="63" t="s">
        <v>15</v>
      </c>
      <c r="D133" s="125">
        <v>17</v>
      </c>
      <c r="E133" s="125">
        <v>82</v>
      </c>
      <c r="F133" s="125">
        <v>74</v>
      </c>
    </row>
    <row r="134" spans="1:6" ht="14.25" x14ac:dyDescent="0.2">
      <c r="A134" s="64" t="s">
        <v>39</v>
      </c>
      <c r="B134" s="62">
        <v>8031</v>
      </c>
      <c r="C134" s="63" t="s">
        <v>16</v>
      </c>
      <c r="D134" s="126">
        <v>6.1764705882352953</v>
      </c>
      <c r="E134" s="126">
        <v>11.829268292682938</v>
      </c>
      <c r="F134" s="126">
        <v>11.864864864864854</v>
      </c>
    </row>
    <row r="135" spans="1:6" ht="14.25" x14ac:dyDescent="0.2">
      <c r="A135" s="64" t="s">
        <v>39</v>
      </c>
      <c r="B135" s="62">
        <v>8031</v>
      </c>
      <c r="C135" s="63" t="s">
        <v>17</v>
      </c>
      <c r="D135" s="126">
        <v>6.1764705882352953</v>
      </c>
      <c r="E135" s="126">
        <v>15.012195121951219</v>
      </c>
      <c r="F135" s="126">
        <v>14.79729729729727</v>
      </c>
    </row>
    <row r="136" spans="1:6" ht="14.25" x14ac:dyDescent="0.2">
      <c r="A136" s="64" t="s">
        <v>39</v>
      </c>
      <c r="B136" s="62">
        <v>8031</v>
      </c>
      <c r="C136" s="63" t="s">
        <v>18</v>
      </c>
      <c r="D136" s="123">
        <v>7768.3176470588232</v>
      </c>
      <c r="E136" s="123">
        <v>15822.853658536585</v>
      </c>
      <c r="F136" s="123">
        <v>16772.432432432433</v>
      </c>
    </row>
    <row r="137" spans="1:6" ht="14.25" x14ac:dyDescent="0.2">
      <c r="A137" s="64" t="s">
        <v>39</v>
      </c>
      <c r="B137" s="62">
        <v>8031</v>
      </c>
      <c r="C137" s="63" t="s">
        <v>19</v>
      </c>
      <c r="D137" s="123">
        <v>0</v>
      </c>
      <c r="E137" s="123">
        <v>3175.8993902439024</v>
      </c>
      <c r="F137" s="123">
        <v>3363.4831081081079</v>
      </c>
    </row>
    <row r="138" spans="1:6" ht="14.25" x14ac:dyDescent="0.2">
      <c r="A138" s="64" t="s">
        <v>39</v>
      </c>
      <c r="B138" s="62">
        <v>8031</v>
      </c>
      <c r="C138" s="63" t="s">
        <v>20</v>
      </c>
      <c r="D138" s="124">
        <v>7768.3176470588232</v>
      </c>
      <c r="E138" s="124">
        <v>12646.954268292684</v>
      </c>
      <c r="F138" s="124">
        <v>13408.949324324325</v>
      </c>
    </row>
    <row r="139" spans="1:6" ht="14.25" x14ac:dyDescent="0.2">
      <c r="A139" s="64" t="s">
        <v>39</v>
      </c>
      <c r="B139" s="62">
        <v>8031</v>
      </c>
      <c r="C139" s="63" t="s">
        <v>21</v>
      </c>
      <c r="D139" s="123">
        <v>1521.9411764705883</v>
      </c>
      <c r="E139" s="123">
        <v>8370.3658536585372</v>
      </c>
      <c r="F139" s="123">
        <v>8139.6216216216217</v>
      </c>
    </row>
    <row r="140" spans="1:6" ht="14.25" x14ac:dyDescent="0.2">
      <c r="A140" s="64" t="s">
        <v>39</v>
      </c>
      <c r="B140" s="62">
        <v>8031</v>
      </c>
      <c r="C140" s="63" t="s">
        <v>22</v>
      </c>
      <c r="D140" s="123">
        <v>9290.2588235294115</v>
      </c>
      <c r="E140" s="123">
        <v>21017.320121951219</v>
      </c>
      <c r="F140" s="123">
        <v>21548.570945945947</v>
      </c>
    </row>
    <row r="141" spans="1:6" ht="14.25" x14ac:dyDescent="0.2">
      <c r="A141" s="64" t="s">
        <v>39</v>
      </c>
      <c r="B141" s="62">
        <v>8031</v>
      </c>
      <c r="C141" s="63" t="s">
        <v>23</v>
      </c>
      <c r="D141" s="123">
        <v>30</v>
      </c>
      <c r="E141" s="123">
        <v>31.463414634146343</v>
      </c>
      <c r="F141" s="123">
        <v>31.216216216216218</v>
      </c>
    </row>
    <row r="142" spans="1:6" ht="14.25" x14ac:dyDescent="0.2">
      <c r="A142" s="64" t="s">
        <v>39</v>
      </c>
      <c r="B142" s="62">
        <v>8031</v>
      </c>
      <c r="C142" s="63" t="s">
        <v>24</v>
      </c>
      <c r="D142" s="123">
        <v>9320.2588235294115</v>
      </c>
      <c r="E142" s="123">
        <v>21048.783536585364</v>
      </c>
      <c r="F142" s="123">
        <v>21579.787162162163</v>
      </c>
    </row>
    <row r="143" spans="1:6" ht="14.25" x14ac:dyDescent="0.2">
      <c r="A143" s="64" t="s">
        <v>39</v>
      </c>
      <c r="B143" s="62">
        <v>8031</v>
      </c>
      <c r="C143" s="63" t="s">
        <v>25</v>
      </c>
      <c r="D143" s="124">
        <v>1257.7276190476189</v>
      </c>
      <c r="E143" s="124">
        <v>842.44536961819654</v>
      </c>
      <c r="F143" s="124">
        <v>906.17557077625736</v>
      </c>
    </row>
    <row r="144" spans="1:6" ht="14.25" x14ac:dyDescent="0.2">
      <c r="A144" s="64" t="s">
        <v>39</v>
      </c>
      <c r="B144" s="62">
        <v>8031</v>
      </c>
      <c r="C144" s="63" t="s">
        <v>26</v>
      </c>
      <c r="D144" s="127">
        <v>0</v>
      </c>
      <c r="E144" s="127">
        <v>0.2007159681041778</v>
      </c>
      <c r="F144" s="127">
        <v>0.2005363933739405</v>
      </c>
    </row>
    <row r="145" spans="1:6" ht="14.25" x14ac:dyDescent="0.2">
      <c r="A145" s="64" t="s">
        <v>39</v>
      </c>
      <c r="B145" s="62">
        <v>8031</v>
      </c>
      <c r="C145" s="63" t="s">
        <v>27</v>
      </c>
      <c r="D145" s="127">
        <v>0</v>
      </c>
      <c r="E145" s="127">
        <v>0.13127229257945686</v>
      </c>
      <c r="F145" s="127">
        <v>0.13501428267657251</v>
      </c>
    </row>
    <row r="146" spans="1:6" ht="14.25" x14ac:dyDescent="0.2">
      <c r="A146" s="64" t="s">
        <v>39</v>
      </c>
      <c r="B146" s="62">
        <v>8031</v>
      </c>
      <c r="C146" s="63" t="s">
        <v>28</v>
      </c>
      <c r="D146" s="125">
        <v>17</v>
      </c>
      <c r="E146" s="125">
        <v>82</v>
      </c>
      <c r="F146" s="125">
        <v>74</v>
      </c>
    </row>
    <row r="147" spans="1:6" ht="14.25" x14ac:dyDescent="0.2">
      <c r="A147" s="65" t="s">
        <v>30</v>
      </c>
      <c r="B147" s="62">
        <v>8080</v>
      </c>
      <c r="C147" s="63" t="s">
        <v>0</v>
      </c>
      <c r="D147" s="123">
        <v>74632.890000000014</v>
      </c>
      <c r="E147" s="123">
        <v>189966.6</v>
      </c>
      <c r="F147" s="123">
        <v>172593</v>
      </c>
    </row>
    <row r="148" spans="1:6" ht="14.25" x14ac:dyDescent="0.2">
      <c r="A148" s="64" t="s">
        <v>30</v>
      </c>
      <c r="B148" s="62">
        <v>8080</v>
      </c>
      <c r="C148" s="63" t="s">
        <v>1</v>
      </c>
      <c r="D148" s="123">
        <v>5951.8499999999995</v>
      </c>
      <c r="E148" s="123">
        <v>7747</v>
      </c>
      <c r="F148" s="123">
        <v>9779</v>
      </c>
    </row>
    <row r="149" spans="1:6" ht="14.25" x14ac:dyDescent="0.2">
      <c r="A149" s="64" t="s">
        <v>30</v>
      </c>
      <c r="B149" s="62">
        <v>8080</v>
      </c>
      <c r="C149" s="63" t="s">
        <v>2</v>
      </c>
      <c r="D149" s="123">
        <v>68681.040000000008</v>
      </c>
      <c r="E149" s="123">
        <v>182219.6</v>
      </c>
      <c r="F149" s="123">
        <v>162814</v>
      </c>
    </row>
    <row r="150" spans="1:6" ht="14.25" x14ac:dyDescent="0.2">
      <c r="A150" s="64" t="s">
        <v>30</v>
      </c>
      <c r="B150" s="62">
        <v>8080</v>
      </c>
      <c r="C150" s="63" t="s">
        <v>3</v>
      </c>
      <c r="D150" s="123">
        <v>0</v>
      </c>
      <c r="E150" s="123">
        <v>0</v>
      </c>
      <c r="F150" s="123">
        <v>90</v>
      </c>
    </row>
    <row r="151" spans="1:6" ht="14.25" x14ac:dyDescent="0.2">
      <c r="A151" s="64" t="s">
        <v>30</v>
      </c>
      <c r="B151" s="62">
        <v>8080</v>
      </c>
      <c r="C151" s="63" t="s">
        <v>4</v>
      </c>
      <c r="D151" s="123">
        <v>68681.040000000008</v>
      </c>
      <c r="E151" s="123">
        <v>182219.6</v>
      </c>
      <c r="F151" s="123">
        <v>162904</v>
      </c>
    </row>
    <row r="152" spans="1:6" ht="14.25" x14ac:dyDescent="0.2">
      <c r="A152" s="64" t="s">
        <v>30</v>
      </c>
      <c r="B152" s="62">
        <v>8080</v>
      </c>
      <c r="C152" s="63" t="s">
        <v>5</v>
      </c>
      <c r="D152" s="123">
        <v>2430</v>
      </c>
      <c r="E152" s="123">
        <v>4752</v>
      </c>
      <c r="F152" s="123">
        <v>4260</v>
      </c>
    </row>
    <row r="153" spans="1:6" ht="14.25" x14ac:dyDescent="0.2">
      <c r="A153" s="64" t="s">
        <v>30</v>
      </c>
      <c r="B153" s="62">
        <v>8080</v>
      </c>
      <c r="C153" s="63" t="s">
        <v>6</v>
      </c>
      <c r="D153" s="123">
        <v>71111.040000000008</v>
      </c>
      <c r="E153" s="123">
        <v>186971.6</v>
      </c>
      <c r="F153" s="123">
        <v>167164</v>
      </c>
    </row>
    <row r="154" spans="1:6" ht="14.25" x14ac:dyDescent="0.2">
      <c r="A154" s="64" t="s">
        <v>30</v>
      </c>
      <c r="B154" s="62">
        <v>8080</v>
      </c>
      <c r="C154" s="63" t="s">
        <v>7</v>
      </c>
      <c r="D154" s="124">
        <v>4680.2240170000014</v>
      </c>
      <c r="E154" s="124">
        <v>15159.349592</v>
      </c>
      <c r="F154" s="124">
        <v>12055.449864</v>
      </c>
    </row>
    <row r="155" spans="1:6" ht="14.25" x14ac:dyDescent="0.2">
      <c r="A155" s="64" t="s">
        <v>30</v>
      </c>
      <c r="B155" s="62">
        <v>8080</v>
      </c>
      <c r="C155" s="63" t="s">
        <v>8</v>
      </c>
      <c r="D155" s="124">
        <v>20417.95</v>
      </c>
      <c r="E155" s="124">
        <v>38246.339999999997</v>
      </c>
      <c r="F155" s="124">
        <v>29205.199999999997</v>
      </c>
    </row>
    <row r="156" spans="1:6" ht="14.25" x14ac:dyDescent="0.2">
      <c r="A156" s="64" t="s">
        <v>30</v>
      </c>
      <c r="B156" s="62">
        <v>8080</v>
      </c>
      <c r="C156" s="63" t="s">
        <v>9</v>
      </c>
      <c r="D156" s="124">
        <v>11162</v>
      </c>
      <c r="E156" s="124">
        <v>13030</v>
      </c>
      <c r="F156" s="124">
        <v>1633.56</v>
      </c>
    </row>
    <row r="157" spans="1:6" ht="14.25" x14ac:dyDescent="0.2">
      <c r="A157" s="64" t="s">
        <v>30</v>
      </c>
      <c r="B157" s="62">
        <v>8080</v>
      </c>
      <c r="C157" s="63" t="s">
        <v>10</v>
      </c>
      <c r="D157" s="124">
        <v>0</v>
      </c>
      <c r="E157" s="124">
        <v>0</v>
      </c>
      <c r="F157" s="124">
        <v>0</v>
      </c>
    </row>
    <row r="158" spans="1:6" ht="14.25" x14ac:dyDescent="0.2">
      <c r="A158" s="64" t="s">
        <v>30</v>
      </c>
      <c r="B158" s="62">
        <v>8080</v>
      </c>
      <c r="C158" s="63" t="s">
        <v>11</v>
      </c>
      <c r="D158" s="124"/>
      <c r="E158" s="124"/>
      <c r="F158" s="124">
        <v>2559.0183556000002</v>
      </c>
    </row>
    <row r="159" spans="1:6" ht="14.25" x14ac:dyDescent="0.2">
      <c r="A159" s="64" t="s">
        <v>30</v>
      </c>
      <c r="B159" s="62">
        <v>8080</v>
      </c>
      <c r="C159" s="63" t="s">
        <v>12</v>
      </c>
      <c r="D159" s="124">
        <v>2492</v>
      </c>
      <c r="E159" s="124">
        <v>8028</v>
      </c>
      <c r="F159" s="124">
        <v>7272</v>
      </c>
    </row>
    <row r="160" spans="1:6" ht="14.25" x14ac:dyDescent="0.2">
      <c r="A160" s="64" t="s">
        <v>30</v>
      </c>
      <c r="B160" s="62">
        <v>8080</v>
      </c>
      <c r="C160" s="63" t="s">
        <v>13</v>
      </c>
      <c r="D160" s="125">
        <v>615.00000000000125</v>
      </c>
      <c r="E160" s="125">
        <v>1497.0000000000011</v>
      </c>
      <c r="F160" s="125">
        <v>1359</v>
      </c>
    </row>
    <row r="161" spans="1:6" ht="14.25" x14ac:dyDescent="0.2">
      <c r="A161" s="64" t="s">
        <v>30</v>
      </c>
      <c r="B161" s="62">
        <v>8080</v>
      </c>
      <c r="C161" s="63" t="s">
        <v>14</v>
      </c>
      <c r="D161" s="125">
        <v>635.00000000000136</v>
      </c>
      <c r="E161" s="125">
        <v>1604.0000000000016</v>
      </c>
      <c r="F161" s="125">
        <v>1435.9999999999989</v>
      </c>
    </row>
    <row r="162" spans="1:6" ht="14.25" x14ac:dyDescent="0.2">
      <c r="A162" s="64" t="s">
        <v>30</v>
      </c>
      <c r="B162" s="62">
        <v>8080</v>
      </c>
      <c r="C162" s="63" t="s">
        <v>15</v>
      </c>
      <c r="D162" s="125">
        <v>91</v>
      </c>
      <c r="E162" s="125">
        <v>160</v>
      </c>
      <c r="F162" s="125">
        <v>144</v>
      </c>
    </row>
    <row r="163" spans="1:6" ht="14.25" x14ac:dyDescent="0.2">
      <c r="A163" s="64" t="s">
        <v>30</v>
      </c>
      <c r="B163" s="62">
        <v>8080</v>
      </c>
      <c r="C163" s="63" t="s">
        <v>16</v>
      </c>
      <c r="D163" s="126">
        <v>6.7582417582417724</v>
      </c>
      <c r="E163" s="126">
        <v>9.3562500000000064</v>
      </c>
      <c r="F163" s="126">
        <v>9.4375</v>
      </c>
    </row>
    <row r="164" spans="1:6" ht="14.25" x14ac:dyDescent="0.2">
      <c r="A164" s="64" t="s">
        <v>30</v>
      </c>
      <c r="B164" s="62">
        <v>8080</v>
      </c>
      <c r="C164" s="63" t="s">
        <v>17</v>
      </c>
      <c r="D164" s="126">
        <v>6.9780219780219932</v>
      </c>
      <c r="E164" s="126">
        <v>10.025000000000009</v>
      </c>
      <c r="F164" s="126">
        <v>9.9722222222222143</v>
      </c>
    </row>
    <row r="165" spans="1:6" ht="14.25" x14ac:dyDescent="0.2">
      <c r="A165" s="64" t="s">
        <v>30</v>
      </c>
      <c r="B165" s="62">
        <v>8080</v>
      </c>
      <c r="C165" s="63" t="s">
        <v>18</v>
      </c>
      <c r="D165" s="123">
        <v>820.14164835164854</v>
      </c>
      <c r="E165" s="123">
        <v>1187.29125</v>
      </c>
      <c r="F165" s="123">
        <v>1198.5625</v>
      </c>
    </row>
    <row r="166" spans="1:6" ht="14.25" x14ac:dyDescent="0.2">
      <c r="A166" s="64" t="s">
        <v>30</v>
      </c>
      <c r="B166" s="62">
        <v>8080</v>
      </c>
      <c r="C166" s="63" t="s">
        <v>19</v>
      </c>
      <c r="D166" s="123">
        <v>65.404945054945046</v>
      </c>
      <c r="E166" s="123">
        <v>48.418750000000003</v>
      </c>
      <c r="F166" s="123">
        <v>67.909722222222229</v>
      </c>
    </row>
    <row r="167" spans="1:6" ht="14.25" x14ac:dyDescent="0.2">
      <c r="A167" s="64" t="s">
        <v>30</v>
      </c>
      <c r="B167" s="62">
        <v>8080</v>
      </c>
      <c r="C167" s="63" t="s">
        <v>20</v>
      </c>
      <c r="D167" s="124">
        <v>754.73670329670347</v>
      </c>
      <c r="E167" s="124">
        <v>1138.8724999999999</v>
      </c>
      <c r="F167" s="124">
        <v>1130.6527777777778</v>
      </c>
    </row>
    <row r="168" spans="1:6" ht="14.25" x14ac:dyDescent="0.2">
      <c r="A168" s="64" t="s">
        <v>30</v>
      </c>
      <c r="B168" s="62">
        <v>8080</v>
      </c>
      <c r="C168" s="63" t="s">
        <v>21</v>
      </c>
      <c r="D168" s="123">
        <v>0</v>
      </c>
      <c r="E168" s="123">
        <v>0</v>
      </c>
      <c r="F168" s="123">
        <v>0.625</v>
      </c>
    </row>
    <row r="169" spans="1:6" ht="14.25" x14ac:dyDescent="0.2">
      <c r="A169" s="64" t="s">
        <v>30</v>
      </c>
      <c r="B169" s="62">
        <v>8080</v>
      </c>
      <c r="C169" s="63" t="s">
        <v>22</v>
      </c>
      <c r="D169" s="123">
        <v>754.73670329670347</v>
      </c>
      <c r="E169" s="123">
        <v>1138.8724999999999</v>
      </c>
      <c r="F169" s="123">
        <v>1131.2777777777778</v>
      </c>
    </row>
    <row r="170" spans="1:6" ht="14.25" x14ac:dyDescent="0.2">
      <c r="A170" s="64" t="s">
        <v>30</v>
      </c>
      <c r="B170" s="62">
        <v>8080</v>
      </c>
      <c r="C170" s="63" t="s">
        <v>23</v>
      </c>
      <c r="D170" s="123">
        <v>26.703296703296704</v>
      </c>
      <c r="E170" s="123">
        <v>29.7</v>
      </c>
      <c r="F170" s="123">
        <v>29.583333333333332</v>
      </c>
    </row>
    <row r="171" spans="1:6" ht="14.25" x14ac:dyDescent="0.2">
      <c r="A171" s="64" t="s">
        <v>30</v>
      </c>
      <c r="B171" s="62">
        <v>8080</v>
      </c>
      <c r="C171" s="63" t="s">
        <v>24</v>
      </c>
      <c r="D171" s="123">
        <v>781.44</v>
      </c>
      <c r="E171" s="123">
        <v>1168.5725</v>
      </c>
      <c r="F171" s="123">
        <v>1160.8611111111111</v>
      </c>
    </row>
    <row r="172" spans="1:6" ht="14.25" x14ac:dyDescent="0.2">
      <c r="A172" s="64" t="s">
        <v>30</v>
      </c>
      <c r="B172" s="62">
        <v>8080</v>
      </c>
      <c r="C172" s="63" t="s">
        <v>25</v>
      </c>
      <c r="D172" s="124">
        <v>108.15911811023599</v>
      </c>
      <c r="E172" s="124">
        <v>113.60324189526173</v>
      </c>
      <c r="F172" s="124">
        <v>113.38022284122572</v>
      </c>
    </row>
    <row r="173" spans="1:6" ht="14.25" x14ac:dyDescent="0.2">
      <c r="A173" s="64" t="s">
        <v>30</v>
      </c>
      <c r="B173" s="62">
        <v>8080</v>
      </c>
      <c r="C173" s="63" t="s">
        <v>26</v>
      </c>
      <c r="D173" s="127">
        <v>7.9748352234517497E-2</v>
      </c>
      <c r="E173" s="127">
        <v>4.0780853055221285E-2</v>
      </c>
      <c r="F173" s="127">
        <v>5.6659308314937457E-2</v>
      </c>
    </row>
    <row r="174" spans="1:6" ht="14.25" x14ac:dyDescent="0.2">
      <c r="A174" s="64" t="s">
        <v>30</v>
      </c>
      <c r="B174" s="62">
        <v>8080</v>
      </c>
      <c r="C174" s="63" t="s">
        <v>27</v>
      </c>
      <c r="D174" s="127">
        <v>7.9748352234517497E-2</v>
      </c>
      <c r="E174" s="127">
        <v>4.0780853055221285E-2</v>
      </c>
      <c r="F174" s="127">
        <v>5.662977826421825E-2</v>
      </c>
    </row>
    <row r="175" spans="1:6" ht="14.25" x14ac:dyDescent="0.2">
      <c r="A175" s="64" t="s">
        <v>30</v>
      </c>
      <c r="B175" s="62">
        <v>8080</v>
      </c>
      <c r="C175" s="63" t="s">
        <v>28</v>
      </c>
      <c r="D175" s="125">
        <v>91</v>
      </c>
      <c r="E175" s="125">
        <v>160</v>
      </c>
      <c r="F175" s="125">
        <v>144</v>
      </c>
    </row>
    <row r="176" spans="1:6" ht="14.25" x14ac:dyDescent="0.2">
      <c r="A176" s="65" t="s">
        <v>40</v>
      </c>
      <c r="B176" s="62">
        <v>8081</v>
      </c>
      <c r="C176" s="63" t="s">
        <v>0</v>
      </c>
      <c r="D176" s="123">
        <v>28878.5</v>
      </c>
      <c r="E176" s="123">
        <v>67031</v>
      </c>
      <c r="F176" s="123">
        <v>47178</v>
      </c>
    </row>
    <row r="177" spans="1:6" ht="14.25" x14ac:dyDescent="0.2">
      <c r="A177" s="64" t="s">
        <v>40</v>
      </c>
      <c r="B177" s="62">
        <v>8081</v>
      </c>
      <c r="C177" s="63" t="s">
        <v>1</v>
      </c>
      <c r="D177" s="123">
        <v>0</v>
      </c>
      <c r="E177" s="123">
        <v>2502</v>
      </c>
      <c r="F177" s="123">
        <v>1143</v>
      </c>
    </row>
    <row r="178" spans="1:6" ht="14.25" x14ac:dyDescent="0.2">
      <c r="A178" s="64" t="s">
        <v>40</v>
      </c>
      <c r="B178" s="62">
        <v>8081</v>
      </c>
      <c r="C178" s="63" t="s">
        <v>2</v>
      </c>
      <c r="D178" s="123">
        <v>28878.5</v>
      </c>
      <c r="E178" s="123">
        <v>64529</v>
      </c>
      <c r="F178" s="123">
        <v>46035</v>
      </c>
    </row>
    <row r="179" spans="1:6" ht="14.25" x14ac:dyDescent="0.2">
      <c r="A179" s="64" t="s">
        <v>40</v>
      </c>
      <c r="B179" s="62">
        <v>8081</v>
      </c>
      <c r="C179" s="63" t="s">
        <v>3</v>
      </c>
      <c r="D179" s="123">
        <v>0</v>
      </c>
      <c r="E179" s="123">
        <v>0</v>
      </c>
      <c r="F179" s="123">
        <v>0</v>
      </c>
    </row>
    <row r="180" spans="1:6" ht="14.25" x14ac:dyDescent="0.2">
      <c r="A180" s="64" t="s">
        <v>40</v>
      </c>
      <c r="B180" s="62">
        <v>8081</v>
      </c>
      <c r="C180" s="63" t="s">
        <v>4</v>
      </c>
      <c r="D180" s="123">
        <v>28878.5</v>
      </c>
      <c r="E180" s="123">
        <v>64529</v>
      </c>
      <c r="F180" s="123">
        <v>46035</v>
      </c>
    </row>
    <row r="181" spans="1:6" ht="14.25" x14ac:dyDescent="0.2">
      <c r="A181" s="64" t="s">
        <v>40</v>
      </c>
      <c r="B181" s="62">
        <v>8081</v>
      </c>
      <c r="C181" s="63" t="s">
        <v>5</v>
      </c>
      <c r="D181" s="123">
        <v>330</v>
      </c>
      <c r="E181" s="123">
        <v>630</v>
      </c>
      <c r="F181" s="123">
        <v>510</v>
      </c>
    </row>
    <row r="182" spans="1:6" ht="14.25" x14ac:dyDescent="0.2">
      <c r="A182" s="64" t="s">
        <v>40</v>
      </c>
      <c r="B182" s="62">
        <v>8081</v>
      </c>
      <c r="C182" s="63" t="s">
        <v>6</v>
      </c>
      <c r="D182" s="123">
        <v>29208.5</v>
      </c>
      <c r="E182" s="123">
        <v>65159</v>
      </c>
      <c r="F182" s="123">
        <v>46545</v>
      </c>
    </row>
    <row r="183" spans="1:6" ht="14.25" x14ac:dyDescent="0.2">
      <c r="A183" s="64" t="s">
        <v>40</v>
      </c>
      <c r="B183" s="62">
        <v>8081</v>
      </c>
      <c r="C183" s="63" t="s">
        <v>7</v>
      </c>
      <c r="D183" s="124">
        <v>298.37429900000001</v>
      </c>
      <c r="E183" s="124">
        <v>1626</v>
      </c>
      <c r="F183" s="124">
        <v>1288</v>
      </c>
    </row>
    <row r="184" spans="1:6" ht="14.25" x14ac:dyDescent="0.2">
      <c r="A184" s="64" t="s">
        <v>40</v>
      </c>
      <c r="B184" s="62">
        <v>8081</v>
      </c>
      <c r="C184" s="63" t="s">
        <v>8</v>
      </c>
      <c r="D184" s="124">
        <v>4549.2</v>
      </c>
      <c r="E184" s="124">
        <v>4619.74</v>
      </c>
      <c r="F184" s="124">
        <v>3155.7</v>
      </c>
    </row>
    <row r="185" spans="1:6" ht="14.25" x14ac:dyDescent="0.2">
      <c r="A185" s="64" t="s">
        <v>40</v>
      </c>
      <c r="B185" s="62">
        <v>8081</v>
      </c>
      <c r="C185" s="63" t="s">
        <v>9</v>
      </c>
      <c r="D185" s="124">
        <v>243.73</v>
      </c>
      <c r="E185" s="124">
        <v>300</v>
      </c>
      <c r="F185" s="124">
        <v>0</v>
      </c>
    </row>
    <row r="186" spans="1:6" ht="14.25" x14ac:dyDescent="0.2">
      <c r="A186" s="64" t="s">
        <v>40</v>
      </c>
      <c r="B186" s="62">
        <v>8081</v>
      </c>
      <c r="C186" s="63" t="s">
        <v>10</v>
      </c>
      <c r="D186" s="124">
        <v>0</v>
      </c>
      <c r="E186" s="124">
        <v>0</v>
      </c>
      <c r="F186" s="124">
        <v>0</v>
      </c>
    </row>
    <row r="187" spans="1:6" ht="14.25" x14ac:dyDescent="0.2">
      <c r="A187" s="64" t="s">
        <v>40</v>
      </c>
      <c r="B187" s="62">
        <v>8081</v>
      </c>
      <c r="C187" s="63" t="s">
        <v>11</v>
      </c>
      <c r="D187" s="124"/>
      <c r="E187" s="124"/>
      <c r="F187" s="124"/>
    </row>
    <row r="188" spans="1:6" ht="14.25" x14ac:dyDescent="0.2">
      <c r="A188" s="64" t="s">
        <v>40</v>
      </c>
      <c r="B188" s="62">
        <v>8081</v>
      </c>
      <c r="C188" s="63" t="s">
        <v>12</v>
      </c>
      <c r="D188" s="124">
        <v>280</v>
      </c>
      <c r="E188" s="124">
        <v>1124</v>
      </c>
      <c r="F188" s="124">
        <v>820</v>
      </c>
    </row>
    <row r="189" spans="1:6" ht="14.25" x14ac:dyDescent="0.2">
      <c r="A189" s="64" t="s">
        <v>40</v>
      </c>
      <c r="B189" s="62">
        <v>8081</v>
      </c>
      <c r="C189" s="63" t="s">
        <v>13</v>
      </c>
      <c r="D189" s="125">
        <v>71.999999999999943</v>
      </c>
      <c r="E189" s="125">
        <v>182.99999999999997</v>
      </c>
      <c r="F189" s="125">
        <v>134.00000000000009</v>
      </c>
    </row>
    <row r="190" spans="1:6" ht="14.25" x14ac:dyDescent="0.2">
      <c r="A190" s="64" t="s">
        <v>40</v>
      </c>
      <c r="B190" s="62">
        <v>8081</v>
      </c>
      <c r="C190" s="63" t="s">
        <v>14</v>
      </c>
      <c r="D190" s="125">
        <v>71.999999999999943</v>
      </c>
      <c r="E190" s="125">
        <v>188.99999999999994</v>
      </c>
      <c r="F190" s="125">
        <v>137.00000000000009</v>
      </c>
    </row>
    <row r="191" spans="1:6" ht="14.25" x14ac:dyDescent="0.2">
      <c r="A191" s="64" t="s">
        <v>40</v>
      </c>
      <c r="B191" s="62">
        <v>8081</v>
      </c>
      <c r="C191" s="63" t="s">
        <v>15</v>
      </c>
      <c r="D191" s="125">
        <v>15</v>
      </c>
      <c r="E191" s="125">
        <v>21</v>
      </c>
      <c r="F191" s="125">
        <v>17</v>
      </c>
    </row>
    <row r="192" spans="1:6" ht="14.25" x14ac:dyDescent="0.2">
      <c r="A192" s="64" t="s">
        <v>40</v>
      </c>
      <c r="B192" s="62">
        <v>8081</v>
      </c>
      <c r="C192" s="63" t="s">
        <v>16</v>
      </c>
      <c r="D192" s="126">
        <v>4.7999999999999963</v>
      </c>
      <c r="E192" s="126">
        <v>8.7142857142857135</v>
      </c>
      <c r="F192" s="126">
        <v>7.8823529411764754</v>
      </c>
    </row>
    <row r="193" spans="1:6" ht="14.25" x14ac:dyDescent="0.2">
      <c r="A193" s="64" t="s">
        <v>40</v>
      </c>
      <c r="B193" s="62">
        <v>8081</v>
      </c>
      <c r="C193" s="63" t="s">
        <v>17</v>
      </c>
      <c r="D193" s="126">
        <v>4.7999999999999963</v>
      </c>
      <c r="E193" s="126">
        <v>8.9999999999999964</v>
      </c>
      <c r="F193" s="126">
        <v>8.0588235294117698</v>
      </c>
    </row>
    <row r="194" spans="1:6" ht="14.25" x14ac:dyDescent="0.2">
      <c r="A194" s="64" t="s">
        <v>40</v>
      </c>
      <c r="B194" s="62">
        <v>8081</v>
      </c>
      <c r="C194" s="63" t="s">
        <v>18</v>
      </c>
      <c r="D194" s="123">
        <v>1925.2333333333333</v>
      </c>
      <c r="E194" s="123">
        <v>3191.9523809523807</v>
      </c>
      <c r="F194" s="123">
        <v>2775.1764705882351</v>
      </c>
    </row>
    <row r="195" spans="1:6" ht="14.25" x14ac:dyDescent="0.2">
      <c r="A195" s="64" t="s">
        <v>40</v>
      </c>
      <c r="B195" s="62">
        <v>8081</v>
      </c>
      <c r="C195" s="63" t="s">
        <v>19</v>
      </c>
      <c r="D195" s="123">
        <v>0</v>
      </c>
      <c r="E195" s="123">
        <v>119.14285714285714</v>
      </c>
      <c r="F195" s="123">
        <v>67.235294117647058</v>
      </c>
    </row>
    <row r="196" spans="1:6" ht="14.25" x14ac:dyDescent="0.2">
      <c r="A196" s="64" t="s">
        <v>40</v>
      </c>
      <c r="B196" s="62">
        <v>8081</v>
      </c>
      <c r="C196" s="63" t="s">
        <v>20</v>
      </c>
      <c r="D196" s="124">
        <v>1925.2333333333333</v>
      </c>
      <c r="E196" s="124">
        <v>3072.8095238095234</v>
      </c>
      <c r="F196" s="124">
        <v>2707.9411764705883</v>
      </c>
    </row>
    <row r="197" spans="1:6" ht="14.25" x14ac:dyDescent="0.2">
      <c r="A197" s="64" t="s">
        <v>40</v>
      </c>
      <c r="B197" s="62">
        <v>8081</v>
      </c>
      <c r="C197" s="63" t="s">
        <v>21</v>
      </c>
      <c r="D197" s="123">
        <v>0</v>
      </c>
      <c r="E197" s="123">
        <v>0</v>
      </c>
      <c r="F197" s="123">
        <v>0</v>
      </c>
    </row>
    <row r="198" spans="1:6" ht="14.25" x14ac:dyDescent="0.2">
      <c r="A198" s="64" t="s">
        <v>40</v>
      </c>
      <c r="B198" s="62">
        <v>8081</v>
      </c>
      <c r="C198" s="63" t="s">
        <v>22</v>
      </c>
      <c r="D198" s="123">
        <v>1925.2333333333333</v>
      </c>
      <c r="E198" s="123">
        <v>3072.8095238095234</v>
      </c>
      <c r="F198" s="123">
        <v>2707.9411764705883</v>
      </c>
    </row>
    <row r="199" spans="1:6" ht="14.25" x14ac:dyDescent="0.2">
      <c r="A199" s="64" t="s">
        <v>40</v>
      </c>
      <c r="B199" s="62">
        <v>8081</v>
      </c>
      <c r="C199" s="63" t="s">
        <v>23</v>
      </c>
      <c r="D199" s="123">
        <v>22</v>
      </c>
      <c r="E199" s="123">
        <v>30</v>
      </c>
      <c r="F199" s="123">
        <v>30</v>
      </c>
    </row>
    <row r="200" spans="1:6" ht="14.25" x14ac:dyDescent="0.2">
      <c r="A200" s="64" t="s">
        <v>40</v>
      </c>
      <c r="B200" s="62">
        <v>8081</v>
      </c>
      <c r="C200" s="63" t="s">
        <v>24</v>
      </c>
      <c r="D200" s="123">
        <v>1947.2333333333333</v>
      </c>
      <c r="E200" s="123">
        <v>3102.8095238095239</v>
      </c>
      <c r="F200" s="123">
        <v>2737.9411764705883</v>
      </c>
    </row>
    <row r="201" spans="1:6" ht="14.25" x14ac:dyDescent="0.2">
      <c r="A201" s="64" t="s">
        <v>40</v>
      </c>
      <c r="B201" s="62">
        <v>8081</v>
      </c>
      <c r="C201" s="63" t="s">
        <v>25</v>
      </c>
      <c r="D201" s="124">
        <v>401.09027777777811</v>
      </c>
      <c r="E201" s="124">
        <v>341.42328042328052</v>
      </c>
      <c r="F201" s="124">
        <v>336.02189781021877</v>
      </c>
    </row>
    <row r="202" spans="1:6" ht="14.25" x14ac:dyDescent="0.2">
      <c r="A202" s="64" t="s">
        <v>40</v>
      </c>
      <c r="B202" s="62">
        <v>8081</v>
      </c>
      <c r="C202" s="63" t="s">
        <v>26</v>
      </c>
      <c r="D202" s="127">
        <v>0</v>
      </c>
      <c r="E202" s="127">
        <v>3.7326013337112676E-2</v>
      </c>
      <c r="F202" s="127">
        <v>2.4227394124380009E-2</v>
      </c>
    </row>
    <row r="203" spans="1:6" ht="14.25" x14ac:dyDescent="0.2">
      <c r="A203" s="64" t="s">
        <v>40</v>
      </c>
      <c r="B203" s="62">
        <v>8081</v>
      </c>
      <c r="C203" s="63" t="s">
        <v>27</v>
      </c>
      <c r="D203" s="127">
        <v>0</v>
      </c>
      <c r="E203" s="127">
        <v>3.7326013337112676E-2</v>
      </c>
      <c r="F203" s="127">
        <v>2.4227394124380009E-2</v>
      </c>
    </row>
    <row r="204" spans="1:6" ht="14.25" x14ac:dyDescent="0.2">
      <c r="A204" s="64" t="s">
        <v>40</v>
      </c>
      <c r="B204" s="62">
        <v>8081</v>
      </c>
      <c r="C204" s="63" t="s">
        <v>28</v>
      </c>
      <c r="D204" s="125">
        <v>15</v>
      </c>
      <c r="E204" s="125">
        <v>21</v>
      </c>
      <c r="F204" s="125">
        <v>17</v>
      </c>
    </row>
    <row r="205" spans="1:6" ht="14.25" x14ac:dyDescent="0.2">
      <c r="A205" s="65" t="s">
        <v>35</v>
      </c>
      <c r="B205" s="62">
        <v>8201</v>
      </c>
      <c r="C205" s="63" t="s">
        <v>0</v>
      </c>
      <c r="D205" s="123">
        <v>1043424.3</v>
      </c>
      <c r="E205" s="123">
        <v>11581519.5</v>
      </c>
      <c r="F205" s="123">
        <v>10835757.5</v>
      </c>
    </row>
    <row r="206" spans="1:6" ht="14.25" x14ac:dyDescent="0.2">
      <c r="A206" s="65" t="s">
        <v>35</v>
      </c>
      <c r="B206" s="62">
        <v>8201</v>
      </c>
      <c r="C206" s="63" t="s">
        <v>1</v>
      </c>
      <c r="D206" s="123">
        <v>95924.75</v>
      </c>
      <c r="E206" s="123">
        <v>3848371.3000000007</v>
      </c>
      <c r="F206" s="123">
        <v>3629304.9000000008</v>
      </c>
    </row>
    <row r="207" spans="1:6" ht="14.25" x14ac:dyDescent="0.2">
      <c r="A207" s="65" t="s">
        <v>35</v>
      </c>
      <c r="B207" s="62">
        <v>8201</v>
      </c>
      <c r="C207" s="63" t="s">
        <v>2</v>
      </c>
      <c r="D207" s="123">
        <v>947499.55</v>
      </c>
      <c r="E207" s="123">
        <v>7733148.1999999993</v>
      </c>
      <c r="F207" s="123">
        <v>7206452.5999999996</v>
      </c>
    </row>
    <row r="208" spans="1:6" ht="14.25" x14ac:dyDescent="0.2">
      <c r="A208" s="65" t="s">
        <v>35</v>
      </c>
      <c r="B208" s="62">
        <v>8201</v>
      </c>
      <c r="C208" s="63" t="s">
        <v>3</v>
      </c>
      <c r="D208" s="123">
        <v>19360</v>
      </c>
      <c r="E208" s="123">
        <v>592092</v>
      </c>
      <c r="F208" s="123">
        <v>577310</v>
      </c>
    </row>
    <row r="209" spans="1:6" ht="14.25" x14ac:dyDescent="0.2">
      <c r="A209" s="65" t="s">
        <v>35</v>
      </c>
      <c r="B209" s="62">
        <v>8201</v>
      </c>
      <c r="C209" s="63" t="s">
        <v>4</v>
      </c>
      <c r="D209" s="123">
        <v>966859.55</v>
      </c>
      <c r="E209" s="123">
        <v>8325240.1999999993</v>
      </c>
      <c r="F209" s="123">
        <v>7783762.5999999996</v>
      </c>
    </row>
    <row r="210" spans="1:6" ht="14.25" x14ac:dyDescent="0.2">
      <c r="A210" s="65" t="s">
        <v>35</v>
      </c>
      <c r="B210" s="62">
        <v>8201</v>
      </c>
      <c r="C210" s="63" t="s">
        <v>5</v>
      </c>
      <c r="D210" s="123">
        <v>19860</v>
      </c>
      <c r="E210" s="123">
        <v>113700</v>
      </c>
      <c r="F210" s="123">
        <v>106470</v>
      </c>
    </row>
    <row r="211" spans="1:6" ht="14.25" x14ac:dyDescent="0.2">
      <c r="A211" s="65" t="s">
        <v>35</v>
      </c>
      <c r="B211" s="62">
        <v>8201</v>
      </c>
      <c r="C211" s="63" t="s">
        <v>6</v>
      </c>
      <c r="D211" s="123">
        <v>986719.55</v>
      </c>
      <c r="E211" s="123">
        <v>8438940.1999999993</v>
      </c>
      <c r="F211" s="123">
        <v>7890232.5999999996</v>
      </c>
    </row>
    <row r="212" spans="1:6" ht="14.25" x14ac:dyDescent="0.2">
      <c r="A212" s="65" t="s">
        <v>35</v>
      </c>
      <c r="B212" s="62">
        <v>8201</v>
      </c>
      <c r="C212" s="63" t="s">
        <v>7</v>
      </c>
      <c r="D212" s="124">
        <v>248455.54254700016</v>
      </c>
      <c r="E212" s="124">
        <v>4306798.7818400692</v>
      </c>
      <c r="F212" s="124">
        <v>4031364.1714360765</v>
      </c>
    </row>
    <row r="213" spans="1:6" ht="14.25" x14ac:dyDescent="0.2">
      <c r="A213" s="65" t="s">
        <v>35</v>
      </c>
      <c r="B213" s="62">
        <v>8201</v>
      </c>
      <c r="C213" s="63" t="s">
        <v>8</v>
      </c>
      <c r="D213" s="124">
        <v>124506.14000000001</v>
      </c>
      <c r="E213" s="124">
        <v>745259.26000000024</v>
      </c>
      <c r="F213" s="124">
        <v>600229.34</v>
      </c>
    </row>
    <row r="214" spans="1:6" ht="14.25" x14ac:dyDescent="0.2">
      <c r="A214" s="65" t="s">
        <v>35</v>
      </c>
      <c r="B214" s="62">
        <v>8201</v>
      </c>
      <c r="C214" s="63" t="s">
        <v>9</v>
      </c>
      <c r="D214" s="124">
        <v>123214.53</v>
      </c>
      <c r="E214" s="124">
        <v>3709665.33</v>
      </c>
      <c r="F214" s="124">
        <v>2927825.7600000002</v>
      </c>
    </row>
    <row r="215" spans="1:6" ht="14.25" x14ac:dyDescent="0.2">
      <c r="A215" s="65" t="s">
        <v>35</v>
      </c>
      <c r="B215" s="62">
        <v>8201</v>
      </c>
      <c r="C215" s="63" t="s">
        <v>10</v>
      </c>
      <c r="D215" s="124">
        <v>0</v>
      </c>
      <c r="E215" s="124">
        <v>2613314.81</v>
      </c>
      <c r="F215" s="124">
        <v>2295834.12</v>
      </c>
    </row>
    <row r="216" spans="1:6" ht="14.25" x14ac:dyDescent="0.2">
      <c r="A216" s="65" t="s">
        <v>35</v>
      </c>
      <c r="B216" s="62">
        <v>8201</v>
      </c>
      <c r="C216" s="63" t="s">
        <v>11</v>
      </c>
      <c r="D216" s="124"/>
      <c r="E216" s="124">
        <v>397115.53097040002</v>
      </c>
      <c r="F216" s="124">
        <v>295429.52948799997</v>
      </c>
    </row>
    <row r="217" spans="1:6" ht="14.25" x14ac:dyDescent="0.2">
      <c r="A217" s="65" t="s">
        <v>35</v>
      </c>
      <c r="B217" s="62">
        <v>8201</v>
      </c>
      <c r="C217" s="63" t="s">
        <v>12</v>
      </c>
      <c r="D217" s="124">
        <v>16503</v>
      </c>
      <c r="E217" s="124">
        <v>35792.800000000003</v>
      </c>
      <c r="F217" s="124">
        <v>64729.8</v>
      </c>
    </row>
    <row r="218" spans="1:6" ht="14.25" x14ac:dyDescent="0.2">
      <c r="A218" s="65" t="s">
        <v>35</v>
      </c>
      <c r="B218" s="62">
        <v>8201</v>
      </c>
      <c r="C218" s="63" t="s">
        <v>13</v>
      </c>
      <c r="D218" s="125">
        <v>4215.9999999999727</v>
      </c>
      <c r="E218" s="125">
        <v>43306.99999999626</v>
      </c>
      <c r="F218" s="125">
        <v>40441.99999999757</v>
      </c>
    </row>
    <row r="219" spans="1:6" ht="14.25" x14ac:dyDescent="0.2">
      <c r="A219" s="65" t="s">
        <v>35</v>
      </c>
      <c r="B219" s="62">
        <v>8201</v>
      </c>
      <c r="C219" s="63" t="s">
        <v>14</v>
      </c>
      <c r="D219" s="125">
        <v>4377.9999999999782</v>
      </c>
      <c r="E219" s="125">
        <v>53964.999999999032</v>
      </c>
      <c r="F219" s="125">
        <v>50151.999999999214</v>
      </c>
    </row>
    <row r="220" spans="1:6" ht="14.25" x14ac:dyDescent="0.2">
      <c r="A220" s="65" t="s">
        <v>35</v>
      </c>
      <c r="B220" s="62">
        <v>8201</v>
      </c>
      <c r="C220" s="63" t="s">
        <v>15</v>
      </c>
      <c r="D220" s="125">
        <v>663</v>
      </c>
      <c r="E220" s="125">
        <v>3777</v>
      </c>
      <c r="F220" s="125">
        <v>3559</v>
      </c>
    </row>
    <row r="221" spans="1:6" ht="14.25" x14ac:dyDescent="0.2">
      <c r="A221" s="65" t="s">
        <v>35</v>
      </c>
      <c r="B221" s="62">
        <v>8201</v>
      </c>
      <c r="C221" s="63" t="s">
        <v>16</v>
      </c>
      <c r="D221" s="126">
        <v>6.3589743589743177</v>
      </c>
      <c r="E221" s="126">
        <v>11.465978289646879</v>
      </c>
      <c r="F221" s="126">
        <v>11.363304298959699</v>
      </c>
    </row>
    <row r="222" spans="1:6" ht="14.25" x14ac:dyDescent="0.2">
      <c r="A222" s="65" t="s">
        <v>35</v>
      </c>
      <c r="B222" s="62">
        <v>8201</v>
      </c>
      <c r="C222" s="63" t="s">
        <v>17</v>
      </c>
      <c r="D222" s="126">
        <v>6.6033182503770407</v>
      </c>
      <c r="E222" s="126">
        <v>14.287794545935672</v>
      </c>
      <c r="F222" s="126">
        <v>14.091598763697448</v>
      </c>
    </row>
    <row r="223" spans="1:6" ht="14.25" x14ac:dyDescent="0.2">
      <c r="A223" s="65" t="s">
        <v>35</v>
      </c>
      <c r="B223" s="62">
        <v>8201</v>
      </c>
      <c r="C223" s="63" t="s">
        <v>18</v>
      </c>
      <c r="D223" s="123">
        <v>1573.7923076923078</v>
      </c>
      <c r="E223" s="123">
        <v>3066.3276409849086</v>
      </c>
      <c r="F223" s="123">
        <v>3044.607333520652</v>
      </c>
    </row>
    <row r="224" spans="1:6" ht="14.25" x14ac:dyDescent="0.2">
      <c r="A224" s="65" t="s">
        <v>35</v>
      </c>
      <c r="B224" s="62">
        <v>8201</v>
      </c>
      <c r="C224" s="63" t="s">
        <v>19</v>
      </c>
      <c r="D224" s="123">
        <v>144.68288084464555</v>
      </c>
      <c r="E224" s="123">
        <v>1018.8962933545143</v>
      </c>
      <c r="F224" s="123">
        <v>1019.7541163248105</v>
      </c>
    </row>
    <row r="225" spans="1:6" ht="14.25" x14ac:dyDescent="0.2">
      <c r="A225" s="65" t="s">
        <v>35</v>
      </c>
      <c r="B225" s="62">
        <v>8201</v>
      </c>
      <c r="C225" s="63" t="s">
        <v>20</v>
      </c>
      <c r="D225" s="124">
        <v>1429.1094268476622</v>
      </c>
      <c r="E225" s="124">
        <v>2047.4313476303942</v>
      </c>
      <c r="F225" s="124">
        <v>2024.8532171958414</v>
      </c>
    </row>
    <row r="226" spans="1:6" ht="14.25" x14ac:dyDescent="0.2">
      <c r="A226" s="65" t="s">
        <v>35</v>
      </c>
      <c r="B226" s="62">
        <v>8201</v>
      </c>
      <c r="C226" s="63" t="s">
        <v>21</v>
      </c>
      <c r="D226" s="123">
        <v>29.200603318250376</v>
      </c>
      <c r="E226" s="123">
        <v>156.7625099285147</v>
      </c>
      <c r="F226" s="123">
        <v>162.2112953076707</v>
      </c>
    </row>
    <row r="227" spans="1:6" ht="14.25" x14ac:dyDescent="0.2">
      <c r="A227" s="65" t="s">
        <v>35</v>
      </c>
      <c r="B227" s="62">
        <v>8201</v>
      </c>
      <c r="C227" s="63" t="s">
        <v>22</v>
      </c>
      <c r="D227" s="123">
        <v>1458.3100301659126</v>
      </c>
      <c r="E227" s="123">
        <v>2204.1938575589088</v>
      </c>
      <c r="F227" s="123">
        <v>2187.0645125035121</v>
      </c>
    </row>
    <row r="228" spans="1:6" ht="14.25" x14ac:dyDescent="0.2">
      <c r="A228" s="65" t="s">
        <v>35</v>
      </c>
      <c r="B228" s="62">
        <v>8201</v>
      </c>
      <c r="C228" s="63" t="s">
        <v>23</v>
      </c>
      <c r="D228" s="123">
        <v>29.95475113122172</v>
      </c>
      <c r="E228" s="123">
        <v>30.103256552819698</v>
      </c>
      <c r="F228" s="123">
        <v>29.915706659173924</v>
      </c>
    </row>
    <row r="229" spans="1:6" ht="14.25" x14ac:dyDescent="0.2">
      <c r="A229" s="65" t="s">
        <v>35</v>
      </c>
      <c r="B229" s="62">
        <v>8201</v>
      </c>
      <c r="C229" s="63" t="s">
        <v>24</v>
      </c>
      <c r="D229" s="123">
        <v>1488.2647812971343</v>
      </c>
      <c r="E229" s="123">
        <v>2234.2971141117287</v>
      </c>
      <c r="F229" s="123">
        <v>2216.9802191626859</v>
      </c>
    </row>
    <row r="230" spans="1:6" ht="14.25" x14ac:dyDescent="0.2">
      <c r="A230" s="65" t="s">
        <v>35</v>
      </c>
      <c r="B230" s="62">
        <v>8201</v>
      </c>
      <c r="C230" s="63" t="s">
        <v>25</v>
      </c>
      <c r="D230" s="124">
        <v>216.42292142530945</v>
      </c>
      <c r="E230" s="124">
        <v>143.29932734179818</v>
      </c>
      <c r="F230" s="124">
        <v>143.69222762801309</v>
      </c>
    </row>
    <row r="231" spans="1:6" ht="14.25" x14ac:dyDescent="0.2">
      <c r="A231" s="65" t="s">
        <v>35</v>
      </c>
      <c r="B231" s="62">
        <v>8201</v>
      </c>
      <c r="C231" s="63" t="s">
        <v>26</v>
      </c>
      <c r="D231" s="127">
        <v>9.1932639483285936E-2</v>
      </c>
      <c r="E231" s="127">
        <v>0.33228552609180523</v>
      </c>
      <c r="F231" s="127">
        <v>0.33493781122362704</v>
      </c>
    </row>
    <row r="232" spans="1:6" ht="14.25" x14ac:dyDescent="0.2">
      <c r="A232" s="65" t="s">
        <v>35</v>
      </c>
      <c r="B232" s="62">
        <v>8201</v>
      </c>
      <c r="C232" s="63" t="s">
        <v>27</v>
      </c>
      <c r="D232" s="127">
        <v>9.0257966738876358E-2</v>
      </c>
      <c r="E232" s="127">
        <v>0.31612404420824508</v>
      </c>
      <c r="F232" s="127">
        <v>0.31799556955218228</v>
      </c>
    </row>
    <row r="233" spans="1:6" ht="14.25" x14ac:dyDescent="0.2">
      <c r="A233" s="65" t="s">
        <v>35</v>
      </c>
      <c r="B233" s="62">
        <v>8201</v>
      </c>
      <c r="C233" s="63" t="s">
        <v>28</v>
      </c>
      <c r="D233" s="125">
        <v>663</v>
      </c>
      <c r="E233" s="125">
        <v>3777</v>
      </c>
      <c r="F233" s="125">
        <v>3559</v>
      </c>
    </row>
    <row r="234" spans="1:6" ht="14.25" x14ac:dyDescent="0.2">
      <c r="A234" s="65" t="s">
        <v>41</v>
      </c>
      <c r="B234" s="62">
        <v>8202</v>
      </c>
      <c r="C234" s="63" t="s">
        <v>0</v>
      </c>
      <c r="D234" s="123">
        <v>1304120.05</v>
      </c>
      <c r="E234" s="123">
        <v>21774642</v>
      </c>
      <c r="F234" s="123">
        <v>19616036</v>
      </c>
    </row>
    <row r="235" spans="1:6" ht="14.25" x14ac:dyDescent="0.2">
      <c r="A235" s="64" t="s">
        <v>41</v>
      </c>
      <c r="B235" s="62">
        <v>8202</v>
      </c>
      <c r="C235" s="63" t="s">
        <v>1</v>
      </c>
      <c r="D235" s="123">
        <v>91861.950000000012</v>
      </c>
      <c r="E235" s="123">
        <v>9422475.8000000007</v>
      </c>
      <c r="F235" s="123">
        <v>8663660</v>
      </c>
    </row>
    <row r="236" spans="1:6" ht="14.25" x14ac:dyDescent="0.2">
      <c r="A236" s="64" t="s">
        <v>41</v>
      </c>
      <c r="B236" s="62">
        <v>8202</v>
      </c>
      <c r="C236" s="63" t="s">
        <v>2</v>
      </c>
      <c r="D236" s="123">
        <v>1212258.1000000001</v>
      </c>
      <c r="E236" s="123">
        <v>12352166.199999999</v>
      </c>
      <c r="F236" s="123">
        <v>10952376</v>
      </c>
    </row>
    <row r="237" spans="1:6" ht="14.25" x14ac:dyDescent="0.2">
      <c r="A237" s="64" t="s">
        <v>41</v>
      </c>
      <c r="B237" s="62">
        <v>8202</v>
      </c>
      <c r="C237" s="63" t="s">
        <v>3</v>
      </c>
      <c r="D237" s="123">
        <v>6447</v>
      </c>
      <c r="E237" s="123">
        <v>238967</v>
      </c>
      <c r="F237" s="123">
        <v>231498</v>
      </c>
    </row>
    <row r="238" spans="1:6" ht="14.25" x14ac:dyDescent="0.2">
      <c r="A238" s="64" t="s">
        <v>41</v>
      </c>
      <c r="B238" s="62">
        <v>8202</v>
      </c>
      <c r="C238" s="63" t="s">
        <v>4</v>
      </c>
      <c r="D238" s="123">
        <v>1218705.1000000001</v>
      </c>
      <c r="E238" s="123">
        <v>12591133.199999999</v>
      </c>
      <c r="F238" s="123">
        <v>11183874</v>
      </c>
    </row>
    <row r="239" spans="1:6" ht="14.25" x14ac:dyDescent="0.2">
      <c r="A239" s="64" t="s">
        <v>41</v>
      </c>
      <c r="B239" s="62">
        <v>8202</v>
      </c>
      <c r="C239" s="63" t="s">
        <v>5</v>
      </c>
      <c r="D239" s="123">
        <v>6690</v>
      </c>
      <c r="E239" s="123">
        <v>45450</v>
      </c>
      <c r="F239" s="123">
        <v>40020</v>
      </c>
    </row>
    <row r="240" spans="1:6" ht="14.25" x14ac:dyDescent="0.2">
      <c r="A240" s="64" t="s">
        <v>41</v>
      </c>
      <c r="B240" s="62">
        <v>8202</v>
      </c>
      <c r="C240" s="63" t="s">
        <v>6</v>
      </c>
      <c r="D240" s="123">
        <v>1225395.1000000001</v>
      </c>
      <c r="E240" s="123">
        <v>12636583.199999999</v>
      </c>
      <c r="F240" s="123">
        <v>11223894</v>
      </c>
    </row>
    <row r="241" spans="1:6" ht="14.25" x14ac:dyDescent="0.2">
      <c r="A241" s="64" t="s">
        <v>41</v>
      </c>
      <c r="B241" s="62">
        <v>8202</v>
      </c>
      <c r="C241" s="63" t="s">
        <v>7</v>
      </c>
      <c r="D241" s="124">
        <v>73214.797357999953</v>
      </c>
      <c r="E241" s="124">
        <v>1740570.446248031</v>
      </c>
      <c r="F241" s="124">
        <v>1529994.7829160222</v>
      </c>
    </row>
    <row r="242" spans="1:6" ht="14.25" x14ac:dyDescent="0.2">
      <c r="A242" s="64" t="s">
        <v>41</v>
      </c>
      <c r="B242" s="62">
        <v>8202</v>
      </c>
      <c r="C242" s="63" t="s">
        <v>8</v>
      </c>
      <c r="D242" s="124">
        <v>42891.369999999995</v>
      </c>
      <c r="E242" s="124">
        <v>286760.08999999997</v>
      </c>
      <c r="F242" s="124">
        <v>215270.19</v>
      </c>
    </row>
    <row r="243" spans="1:6" ht="14.25" x14ac:dyDescent="0.2">
      <c r="A243" s="64" t="s">
        <v>41</v>
      </c>
      <c r="B243" s="62">
        <v>8202</v>
      </c>
      <c r="C243" s="63" t="s">
        <v>9</v>
      </c>
      <c r="D243" s="124">
        <v>28477.699999999997</v>
      </c>
      <c r="E243" s="124">
        <v>1749607.9999999998</v>
      </c>
      <c r="F243" s="124">
        <v>1398731.5100000002</v>
      </c>
    </row>
    <row r="244" spans="1:6" ht="14.25" x14ac:dyDescent="0.2">
      <c r="A244" s="64" t="s">
        <v>41</v>
      </c>
      <c r="B244" s="62">
        <v>8202</v>
      </c>
      <c r="C244" s="63" t="s">
        <v>10</v>
      </c>
      <c r="D244" s="124">
        <v>0</v>
      </c>
      <c r="E244" s="124">
        <v>1581106.2699999998</v>
      </c>
      <c r="F244" s="124">
        <v>1282311.71</v>
      </c>
    </row>
    <row r="245" spans="1:6" ht="14.25" x14ac:dyDescent="0.2">
      <c r="A245" s="64" t="s">
        <v>41</v>
      </c>
      <c r="B245" s="62">
        <v>8202</v>
      </c>
      <c r="C245" s="63" t="s">
        <v>11</v>
      </c>
      <c r="D245" s="124"/>
      <c r="E245" s="124">
        <v>201848.7781728</v>
      </c>
      <c r="F245" s="124">
        <v>146982.77041200001</v>
      </c>
    </row>
    <row r="246" spans="1:6" ht="14.25" x14ac:dyDescent="0.2">
      <c r="A246" s="64" t="s">
        <v>41</v>
      </c>
      <c r="B246" s="62">
        <v>8202</v>
      </c>
      <c r="C246" s="63" t="s">
        <v>12</v>
      </c>
      <c r="D246" s="124">
        <v>26878</v>
      </c>
      <c r="E246" s="124">
        <v>424862.80000000005</v>
      </c>
      <c r="F246" s="124">
        <v>366664</v>
      </c>
    </row>
    <row r="247" spans="1:6" ht="14.25" x14ac:dyDescent="0.2">
      <c r="A247" s="64" t="s">
        <v>41</v>
      </c>
      <c r="B247" s="62">
        <v>8202</v>
      </c>
      <c r="C247" s="63" t="s">
        <v>13</v>
      </c>
      <c r="D247" s="125">
        <v>1242.0000000000014</v>
      </c>
      <c r="E247" s="125">
        <v>17621.000000000313</v>
      </c>
      <c r="F247" s="125">
        <v>15371.000000000069</v>
      </c>
    </row>
    <row r="248" spans="1:6" ht="14.25" x14ac:dyDescent="0.2">
      <c r="A248" s="64" t="s">
        <v>41</v>
      </c>
      <c r="B248" s="62">
        <v>8202</v>
      </c>
      <c r="C248" s="63" t="s">
        <v>14</v>
      </c>
      <c r="D248" s="125">
        <v>1282.0000000000009</v>
      </c>
      <c r="E248" s="125">
        <v>22670.999999999782</v>
      </c>
      <c r="F248" s="125">
        <v>19778.99999999996</v>
      </c>
    </row>
    <row r="249" spans="1:6" ht="14.25" x14ac:dyDescent="0.2">
      <c r="A249" s="64" t="s">
        <v>41</v>
      </c>
      <c r="B249" s="62">
        <v>8202</v>
      </c>
      <c r="C249" s="63" t="s">
        <v>15</v>
      </c>
      <c r="D249" s="125">
        <v>225</v>
      </c>
      <c r="E249" s="125">
        <v>1502</v>
      </c>
      <c r="F249" s="125">
        <v>1326</v>
      </c>
    </row>
    <row r="250" spans="1:6" ht="14.25" x14ac:dyDescent="0.2">
      <c r="A250" s="64" t="s">
        <v>41</v>
      </c>
      <c r="B250" s="62">
        <v>8202</v>
      </c>
      <c r="C250" s="63" t="s">
        <v>16</v>
      </c>
      <c r="D250" s="126">
        <v>5.5200000000000058</v>
      </c>
      <c r="E250" s="126">
        <v>11.731691078562125</v>
      </c>
      <c r="F250" s="126">
        <v>11.592006033182557</v>
      </c>
    </row>
    <row r="251" spans="1:6" ht="14.25" x14ac:dyDescent="0.2">
      <c r="A251" s="64" t="s">
        <v>41</v>
      </c>
      <c r="B251" s="62">
        <v>8202</v>
      </c>
      <c r="C251" s="63" t="s">
        <v>17</v>
      </c>
      <c r="D251" s="126">
        <v>5.697777777777782</v>
      </c>
      <c r="E251" s="126">
        <v>15.093874833555114</v>
      </c>
      <c r="F251" s="126">
        <v>14.916289592760151</v>
      </c>
    </row>
    <row r="252" spans="1:6" ht="14.25" x14ac:dyDescent="0.2">
      <c r="A252" s="64" t="s">
        <v>41</v>
      </c>
      <c r="B252" s="62">
        <v>8202</v>
      </c>
      <c r="C252" s="63" t="s">
        <v>18</v>
      </c>
      <c r="D252" s="123">
        <v>5796.0891111111114</v>
      </c>
      <c r="E252" s="123">
        <v>14497.098535286284</v>
      </c>
      <c r="F252" s="123">
        <v>14793.39064856712</v>
      </c>
    </row>
    <row r="253" spans="1:6" ht="14.25" x14ac:dyDescent="0.2">
      <c r="A253" s="64" t="s">
        <v>41</v>
      </c>
      <c r="B253" s="62">
        <v>8202</v>
      </c>
      <c r="C253" s="63" t="s">
        <v>19</v>
      </c>
      <c r="D253" s="123">
        <v>408.27533333333338</v>
      </c>
      <c r="E253" s="123">
        <v>6273.2861517976035</v>
      </c>
      <c r="F253" s="123">
        <v>6533.6802413272999</v>
      </c>
    </row>
    <row r="254" spans="1:6" ht="14.25" x14ac:dyDescent="0.2">
      <c r="A254" s="64" t="s">
        <v>41</v>
      </c>
      <c r="B254" s="62">
        <v>8202</v>
      </c>
      <c r="C254" s="63" t="s">
        <v>20</v>
      </c>
      <c r="D254" s="124">
        <v>5387.8137777777783</v>
      </c>
      <c r="E254" s="124">
        <v>8223.812383488681</v>
      </c>
      <c r="F254" s="124">
        <v>8259.7104072398197</v>
      </c>
    </row>
    <row r="255" spans="1:6" ht="14.25" x14ac:dyDescent="0.2">
      <c r="A255" s="64" t="s">
        <v>41</v>
      </c>
      <c r="B255" s="62">
        <v>8202</v>
      </c>
      <c r="C255" s="63" t="s">
        <v>21</v>
      </c>
      <c r="D255" s="123">
        <v>28.653333333333332</v>
      </c>
      <c r="E255" s="123">
        <v>159.09920106524635</v>
      </c>
      <c r="F255" s="123">
        <v>174.58371040723981</v>
      </c>
    </row>
    <row r="256" spans="1:6" ht="14.25" x14ac:dyDescent="0.2">
      <c r="A256" s="64" t="s">
        <v>41</v>
      </c>
      <c r="B256" s="62">
        <v>8202</v>
      </c>
      <c r="C256" s="63" t="s">
        <v>22</v>
      </c>
      <c r="D256" s="123">
        <v>5416.467111111112</v>
      </c>
      <c r="E256" s="123">
        <v>8382.9115845539272</v>
      </c>
      <c r="F256" s="123">
        <v>8434.2941176470595</v>
      </c>
    </row>
    <row r="257" spans="1:6" ht="14.25" x14ac:dyDescent="0.2">
      <c r="A257" s="64" t="s">
        <v>41</v>
      </c>
      <c r="B257" s="62">
        <v>8202</v>
      </c>
      <c r="C257" s="63" t="s">
        <v>23</v>
      </c>
      <c r="D257" s="123">
        <v>29.733333333333334</v>
      </c>
      <c r="E257" s="123">
        <v>30.259653794940078</v>
      </c>
      <c r="F257" s="123">
        <v>30.180995475113122</v>
      </c>
    </row>
    <row r="258" spans="1:6" ht="14.25" x14ac:dyDescent="0.2">
      <c r="A258" s="64" t="s">
        <v>41</v>
      </c>
      <c r="B258" s="62">
        <v>8202</v>
      </c>
      <c r="C258" s="63" t="s">
        <v>24</v>
      </c>
      <c r="D258" s="123">
        <v>5446.2004444444447</v>
      </c>
      <c r="E258" s="123">
        <v>8413.1712383488684</v>
      </c>
      <c r="F258" s="123">
        <v>8464.4751131221728</v>
      </c>
    </row>
    <row r="259" spans="1:6" ht="14.25" x14ac:dyDescent="0.2">
      <c r="A259" s="64" t="s">
        <v>41</v>
      </c>
      <c r="B259" s="62">
        <v>8202</v>
      </c>
      <c r="C259" s="63" t="s">
        <v>25</v>
      </c>
      <c r="D259" s="124">
        <v>945.59914196567797</v>
      </c>
      <c r="E259" s="124">
        <v>544.84434740417794</v>
      </c>
      <c r="F259" s="124">
        <v>553.7376004853644</v>
      </c>
    </row>
    <row r="260" spans="1:6" ht="14.25" x14ac:dyDescent="0.2">
      <c r="A260" s="64" t="s">
        <v>41</v>
      </c>
      <c r="B260" s="62">
        <v>8202</v>
      </c>
      <c r="C260" s="63" t="s">
        <v>26</v>
      </c>
      <c r="D260" s="127">
        <v>7.0439795784138129E-2</v>
      </c>
      <c r="E260" s="127">
        <v>0.43272701337638531</v>
      </c>
      <c r="F260" s="127">
        <v>0.44166211766740232</v>
      </c>
    </row>
    <row r="261" spans="1:6" ht="14.25" x14ac:dyDescent="0.2">
      <c r="A261" s="64" t="s">
        <v>41</v>
      </c>
      <c r="B261" s="62">
        <v>8202</v>
      </c>
      <c r="C261" s="63" t="s">
        <v>27</v>
      </c>
      <c r="D261" s="127">
        <v>7.0093285192848395E-2</v>
      </c>
      <c r="E261" s="127">
        <v>0.42802957933885355</v>
      </c>
      <c r="F261" s="127">
        <v>0.436510651650729</v>
      </c>
    </row>
    <row r="262" spans="1:6" ht="14.25" x14ac:dyDescent="0.2">
      <c r="A262" s="64" t="s">
        <v>41</v>
      </c>
      <c r="B262" s="62">
        <v>8202</v>
      </c>
      <c r="C262" s="63" t="s">
        <v>28</v>
      </c>
      <c r="D262" s="125">
        <v>225</v>
      </c>
      <c r="E262" s="125">
        <v>1502</v>
      </c>
      <c r="F262" s="125">
        <v>1326</v>
      </c>
    </row>
    <row r="263" spans="1:6" ht="14.25" x14ac:dyDescent="0.2">
      <c r="A263" s="65" t="s">
        <v>37</v>
      </c>
      <c r="B263" s="62">
        <v>8203</v>
      </c>
      <c r="C263" s="63" t="s">
        <v>0</v>
      </c>
      <c r="D263" s="123">
        <v>154049</v>
      </c>
      <c r="E263" s="123">
        <v>2983396</v>
      </c>
      <c r="F263" s="123">
        <v>2694307</v>
      </c>
    </row>
    <row r="264" spans="1:6" ht="14.25" x14ac:dyDescent="0.2">
      <c r="A264" s="64" t="s">
        <v>37</v>
      </c>
      <c r="B264" s="62">
        <v>8203</v>
      </c>
      <c r="C264" s="63" t="s">
        <v>1</v>
      </c>
      <c r="D264" s="123">
        <v>8252</v>
      </c>
      <c r="E264" s="123">
        <v>326381.96000000002</v>
      </c>
      <c r="F264" s="123">
        <v>295952.90000000008</v>
      </c>
    </row>
    <row r="265" spans="1:6" ht="14.25" x14ac:dyDescent="0.2">
      <c r="A265" s="64" t="s">
        <v>37</v>
      </c>
      <c r="B265" s="62">
        <v>8203</v>
      </c>
      <c r="C265" s="63" t="s">
        <v>2</v>
      </c>
      <c r="D265" s="123">
        <v>145797</v>
      </c>
      <c r="E265" s="123">
        <v>2657014.04</v>
      </c>
      <c r="F265" s="123">
        <v>2398354.1</v>
      </c>
    </row>
    <row r="266" spans="1:6" ht="14.25" x14ac:dyDescent="0.2">
      <c r="A266" s="64" t="s">
        <v>37</v>
      </c>
      <c r="B266" s="62">
        <v>8203</v>
      </c>
      <c r="C266" s="63" t="s">
        <v>3</v>
      </c>
      <c r="D266" s="123">
        <v>2945</v>
      </c>
      <c r="E266" s="123">
        <v>55206</v>
      </c>
      <c r="F266" s="123">
        <v>55859</v>
      </c>
    </row>
    <row r="267" spans="1:6" ht="14.25" x14ac:dyDescent="0.2">
      <c r="A267" s="64" t="s">
        <v>37</v>
      </c>
      <c r="B267" s="62">
        <v>8203</v>
      </c>
      <c r="C267" s="63" t="s">
        <v>4</v>
      </c>
      <c r="D267" s="123">
        <v>148742</v>
      </c>
      <c r="E267" s="123">
        <v>2712220.04</v>
      </c>
      <c r="F267" s="123">
        <v>2454213.1</v>
      </c>
    </row>
    <row r="268" spans="1:6" ht="14.25" x14ac:dyDescent="0.2">
      <c r="A268" s="64" t="s">
        <v>37</v>
      </c>
      <c r="B268" s="62">
        <v>8203</v>
      </c>
      <c r="C268" s="63" t="s">
        <v>5</v>
      </c>
      <c r="D268" s="123">
        <v>2250</v>
      </c>
      <c r="E268" s="123">
        <v>18870</v>
      </c>
      <c r="F268" s="123">
        <v>17010</v>
      </c>
    </row>
    <row r="269" spans="1:6" ht="14.25" x14ac:dyDescent="0.2">
      <c r="A269" s="64" t="s">
        <v>37</v>
      </c>
      <c r="B269" s="62">
        <v>8203</v>
      </c>
      <c r="C269" s="63" t="s">
        <v>6</v>
      </c>
      <c r="D269" s="123">
        <v>150992</v>
      </c>
      <c r="E269" s="123">
        <v>2731090.04</v>
      </c>
      <c r="F269" s="123">
        <v>2471223.1</v>
      </c>
    </row>
    <row r="270" spans="1:6" ht="14.25" x14ac:dyDescent="0.2">
      <c r="A270" s="64" t="s">
        <v>37</v>
      </c>
      <c r="B270" s="62">
        <v>8203</v>
      </c>
      <c r="C270" s="63" t="s">
        <v>7</v>
      </c>
      <c r="D270" s="124">
        <v>33080.922786000003</v>
      </c>
      <c r="E270" s="124">
        <v>731599.22064799792</v>
      </c>
      <c r="F270" s="124">
        <v>658770.35573199822</v>
      </c>
    </row>
    <row r="271" spans="1:6" ht="14.25" x14ac:dyDescent="0.2">
      <c r="A271" s="64" t="s">
        <v>37</v>
      </c>
      <c r="B271" s="62">
        <v>8203</v>
      </c>
      <c r="C271" s="63" t="s">
        <v>8</v>
      </c>
      <c r="D271" s="124">
        <v>11746.22</v>
      </c>
      <c r="E271" s="124">
        <v>123510.79000000001</v>
      </c>
      <c r="F271" s="124">
        <v>91005.83</v>
      </c>
    </row>
    <row r="272" spans="1:6" ht="14.25" x14ac:dyDescent="0.2">
      <c r="A272" s="64" t="s">
        <v>37</v>
      </c>
      <c r="B272" s="62">
        <v>8203</v>
      </c>
      <c r="C272" s="63" t="s">
        <v>9</v>
      </c>
      <c r="D272" s="124">
        <v>1400.1100000000001</v>
      </c>
      <c r="E272" s="124">
        <v>854130.26</v>
      </c>
      <c r="F272" s="124">
        <v>776891.89</v>
      </c>
    </row>
    <row r="273" spans="1:6" ht="14.25" x14ac:dyDescent="0.2">
      <c r="A273" s="64" t="s">
        <v>37</v>
      </c>
      <c r="B273" s="62">
        <v>8203</v>
      </c>
      <c r="C273" s="63" t="s">
        <v>10</v>
      </c>
      <c r="D273" s="124">
        <v>0</v>
      </c>
      <c r="E273" s="124">
        <v>797122.88</v>
      </c>
      <c r="F273" s="124">
        <v>735250.32000000007</v>
      </c>
    </row>
    <row r="274" spans="1:6" ht="14.25" x14ac:dyDescent="0.2">
      <c r="A274" s="64" t="s">
        <v>37</v>
      </c>
      <c r="B274" s="62">
        <v>8203</v>
      </c>
      <c r="C274" s="63" t="s">
        <v>11</v>
      </c>
      <c r="D274" s="124"/>
      <c r="E274" s="124">
        <v>74596.287585600003</v>
      </c>
      <c r="F274" s="124">
        <v>68740.332929599987</v>
      </c>
    </row>
    <row r="275" spans="1:6" ht="14.25" x14ac:dyDescent="0.2">
      <c r="A275" s="64" t="s">
        <v>37</v>
      </c>
      <c r="B275" s="62">
        <v>8203</v>
      </c>
      <c r="C275" s="63" t="s">
        <v>12</v>
      </c>
      <c r="D275" s="124">
        <v>12825</v>
      </c>
      <c r="E275" s="124">
        <v>185675.4</v>
      </c>
      <c r="F275" s="124">
        <v>185236.19999999998</v>
      </c>
    </row>
    <row r="276" spans="1:6" ht="14.25" x14ac:dyDescent="0.2">
      <c r="A276" s="64" t="s">
        <v>37</v>
      </c>
      <c r="B276" s="62">
        <v>8203</v>
      </c>
      <c r="C276" s="63" t="s">
        <v>13</v>
      </c>
      <c r="D276" s="125">
        <v>413.00000000000057</v>
      </c>
      <c r="E276" s="125">
        <v>7424.0000000000073</v>
      </c>
      <c r="F276" s="125">
        <v>6657.9999999999845</v>
      </c>
    </row>
    <row r="277" spans="1:6" ht="14.25" x14ac:dyDescent="0.2">
      <c r="A277" s="64" t="s">
        <v>37</v>
      </c>
      <c r="B277" s="62">
        <v>8203</v>
      </c>
      <c r="C277" s="63" t="s">
        <v>14</v>
      </c>
      <c r="D277" s="125">
        <v>429.00000000000136</v>
      </c>
      <c r="E277" s="125">
        <v>9857.0000000000291</v>
      </c>
      <c r="F277" s="125">
        <v>8865.9999999999909</v>
      </c>
    </row>
    <row r="278" spans="1:6" ht="14.25" x14ac:dyDescent="0.2">
      <c r="A278" s="64" t="s">
        <v>37</v>
      </c>
      <c r="B278" s="62">
        <v>8203</v>
      </c>
      <c r="C278" s="63" t="s">
        <v>15</v>
      </c>
      <c r="D278" s="125">
        <v>75</v>
      </c>
      <c r="E278" s="125">
        <v>624</v>
      </c>
      <c r="F278" s="125">
        <v>566</v>
      </c>
    </row>
    <row r="279" spans="1:6" ht="14.25" x14ac:dyDescent="0.2">
      <c r="A279" s="64" t="s">
        <v>37</v>
      </c>
      <c r="B279" s="62">
        <v>8203</v>
      </c>
      <c r="C279" s="63" t="s">
        <v>16</v>
      </c>
      <c r="D279" s="126">
        <v>5.5066666666666739</v>
      </c>
      <c r="E279" s="126">
        <v>11.897435897435908</v>
      </c>
      <c r="F279" s="126">
        <v>11.7632508833922</v>
      </c>
    </row>
    <row r="280" spans="1:6" ht="14.25" x14ac:dyDescent="0.2">
      <c r="A280" s="64" t="s">
        <v>37</v>
      </c>
      <c r="B280" s="62">
        <v>8203</v>
      </c>
      <c r="C280" s="63" t="s">
        <v>17</v>
      </c>
      <c r="D280" s="126">
        <v>5.7200000000000184</v>
      </c>
      <c r="E280" s="126">
        <v>15.796474358974406</v>
      </c>
      <c r="F280" s="126">
        <v>15.664310954063588</v>
      </c>
    </row>
    <row r="281" spans="1:6" ht="14.25" x14ac:dyDescent="0.2">
      <c r="A281" s="64" t="s">
        <v>37</v>
      </c>
      <c r="B281" s="62">
        <v>8203</v>
      </c>
      <c r="C281" s="63" t="s">
        <v>18</v>
      </c>
      <c r="D281" s="123">
        <v>2053.9866666666667</v>
      </c>
      <c r="E281" s="123">
        <v>4781.083333333333</v>
      </c>
      <c r="F281" s="123">
        <v>4760.2597173144877</v>
      </c>
    </row>
    <row r="282" spans="1:6" ht="14.25" x14ac:dyDescent="0.2">
      <c r="A282" s="64" t="s">
        <v>37</v>
      </c>
      <c r="B282" s="62">
        <v>8203</v>
      </c>
      <c r="C282" s="63" t="s">
        <v>19</v>
      </c>
      <c r="D282" s="123">
        <v>110.02666666666667</v>
      </c>
      <c r="E282" s="123">
        <v>523.04801282051289</v>
      </c>
      <c r="F282" s="123">
        <v>522.88498233215557</v>
      </c>
    </row>
    <row r="283" spans="1:6" ht="14.25" x14ac:dyDescent="0.2">
      <c r="A283" s="64" t="s">
        <v>37</v>
      </c>
      <c r="B283" s="62">
        <v>8203</v>
      </c>
      <c r="C283" s="63" t="s">
        <v>20</v>
      </c>
      <c r="D283" s="124">
        <v>1943.96</v>
      </c>
      <c r="E283" s="124">
        <v>4258.0353205128204</v>
      </c>
      <c r="F283" s="124">
        <v>4237.3747349823325</v>
      </c>
    </row>
    <row r="284" spans="1:6" ht="14.25" x14ac:dyDescent="0.2">
      <c r="A284" s="64" t="s">
        <v>37</v>
      </c>
      <c r="B284" s="62">
        <v>8203</v>
      </c>
      <c r="C284" s="63" t="s">
        <v>21</v>
      </c>
      <c r="D284" s="123">
        <v>39.266666666666666</v>
      </c>
      <c r="E284" s="123">
        <v>88.47115384615384</v>
      </c>
      <c r="F284" s="123">
        <v>98.690812720848058</v>
      </c>
    </row>
    <row r="285" spans="1:6" ht="14.25" x14ac:dyDescent="0.2">
      <c r="A285" s="64" t="s">
        <v>37</v>
      </c>
      <c r="B285" s="62">
        <v>8203</v>
      </c>
      <c r="C285" s="63" t="s">
        <v>22</v>
      </c>
      <c r="D285" s="123">
        <v>1983.2266666666667</v>
      </c>
      <c r="E285" s="123">
        <v>4346.5064743589746</v>
      </c>
      <c r="F285" s="123">
        <v>4336.0655477031805</v>
      </c>
    </row>
    <row r="286" spans="1:6" ht="14.25" x14ac:dyDescent="0.2">
      <c r="A286" s="64" t="s">
        <v>37</v>
      </c>
      <c r="B286" s="62">
        <v>8203</v>
      </c>
      <c r="C286" s="63" t="s">
        <v>23</v>
      </c>
      <c r="D286" s="123">
        <v>30</v>
      </c>
      <c r="E286" s="123">
        <v>30.240384615384617</v>
      </c>
      <c r="F286" s="123">
        <v>30.053003533568905</v>
      </c>
    </row>
    <row r="287" spans="1:6" ht="14.25" x14ac:dyDescent="0.2">
      <c r="A287" s="64" t="s">
        <v>37</v>
      </c>
      <c r="B287" s="62">
        <v>8203</v>
      </c>
      <c r="C287" s="63" t="s">
        <v>24</v>
      </c>
      <c r="D287" s="123">
        <v>2013.2266666666667</v>
      </c>
      <c r="E287" s="123">
        <v>4376.7468589743594</v>
      </c>
      <c r="F287" s="123">
        <v>4366.1185512367492</v>
      </c>
    </row>
    <row r="288" spans="1:6" ht="14.25" x14ac:dyDescent="0.2">
      <c r="A288" s="64" t="s">
        <v>37</v>
      </c>
      <c r="B288" s="62">
        <v>8203</v>
      </c>
      <c r="C288" s="63" t="s">
        <v>25</v>
      </c>
      <c r="D288" s="124">
        <v>339.85314685314574</v>
      </c>
      <c r="E288" s="124">
        <v>269.55605559500782</v>
      </c>
      <c r="F288" s="124">
        <v>270.51140311301629</v>
      </c>
    </row>
    <row r="289" spans="1:6" ht="14.25" x14ac:dyDescent="0.2">
      <c r="A289" s="64" t="s">
        <v>37</v>
      </c>
      <c r="B289" s="62">
        <v>8203</v>
      </c>
      <c r="C289" s="63" t="s">
        <v>26</v>
      </c>
      <c r="D289" s="127">
        <v>5.3567371420781697E-2</v>
      </c>
      <c r="E289" s="127">
        <v>0.1093994763015034</v>
      </c>
      <c r="F289" s="127">
        <v>0.1098437928565676</v>
      </c>
    </row>
    <row r="290" spans="1:6" ht="14.25" x14ac:dyDescent="0.2">
      <c r="A290" s="64" t="s">
        <v>37</v>
      </c>
      <c r="B290" s="62">
        <v>8203</v>
      </c>
      <c r="C290" s="63" t="s">
        <v>27</v>
      </c>
      <c r="D290" s="127">
        <v>5.2562518312801766E-2</v>
      </c>
      <c r="E290" s="127">
        <v>0.10741188217476327</v>
      </c>
      <c r="F290" s="127">
        <v>0.10761274046730274</v>
      </c>
    </row>
    <row r="291" spans="1:6" ht="14.25" x14ac:dyDescent="0.2">
      <c r="A291" s="64" t="s">
        <v>37</v>
      </c>
      <c r="B291" s="62">
        <v>8203</v>
      </c>
      <c r="C291" s="63" t="s">
        <v>28</v>
      </c>
      <c r="D291" s="125">
        <v>75</v>
      </c>
      <c r="E291" s="125">
        <v>624</v>
      </c>
      <c r="F291" s="125">
        <v>566</v>
      </c>
    </row>
    <row r="292" spans="1:6" ht="14.25" x14ac:dyDescent="0.2">
      <c r="A292" s="65" t="s">
        <v>32</v>
      </c>
      <c r="B292" s="62">
        <v>8204</v>
      </c>
      <c r="C292" s="63" t="s">
        <v>0</v>
      </c>
      <c r="D292" s="123">
        <v>366951.9000000002</v>
      </c>
      <c r="E292" s="123">
        <v>1935490</v>
      </c>
      <c r="F292" s="123">
        <v>1810812</v>
      </c>
    </row>
    <row r="293" spans="1:6" ht="14.25" x14ac:dyDescent="0.2">
      <c r="A293" s="64" t="s">
        <v>32</v>
      </c>
      <c r="B293" s="62">
        <v>8204</v>
      </c>
      <c r="C293" s="63" t="s">
        <v>1</v>
      </c>
      <c r="D293" s="123">
        <v>33432.949999999997</v>
      </c>
      <c r="E293" s="123">
        <v>502744</v>
      </c>
      <c r="F293" s="123">
        <v>494924</v>
      </c>
    </row>
    <row r="294" spans="1:6" ht="14.25" x14ac:dyDescent="0.2">
      <c r="A294" s="64" t="s">
        <v>32</v>
      </c>
      <c r="B294" s="62">
        <v>8204</v>
      </c>
      <c r="C294" s="63" t="s">
        <v>2</v>
      </c>
      <c r="D294" s="123">
        <v>333518.95000000019</v>
      </c>
      <c r="E294" s="123">
        <v>1432746</v>
      </c>
      <c r="F294" s="123">
        <v>1315888</v>
      </c>
    </row>
    <row r="295" spans="1:6" ht="14.25" x14ac:dyDescent="0.2">
      <c r="A295" s="64" t="s">
        <v>32</v>
      </c>
      <c r="B295" s="62">
        <v>8204</v>
      </c>
      <c r="C295" s="63" t="s">
        <v>3</v>
      </c>
      <c r="D295" s="123">
        <v>14137</v>
      </c>
      <c r="E295" s="123">
        <v>590395.5</v>
      </c>
      <c r="F295" s="123">
        <v>568423</v>
      </c>
    </row>
    <row r="296" spans="1:6" ht="14.25" x14ac:dyDescent="0.2">
      <c r="A296" s="64" t="s">
        <v>32</v>
      </c>
      <c r="B296" s="62">
        <v>8204</v>
      </c>
      <c r="C296" s="63" t="s">
        <v>4</v>
      </c>
      <c r="D296" s="123">
        <v>347655.95000000019</v>
      </c>
      <c r="E296" s="123">
        <v>2023141.5</v>
      </c>
      <c r="F296" s="123">
        <v>1884311</v>
      </c>
    </row>
    <row r="297" spans="1:6" ht="14.25" x14ac:dyDescent="0.2">
      <c r="A297" s="64" t="s">
        <v>32</v>
      </c>
      <c r="B297" s="62">
        <v>8204</v>
      </c>
      <c r="C297" s="63" t="s">
        <v>5</v>
      </c>
      <c r="D297" s="123">
        <v>7020</v>
      </c>
      <c r="E297" s="123">
        <v>20310</v>
      </c>
      <c r="F297" s="123">
        <v>18510</v>
      </c>
    </row>
    <row r="298" spans="1:6" ht="14.25" x14ac:dyDescent="0.2">
      <c r="A298" s="64" t="s">
        <v>32</v>
      </c>
      <c r="B298" s="62">
        <v>8204</v>
      </c>
      <c r="C298" s="63" t="s">
        <v>6</v>
      </c>
      <c r="D298" s="123">
        <v>354675.95000000019</v>
      </c>
      <c r="E298" s="123">
        <v>2043451.5</v>
      </c>
      <c r="F298" s="123">
        <v>1902821</v>
      </c>
    </row>
    <row r="299" spans="1:6" ht="14.25" x14ac:dyDescent="0.2">
      <c r="A299" s="64" t="s">
        <v>32</v>
      </c>
      <c r="B299" s="62">
        <v>8204</v>
      </c>
      <c r="C299" s="63" t="s">
        <v>7</v>
      </c>
      <c r="D299" s="124">
        <v>74297.700173999983</v>
      </c>
      <c r="E299" s="124">
        <v>674553.89217999799</v>
      </c>
      <c r="F299" s="124">
        <v>600148.72816399857</v>
      </c>
    </row>
    <row r="300" spans="1:6" ht="14.25" x14ac:dyDescent="0.2">
      <c r="A300" s="64" t="s">
        <v>32</v>
      </c>
      <c r="B300" s="62">
        <v>8204</v>
      </c>
      <c r="C300" s="63" t="s">
        <v>8</v>
      </c>
      <c r="D300" s="124">
        <v>58009.1</v>
      </c>
      <c r="E300" s="124">
        <v>206824.87</v>
      </c>
      <c r="F300" s="124">
        <v>169877.95</v>
      </c>
    </row>
    <row r="301" spans="1:6" ht="14.25" x14ac:dyDescent="0.2">
      <c r="A301" s="64" t="s">
        <v>32</v>
      </c>
      <c r="B301" s="62">
        <v>8204</v>
      </c>
      <c r="C301" s="63" t="s">
        <v>9</v>
      </c>
      <c r="D301" s="124">
        <v>28451</v>
      </c>
      <c r="E301" s="124">
        <v>276475.67000000004</v>
      </c>
      <c r="F301" s="124">
        <v>127650.42000000001</v>
      </c>
    </row>
    <row r="302" spans="1:6" ht="14.25" x14ac:dyDescent="0.2">
      <c r="A302" s="64" t="s">
        <v>32</v>
      </c>
      <c r="B302" s="62">
        <v>8204</v>
      </c>
      <c r="C302" s="63" t="s">
        <v>10</v>
      </c>
      <c r="D302" s="124">
        <v>0</v>
      </c>
      <c r="E302" s="124">
        <v>10398</v>
      </c>
      <c r="F302" s="124">
        <v>13864</v>
      </c>
    </row>
    <row r="303" spans="1:6" ht="14.25" x14ac:dyDescent="0.2">
      <c r="A303" s="64" t="s">
        <v>32</v>
      </c>
      <c r="B303" s="62">
        <v>8204</v>
      </c>
      <c r="C303" s="63" t="s">
        <v>11</v>
      </c>
      <c r="D303" s="124">
        <v>76.75</v>
      </c>
      <c r="E303" s="124">
        <v>153580.592088</v>
      </c>
      <c r="F303" s="124">
        <v>127248.541512</v>
      </c>
    </row>
    <row r="304" spans="1:6" ht="14.25" x14ac:dyDescent="0.2">
      <c r="A304" s="64" t="s">
        <v>32</v>
      </c>
      <c r="B304" s="62">
        <v>8204</v>
      </c>
      <c r="C304" s="63" t="s">
        <v>12</v>
      </c>
      <c r="D304" s="124">
        <v>4389</v>
      </c>
      <c r="E304" s="124">
        <v>7890</v>
      </c>
      <c r="F304" s="124">
        <v>7682</v>
      </c>
    </row>
    <row r="305" spans="1:6" ht="14.25" x14ac:dyDescent="0.2">
      <c r="A305" s="64" t="s">
        <v>32</v>
      </c>
      <c r="B305" s="62">
        <v>8204</v>
      </c>
      <c r="C305" s="63" t="s">
        <v>13</v>
      </c>
      <c r="D305" s="125">
        <v>1291.0000000000061</v>
      </c>
      <c r="E305" s="125">
        <v>5971.9999999999773</v>
      </c>
      <c r="F305" s="125">
        <v>5544.0000000000073</v>
      </c>
    </row>
    <row r="306" spans="1:6" ht="14.25" x14ac:dyDescent="0.2">
      <c r="A306" s="64" t="s">
        <v>32</v>
      </c>
      <c r="B306" s="62">
        <v>8204</v>
      </c>
      <c r="C306" s="63" t="s">
        <v>14</v>
      </c>
      <c r="D306" s="125">
        <v>1314.0000000000073</v>
      </c>
      <c r="E306" s="125">
        <v>7078.9999999999418</v>
      </c>
      <c r="F306" s="125">
        <v>6414.9999999999927</v>
      </c>
    </row>
    <row r="307" spans="1:6" ht="14.25" x14ac:dyDescent="0.2">
      <c r="A307" s="64" t="s">
        <v>32</v>
      </c>
      <c r="B307" s="62">
        <v>8204</v>
      </c>
      <c r="C307" s="63" t="s">
        <v>15</v>
      </c>
      <c r="D307" s="125">
        <v>241</v>
      </c>
      <c r="E307" s="125">
        <v>683</v>
      </c>
      <c r="F307" s="125">
        <v>657</v>
      </c>
    </row>
    <row r="308" spans="1:6" ht="14.25" x14ac:dyDescent="0.2">
      <c r="A308" s="64" t="s">
        <v>32</v>
      </c>
      <c r="B308" s="62">
        <v>8204</v>
      </c>
      <c r="C308" s="63" t="s">
        <v>16</v>
      </c>
      <c r="D308" s="126">
        <v>5.356846473029071</v>
      </c>
      <c r="E308" s="126">
        <v>8.7437774524157792</v>
      </c>
      <c r="F308" s="126">
        <v>8.4383561643835723</v>
      </c>
    </row>
    <row r="309" spans="1:6" ht="14.25" x14ac:dyDescent="0.2">
      <c r="A309" s="64" t="s">
        <v>32</v>
      </c>
      <c r="B309" s="62">
        <v>8204</v>
      </c>
      <c r="C309" s="63" t="s">
        <v>17</v>
      </c>
      <c r="D309" s="126">
        <v>5.4522821576763789</v>
      </c>
      <c r="E309" s="126">
        <v>10.364568081991131</v>
      </c>
      <c r="F309" s="126">
        <v>9.7640791476407802</v>
      </c>
    </row>
    <row r="310" spans="1:6" ht="14.25" x14ac:dyDescent="0.2">
      <c r="A310" s="64" t="s">
        <v>32</v>
      </c>
      <c r="B310" s="62">
        <v>8204</v>
      </c>
      <c r="C310" s="63" t="s">
        <v>18</v>
      </c>
      <c r="D310" s="123">
        <v>1522.6219917012456</v>
      </c>
      <c r="E310" s="123">
        <v>2833.8067349926791</v>
      </c>
      <c r="F310" s="123">
        <v>2756.1826484018266</v>
      </c>
    </row>
    <row r="311" spans="1:6" ht="14.25" x14ac:dyDescent="0.2">
      <c r="A311" s="64" t="s">
        <v>32</v>
      </c>
      <c r="B311" s="62">
        <v>8204</v>
      </c>
      <c r="C311" s="63" t="s">
        <v>19</v>
      </c>
      <c r="D311" s="123">
        <v>138.7259336099585</v>
      </c>
      <c r="E311" s="123">
        <v>736.08199121522694</v>
      </c>
      <c r="F311" s="123">
        <v>753.30898021308985</v>
      </c>
    </row>
    <row r="312" spans="1:6" ht="14.25" x14ac:dyDescent="0.2">
      <c r="A312" s="64" t="s">
        <v>32</v>
      </c>
      <c r="B312" s="62">
        <v>8204</v>
      </c>
      <c r="C312" s="63" t="s">
        <v>20</v>
      </c>
      <c r="D312" s="124">
        <v>1383.8960580912872</v>
      </c>
      <c r="E312" s="124">
        <v>2097.7247437774522</v>
      </c>
      <c r="F312" s="124">
        <v>2002.8736681887367</v>
      </c>
    </row>
    <row r="313" spans="1:6" ht="14.25" x14ac:dyDescent="0.2">
      <c r="A313" s="64" t="s">
        <v>32</v>
      </c>
      <c r="B313" s="62">
        <v>8204</v>
      </c>
      <c r="C313" s="63" t="s">
        <v>21</v>
      </c>
      <c r="D313" s="123">
        <v>58.6597510373444</v>
      </c>
      <c r="E313" s="123">
        <v>864.41508052708639</v>
      </c>
      <c r="F313" s="123">
        <v>865.17960426179604</v>
      </c>
    </row>
    <row r="314" spans="1:6" ht="14.25" x14ac:dyDescent="0.2">
      <c r="A314" s="64" t="s">
        <v>32</v>
      </c>
      <c r="B314" s="62">
        <v>8204</v>
      </c>
      <c r="C314" s="63" t="s">
        <v>22</v>
      </c>
      <c r="D314" s="123">
        <v>1442.5558091286316</v>
      </c>
      <c r="E314" s="123">
        <v>2962.1398243045387</v>
      </c>
      <c r="F314" s="123">
        <v>2868.0532724505329</v>
      </c>
    </row>
    <row r="315" spans="1:6" ht="14.25" x14ac:dyDescent="0.2">
      <c r="A315" s="64" t="s">
        <v>32</v>
      </c>
      <c r="B315" s="62">
        <v>8204</v>
      </c>
      <c r="C315" s="63" t="s">
        <v>23</v>
      </c>
      <c r="D315" s="123">
        <v>29.12863070539419</v>
      </c>
      <c r="E315" s="123">
        <v>29.736456808199122</v>
      </c>
      <c r="F315" s="123">
        <v>28.173515981735161</v>
      </c>
    </row>
    <row r="316" spans="1:6" ht="14.25" x14ac:dyDescent="0.2">
      <c r="A316" s="64" t="s">
        <v>32</v>
      </c>
      <c r="B316" s="62">
        <v>8204</v>
      </c>
      <c r="C316" s="63" t="s">
        <v>24</v>
      </c>
      <c r="D316" s="123">
        <v>1471.6844398340256</v>
      </c>
      <c r="E316" s="123">
        <v>2991.8762811127381</v>
      </c>
      <c r="F316" s="123">
        <v>2896.2267884322678</v>
      </c>
    </row>
    <row r="317" spans="1:6" ht="14.25" x14ac:dyDescent="0.2">
      <c r="A317" s="64" t="s">
        <v>32</v>
      </c>
      <c r="B317" s="62">
        <v>8204</v>
      </c>
      <c r="C317" s="63" t="s">
        <v>25</v>
      </c>
      <c r="D317" s="124">
        <v>253.8195966514447</v>
      </c>
      <c r="E317" s="124">
        <v>202.39384093798725</v>
      </c>
      <c r="F317" s="124">
        <v>205.12673421667989</v>
      </c>
    </row>
    <row r="318" spans="1:6" ht="14.25" x14ac:dyDescent="0.2">
      <c r="A318" s="64" t="s">
        <v>32</v>
      </c>
      <c r="B318" s="62">
        <v>8204</v>
      </c>
      <c r="C318" s="63" t="s">
        <v>26</v>
      </c>
      <c r="D318" s="127">
        <v>9.1109897509728061E-2</v>
      </c>
      <c r="E318" s="127">
        <v>0.25975024412422693</v>
      </c>
      <c r="F318" s="127">
        <v>0.27331605931482672</v>
      </c>
    </row>
    <row r="319" spans="1:6" ht="14.25" x14ac:dyDescent="0.2">
      <c r="A319" s="64" t="s">
        <v>32</v>
      </c>
      <c r="B319" s="62">
        <v>8204</v>
      </c>
      <c r="C319" s="63" t="s">
        <v>27</v>
      </c>
      <c r="D319" s="127">
        <v>8.7730054588312539E-2</v>
      </c>
      <c r="E319" s="127">
        <v>0.19903673385036655</v>
      </c>
      <c r="F319" s="127">
        <v>0.20801812347246068</v>
      </c>
    </row>
    <row r="320" spans="1:6" ht="14.25" x14ac:dyDescent="0.2">
      <c r="A320" s="64" t="s">
        <v>32</v>
      </c>
      <c r="B320" s="62">
        <v>8204</v>
      </c>
      <c r="C320" s="63" t="s">
        <v>28</v>
      </c>
      <c r="D320" s="125">
        <v>241</v>
      </c>
      <c r="E320" s="125">
        <v>683</v>
      </c>
      <c r="F320" s="125">
        <v>657</v>
      </c>
    </row>
    <row r="321" spans="1:6" ht="14.25" x14ac:dyDescent="0.2">
      <c r="A321" s="65" t="s">
        <v>42</v>
      </c>
      <c r="B321" s="62">
        <v>8205</v>
      </c>
      <c r="C321" s="63" t="s">
        <v>0</v>
      </c>
      <c r="D321" s="123">
        <v>357163.64999999991</v>
      </c>
      <c r="E321" s="123">
        <v>2312386</v>
      </c>
      <c r="F321" s="123">
        <v>1875249</v>
      </c>
    </row>
    <row r="322" spans="1:6" ht="14.25" x14ac:dyDescent="0.2">
      <c r="A322" s="64" t="s">
        <v>42</v>
      </c>
      <c r="B322" s="62">
        <v>8205</v>
      </c>
      <c r="C322" s="63" t="s">
        <v>1</v>
      </c>
      <c r="D322" s="123">
        <v>13413.449999999999</v>
      </c>
      <c r="E322" s="123">
        <v>517566.6</v>
      </c>
      <c r="F322" s="123">
        <v>465258.6</v>
      </c>
    </row>
    <row r="323" spans="1:6" ht="14.25" x14ac:dyDescent="0.2">
      <c r="A323" s="64" t="s">
        <v>42</v>
      </c>
      <c r="B323" s="62">
        <v>8205</v>
      </c>
      <c r="C323" s="63" t="s">
        <v>2</v>
      </c>
      <c r="D323" s="123">
        <v>343750.1999999999</v>
      </c>
      <c r="E323" s="123">
        <v>1794819.4</v>
      </c>
      <c r="F323" s="123">
        <v>1409990.4</v>
      </c>
    </row>
    <row r="324" spans="1:6" ht="14.25" x14ac:dyDescent="0.2">
      <c r="A324" s="64" t="s">
        <v>42</v>
      </c>
      <c r="B324" s="62">
        <v>8205</v>
      </c>
      <c r="C324" s="63" t="s">
        <v>3</v>
      </c>
      <c r="D324" s="123">
        <v>5235</v>
      </c>
      <c r="E324" s="123">
        <v>195752.5</v>
      </c>
      <c r="F324" s="123">
        <v>178450.5</v>
      </c>
    </row>
    <row r="325" spans="1:6" ht="14.25" x14ac:dyDescent="0.2">
      <c r="A325" s="64" t="s">
        <v>42</v>
      </c>
      <c r="B325" s="62">
        <v>8205</v>
      </c>
      <c r="C325" s="63" t="s">
        <v>4</v>
      </c>
      <c r="D325" s="123">
        <v>348985.1999999999</v>
      </c>
      <c r="E325" s="123">
        <v>1990571.9</v>
      </c>
      <c r="F325" s="123">
        <v>1588440.9</v>
      </c>
    </row>
    <row r="326" spans="1:6" ht="14.25" x14ac:dyDescent="0.2">
      <c r="A326" s="64" t="s">
        <v>42</v>
      </c>
      <c r="B326" s="62">
        <v>8205</v>
      </c>
      <c r="C326" s="63" t="s">
        <v>5</v>
      </c>
      <c r="D326" s="123">
        <v>1950</v>
      </c>
      <c r="E326" s="123">
        <v>8640</v>
      </c>
      <c r="F326" s="123">
        <v>7230</v>
      </c>
    </row>
    <row r="327" spans="1:6" ht="14.25" x14ac:dyDescent="0.2">
      <c r="A327" s="64" t="s">
        <v>42</v>
      </c>
      <c r="B327" s="62">
        <v>8205</v>
      </c>
      <c r="C327" s="63" t="s">
        <v>6</v>
      </c>
      <c r="D327" s="123">
        <v>350935.1999999999</v>
      </c>
      <c r="E327" s="123">
        <v>1999211.9</v>
      </c>
      <c r="F327" s="123">
        <v>1595670.9</v>
      </c>
    </row>
    <row r="328" spans="1:6" ht="14.25" x14ac:dyDescent="0.2">
      <c r="A328" s="64" t="s">
        <v>42</v>
      </c>
      <c r="B328" s="62">
        <v>8205</v>
      </c>
      <c r="C328" s="63" t="s">
        <v>7</v>
      </c>
      <c r="D328" s="124">
        <v>16787.950325000002</v>
      </c>
      <c r="E328" s="124">
        <v>290185.18200399977</v>
      </c>
      <c r="F328" s="124">
        <v>235954.45238399974</v>
      </c>
    </row>
    <row r="329" spans="1:6" ht="14.25" x14ac:dyDescent="0.2">
      <c r="A329" s="64" t="s">
        <v>42</v>
      </c>
      <c r="B329" s="62">
        <v>8205</v>
      </c>
      <c r="C329" s="63" t="s">
        <v>8</v>
      </c>
      <c r="D329" s="124">
        <v>10249.5</v>
      </c>
      <c r="E329" s="124">
        <v>77735.840000000011</v>
      </c>
      <c r="F329" s="124">
        <v>53535.75</v>
      </c>
    </row>
    <row r="330" spans="1:6" ht="14.25" x14ac:dyDescent="0.2">
      <c r="A330" s="64" t="s">
        <v>42</v>
      </c>
      <c r="B330" s="62">
        <v>8205</v>
      </c>
      <c r="C330" s="63" t="s">
        <v>9</v>
      </c>
      <c r="D330" s="124">
        <v>9931</v>
      </c>
      <c r="E330" s="124">
        <v>169988.41000000003</v>
      </c>
      <c r="F330" s="124">
        <v>59355.93</v>
      </c>
    </row>
    <row r="331" spans="1:6" ht="14.25" x14ac:dyDescent="0.2">
      <c r="A331" s="64" t="s">
        <v>42</v>
      </c>
      <c r="B331" s="62">
        <v>8205</v>
      </c>
      <c r="C331" s="63" t="s">
        <v>10</v>
      </c>
      <c r="D331" s="124">
        <v>0</v>
      </c>
      <c r="E331" s="124">
        <v>10398</v>
      </c>
      <c r="F331" s="124">
        <v>6932</v>
      </c>
    </row>
    <row r="332" spans="1:6" ht="14.25" x14ac:dyDescent="0.2">
      <c r="A332" s="64" t="s">
        <v>42</v>
      </c>
      <c r="B332" s="62">
        <v>8205</v>
      </c>
      <c r="C332" s="63" t="s">
        <v>11</v>
      </c>
      <c r="D332" s="124"/>
      <c r="E332" s="124">
        <v>168938.6512968</v>
      </c>
      <c r="F332" s="124">
        <v>146256.6996928</v>
      </c>
    </row>
    <row r="333" spans="1:6" ht="14.25" x14ac:dyDescent="0.2">
      <c r="A333" s="64" t="s">
        <v>42</v>
      </c>
      <c r="B333" s="62">
        <v>8205</v>
      </c>
      <c r="C333" s="63" t="s">
        <v>12</v>
      </c>
      <c r="D333" s="124">
        <v>5789</v>
      </c>
      <c r="E333" s="124">
        <v>60256</v>
      </c>
      <c r="F333" s="124">
        <v>50588</v>
      </c>
    </row>
    <row r="334" spans="1:6" ht="14.25" x14ac:dyDescent="0.2">
      <c r="A334" s="64" t="s">
        <v>42</v>
      </c>
      <c r="B334" s="62">
        <v>8205</v>
      </c>
      <c r="C334" s="63" t="s">
        <v>13</v>
      </c>
      <c r="D334" s="125">
        <v>316.99999999999977</v>
      </c>
      <c r="E334" s="125">
        <v>2481.9999999999968</v>
      </c>
      <c r="F334" s="125">
        <v>2041.9999999999932</v>
      </c>
    </row>
    <row r="335" spans="1:6" ht="14.25" x14ac:dyDescent="0.2">
      <c r="A335" s="64" t="s">
        <v>42</v>
      </c>
      <c r="B335" s="62">
        <v>8205</v>
      </c>
      <c r="C335" s="63" t="s">
        <v>14</v>
      </c>
      <c r="D335" s="125">
        <v>326.99999999999989</v>
      </c>
      <c r="E335" s="125">
        <v>2862.9999999999927</v>
      </c>
      <c r="F335" s="125">
        <v>2301.9999999999991</v>
      </c>
    </row>
    <row r="336" spans="1:6" ht="14.25" x14ac:dyDescent="0.2">
      <c r="A336" s="64" t="s">
        <v>42</v>
      </c>
      <c r="B336" s="62">
        <v>8205</v>
      </c>
      <c r="C336" s="63" t="s">
        <v>15</v>
      </c>
      <c r="D336" s="125">
        <v>65</v>
      </c>
      <c r="E336" s="125">
        <v>289</v>
      </c>
      <c r="F336" s="125">
        <v>243</v>
      </c>
    </row>
    <row r="337" spans="1:6" ht="14.25" x14ac:dyDescent="0.2">
      <c r="A337" s="64" t="s">
        <v>42</v>
      </c>
      <c r="B337" s="62">
        <v>8205</v>
      </c>
      <c r="C337" s="63" t="s">
        <v>16</v>
      </c>
      <c r="D337" s="126">
        <v>4.8769230769230738</v>
      </c>
      <c r="E337" s="126">
        <v>8.5882352941176361</v>
      </c>
      <c r="F337" s="126">
        <v>8.403292181069931</v>
      </c>
    </row>
    <row r="338" spans="1:6" ht="14.25" x14ac:dyDescent="0.2">
      <c r="A338" s="64" t="s">
        <v>42</v>
      </c>
      <c r="B338" s="62">
        <v>8205</v>
      </c>
      <c r="C338" s="63" t="s">
        <v>17</v>
      </c>
      <c r="D338" s="126">
        <v>5.0307692307692289</v>
      </c>
      <c r="E338" s="126">
        <v>9.9065743944636431</v>
      </c>
      <c r="F338" s="126">
        <v>9.4732510288065814</v>
      </c>
    </row>
    <row r="339" spans="1:6" ht="14.25" x14ac:dyDescent="0.2">
      <c r="A339" s="64" t="s">
        <v>42</v>
      </c>
      <c r="B339" s="62">
        <v>8205</v>
      </c>
      <c r="C339" s="63" t="s">
        <v>18</v>
      </c>
      <c r="D339" s="123">
        <v>5494.825384615383</v>
      </c>
      <c r="E339" s="123">
        <v>8001.3356401384081</v>
      </c>
      <c r="F339" s="123">
        <v>7717.0740740740739</v>
      </c>
    </row>
    <row r="340" spans="1:6" ht="14.25" x14ac:dyDescent="0.2">
      <c r="A340" s="64" t="s">
        <v>42</v>
      </c>
      <c r="B340" s="62">
        <v>8205</v>
      </c>
      <c r="C340" s="63" t="s">
        <v>19</v>
      </c>
      <c r="D340" s="123">
        <v>206.36076923076922</v>
      </c>
      <c r="E340" s="123">
        <v>1790.8878892733562</v>
      </c>
      <c r="F340" s="123">
        <v>1914.6444444444444</v>
      </c>
    </row>
    <row r="341" spans="1:6" ht="14.25" x14ac:dyDescent="0.2">
      <c r="A341" s="64" t="s">
        <v>42</v>
      </c>
      <c r="B341" s="62">
        <v>8205</v>
      </c>
      <c r="C341" s="63" t="s">
        <v>20</v>
      </c>
      <c r="D341" s="124">
        <v>5288.4646153846134</v>
      </c>
      <c r="E341" s="124">
        <v>6210.4477508650516</v>
      </c>
      <c r="F341" s="124">
        <v>5802.4296296296297</v>
      </c>
    </row>
    <row r="342" spans="1:6" ht="14.25" x14ac:dyDescent="0.2">
      <c r="A342" s="64" t="s">
        <v>42</v>
      </c>
      <c r="B342" s="62">
        <v>8205</v>
      </c>
      <c r="C342" s="63" t="s">
        <v>21</v>
      </c>
      <c r="D342" s="123">
        <v>80.538461538461533</v>
      </c>
      <c r="E342" s="123">
        <v>677.3442906574395</v>
      </c>
      <c r="F342" s="123">
        <v>734.3641975308642</v>
      </c>
    </row>
    <row r="343" spans="1:6" ht="14.25" x14ac:dyDescent="0.2">
      <c r="A343" s="64" t="s">
        <v>42</v>
      </c>
      <c r="B343" s="62">
        <v>8205</v>
      </c>
      <c r="C343" s="63" t="s">
        <v>22</v>
      </c>
      <c r="D343" s="123">
        <v>5369.0030769230752</v>
      </c>
      <c r="E343" s="123">
        <v>6887.7920415224908</v>
      </c>
      <c r="F343" s="123">
        <v>6536.7938271604944</v>
      </c>
    </row>
    <row r="344" spans="1:6" ht="14.25" x14ac:dyDescent="0.2">
      <c r="A344" s="64" t="s">
        <v>42</v>
      </c>
      <c r="B344" s="62">
        <v>8205</v>
      </c>
      <c r="C344" s="63" t="s">
        <v>23</v>
      </c>
      <c r="D344" s="123">
        <v>30</v>
      </c>
      <c r="E344" s="123">
        <v>29.896193771626297</v>
      </c>
      <c r="F344" s="123">
        <v>29.753086419753085</v>
      </c>
    </row>
    <row r="345" spans="1:6" ht="14.25" x14ac:dyDescent="0.2">
      <c r="A345" s="64" t="s">
        <v>42</v>
      </c>
      <c r="B345" s="62">
        <v>8205</v>
      </c>
      <c r="C345" s="63" t="s">
        <v>24</v>
      </c>
      <c r="D345" s="123">
        <v>5399.0030769230752</v>
      </c>
      <c r="E345" s="123">
        <v>6917.6882352941175</v>
      </c>
      <c r="F345" s="123">
        <v>6566.5469135802468</v>
      </c>
    </row>
    <row r="346" spans="1:6" ht="14.25" x14ac:dyDescent="0.2">
      <c r="A346" s="64" t="s">
        <v>42</v>
      </c>
      <c r="B346" s="62">
        <v>8205</v>
      </c>
      <c r="C346" s="63" t="s">
        <v>25</v>
      </c>
      <c r="D346" s="124">
        <v>1051.2238532110093</v>
      </c>
      <c r="E346" s="124">
        <v>626.90164163465056</v>
      </c>
      <c r="F346" s="124">
        <v>612.50668983492631</v>
      </c>
    </row>
    <row r="347" spans="1:6" ht="14.25" x14ac:dyDescent="0.2">
      <c r="A347" s="64" t="s">
        <v>42</v>
      </c>
      <c r="B347" s="62">
        <v>8205</v>
      </c>
      <c r="C347" s="63" t="s">
        <v>26</v>
      </c>
      <c r="D347" s="127">
        <v>3.7555473520331652E-2</v>
      </c>
      <c r="E347" s="127">
        <v>0.22382361768320685</v>
      </c>
      <c r="F347" s="127">
        <v>0.24810497165976358</v>
      </c>
    </row>
    <row r="348" spans="1:6" ht="14.25" x14ac:dyDescent="0.2">
      <c r="A348" s="64" t="s">
        <v>42</v>
      </c>
      <c r="B348" s="62">
        <v>8205</v>
      </c>
      <c r="C348" s="63" t="s">
        <v>27</v>
      </c>
      <c r="D348" s="127">
        <v>3.7012969005265343E-2</v>
      </c>
      <c r="E348" s="127">
        <v>0.20635487234855651</v>
      </c>
      <c r="F348" s="127">
        <v>0.2265465809384479</v>
      </c>
    </row>
    <row r="349" spans="1:6" ht="14.25" x14ac:dyDescent="0.2">
      <c r="A349" s="64" t="s">
        <v>42</v>
      </c>
      <c r="B349" s="62">
        <v>8205</v>
      </c>
      <c r="C349" s="63" t="s">
        <v>28</v>
      </c>
      <c r="D349" s="125">
        <v>65</v>
      </c>
      <c r="E349" s="125">
        <v>289</v>
      </c>
      <c r="F349" s="125">
        <v>243</v>
      </c>
    </row>
    <row r="350" spans="1:6" x14ac:dyDescent="0.25">
      <c r="A350" s="65" t="s">
        <v>43</v>
      </c>
      <c r="B350" s="62">
        <v>8206</v>
      </c>
      <c r="C350" s="63" t="s">
        <v>0</v>
      </c>
      <c r="E350" s="123">
        <v>662888</v>
      </c>
      <c r="F350" s="123">
        <v>654360</v>
      </c>
    </row>
    <row r="351" spans="1:6" x14ac:dyDescent="0.25">
      <c r="A351" s="64" t="s">
        <v>43</v>
      </c>
      <c r="B351" s="62">
        <v>8206</v>
      </c>
      <c r="C351" s="63" t="s">
        <v>1</v>
      </c>
      <c r="E351" s="123">
        <v>652308</v>
      </c>
      <c r="F351" s="123">
        <v>629280</v>
      </c>
    </row>
    <row r="352" spans="1:6" x14ac:dyDescent="0.25">
      <c r="A352" s="64" t="s">
        <v>43</v>
      </c>
      <c r="B352" s="62">
        <v>8206</v>
      </c>
      <c r="C352" s="63" t="s">
        <v>2</v>
      </c>
      <c r="E352" s="123">
        <v>10580</v>
      </c>
      <c r="F352" s="123">
        <v>25080</v>
      </c>
    </row>
    <row r="353" spans="1:6" x14ac:dyDescent="0.25">
      <c r="A353" s="64" t="s">
        <v>43</v>
      </c>
      <c r="B353" s="62">
        <v>8206</v>
      </c>
      <c r="C353" s="63" t="s">
        <v>3</v>
      </c>
      <c r="E353" s="123">
        <v>6416</v>
      </c>
      <c r="F353" s="123">
        <v>10016</v>
      </c>
    </row>
    <row r="354" spans="1:6" x14ac:dyDescent="0.25">
      <c r="A354" s="64" t="s">
        <v>43</v>
      </c>
      <c r="B354" s="62">
        <v>8206</v>
      </c>
      <c r="C354" s="63" t="s">
        <v>4</v>
      </c>
      <c r="E354" s="123">
        <v>16996</v>
      </c>
      <c r="F354" s="123">
        <v>35096</v>
      </c>
    </row>
    <row r="355" spans="1:6" x14ac:dyDescent="0.25">
      <c r="A355" s="64" t="s">
        <v>43</v>
      </c>
      <c r="B355" s="62">
        <v>8206</v>
      </c>
      <c r="C355" s="63" t="s">
        <v>5</v>
      </c>
      <c r="E355" s="123">
        <v>6510</v>
      </c>
      <c r="F355" s="123">
        <v>6660</v>
      </c>
    </row>
    <row r="356" spans="1:6" x14ac:dyDescent="0.25">
      <c r="A356" s="64" t="s">
        <v>43</v>
      </c>
      <c r="B356" s="62">
        <v>8206</v>
      </c>
      <c r="C356" s="63" t="s">
        <v>6</v>
      </c>
      <c r="E356" s="123">
        <v>23506</v>
      </c>
      <c r="F356" s="123">
        <v>41756</v>
      </c>
    </row>
    <row r="357" spans="1:6" x14ac:dyDescent="0.25">
      <c r="A357" s="64" t="s">
        <v>43</v>
      </c>
      <c r="B357" s="62">
        <v>8206</v>
      </c>
      <c r="C357" s="63" t="s">
        <v>7</v>
      </c>
      <c r="E357" s="124">
        <v>235756.7136119997</v>
      </c>
      <c r="F357" s="124">
        <v>238440.90093999973</v>
      </c>
    </row>
    <row r="358" spans="1:6" x14ac:dyDescent="0.25">
      <c r="A358" s="64" t="s">
        <v>43</v>
      </c>
      <c r="B358" s="62">
        <v>8206</v>
      </c>
      <c r="C358" s="63" t="s">
        <v>8</v>
      </c>
      <c r="E358" s="124">
        <v>27854.37</v>
      </c>
      <c r="F358" s="124">
        <v>27522.25</v>
      </c>
    </row>
    <row r="359" spans="1:6" x14ac:dyDescent="0.25">
      <c r="A359" s="64" t="s">
        <v>43</v>
      </c>
      <c r="B359" s="62">
        <v>8206</v>
      </c>
      <c r="C359" s="63" t="s">
        <v>9</v>
      </c>
      <c r="E359" s="124">
        <v>203942.7</v>
      </c>
      <c r="F359" s="124">
        <v>102059.03</v>
      </c>
    </row>
    <row r="360" spans="1:6" x14ac:dyDescent="0.25">
      <c r="A360" s="64" t="s">
        <v>43</v>
      </c>
      <c r="B360" s="62">
        <v>8206</v>
      </c>
      <c r="C360" s="63" t="s">
        <v>10</v>
      </c>
      <c r="E360" s="124">
        <v>13426</v>
      </c>
      <c r="F360" s="124">
        <v>9960</v>
      </c>
    </row>
    <row r="361" spans="1:6" x14ac:dyDescent="0.25">
      <c r="A361" s="64" t="s">
        <v>43</v>
      </c>
      <c r="B361" s="62">
        <v>8206</v>
      </c>
      <c r="C361" s="63" t="s">
        <v>11</v>
      </c>
      <c r="E361" s="124">
        <v>89954.3467944</v>
      </c>
      <c r="F361" s="124">
        <v>105308.456928</v>
      </c>
    </row>
    <row r="362" spans="1:6" x14ac:dyDescent="0.25">
      <c r="A362" s="64" t="s">
        <v>43</v>
      </c>
      <c r="B362" s="62">
        <v>8206</v>
      </c>
      <c r="C362" s="63" t="s">
        <v>12</v>
      </c>
      <c r="E362" s="124">
        <v>55248</v>
      </c>
      <c r="F362" s="124">
        <v>54878</v>
      </c>
    </row>
    <row r="363" spans="1:6" x14ac:dyDescent="0.25">
      <c r="A363" s="64" t="s">
        <v>43</v>
      </c>
      <c r="B363" s="62">
        <v>8206</v>
      </c>
      <c r="C363" s="63" t="s">
        <v>13</v>
      </c>
      <c r="E363" s="125">
        <v>2020.9999999999959</v>
      </c>
      <c r="F363" s="125">
        <v>1999.999999999992</v>
      </c>
    </row>
    <row r="364" spans="1:6" x14ac:dyDescent="0.25">
      <c r="A364" s="64" t="s">
        <v>43</v>
      </c>
      <c r="B364" s="62">
        <v>8206</v>
      </c>
      <c r="C364" s="63" t="s">
        <v>14</v>
      </c>
      <c r="E364" s="125">
        <v>2118.9999999999991</v>
      </c>
      <c r="F364" s="125">
        <v>2083.9999999999941</v>
      </c>
    </row>
    <row r="365" spans="1:6" x14ac:dyDescent="0.25">
      <c r="A365" s="64" t="s">
        <v>43</v>
      </c>
      <c r="B365" s="62">
        <v>8206</v>
      </c>
      <c r="C365" s="63" t="s">
        <v>15</v>
      </c>
      <c r="E365" s="125">
        <v>217</v>
      </c>
      <c r="F365" s="125">
        <v>222</v>
      </c>
    </row>
    <row r="366" spans="1:6" x14ac:dyDescent="0.25">
      <c r="A366" s="64" t="s">
        <v>43</v>
      </c>
      <c r="B366" s="62">
        <v>8206</v>
      </c>
      <c r="C366" s="63" t="s">
        <v>16</v>
      </c>
      <c r="E366" s="126">
        <v>9.3133640552995196</v>
      </c>
      <c r="F366" s="126">
        <v>9.0090090090089738</v>
      </c>
    </row>
    <row r="367" spans="1:6" x14ac:dyDescent="0.25">
      <c r="A367" s="64" t="s">
        <v>43</v>
      </c>
      <c r="B367" s="62">
        <v>8206</v>
      </c>
      <c r="C367" s="63" t="s">
        <v>17</v>
      </c>
      <c r="E367" s="126">
        <v>9.7649769585253416</v>
      </c>
      <c r="F367" s="126">
        <v>9.3873873873873599</v>
      </c>
    </row>
    <row r="368" spans="1:6" x14ac:dyDescent="0.25">
      <c r="A368" s="64" t="s">
        <v>43</v>
      </c>
      <c r="B368" s="62">
        <v>8206</v>
      </c>
      <c r="C368" s="63" t="s">
        <v>18</v>
      </c>
      <c r="E368" s="123">
        <v>3054.7834101382487</v>
      </c>
      <c r="F368" s="123">
        <v>2947.5675675675675</v>
      </c>
    </row>
    <row r="369" spans="1:6" x14ac:dyDescent="0.25">
      <c r="A369" s="64" t="s">
        <v>43</v>
      </c>
      <c r="B369" s="62">
        <v>8206</v>
      </c>
      <c r="C369" s="63" t="s">
        <v>19</v>
      </c>
      <c r="E369" s="123">
        <v>3006.0276497695854</v>
      </c>
      <c r="F369" s="123">
        <v>2834.5945945945946</v>
      </c>
    </row>
    <row r="370" spans="1:6" x14ac:dyDescent="0.25">
      <c r="A370" s="64" t="s">
        <v>43</v>
      </c>
      <c r="B370" s="62">
        <v>8206</v>
      </c>
      <c r="C370" s="63" t="s">
        <v>20</v>
      </c>
      <c r="E370" s="124">
        <v>48.755760368663232</v>
      </c>
      <c r="F370" s="124">
        <v>112.97297297297291</v>
      </c>
    </row>
    <row r="371" spans="1:6" x14ac:dyDescent="0.25">
      <c r="A371" s="64" t="s">
        <v>43</v>
      </c>
      <c r="B371" s="62">
        <v>8206</v>
      </c>
      <c r="C371" s="63" t="s">
        <v>21</v>
      </c>
      <c r="E371" s="123">
        <v>29.566820276497698</v>
      </c>
      <c r="F371" s="123">
        <v>45.117117117117118</v>
      </c>
    </row>
    <row r="372" spans="1:6" x14ac:dyDescent="0.25">
      <c r="A372" s="64" t="s">
        <v>43</v>
      </c>
      <c r="B372" s="62">
        <v>8206</v>
      </c>
      <c r="C372" s="63" t="s">
        <v>22</v>
      </c>
      <c r="E372" s="123">
        <v>78.322580645160926</v>
      </c>
      <c r="F372" s="123">
        <v>158.09009009009003</v>
      </c>
    </row>
    <row r="373" spans="1:6" x14ac:dyDescent="0.25">
      <c r="A373" s="64" t="s">
        <v>43</v>
      </c>
      <c r="B373" s="62">
        <v>8206</v>
      </c>
      <c r="C373" s="63" t="s">
        <v>23</v>
      </c>
      <c r="E373" s="123">
        <v>30</v>
      </c>
      <c r="F373" s="123">
        <v>30</v>
      </c>
    </row>
    <row r="374" spans="1:6" x14ac:dyDescent="0.25">
      <c r="A374" s="64" t="s">
        <v>43</v>
      </c>
      <c r="B374" s="62">
        <v>8206</v>
      </c>
      <c r="C374" s="63" t="s">
        <v>24</v>
      </c>
      <c r="E374" s="123">
        <v>108.3225806451613</v>
      </c>
      <c r="F374" s="123">
        <v>188.09009009009009</v>
      </c>
    </row>
    <row r="375" spans="1:6" x14ac:dyDescent="0.25">
      <c r="A375" s="64" t="s">
        <v>43</v>
      </c>
      <c r="B375" s="62">
        <v>8206</v>
      </c>
      <c r="C375" s="63" t="s">
        <v>25</v>
      </c>
      <c r="E375" s="124">
        <v>4.9929211892402101</v>
      </c>
      <c r="F375" s="124">
        <v>12.034548944337846</v>
      </c>
    </row>
    <row r="376" spans="1:6" x14ac:dyDescent="0.25">
      <c r="A376" s="64" t="s">
        <v>43</v>
      </c>
      <c r="B376" s="62">
        <v>8206</v>
      </c>
      <c r="C376" s="63" t="s">
        <v>26</v>
      </c>
      <c r="E376" s="127">
        <v>0.98403953609056127</v>
      </c>
      <c r="F376" s="127">
        <v>0.9616724738675958</v>
      </c>
    </row>
    <row r="377" spans="1:6" x14ac:dyDescent="0.25">
      <c r="A377" s="64" t="s">
        <v>43</v>
      </c>
      <c r="B377" s="62">
        <v>8206</v>
      </c>
      <c r="C377" s="63" t="s">
        <v>27</v>
      </c>
      <c r="E377" s="127">
        <v>0.97460645685667502</v>
      </c>
      <c r="F377" s="127">
        <v>0.94717449155297606</v>
      </c>
    </row>
    <row r="378" spans="1:6" x14ac:dyDescent="0.25">
      <c r="A378" s="64" t="s">
        <v>43</v>
      </c>
      <c r="B378" s="62">
        <v>8206</v>
      </c>
      <c r="C378" s="63" t="s">
        <v>28</v>
      </c>
      <c r="E378" s="125">
        <v>217</v>
      </c>
      <c r="F378" s="125">
        <v>222</v>
      </c>
    </row>
    <row r="379" spans="1:6" ht="14.25" x14ac:dyDescent="0.2">
      <c r="A379" s="65" t="s">
        <v>36</v>
      </c>
      <c r="B379" s="62">
        <v>8207</v>
      </c>
      <c r="C379" s="63" t="s">
        <v>0</v>
      </c>
      <c r="D379" s="123">
        <v>292402.81</v>
      </c>
      <c r="E379" s="123">
        <v>639410</v>
      </c>
      <c r="F379" s="123">
        <v>624321</v>
      </c>
    </row>
    <row r="380" spans="1:6" ht="14.25" x14ac:dyDescent="0.2">
      <c r="A380" s="64" t="s">
        <v>36</v>
      </c>
      <c r="B380" s="62">
        <v>8207</v>
      </c>
      <c r="C380" s="63" t="s">
        <v>1</v>
      </c>
      <c r="D380" s="123">
        <v>29044</v>
      </c>
      <c r="E380" s="123">
        <v>105539</v>
      </c>
      <c r="F380" s="123">
        <v>92447.5</v>
      </c>
    </row>
    <row r="381" spans="1:6" ht="14.25" x14ac:dyDescent="0.2">
      <c r="A381" s="64" t="s">
        <v>36</v>
      </c>
      <c r="B381" s="62">
        <v>8207</v>
      </c>
      <c r="C381" s="63" t="s">
        <v>2</v>
      </c>
      <c r="D381" s="123">
        <v>263358.81</v>
      </c>
      <c r="E381" s="123">
        <v>533871</v>
      </c>
      <c r="F381" s="123">
        <v>531873.5</v>
      </c>
    </row>
    <row r="382" spans="1:6" ht="14.25" x14ac:dyDescent="0.2">
      <c r="A382" s="64" t="s">
        <v>36</v>
      </c>
      <c r="B382" s="62">
        <v>8207</v>
      </c>
      <c r="C382" s="63" t="s">
        <v>3</v>
      </c>
      <c r="D382" s="123">
        <v>3836</v>
      </c>
      <c r="E382" s="123">
        <v>2906</v>
      </c>
      <c r="F382" s="123">
        <v>5656</v>
      </c>
    </row>
    <row r="383" spans="1:6" ht="14.25" x14ac:dyDescent="0.2">
      <c r="A383" s="64" t="s">
        <v>36</v>
      </c>
      <c r="B383" s="62">
        <v>8207</v>
      </c>
      <c r="C383" s="63" t="s">
        <v>4</v>
      </c>
      <c r="D383" s="123">
        <v>267194.81</v>
      </c>
      <c r="E383" s="123">
        <v>536777</v>
      </c>
      <c r="F383" s="123">
        <v>537529.5</v>
      </c>
    </row>
    <row r="384" spans="1:6" ht="14.25" x14ac:dyDescent="0.2">
      <c r="A384" s="64" t="s">
        <v>36</v>
      </c>
      <c r="B384" s="62">
        <v>8207</v>
      </c>
      <c r="C384" s="63" t="s">
        <v>5</v>
      </c>
      <c r="D384" s="123">
        <v>4890</v>
      </c>
      <c r="E384" s="123">
        <v>7410</v>
      </c>
      <c r="F384" s="123">
        <v>7140</v>
      </c>
    </row>
    <row r="385" spans="1:6" ht="14.25" x14ac:dyDescent="0.2">
      <c r="A385" s="64" t="s">
        <v>36</v>
      </c>
      <c r="B385" s="62">
        <v>8207</v>
      </c>
      <c r="C385" s="63" t="s">
        <v>6</v>
      </c>
      <c r="D385" s="123">
        <v>272084.81</v>
      </c>
      <c r="E385" s="123">
        <v>544187</v>
      </c>
      <c r="F385" s="123">
        <v>544669.5</v>
      </c>
    </row>
    <row r="386" spans="1:6" ht="14.25" x14ac:dyDescent="0.2">
      <c r="A386" s="64" t="s">
        <v>36</v>
      </c>
      <c r="B386" s="62">
        <v>8207</v>
      </c>
      <c r="C386" s="63" t="s">
        <v>7</v>
      </c>
      <c r="D386" s="124">
        <v>11815.999999999998</v>
      </c>
      <c r="E386" s="124">
        <v>20975.449864000002</v>
      </c>
      <c r="F386" s="124">
        <v>19375</v>
      </c>
    </row>
    <row r="387" spans="1:6" ht="14.25" x14ac:dyDescent="0.2">
      <c r="A387" s="64" t="s">
        <v>36</v>
      </c>
      <c r="B387" s="62">
        <v>8207</v>
      </c>
      <c r="C387" s="63" t="s">
        <v>8</v>
      </c>
      <c r="D387" s="124">
        <v>33360.9</v>
      </c>
      <c r="E387" s="124">
        <v>157512.60999999999</v>
      </c>
      <c r="F387" s="124">
        <v>60260.95</v>
      </c>
    </row>
    <row r="388" spans="1:6" ht="14.25" x14ac:dyDescent="0.2">
      <c r="A388" s="64" t="s">
        <v>36</v>
      </c>
      <c r="B388" s="62">
        <v>8207</v>
      </c>
      <c r="C388" s="63" t="s">
        <v>9</v>
      </c>
      <c r="D388" s="124">
        <v>1763.3</v>
      </c>
      <c r="E388" s="124">
        <v>11844.619999999999</v>
      </c>
      <c r="F388" s="124">
        <v>7887</v>
      </c>
    </row>
    <row r="389" spans="1:6" ht="14.25" x14ac:dyDescent="0.2">
      <c r="A389" s="105" t="s">
        <v>36</v>
      </c>
      <c r="B389" s="62">
        <v>8207</v>
      </c>
      <c r="C389" s="63" t="s">
        <v>10</v>
      </c>
      <c r="D389" s="124">
        <v>0</v>
      </c>
      <c r="E389" s="124">
        <v>0</v>
      </c>
      <c r="F389" s="124">
        <v>0</v>
      </c>
    </row>
    <row r="390" spans="1:6" ht="14.25" x14ac:dyDescent="0.2">
      <c r="A390" s="105" t="s">
        <v>36</v>
      </c>
      <c r="B390" s="62">
        <v>8207</v>
      </c>
      <c r="C390" s="63" t="s">
        <v>11</v>
      </c>
      <c r="D390" s="124"/>
      <c r="E390" s="124"/>
      <c r="F390" s="124"/>
    </row>
    <row r="391" spans="1:6" ht="14.25" x14ac:dyDescent="0.2">
      <c r="A391" s="105" t="s">
        <v>36</v>
      </c>
      <c r="B391" s="62">
        <v>8207</v>
      </c>
      <c r="C391" s="63" t="s">
        <v>12</v>
      </c>
      <c r="D391" s="124">
        <v>5194</v>
      </c>
      <c r="E391" s="124">
        <v>13544</v>
      </c>
      <c r="F391" s="124">
        <v>12528</v>
      </c>
    </row>
    <row r="392" spans="1:6" ht="14.25" x14ac:dyDescent="0.2">
      <c r="A392" s="105" t="s">
        <v>36</v>
      </c>
      <c r="B392" s="62">
        <v>8207</v>
      </c>
      <c r="C392" s="63" t="s">
        <v>13</v>
      </c>
      <c r="D392" s="125">
        <v>1184.000000000002</v>
      </c>
      <c r="E392" s="125">
        <v>2418.9999999999964</v>
      </c>
      <c r="F392" s="125">
        <v>2351.9999999999973</v>
      </c>
    </row>
    <row r="393" spans="1:6" ht="14.25" x14ac:dyDescent="0.2">
      <c r="A393" s="105" t="s">
        <v>36</v>
      </c>
      <c r="B393" s="62">
        <v>8207</v>
      </c>
      <c r="C393" s="63" t="s">
        <v>14</v>
      </c>
      <c r="D393" s="125">
        <v>1243.000000000002</v>
      </c>
      <c r="E393" s="125">
        <v>2627.9999999999995</v>
      </c>
      <c r="F393" s="125">
        <v>2590.9999999999973</v>
      </c>
    </row>
    <row r="394" spans="1:6" ht="14.25" x14ac:dyDescent="0.2">
      <c r="A394" s="105" t="s">
        <v>36</v>
      </c>
      <c r="B394" s="62">
        <v>8207</v>
      </c>
      <c r="C394" s="63" t="s">
        <v>15</v>
      </c>
      <c r="D394" s="125">
        <v>164</v>
      </c>
      <c r="E394" s="125">
        <v>247</v>
      </c>
      <c r="F394" s="125">
        <v>243</v>
      </c>
    </row>
    <row r="395" spans="1:6" ht="14.25" x14ac:dyDescent="0.2">
      <c r="A395" s="105" t="s">
        <v>36</v>
      </c>
      <c r="B395" s="62">
        <v>8207</v>
      </c>
      <c r="C395" s="63" t="s">
        <v>16</v>
      </c>
      <c r="D395" s="126">
        <v>7.2195121951219638</v>
      </c>
      <c r="E395" s="126">
        <v>9.7935222672064626</v>
      </c>
      <c r="F395" s="126">
        <v>9.6790123456790003</v>
      </c>
    </row>
    <row r="396" spans="1:6" ht="14.25" x14ac:dyDescent="0.2">
      <c r="A396" s="64" t="s">
        <v>36</v>
      </c>
      <c r="B396" s="62">
        <v>8207</v>
      </c>
      <c r="C396" s="63" t="s">
        <v>17</v>
      </c>
      <c r="D396" s="126">
        <v>7.5792682926829391</v>
      </c>
      <c r="E396" s="126">
        <v>10.639676113360322</v>
      </c>
      <c r="F396" s="126">
        <v>10.662551440329207</v>
      </c>
    </row>
    <row r="397" spans="1:6" ht="14.25" x14ac:dyDescent="0.2">
      <c r="A397" s="64" t="s">
        <v>36</v>
      </c>
      <c r="B397" s="62">
        <v>8207</v>
      </c>
      <c r="C397" s="63" t="s">
        <v>18</v>
      </c>
      <c r="D397" s="123">
        <v>1782.943963414634</v>
      </c>
      <c r="E397" s="123">
        <v>2588.7044534412958</v>
      </c>
      <c r="F397" s="123">
        <v>2569.2222222222222</v>
      </c>
    </row>
    <row r="398" spans="1:6" ht="14.25" x14ac:dyDescent="0.2">
      <c r="A398" s="64" t="s">
        <v>36</v>
      </c>
      <c r="B398" s="62">
        <v>8207</v>
      </c>
      <c r="C398" s="63" t="s">
        <v>19</v>
      </c>
      <c r="D398" s="123">
        <v>177.09756097560975</v>
      </c>
      <c r="E398" s="123">
        <v>427.28340080971662</v>
      </c>
      <c r="F398" s="123">
        <v>380.44238683127571</v>
      </c>
    </row>
    <row r="399" spans="1:6" ht="14.25" x14ac:dyDescent="0.2">
      <c r="A399" s="64" t="s">
        <v>36</v>
      </c>
      <c r="B399" s="62">
        <v>8207</v>
      </c>
      <c r="C399" s="63" t="s">
        <v>20</v>
      </c>
      <c r="D399" s="124">
        <v>1605.8464024390244</v>
      </c>
      <c r="E399" s="124">
        <v>2161.4210526315792</v>
      </c>
      <c r="F399" s="124">
        <v>2188.7798353909466</v>
      </c>
    </row>
    <row r="400" spans="1:6" ht="14.25" x14ac:dyDescent="0.2">
      <c r="A400" s="64" t="s">
        <v>36</v>
      </c>
      <c r="B400" s="62">
        <v>8207</v>
      </c>
      <c r="C400" s="63" t="s">
        <v>21</v>
      </c>
      <c r="D400" s="123">
        <v>23.390243902439025</v>
      </c>
      <c r="E400" s="123">
        <v>11.765182186234817</v>
      </c>
      <c r="F400" s="123">
        <v>23.275720164609055</v>
      </c>
    </row>
    <row r="401" spans="1:6" ht="14.25" x14ac:dyDescent="0.2">
      <c r="A401" s="64" t="s">
        <v>36</v>
      </c>
      <c r="B401" s="62">
        <v>8207</v>
      </c>
      <c r="C401" s="63" t="s">
        <v>22</v>
      </c>
      <c r="D401" s="123">
        <v>1629.2366463414635</v>
      </c>
      <c r="E401" s="123">
        <v>2173.1862348178138</v>
      </c>
      <c r="F401" s="123">
        <v>2212.0555555555557</v>
      </c>
    </row>
    <row r="402" spans="1:6" ht="14.25" x14ac:dyDescent="0.2">
      <c r="A402" s="64" t="s">
        <v>36</v>
      </c>
      <c r="B402" s="62">
        <v>8207</v>
      </c>
      <c r="C402" s="63" t="s">
        <v>23</v>
      </c>
      <c r="D402" s="123">
        <v>29.817073170731707</v>
      </c>
      <c r="E402" s="123">
        <v>30</v>
      </c>
      <c r="F402" s="123">
        <v>29.382716049382715</v>
      </c>
    </row>
    <row r="403" spans="1:6" ht="14.25" x14ac:dyDescent="0.2">
      <c r="A403" s="64" t="s">
        <v>36</v>
      </c>
      <c r="B403" s="62">
        <v>8207</v>
      </c>
      <c r="C403" s="63" t="s">
        <v>24</v>
      </c>
      <c r="D403" s="123">
        <v>1659.0537195121951</v>
      </c>
      <c r="E403" s="123">
        <v>2203.1862348178138</v>
      </c>
      <c r="F403" s="123">
        <v>2241.4382716049381</v>
      </c>
    </row>
    <row r="404" spans="1:6" ht="14.25" x14ac:dyDescent="0.2">
      <c r="A404" s="64" t="s">
        <v>36</v>
      </c>
      <c r="B404" s="62">
        <v>8207</v>
      </c>
      <c r="C404" s="63" t="s">
        <v>25</v>
      </c>
      <c r="D404" s="124">
        <v>211.87353982300849</v>
      </c>
      <c r="E404" s="124">
        <v>203.14726027397265</v>
      </c>
      <c r="F404" s="124">
        <v>205.27730605943674</v>
      </c>
    </row>
    <row r="405" spans="1:6" ht="14.25" x14ac:dyDescent="0.2">
      <c r="A405" s="64" t="s">
        <v>36</v>
      </c>
      <c r="B405" s="62">
        <v>8207</v>
      </c>
      <c r="C405" s="63" t="s">
        <v>26</v>
      </c>
      <c r="D405" s="127">
        <v>9.9328730801184845E-2</v>
      </c>
      <c r="E405" s="127">
        <v>0.16505684928293271</v>
      </c>
      <c r="F405" s="127">
        <v>0.14807687071234188</v>
      </c>
    </row>
    <row r="406" spans="1:6" ht="14.25" x14ac:dyDescent="0.2">
      <c r="A406" s="64" t="s">
        <v>36</v>
      </c>
      <c r="B406" s="62">
        <v>8207</v>
      </c>
      <c r="C406" s="63" t="s">
        <v>27</v>
      </c>
      <c r="D406" s="127">
        <v>9.8042521842428412E-2</v>
      </c>
      <c r="E406" s="127">
        <v>0.16431009036050792</v>
      </c>
      <c r="F406" s="127">
        <v>0.14674742093758977</v>
      </c>
    </row>
    <row r="407" spans="1:6" ht="14.25" x14ac:dyDescent="0.2">
      <c r="A407" s="64" t="s">
        <v>36</v>
      </c>
      <c r="B407" s="62">
        <v>8207</v>
      </c>
      <c r="C407" s="63" t="s">
        <v>28</v>
      </c>
      <c r="D407" s="125">
        <v>164</v>
      </c>
      <c r="E407" s="125">
        <v>247</v>
      </c>
      <c r="F407" s="125">
        <v>243</v>
      </c>
    </row>
    <row r="408" spans="1:6" ht="14.25" x14ac:dyDescent="0.2">
      <c r="A408" s="65" t="s">
        <v>44</v>
      </c>
      <c r="B408" s="62">
        <v>8208</v>
      </c>
      <c r="C408" s="63" t="s">
        <v>0</v>
      </c>
      <c r="D408" s="123">
        <v>325397.15000000002</v>
      </c>
      <c r="E408" s="123">
        <v>447763</v>
      </c>
      <c r="F408" s="123">
        <v>513594</v>
      </c>
    </row>
    <row r="409" spans="1:6" ht="14.25" x14ac:dyDescent="0.2">
      <c r="A409" s="65" t="s">
        <v>44</v>
      </c>
      <c r="B409" s="62">
        <v>8208</v>
      </c>
      <c r="C409" s="63" t="s">
        <v>1</v>
      </c>
      <c r="D409" s="123">
        <v>5028.6000000000004</v>
      </c>
      <c r="E409" s="123">
        <v>20568</v>
      </c>
      <c r="F409" s="123">
        <v>4357</v>
      </c>
    </row>
    <row r="410" spans="1:6" ht="14.25" x14ac:dyDescent="0.2">
      <c r="A410" s="65" t="s">
        <v>44</v>
      </c>
      <c r="B410" s="62">
        <v>8208</v>
      </c>
      <c r="C410" s="63" t="s">
        <v>2</v>
      </c>
      <c r="D410" s="123">
        <v>320368.55000000005</v>
      </c>
      <c r="E410" s="123">
        <v>427195</v>
      </c>
      <c r="F410" s="123">
        <v>509237</v>
      </c>
    </row>
    <row r="411" spans="1:6" ht="14.25" x14ac:dyDescent="0.2">
      <c r="A411" s="65" t="s">
        <v>44</v>
      </c>
      <c r="B411" s="62">
        <v>8208</v>
      </c>
      <c r="C411" s="63" t="s">
        <v>3</v>
      </c>
      <c r="D411" s="123">
        <v>183</v>
      </c>
      <c r="E411" s="123">
        <v>704</v>
      </c>
      <c r="F411" s="123">
        <v>1336</v>
      </c>
    </row>
    <row r="412" spans="1:6" ht="14.25" x14ac:dyDescent="0.2">
      <c r="A412" s="65" t="s">
        <v>44</v>
      </c>
      <c r="B412" s="62">
        <v>8208</v>
      </c>
      <c r="C412" s="63" t="s">
        <v>4</v>
      </c>
      <c r="D412" s="123">
        <v>320551.55000000005</v>
      </c>
      <c r="E412" s="123">
        <v>427899</v>
      </c>
      <c r="F412" s="123">
        <v>510573</v>
      </c>
    </row>
    <row r="413" spans="1:6" ht="14.25" x14ac:dyDescent="0.2">
      <c r="A413" s="65" t="s">
        <v>44</v>
      </c>
      <c r="B413" s="62">
        <v>8208</v>
      </c>
      <c r="C413" s="63" t="s">
        <v>5</v>
      </c>
      <c r="D413" s="123">
        <v>1950</v>
      </c>
      <c r="E413" s="123">
        <v>1710</v>
      </c>
      <c r="F413" s="123">
        <v>2130</v>
      </c>
    </row>
    <row r="414" spans="1:6" ht="14.25" x14ac:dyDescent="0.2">
      <c r="A414" s="65" t="s">
        <v>44</v>
      </c>
      <c r="B414" s="62">
        <v>8208</v>
      </c>
      <c r="C414" s="63" t="s">
        <v>6</v>
      </c>
      <c r="D414" s="123">
        <v>322501.55000000005</v>
      </c>
      <c r="E414" s="123">
        <v>429609</v>
      </c>
      <c r="F414" s="123">
        <v>512703</v>
      </c>
    </row>
    <row r="415" spans="1:6" ht="14.25" x14ac:dyDescent="0.2">
      <c r="A415" s="65" t="s">
        <v>44</v>
      </c>
      <c r="B415" s="62">
        <v>8208</v>
      </c>
      <c r="C415" s="63" t="s">
        <v>7</v>
      </c>
      <c r="D415" s="124">
        <v>4558</v>
      </c>
      <c r="E415" s="124">
        <v>4498</v>
      </c>
      <c r="F415" s="124">
        <v>5656</v>
      </c>
    </row>
    <row r="416" spans="1:6" ht="14.25" x14ac:dyDescent="0.2">
      <c r="A416" s="65" t="s">
        <v>44</v>
      </c>
      <c r="B416" s="62">
        <v>8208</v>
      </c>
      <c r="C416" s="63" t="s">
        <v>8</v>
      </c>
      <c r="D416" s="124">
        <v>9051.5</v>
      </c>
      <c r="E416" s="124">
        <v>10169.75</v>
      </c>
      <c r="F416" s="124">
        <v>11525.7</v>
      </c>
    </row>
    <row r="417" spans="1:6" ht="14.25" x14ac:dyDescent="0.2">
      <c r="A417" s="65" t="s">
        <v>44</v>
      </c>
      <c r="B417" s="62">
        <v>8208</v>
      </c>
      <c r="C417" s="63" t="s">
        <v>9</v>
      </c>
      <c r="D417" s="124">
        <v>97.91</v>
      </c>
      <c r="E417" s="124">
        <v>3131.12</v>
      </c>
      <c r="F417" s="124">
        <v>0</v>
      </c>
    </row>
    <row r="418" spans="1:6" ht="14.25" x14ac:dyDescent="0.2">
      <c r="A418" s="65" t="s">
        <v>44</v>
      </c>
      <c r="B418" s="62">
        <v>8208</v>
      </c>
      <c r="C418" s="63" t="s">
        <v>10</v>
      </c>
      <c r="D418" s="124">
        <v>0</v>
      </c>
      <c r="E418" s="124">
        <v>0</v>
      </c>
      <c r="F418" s="124">
        <v>0</v>
      </c>
    </row>
    <row r="419" spans="1:6" ht="14.25" x14ac:dyDescent="0.2">
      <c r="A419" s="65" t="s">
        <v>44</v>
      </c>
      <c r="B419" s="62">
        <v>8208</v>
      </c>
      <c r="C419" s="63" t="s">
        <v>11</v>
      </c>
      <c r="D419" s="124"/>
      <c r="E419" s="124"/>
      <c r="F419" s="124"/>
    </row>
    <row r="420" spans="1:6" ht="14.25" x14ac:dyDescent="0.2">
      <c r="A420" s="65" t="s">
        <v>44</v>
      </c>
      <c r="B420" s="62">
        <v>8208</v>
      </c>
      <c r="C420" s="63" t="s">
        <v>12</v>
      </c>
      <c r="D420" s="124">
        <v>1656</v>
      </c>
      <c r="E420" s="124">
        <v>2940</v>
      </c>
      <c r="F420" s="124">
        <v>3600</v>
      </c>
    </row>
    <row r="421" spans="1:6" ht="14.25" x14ac:dyDescent="0.2">
      <c r="A421" s="65" t="s">
        <v>44</v>
      </c>
      <c r="B421" s="62">
        <v>8208</v>
      </c>
      <c r="C421" s="63" t="s">
        <v>13</v>
      </c>
      <c r="D421" s="125">
        <v>393.99999999999994</v>
      </c>
      <c r="E421" s="125">
        <v>539.00000000000011</v>
      </c>
      <c r="F421" s="125">
        <v>622.00000000000023</v>
      </c>
    </row>
    <row r="422" spans="1:6" ht="14.25" x14ac:dyDescent="0.2">
      <c r="A422" s="65" t="s">
        <v>44</v>
      </c>
      <c r="B422" s="62">
        <v>8208</v>
      </c>
      <c r="C422" s="63" t="s">
        <v>14</v>
      </c>
      <c r="D422" s="125">
        <v>406.99999999999977</v>
      </c>
      <c r="E422" s="125">
        <v>583.99999999999989</v>
      </c>
      <c r="F422" s="125">
        <v>675.00000000000011</v>
      </c>
    </row>
    <row r="423" spans="1:6" ht="14.25" x14ac:dyDescent="0.2">
      <c r="A423" s="65" t="s">
        <v>44</v>
      </c>
      <c r="B423" s="62">
        <v>8208</v>
      </c>
      <c r="C423" s="63" t="s">
        <v>15</v>
      </c>
      <c r="D423" s="125">
        <v>65</v>
      </c>
      <c r="E423" s="125">
        <v>57</v>
      </c>
      <c r="F423" s="125">
        <v>71</v>
      </c>
    </row>
    <row r="424" spans="1:6" ht="14.25" x14ac:dyDescent="0.2">
      <c r="A424" s="65" t="s">
        <v>44</v>
      </c>
      <c r="B424" s="62">
        <v>8208</v>
      </c>
      <c r="C424" s="63" t="s">
        <v>16</v>
      </c>
      <c r="D424" s="126">
        <v>6.0615384615384604</v>
      </c>
      <c r="E424" s="126">
        <v>9.4561403508771953</v>
      </c>
      <c r="F424" s="126">
        <v>8.7605633802816936</v>
      </c>
    </row>
    <row r="425" spans="1:6" ht="14.25" x14ac:dyDescent="0.2">
      <c r="A425" s="65" t="s">
        <v>44</v>
      </c>
      <c r="B425" s="62">
        <v>8208</v>
      </c>
      <c r="C425" s="63" t="s">
        <v>17</v>
      </c>
      <c r="D425" s="126">
        <v>6.2615384615384579</v>
      </c>
      <c r="E425" s="126">
        <v>10.245614035087717</v>
      </c>
      <c r="F425" s="126">
        <v>9.5070422535211279</v>
      </c>
    </row>
    <row r="426" spans="1:6" ht="14.25" x14ac:dyDescent="0.2">
      <c r="A426" s="65" t="s">
        <v>44</v>
      </c>
      <c r="B426" s="62">
        <v>8208</v>
      </c>
      <c r="C426" s="63" t="s">
        <v>18</v>
      </c>
      <c r="D426" s="123">
        <v>5006.1100000000006</v>
      </c>
      <c r="E426" s="123">
        <v>7855.4912280701756</v>
      </c>
      <c r="F426" s="123">
        <v>7233.7183098591549</v>
      </c>
    </row>
    <row r="427" spans="1:6" ht="14.25" x14ac:dyDescent="0.2">
      <c r="A427" s="65" t="s">
        <v>44</v>
      </c>
      <c r="B427" s="62">
        <v>8208</v>
      </c>
      <c r="C427" s="63" t="s">
        <v>19</v>
      </c>
      <c r="D427" s="123">
        <v>77.363076923076932</v>
      </c>
      <c r="E427" s="123">
        <v>360.84210526315792</v>
      </c>
      <c r="F427" s="123">
        <v>61.366197183098592</v>
      </c>
    </row>
    <row r="428" spans="1:6" ht="14.25" x14ac:dyDescent="0.2">
      <c r="A428" s="65" t="s">
        <v>44</v>
      </c>
      <c r="B428" s="62">
        <v>8208</v>
      </c>
      <c r="C428" s="63" t="s">
        <v>20</v>
      </c>
      <c r="D428" s="124">
        <v>4928.7469230769238</v>
      </c>
      <c r="E428" s="124">
        <v>7494.6491228070172</v>
      </c>
      <c r="F428" s="124">
        <v>7172.3521126760561</v>
      </c>
    </row>
    <row r="429" spans="1:6" ht="14.25" x14ac:dyDescent="0.2">
      <c r="A429" s="65" t="s">
        <v>44</v>
      </c>
      <c r="B429" s="62">
        <v>8208</v>
      </c>
      <c r="C429" s="63" t="s">
        <v>21</v>
      </c>
      <c r="D429" s="123">
        <v>2.8153846153846156</v>
      </c>
      <c r="E429" s="123">
        <v>12.350877192982455</v>
      </c>
      <c r="F429" s="123">
        <v>18.816901408450704</v>
      </c>
    </row>
    <row r="430" spans="1:6" ht="14.25" x14ac:dyDescent="0.2">
      <c r="A430" s="65" t="s">
        <v>44</v>
      </c>
      <c r="B430" s="62">
        <v>8208</v>
      </c>
      <c r="C430" s="63" t="s">
        <v>22</v>
      </c>
      <c r="D430" s="123">
        <v>4931.5623076923084</v>
      </c>
      <c r="E430" s="123">
        <v>7507</v>
      </c>
      <c r="F430" s="123">
        <v>7191.1690140845067</v>
      </c>
    </row>
    <row r="431" spans="1:6" ht="14.25" x14ac:dyDescent="0.2">
      <c r="A431" s="65" t="s">
        <v>44</v>
      </c>
      <c r="B431" s="62">
        <v>8208</v>
      </c>
      <c r="C431" s="63" t="s">
        <v>23</v>
      </c>
      <c r="D431" s="123">
        <v>30</v>
      </c>
      <c r="E431" s="123">
        <v>30</v>
      </c>
      <c r="F431" s="123">
        <v>30</v>
      </c>
    </row>
    <row r="432" spans="1:6" ht="14.25" x14ac:dyDescent="0.2">
      <c r="A432" s="65" t="s">
        <v>44</v>
      </c>
      <c r="B432" s="62">
        <v>8208</v>
      </c>
      <c r="C432" s="63" t="s">
        <v>24</v>
      </c>
      <c r="D432" s="123">
        <v>4961.5623076923084</v>
      </c>
      <c r="E432" s="123">
        <v>7537</v>
      </c>
      <c r="F432" s="123">
        <v>7221.1690140845067</v>
      </c>
    </row>
    <row r="433" spans="1:6" ht="14.25" x14ac:dyDescent="0.2">
      <c r="A433" s="65" t="s">
        <v>44</v>
      </c>
      <c r="B433" s="62">
        <v>8208</v>
      </c>
      <c r="C433" s="63" t="s">
        <v>25</v>
      </c>
      <c r="D433" s="124">
        <v>787.14631449631509</v>
      </c>
      <c r="E433" s="124">
        <v>731.49828767123302</v>
      </c>
      <c r="F433" s="124">
        <v>754.42518518518511</v>
      </c>
    </row>
    <row r="434" spans="1:6" ht="14.25" x14ac:dyDescent="0.2">
      <c r="A434" s="65" t="s">
        <v>44</v>
      </c>
      <c r="B434" s="62">
        <v>8208</v>
      </c>
      <c r="C434" s="63" t="s">
        <v>26</v>
      </c>
      <c r="D434" s="127">
        <v>1.5453730925424515E-2</v>
      </c>
      <c r="E434" s="127">
        <v>4.5935014728773926E-2</v>
      </c>
      <c r="F434" s="127">
        <v>8.4833545563226982E-3</v>
      </c>
    </row>
    <row r="435" spans="1:6" ht="14.25" x14ac:dyDescent="0.2">
      <c r="A435" s="65" t="s">
        <v>44</v>
      </c>
      <c r="B435" s="62">
        <v>8208</v>
      </c>
      <c r="C435" s="63" t="s">
        <v>27</v>
      </c>
      <c r="D435" s="127">
        <v>1.5445044791582043E-2</v>
      </c>
      <c r="E435" s="127">
        <v>4.5862906300798055E-2</v>
      </c>
      <c r="F435" s="127">
        <v>8.4613442603849072E-3</v>
      </c>
    </row>
    <row r="436" spans="1:6" ht="14.25" x14ac:dyDescent="0.2">
      <c r="A436" s="65" t="s">
        <v>44</v>
      </c>
      <c r="B436" s="62">
        <v>8208</v>
      </c>
      <c r="C436" s="63" t="s">
        <v>28</v>
      </c>
      <c r="D436" s="125">
        <v>65</v>
      </c>
      <c r="E436" s="125">
        <v>57</v>
      </c>
      <c r="F436" s="125">
        <v>71</v>
      </c>
    </row>
    <row r="437" spans="1:6" ht="14.25" x14ac:dyDescent="0.2">
      <c r="A437" s="65" t="s">
        <v>33</v>
      </c>
      <c r="B437" s="62">
        <v>8209</v>
      </c>
      <c r="C437" s="63" t="s">
        <v>0</v>
      </c>
      <c r="D437" s="123">
        <v>291202.09999999998</v>
      </c>
      <c r="E437" s="123">
        <v>519880</v>
      </c>
      <c r="F437" s="123">
        <v>571704</v>
      </c>
    </row>
    <row r="438" spans="1:6" ht="14.25" x14ac:dyDescent="0.2">
      <c r="A438" s="64" t="s">
        <v>33</v>
      </c>
      <c r="B438" s="62">
        <v>8209</v>
      </c>
      <c r="C438" s="63" t="s">
        <v>1</v>
      </c>
      <c r="D438" s="123">
        <v>59243.7</v>
      </c>
      <c r="E438" s="123">
        <v>129076</v>
      </c>
      <c r="F438" s="123">
        <v>155800</v>
      </c>
    </row>
    <row r="439" spans="1:6" ht="14.25" x14ac:dyDescent="0.2">
      <c r="A439" s="64" t="s">
        <v>33</v>
      </c>
      <c r="B439" s="62">
        <v>8209</v>
      </c>
      <c r="C439" s="63" t="s">
        <v>2</v>
      </c>
      <c r="D439" s="123">
        <v>231958.39999999997</v>
      </c>
      <c r="E439" s="123">
        <v>390804</v>
      </c>
      <c r="F439" s="123">
        <v>415904</v>
      </c>
    </row>
    <row r="440" spans="1:6" ht="14.25" x14ac:dyDescent="0.2">
      <c r="A440" s="64" t="s">
        <v>33</v>
      </c>
      <c r="B440" s="62">
        <v>8209</v>
      </c>
      <c r="C440" s="63" t="s">
        <v>3</v>
      </c>
      <c r="D440" s="123">
        <v>52812</v>
      </c>
      <c r="E440" s="123">
        <v>136970</v>
      </c>
      <c r="F440" s="123">
        <v>137913</v>
      </c>
    </row>
    <row r="441" spans="1:6" ht="14.25" x14ac:dyDescent="0.2">
      <c r="A441" s="64" t="s">
        <v>33</v>
      </c>
      <c r="B441" s="62">
        <v>8209</v>
      </c>
      <c r="C441" s="63" t="s">
        <v>4</v>
      </c>
      <c r="D441" s="123">
        <v>284770.39999999997</v>
      </c>
      <c r="E441" s="123">
        <v>527774</v>
      </c>
      <c r="F441" s="123">
        <v>553817</v>
      </c>
    </row>
    <row r="442" spans="1:6" ht="14.25" x14ac:dyDescent="0.2">
      <c r="A442" s="64" t="s">
        <v>33</v>
      </c>
      <c r="B442" s="62">
        <v>8209</v>
      </c>
      <c r="C442" s="63" t="s">
        <v>5</v>
      </c>
      <c r="D442" s="123">
        <v>5640</v>
      </c>
      <c r="E442" s="123">
        <v>7800</v>
      </c>
      <c r="F442" s="123">
        <v>6570</v>
      </c>
    </row>
    <row r="443" spans="1:6" ht="14.25" x14ac:dyDescent="0.2">
      <c r="A443" s="64" t="s">
        <v>33</v>
      </c>
      <c r="B443" s="62">
        <v>8209</v>
      </c>
      <c r="C443" s="63" t="s">
        <v>6</v>
      </c>
      <c r="D443" s="123">
        <v>290410.39999999997</v>
      </c>
      <c r="E443" s="123">
        <v>535574</v>
      </c>
      <c r="F443" s="123">
        <v>560387</v>
      </c>
    </row>
    <row r="444" spans="1:6" ht="14.25" x14ac:dyDescent="0.2">
      <c r="A444" s="64" t="s">
        <v>33</v>
      </c>
      <c r="B444" s="62">
        <v>8209</v>
      </c>
      <c r="C444" s="63" t="s">
        <v>7</v>
      </c>
      <c r="D444" s="124">
        <v>12780</v>
      </c>
      <c r="E444" s="124">
        <v>19935</v>
      </c>
      <c r="F444" s="124">
        <v>16945</v>
      </c>
    </row>
    <row r="445" spans="1:6" ht="14.25" x14ac:dyDescent="0.2">
      <c r="A445" s="64" t="s">
        <v>33</v>
      </c>
      <c r="B445" s="62">
        <v>8209</v>
      </c>
      <c r="C445" s="63" t="s">
        <v>8</v>
      </c>
      <c r="D445" s="124">
        <v>39262.199999999997</v>
      </c>
      <c r="E445" s="124">
        <v>131971.5</v>
      </c>
      <c r="F445" s="124">
        <v>135891.5</v>
      </c>
    </row>
    <row r="446" spans="1:6" ht="14.25" x14ac:dyDescent="0.2">
      <c r="A446" s="64" t="s">
        <v>33</v>
      </c>
      <c r="B446" s="62">
        <v>8209</v>
      </c>
      <c r="C446" s="63" t="s">
        <v>9</v>
      </c>
      <c r="D446" s="124">
        <v>4438.88</v>
      </c>
      <c r="E446" s="124">
        <v>29539.27</v>
      </c>
      <c r="F446" s="124">
        <v>12212.4</v>
      </c>
    </row>
    <row r="447" spans="1:6" ht="14.25" x14ac:dyDescent="0.2">
      <c r="A447" s="64" t="s">
        <v>33</v>
      </c>
      <c r="B447" s="62">
        <v>8209</v>
      </c>
      <c r="C447" s="63" t="s">
        <v>10</v>
      </c>
      <c r="D447" s="124">
        <v>0</v>
      </c>
      <c r="E447" s="124">
        <v>0</v>
      </c>
      <c r="F447" s="124">
        <v>0</v>
      </c>
    </row>
    <row r="448" spans="1:6" ht="14.25" x14ac:dyDescent="0.2">
      <c r="A448" s="64" t="s">
        <v>33</v>
      </c>
      <c r="B448" s="62">
        <v>8209</v>
      </c>
      <c r="C448" s="63" t="s">
        <v>11</v>
      </c>
      <c r="D448" s="124"/>
      <c r="E448" s="124">
        <v>2194.0084584000001</v>
      </c>
      <c r="F448" s="124"/>
    </row>
    <row r="449" spans="1:6" ht="14.25" x14ac:dyDescent="0.2">
      <c r="A449" s="64" t="s">
        <v>33</v>
      </c>
      <c r="B449" s="62">
        <v>8209</v>
      </c>
      <c r="C449" s="63" t="s">
        <v>12</v>
      </c>
      <c r="D449" s="124">
        <v>3832</v>
      </c>
      <c r="E449" s="124">
        <v>10484</v>
      </c>
      <c r="F449" s="124">
        <v>9476</v>
      </c>
    </row>
    <row r="450" spans="1:6" ht="14.25" x14ac:dyDescent="0.2">
      <c r="A450" s="64" t="s">
        <v>33</v>
      </c>
      <c r="B450" s="62">
        <v>8209</v>
      </c>
      <c r="C450" s="63" t="s">
        <v>13</v>
      </c>
      <c r="D450" s="125">
        <v>951.00000000000023</v>
      </c>
      <c r="E450" s="125">
        <v>1598.0000000000005</v>
      </c>
      <c r="F450" s="125">
        <v>1759</v>
      </c>
    </row>
    <row r="451" spans="1:6" ht="14.25" x14ac:dyDescent="0.2">
      <c r="A451" s="64" t="s">
        <v>33</v>
      </c>
      <c r="B451" s="62">
        <v>8209</v>
      </c>
      <c r="C451" s="63" t="s">
        <v>14</v>
      </c>
      <c r="D451" s="125">
        <v>951.00000000000023</v>
      </c>
      <c r="E451" s="125">
        <v>1696</v>
      </c>
      <c r="F451" s="125">
        <v>1812.0000000000007</v>
      </c>
    </row>
    <row r="452" spans="1:6" ht="14.25" x14ac:dyDescent="0.2">
      <c r="A452" s="64" t="s">
        <v>33</v>
      </c>
      <c r="B452" s="62">
        <v>8209</v>
      </c>
      <c r="C452" s="63" t="s">
        <v>15</v>
      </c>
      <c r="D452" s="125">
        <v>188</v>
      </c>
      <c r="E452" s="125">
        <v>260</v>
      </c>
      <c r="F452" s="125">
        <v>276</v>
      </c>
    </row>
    <row r="453" spans="1:6" ht="14.25" x14ac:dyDescent="0.2">
      <c r="A453" s="64" t="s">
        <v>33</v>
      </c>
      <c r="B453" s="62">
        <v>8209</v>
      </c>
      <c r="C453" s="63" t="s">
        <v>16</v>
      </c>
      <c r="D453" s="126">
        <v>5.0585106382978733</v>
      </c>
      <c r="E453" s="126">
        <v>6.1461538461538483</v>
      </c>
      <c r="F453" s="126">
        <v>6.3731884057971016</v>
      </c>
    </row>
    <row r="454" spans="1:6" ht="14.25" x14ac:dyDescent="0.2">
      <c r="A454" s="64" t="s">
        <v>33</v>
      </c>
      <c r="B454" s="62">
        <v>8209</v>
      </c>
      <c r="C454" s="63" t="s">
        <v>17</v>
      </c>
      <c r="D454" s="126">
        <v>5.0585106382978733</v>
      </c>
      <c r="E454" s="126">
        <v>6.523076923076923</v>
      </c>
      <c r="F454" s="126">
        <v>6.5652173913043503</v>
      </c>
    </row>
    <row r="455" spans="1:6" ht="14.25" x14ac:dyDescent="0.2">
      <c r="A455" s="64" t="s">
        <v>33</v>
      </c>
      <c r="B455" s="62">
        <v>8209</v>
      </c>
      <c r="C455" s="63" t="s">
        <v>18</v>
      </c>
      <c r="D455" s="123">
        <v>1548.9473404255318</v>
      </c>
      <c r="E455" s="123">
        <v>1999.5384615384614</v>
      </c>
      <c r="F455" s="123">
        <v>2071.391304347826</v>
      </c>
    </row>
    <row r="456" spans="1:6" ht="14.25" x14ac:dyDescent="0.2">
      <c r="A456" s="64" t="s">
        <v>33</v>
      </c>
      <c r="B456" s="62">
        <v>8209</v>
      </c>
      <c r="C456" s="63" t="s">
        <v>19</v>
      </c>
      <c r="D456" s="123">
        <v>315.1260638297872</v>
      </c>
      <c r="E456" s="123">
        <v>496.44615384615383</v>
      </c>
      <c r="F456" s="123">
        <v>564.49275362318838</v>
      </c>
    </row>
    <row r="457" spans="1:6" ht="14.25" x14ac:dyDescent="0.2">
      <c r="A457" s="64" t="s">
        <v>33</v>
      </c>
      <c r="B457" s="62">
        <v>8209</v>
      </c>
      <c r="C457" s="63" t="s">
        <v>20</v>
      </c>
      <c r="D457" s="124">
        <v>1233.8212765957446</v>
      </c>
      <c r="E457" s="124">
        <v>1503.0923076923077</v>
      </c>
      <c r="F457" s="124">
        <v>1506.8985507246375</v>
      </c>
    </row>
    <row r="458" spans="1:6" ht="14.25" x14ac:dyDescent="0.2">
      <c r="A458" s="64" t="s">
        <v>33</v>
      </c>
      <c r="B458" s="62">
        <v>8209</v>
      </c>
      <c r="C458" s="63" t="s">
        <v>21</v>
      </c>
      <c r="D458" s="123">
        <v>280.91489361702128</v>
      </c>
      <c r="E458" s="123">
        <v>526.80769230769226</v>
      </c>
      <c r="F458" s="123">
        <v>499.68478260869563</v>
      </c>
    </row>
    <row r="459" spans="1:6" ht="14.25" x14ac:dyDescent="0.2">
      <c r="A459" s="64" t="s">
        <v>33</v>
      </c>
      <c r="B459" s="62">
        <v>8209</v>
      </c>
      <c r="C459" s="63" t="s">
        <v>22</v>
      </c>
      <c r="D459" s="123">
        <v>1514.736170212766</v>
      </c>
      <c r="E459" s="123">
        <v>2029.9</v>
      </c>
      <c r="F459" s="123">
        <v>2006.583333333333</v>
      </c>
    </row>
    <row r="460" spans="1:6" ht="14.25" x14ac:dyDescent="0.2">
      <c r="A460" s="64" t="s">
        <v>33</v>
      </c>
      <c r="B460" s="62">
        <v>8209</v>
      </c>
      <c r="C460" s="63" t="s">
        <v>23</v>
      </c>
      <c r="D460" s="123">
        <v>30</v>
      </c>
      <c r="E460" s="123">
        <v>30</v>
      </c>
      <c r="F460" s="123">
        <v>23.804347826086957</v>
      </c>
    </row>
    <row r="461" spans="1:6" ht="14.25" x14ac:dyDescent="0.2">
      <c r="A461" s="64" t="s">
        <v>33</v>
      </c>
      <c r="B461" s="62">
        <v>8209</v>
      </c>
      <c r="C461" s="63" t="s">
        <v>24</v>
      </c>
      <c r="D461" s="123">
        <v>1544.7361702127657</v>
      </c>
      <c r="E461" s="123">
        <v>2059.9</v>
      </c>
      <c r="F461" s="123">
        <v>2030.3876811594203</v>
      </c>
    </row>
    <row r="462" spans="1:6" ht="14.25" x14ac:dyDescent="0.2">
      <c r="A462" s="64" t="s">
        <v>33</v>
      </c>
      <c r="B462" s="62">
        <v>8209</v>
      </c>
      <c r="C462" s="63" t="s">
        <v>25</v>
      </c>
      <c r="D462" s="124">
        <v>243.9099894847528</v>
      </c>
      <c r="E462" s="124">
        <v>230.42688679245282</v>
      </c>
      <c r="F462" s="124">
        <v>229.52759381898446</v>
      </c>
    </row>
    <row r="463" spans="1:6" ht="14.25" x14ac:dyDescent="0.2">
      <c r="A463" s="64" t="s">
        <v>33</v>
      </c>
      <c r="B463" s="62">
        <v>8209</v>
      </c>
      <c r="C463" s="63" t="s">
        <v>26</v>
      </c>
      <c r="D463" s="127">
        <v>0.20344530482438142</v>
      </c>
      <c r="E463" s="127">
        <v>0.2482803723936293</v>
      </c>
      <c r="F463" s="127">
        <v>0.27251864601262193</v>
      </c>
    </row>
    <row r="464" spans="1:6" ht="14.25" x14ac:dyDescent="0.2">
      <c r="A464" s="64" t="s">
        <v>33</v>
      </c>
      <c r="B464" s="62">
        <v>8209</v>
      </c>
      <c r="C464" s="63" t="s">
        <v>27</v>
      </c>
      <c r="D464" s="127">
        <v>0.17221299940903587</v>
      </c>
      <c r="E464" s="127">
        <v>0.19650757402755575</v>
      </c>
      <c r="F464" s="127">
        <v>0.21955505575542864</v>
      </c>
    </row>
    <row r="465" spans="1:6" ht="14.25" x14ac:dyDescent="0.2">
      <c r="A465" s="64" t="s">
        <v>33</v>
      </c>
      <c r="B465" s="62">
        <v>8209</v>
      </c>
      <c r="C465" s="63" t="s">
        <v>28</v>
      </c>
      <c r="D465" s="125">
        <v>188</v>
      </c>
      <c r="E465" s="125">
        <v>260</v>
      </c>
      <c r="F465" s="125">
        <v>276</v>
      </c>
    </row>
    <row r="466" spans="1:6" ht="14.25" x14ac:dyDescent="0.2">
      <c r="A466" s="65" t="s">
        <v>45</v>
      </c>
      <c r="B466" s="62">
        <v>8210</v>
      </c>
      <c r="C466" s="63" t="s">
        <v>0</v>
      </c>
      <c r="D466" s="123">
        <v>78996.999999999985</v>
      </c>
      <c r="E466" s="123">
        <v>266704</v>
      </c>
      <c r="F466" s="123">
        <v>260485</v>
      </c>
    </row>
    <row r="467" spans="1:6" ht="14.25" x14ac:dyDescent="0.2">
      <c r="A467" s="64" t="s">
        <v>45</v>
      </c>
      <c r="B467" s="62">
        <v>8210</v>
      </c>
      <c r="C467" s="63" t="s">
        <v>1</v>
      </c>
      <c r="D467" s="123">
        <v>3104.5</v>
      </c>
      <c r="E467" s="123">
        <v>31415</v>
      </c>
      <c r="F467" s="123">
        <v>31899</v>
      </c>
    </row>
    <row r="468" spans="1:6" ht="14.25" x14ac:dyDescent="0.2">
      <c r="A468" s="64" t="s">
        <v>45</v>
      </c>
      <c r="B468" s="62">
        <v>8210</v>
      </c>
      <c r="C468" s="63" t="s">
        <v>2</v>
      </c>
      <c r="D468" s="123">
        <v>75892.499999999985</v>
      </c>
      <c r="E468" s="123">
        <v>235289</v>
      </c>
      <c r="F468" s="123">
        <v>228586</v>
      </c>
    </row>
    <row r="469" spans="1:6" ht="14.25" x14ac:dyDescent="0.2">
      <c r="A469" s="64" t="s">
        <v>45</v>
      </c>
      <c r="B469" s="62">
        <v>8210</v>
      </c>
      <c r="C469" s="63" t="s">
        <v>3</v>
      </c>
      <c r="D469" s="123">
        <v>2103</v>
      </c>
      <c r="E469" s="123">
        <v>53714</v>
      </c>
      <c r="F469" s="123">
        <v>53898</v>
      </c>
    </row>
    <row r="470" spans="1:6" ht="14.25" x14ac:dyDescent="0.2">
      <c r="A470" s="64" t="s">
        <v>45</v>
      </c>
      <c r="B470" s="62">
        <v>8210</v>
      </c>
      <c r="C470" s="63" t="s">
        <v>4</v>
      </c>
      <c r="D470" s="123">
        <v>77995.499999999985</v>
      </c>
      <c r="E470" s="123">
        <v>289003</v>
      </c>
      <c r="F470" s="123">
        <v>282484</v>
      </c>
    </row>
    <row r="471" spans="1:6" ht="14.25" x14ac:dyDescent="0.2">
      <c r="A471" s="64" t="s">
        <v>45</v>
      </c>
      <c r="B471" s="62">
        <v>8210</v>
      </c>
      <c r="C471" s="63" t="s">
        <v>5</v>
      </c>
      <c r="D471" s="123">
        <v>660</v>
      </c>
      <c r="E471" s="123">
        <v>990</v>
      </c>
      <c r="F471" s="123">
        <v>1050</v>
      </c>
    </row>
    <row r="472" spans="1:6" ht="14.25" x14ac:dyDescent="0.2">
      <c r="A472" s="64" t="s">
        <v>45</v>
      </c>
      <c r="B472" s="62">
        <v>8210</v>
      </c>
      <c r="C472" s="63" t="s">
        <v>6</v>
      </c>
      <c r="D472" s="123">
        <v>78655.499999999985</v>
      </c>
      <c r="E472" s="123">
        <v>289993</v>
      </c>
      <c r="F472" s="123">
        <v>283534</v>
      </c>
    </row>
    <row r="473" spans="1:6" ht="14.25" x14ac:dyDescent="0.2">
      <c r="A473" s="64" t="s">
        <v>45</v>
      </c>
      <c r="B473" s="62">
        <v>8210</v>
      </c>
      <c r="C473" s="63" t="s">
        <v>7</v>
      </c>
      <c r="D473" s="124">
        <v>1446</v>
      </c>
      <c r="E473" s="124">
        <v>3557.5891200000005</v>
      </c>
      <c r="F473" s="124">
        <v>2612</v>
      </c>
    </row>
    <row r="474" spans="1:6" ht="14.25" x14ac:dyDescent="0.2">
      <c r="A474" s="64" t="s">
        <v>45</v>
      </c>
      <c r="B474" s="62">
        <v>8210</v>
      </c>
      <c r="C474" s="63" t="s">
        <v>8</v>
      </c>
      <c r="D474" s="124">
        <v>3716</v>
      </c>
      <c r="E474" s="124">
        <v>14278.5</v>
      </c>
      <c r="F474" s="124">
        <v>20724.25</v>
      </c>
    </row>
    <row r="475" spans="1:6" ht="14.25" x14ac:dyDescent="0.2">
      <c r="A475" s="64" t="s">
        <v>45</v>
      </c>
      <c r="B475" s="62">
        <v>8210</v>
      </c>
      <c r="C475" s="63" t="s">
        <v>9</v>
      </c>
      <c r="D475" s="124">
        <v>0</v>
      </c>
      <c r="E475" s="124">
        <v>25</v>
      </c>
      <c r="F475" s="124">
        <v>0</v>
      </c>
    </row>
    <row r="476" spans="1:6" ht="14.25" x14ac:dyDescent="0.2">
      <c r="A476" s="64" t="s">
        <v>45</v>
      </c>
      <c r="B476" s="62">
        <v>8210</v>
      </c>
      <c r="C476" s="63" t="s">
        <v>10</v>
      </c>
      <c r="D476" s="124">
        <v>0</v>
      </c>
      <c r="E476" s="124">
        <v>0</v>
      </c>
      <c r="F476" s="124">
        <v>0</v>
      </c>
    </row>
    <row r="477" spans="1:6" ht="14.25" x14ac:dyDescent="0.2">
      <c r="A477" s="64" t="s">
        <v>45</v>
      </c>
      <c r="B477" s="62">
        <v>8210</v>
      </c>
      <c r="C477" s="63" t="s">
        <v>11</v>
      </c>
      <c r="D477" s="124"/>
      <c r="E477" s="124"/>
      <c r="F477" s="124"/>
    </row>
    <row r="478" spans="1:6" ht="14.25" x14ac:dyDescent="0.2">
      <c r="A478" s="64" t="s">
        <v>45</v>
      </c>
      <c r="B478" s="62">
        <v>8210</v>
      </c>
      <c r="C478" s="63" t="s">
        <v>12</v>
      </c>
      <c r="D478" s="124">
        <v>340</v>
      </c>
      <c r="E478" s="124">
        <v>1774</v>
      </c>
      <c r="F478" s="124">
        <v>1704</v>
      </c>
    </row>
    <row r="479" spans="1:6" ht="14.25" x14ac:dyDescent="0.2">
      <c r="A479" s="64" t="s">
        <v>45</v>
      </c>
      <c r="B479" s="62">
        <v>8210</v>
      </c>
      <c r="C479" s="63" t="s">
        <v>13</v>
      </c>
      <c r="D479" s="125">
        <v>85.000000000000043</v>
      </c>
      <c r="E479" s="125">
        <v>265.99999999999972</v>
      </c>
      <c r="F479" s="125">
        <v>276.99999999999989</v>
      </c>
    </row>
    <row r="480" spans="1:6" ht="14.25" x14ac:dyDescent="0.2">
      <c r="A480" s="64" t="s">
        <v>45</v>
      </c>
      <c r="B480" s="62">
        <v>8210</v>
      </c>
      <c r="C480" s="63" t="s">
        <v>14</v>
      </c>
      <c r="D480" s="125">
        <v>85.000000000000043</v>
      </c>
      <c r="E480" s="125">
        <v>288.00000000000057</v>
      </c>
      <c r="F480" s="125">
        <v>300</v>
      </c>
    </row>
    <row r="481" spans="1:6" ht="14.25" x14ac:dyDescent="0.2">
      <c r="A481" s="64" t="s">
        <v>45</v>
      </c>
      <c r="B481" s="62">
        <v>8210</v>
      </c>
      <c r="C481" s="63" t="s">
        <v>15</v>
      </c>
      <c r="D481" s="125">
        <v>22</v>
      </c>
      <c r="E481" s="125">
        <v>33</v>
      </c>
      <c r="F481" s="125">
        <v>37</v>
      </c>
    </row>
    <row r="482" spans="1:6" ht="14.25" x14ac:dyDescent="0.2">
      <c r="A482" s="64" t="s">
        <v>45</v>
      </c>
      <c r="B482" s="62">
        <v>8210</v>
      </c>
      <c r="C482" s="63" t="s">
        <v>16</v>
      </c>
      <c r="D482" s="126">
        <v>3.8636363636363655</v>
      </c>
      <c r="E482" s="126">
        <v>8.0606060606060517</v>
      </c>
      <c r="F482" s="126">
        <v>7.4864864864864833</v>
      </c>
    </row>
    <row r="483" spans="1:6" ht="14.25" x14ac:dyDescent="0.2">
      <c r="A483" s="64" t="s">
        <v>45</v>
      </c>
      <c r="B483" s="62">
        <v>8210</v>
      </c>
      <c r="C483" s="63" t="s">
        <v>17</v>
      </c>
      <c r="D483" s="126">
        <v>3.8636363636363655</v>
      </c>
      <c r="E483" s="126">
        <v>8.7272727272727444</v>
      </c>
      <c r="F483" s="126">
        <v>8.1081081081081088</v>
      </c>
    </row>
    <row r="484" spans="1:6" ht="14.25" x14ac:dyDescent="0.2">
      <c r="A484" s="64" t="s">
        <v>45</v>
      </c>
      <c r="B484" s="62">
        <v>8210</v>
      </c>
      <c r="C484" s="63" t="s">
        <v>18</v>
      </c>
      <c r="D484" s="123">
        <v>3590.7727272727266</v>
      </c>
      <c r="E484" s="123">
        <v>8081.939393939394</v>
      </c>
      <c r="F484" s="123">
        <v>7040.135135135135</v>
      </c>
    </row>
    <row r="485" spans="1:6" ht="14.25" x14ac:dyDescent="0.2">
      <c r="A485" s="64" t="s">
        <v>45</v>
      </c>
      <c r="B485" s="62">
        <v>8210</v>
      </c>
      <c r="C485" s="63" t="s">
        <v>19</v>
      </c>
      <c r="D485" s="123">
        <v>141.11363636363637</v>
      </c>
      <c r="E485" s="123">
        <v>951.969696969697</v>
      </c>
      <c r="F485" s="123">
        <v>862.1351351351351</v>
      </c>
    </row>
    <row r="486" spans="1:6" ht="14.25" x14ac:dyDescent="0.2">
      <c r="A486" s="64" t="s">
        <v>45</v>
      </c>
      <c r="B486" s="62">
        <v>8210</v>
      </c>
      <c r="C486" s="63" t="s">
        <v>20</v>
      </c>
      <c r="D486" s="124">
        <v>3449.6590909090901</v>
      </c>
      <c r="E486" s="124">
        <v>7129.969696969697</v>
      </c>
      <c r="F486" s="124">
        <v>6178</v>
      </c>
    </row>
    <row r="487" spans="1:6" ht="14.25" x14ac:dyDescent="0.2">
      <c r="A487" s="64" t="s">
        <v>45</v>
      </c>
      <c r="B487" s="62">
        <v>8210</v>
      </c>
      <c r="C487" s="63" t="s">
        <v>21</v>
      </c>
      <c r="D487" s="123">
        <v>95.590909090909093</v>
      </c>
      <c r="E487" s="123">
        <v>1627.6969696969697</v>
      </c>
      <c r="F487" s="123">
        <v>1456.7027027027027</v>
      </c>
    </row>
    <row r="488" spans="1:6" ht="14.25" x14ac:dyDescent="0.2">
      <c r="A488" s="64" t="s">
        <v>45</v>
      </c>
      <c r="B488" s="62">
        <v>8210</v>
      </c>
      <c r="C488" s="63" t="s">
        <v>22</v>
      </c>
      <c r="D488" s="123">
        <v>3545.2499999999991</v>
      </c>
      <c r="E488" s="123">
        <v>8757.6666666666661</v>
      </c>
      <c r="F488" s="123">
        <v>7634.7027027027025</v>
      </c>
    </row>
    <row r="489" spans="1:6" ht="14.25" x14ac:dyDescent="0.2">
      <c r="A489" s="64" t="s">
        <v>45</v>
      </c>
      <c r="B489" s="62">
        <v>8210</v>
      </c>
      <c r="C489" s="63" t="s">
        <v>23</v>
      </c>
      <c r="D489" s="123">
        <v>30</v>
      </c>
      <c r="E489" s="123">
        <v>30</v>
      </c>
      <c r="F489" s="123">
        <v>28.378378378378379</v>
      </c>
    </row>
    <row r="490" spans="1:6" ht="14.25" x14ac:dyDescent="0.2">
      <c r="A490" s="64" t="s">
        <v>45</v>
      </c>
      <c r="B490" s="62">
        <v>8210</v>
      </c>
      <c r="C490" s="63" t="s">
        <v>24</v>
      </c>
      <c r="D490" s="123">
        <v>3575.2499999999995</v>
      </c>
      <c r="E490" s="123">
        <v>8787.6666666666661</v>
      </c>
      <c r="F490" s="123">
        <v>7663.0810810810808</v>
      </c>
    </row>
    <row r="491" spans="1:6" ht="14.25" x14ac:dyDescent="0.2">
      <c r="A491" s="64" t="s">
        <v>45</v>
      </c>
      <c r="B491" s="62">
        <v>8210</v>
      </c>
      <c r="C491" s="63" t="s">
        <v>25</v>
      </c>
      <c r="D491" s="124">
        <v>892.85294117646993</v>
      </c>
      <c r="E491" s="124">
        <v>816.97569444444287</v>
      </c>
      <c r="F491" s="124">
        <v>761.95333333333338</v>
      </c>
    </row>
    <row r="492" spans="1:6" ht="14.25" x14ac:dyDescent="0.2">
      <c r="A492" s="64" t="s">
        <v>45</v>
      </c>
      <c r="B492" s="62">
        <v>8210</v>
      </c>
      <c r="C492" s="63" t="s">
        <v>26</v>
      </c>
      <c r="D492" s="127">
        <v>3.9298960720027351E-2</v>
      </c>
      <c r="E492" s="127">
        <v>0.11778975943367928</v>
      </c>
      <c r="F492" s="127">
        <v>0.12246002648904927</v>
      </c>
    </row>
    <row r="493" spans="1:6" ht="14.25" x14ac:dyDescent="0.2">
      <c r="A493" s="64" t="s">
        <v>45</v>
      </c>
      <c r="B493" s="62">
        <v>8210</v>
      </c>
      <c r="C493" s="63" t="s">
        <v>27</v>
      </c>
      <c r="D493" s="127">
        <v>3.8279901356350191E-2</v>
      </c>
      <c r="E493" s="127">
        <v>9.8043805279353843E-2</v>
      </c>
      <c r="F493" s="127">
        <v>0.10146541002535124</v>
      </c>
    </row>
    <row r="494" spans="1:6" ht="14.25" x14ac:dyDescent="0.2">
      <c r="A494" s="64" t="s">
        <v>45</v>
      </c>
      <c r="B494" s="62">
        <v>8210</v>
      </c>
      <c r="C494" s="63" t="s">
        <v>28</v>
      </c>
      <c r="D494" s="125">
        <v>22</v>
      </c>
      <c r="E494" s="125">
        <v>33</v>
      </c>
      <c r="F494" s="125">
        <v>37</v>
      </c>
    </row>
    <row r="495" spans="1:6" ht="14.25" x14ac:dyDescent="0.2">
      <c r="A495" s="65" t="s">
        <v>31</v>
      </c>
      <c r="B495" s="62">
        <v>8222</v>
      </c>
      <c r="C495" s="63" t="s">
        <v>0</v>
      </c>
      <c r="D495" s="123">
        <v>84812</v>
      </c>
      <c r="E495" s="123">
        <v>292248</v>
      </c>
      <c r="F495" s="123">
        <v>294368</v>
      </c>
    </row>
    <row r="496" spans="1:6" ht="14.25" x14ac:dyDescent="0.2">
      <c r="A496" s="64" t="s">
        <v>31</v>
      </c>
      <c r="B496" s="62">
        <v>8222</v>
      </c>
      <c r="C496" s="63" t="s">
        <v>1</v>
      </c>
      <c r="D496" s="123">
        <v>0</v>
      </c>
      <c r="E496" s="123">
        <v>27920</v>
      </c>
      <c r="F496" s="123">
        <v>48656</v>
      </c>
    </row>
    <row r="497" spans="1:6" ht="14.25" x14ac:dyDescent="0.2">
      <c r="A497" s="64" t="s">
        <v>31</v>
      </c>
      <c r="B497" s="62">
        <v>8222</v>
      </c>
      <c r="C497" s="63" t="s">
        <v>2</v>
      </c>
      <c r="D497" s="123">
        <v>84812</v>
      </c>
      <c r="E497" s="123">
        <v>264328</v>
      </c>
      <c r="F497" s="123">
        <v>245712</v>
      </c>
    </row>
    <row r="498" spans="1:6" ht="14.25" x14ac:dyDescent="0.2">
      <c r="A498" s="64" t="s">
        <v>31</v>
      </c>
      <c r="B498" s="62">
        <v>8222</v>
      </c>
      <c r="C498" s="63" t="s">
        <v>3</v>
      </c>
      <c r="D498" s="123">
        <v>21348</v>
      </c>
      <c r="E498" s="123">
        <v>70354</v>
      </c>
      <c r="F498" s="123">
        <v>73292</v>
      </c>
    </row>
    <row r="499" spans="1:6" ht="14.25" x14ac:dyDescent="0.2">
      <c r="A499" s="64" t="s">
        <v>31</v>
      </c>
      <c r="B499" s="62">
        <v>8222</v>
      </c>
      <c r="C499" s="63" t="s">
        <v>4</v>
      </c>
      <c r="D499" s="123">
        <v>106160</v>
      </c>
      <c r="E499" s="123">
        <v>334682</v>
      </c>
      <c r="F499" s="123">
        <v>319004</v>
      </c>
    </row>
    <row r="500" spans="1:6" ht="14.25" x14ac:dyDescent="0.2">
      <c r="A500" s="64" t="s">
        <v>31</v>
      </c>
      <c r="B500" s="62">
        <v>8222</v>
      </c>
      <c r="C500" s="63" t="s">
        <v>5</v>
      </c>
      <c r="D500" s="123">
        <v>870</v>
      </c>
      <c r="E500" s="123">
        <v>1740</v>
      </c>
      <c r="F500" s="123">
        <v>1740</v>
      </c>
    </row>
    <row r="501" spans="1:6" ht="14.25" x14ac:dyDescent="0.2">
      <c r="A501" s="64" t="s">
        <v>31</v>
      </c>
      <c r="B501" s="62">
        <v>8222</v>
      </c>
      <c r="C501" s="63" t="s">
        <v>6</v>
      </c>
      <c r="D501" s="123">
        <v>107030</v>
      </c>
      <c r="E501" s="123">
        <v>336422</v>
      </c>
      <c r="F501" s="123">
        <v>320744</v>
      </c>
    </row>
    <row r="502" spans="1:6" ht="14.25" x14ac:dyDescent="0.2">
      <c r="A502" s="64" t="s">
        <v>31</v>
      </c>
      <c r="B502" s="62">
        <v>8222</v>
      </c>
      <c r="C502" s="63" t="s">
        <v>7</v>
      </c>
      <c r="D502" s="124">
        <v>14459.408609999999</v>
      </c>
      <c r="E502" s="124">
        <v>64467.673095999984</v>
      </c>
      <c r="F502" s="124">
        <v>64270.851607999997</v>
      </c>
    </row>
    <row r="503" spans="1:6" ht="14.25" x14ac:dyDescent="0.2">
      <c r="A503" s="64" t="s">
        <v>31</v>
      </c>
      <c r="B503" s="62">
        <v>8222</v>
      </c>
      <c r="C503" s="63" t="s">
        <v>8</v>
      </c>
      <c r="D503" s="124">
        <v>2263</v>
      </c>
      <c r="E503" s="124">
        <v>14381.25</v>
      </c>
      <c r="F503" s="124">
        <v>7452.5</v>
      </c>
    </row>
    <row r="504" spans="1:6" ht="14.25" x14ac:dyDescent="0.2">
      <c r="A504" s="64" t="s">
        <v>31</v>
      </c>
      <c r="B504" s="62">
        <v>8222</v>
      </c>
      <c r="C504" s="63" t="s">
        <v>9</v>
      </c>
      <c r="D504" s="124">
        <v>880</v>
      </c>
      <c r="E504" s="124">
        <v>13290.8</v>
      </c>
      <c r="F504" s="124">
        <v>5260</v>
      </c>
    </row>
    <row r="505" spans="1:6" ht="14.25" x14ac:dyDescent="0.2">
      <c r="A505" s="64" t="s">
        <v>31</v>
      </c>
      <c r="B505" s="62">
        <v>8222</v>
      </c>
      <c r="C505" s="63" t="s">
        <v>10</v>
      </c>
      <c r="D505" s="124">
        <v>0</v>
      </c>
      <c r="E505" s="124">
        <v>0</v>
      </c>
      <c r="F505" s="124">
        <v>0</v>
      </c>
    </row>
    <row r="506" spans="1:6" ht="14.25" x14ac:dyDescent="0.2">
      <c r="A506" s="64" t="s">
        <v>31</v>
      </c>
      <c r="B506" s="62">
        <v>8222</v>
      </c>
      <c r="C506" s="63" t="s">
        <v>11</v>
      </c>
      <c r="D506" s="124"/>
      <c r="E506" s="124">
        <v>13164.050750400002</v>
      </c>
      <c r="F506" s="124">
        <v>16088.0790032</v>
      </c>
    </row>
    <row r="507" spans="1:6" ht="14.25" x14ac:dyDescent="0.2">
      <c r="A507" s="64" t="s">
        <v>31</v>
      </c>
      <c r="B507" s="62">
        <v>8222</v>
      </c>
      <c r="C507" s="63" t="s">
        <v>12</v>
      </c>
      <c r="D507" s="124">
        <v>5694</v>
      </c>
      <c r="E507" s="124">
        <v>14832</v>
      </c>
      <c r="F507" s="124">
        <v>15078</v>
      </c>
    </row>
    <row r="508" spans="1:6" ht="14.25" x14ac:dyDescent="0.2">
      <c r="A508" s="64" t="s">
        <v>31</v>
      </c>
      <c r="B508" s="62">
        <v>8222</v>
      </c>
      <c r="C508" s="63" t="s">
        <v>13</v>
      </c>
      <c r="D508" s="125">
        <v>193.00000000000006</v>
      </c>
      <c r="E508" s="125">
        <v>624.00000000000091</v>
      </c>
      <c r="F508" s="125">
        <v>614.00000000000068</v>
      </c>
    </row>
    <row r="509" spans="1:6" ht="14.25" x14ac:dyDescent="0.2">
      <c r="A509" s="64" t="s">
        <v>31</v>
      </c>
      <c r="B509" s="62">
        <v>8222</v>
      </c>
      <c r="C509" s="63" t="s">
        <v>14</v>
      </c>
      <c r="D509" s="125">
        <v>194</v>
      </c>
      <c r="E509" s="125">
        <v>720.00000000000057</v>
      </c>
      <c r="F509" s="125">
        <v>729.9999999999992</v>
      </c>
    </row>
    <row r="510" spans="1:6" ht="14.25" x14ac:dyDescent="0.2">
      <c r="A510" s="64" t="s">
        <v>31</v>
      </c>
      <c r="B510" s="62">
        <v>8222</v>
      </c>
      <c r="C510" s="63" t="s">
        <v>15</v>
      </c>
      <c r="D510" s="125">
        <v>29</v>
      </c>
      <c r="E510" s="125">
        <v>58</v>
      </c>
      <c r="F510" s="125">
        <v>58</v>
      </c>
    </row>
    <row r="511" spans="1:6" ht="14.25" x14ac:dyDescent="0.2">
      <c r="A511" s="64" t="s">
        <v>31</v>
      </c>
      <c r="B511" s="62">
        <v>8222</v>
      </c>
      <c r="C511" s="63" t="s">
        <v>16</v>
      </c>
      <c r="D511" s="126">
        <v>6.655172413793105</v>
      </c>
      <c r="E511" s="126">
        <v>10.758620689655189</v>
      </c>
      <c r="F511" s="126">
        <v>10.586206896551737</v>
      </c>
    </row>
    <row r="512" spans="1:6" ht="14.25" x14ac:dyDescent="0.2">
      <c r="A512" s="64" t="s">
        <v>31</v>
      </c>
      <c r="B512" s="62">
        <v>8222</v>
      </c>
      <c r="C512" s="63" t="s">
        <v>17</v>
      </c>
      <c r="D512" s="126">
        <v>6.6896551724137927</v>
      </c>
      <c r="E512" s="126">
        <v>12.413793103448286</v>
      </c>
      <c r="F512" s="126">
        <v>12.58620689655171</v>
      </c>
    </row>
    <row r="513" spans="1:6" ht="14.25" x14ac:dyDescent="0.2">
      <c r="A513" s="64" t="s">
        <v>31</v>
      </c>
      <c r="B513" s="62">
        <v>8222</v>
      </c>
      <c r="C513" s="63" t="s">
        <v>18</v>
      </c>
      <c r="D513" s="123">
        <v>2924.5517241379312</v>
      </c>
      <c r="E513" s="123">
        <v>5038.7586206896549</v>
      </c>
      <c r="F513" s="123">
        <v>5075.3103448275861</v>
      </c>
    </row>
    <row r="514" spans="1:6" ht="14.25" x14ac:dyDescent="0.2">
      <c r="A514" s="64" t="s">
        <v>31</v>
      </c>
      <c r="B514" s="62">
        <v>8222</v>
      </c>
      <c r="C514" s="63" t="s">
        <v>19</v>
      </c>
      <c r="D514" s="123">
        <v>0</v>
      </c>
      <c r="E514" s="123">
        <v>481.37931034482756</v>
      </c>
      <c r="F514" s="123">
        <v>838.89655172413791</v>
      </c>
    </row>
    <row r="515" spans="1:6" ht="14.25" x14ac:dyDescent="0.2">
      <c r="A515" s="64" t="s">
        <v>31</v>
      </c>
      <c r="B515" s="62">
        <v>8222</v>
      </c>
      <c r="C515" s="63" t="s">
        <v>20</v>
      </c>
      <c r="D515" s="124">
        <v>2924.5517241379312</v>
      </c>
      <c r="E515" s="124">
        <v>4557.379310344827</v>
      </c>
      <c r="F515" s="124">
        <v>4236.4137931034484</v>
      </c>
    </row>
    <row r="516" spans="1:6" ht="14.25" x14ac:dyDescent="0.2">
      <c r="A516" s="64" t="s">
        <v>31</v>
      </c>
      <c r="B516" s="62">
        <v>8222</v>
      </c>
      <c r="C516" s="63" t="s">
        <v>21</v>
      </c>
      <c r="D516" s="123">
        <v>736.13793103448279</v>
      </c>
      <c r="E516" s="123">
        <v>1213</v>
      </c>
      <c r="F516" s="123">
        <v>1263.655172413793</v>
      </c>
    </row>
    <row r="517" spans="1:6" ht="14.25" x14ac:dyDescent="0.2">
      <c r="A517" s="64" t="s">
        <v>31</v>
      </c>
      <c r="B517" s="62">
        <v>8222</v>
      </c>
      <c r="C517" s="63" t="s">
        <v>22</v>
      </c>
      <c r="D517" s="123">
        <v>3660.6896551724139</v>
      </c>
      <c r="E517" s="123">
        <v>5770.379310344827</v>
      </c>
      <c r="F517" s="123">
        <v>5500.0689655172409</v>
      </c>
    </row>
    <row r="518" spans="1:6" ht="14.25" x14ac:dyDescent="0.2">
      <c r="A518" s="64" t="s">
        <v>31</v>
      </c>
      <c r="B518" s="62">
        <v>8222</v>
      </c>
      <c r="C518" s="63" t="s">
        <v>23</v>
      </c>
      <c r="D518" s="123">
        <v>30</v>
      </c>
      <c r="E518" s="123">
        <v>30</v>
      </c>
      <c r="F518" s="123">
        <v>30</v>
      </c>
    </row>
    <row r="519" spans="1:6" ht="14.25" x14ac:dyDescent="0.2">
      <c r="A519" s="64" t="s">
        <v>31</v>
      </c>
      <c r="B519" s="62">
        <v>8222</v>
      </c>
      <c r="C519" s="63" t="s">
        <v>24</v>
      </c>
      <c r="D519" s="123">
        <v>3690.6896551724139</v>
      </c>
      <c r="E519" s="123">
        <v>5800.3793103448279</v>
      </c>
      <c r="F519" s="123">
        <v>5530.0689655172409</v>
      </c>
    </row>
    <row r="520" spans="1:6" ht="14.25" x14ac:dyDescent="0.2">
      <c r="A520" s="64" t="s">
        <v>31</v>
      </c>
      <c r="B520" s="62">
        <v>8222</v>
      </c>
      <c r="C520" s="63" t="s">
        <v>25</v>
      </c>
      <c r="D520" s="124">
        <v>437.17525773195877</v>
      </c>
      <c r="E520" s="124">
        <v>367.12222222222192</v>
      </c>
      <c r="F520" s="124">
        <v>336.59178082191818</v>
      </c>
    </row>
    <row r="521" spans="1:6" ht="14.25" x14ac:dyDescent="0.2">
      <c r="A521" s="64" t="s">
        <v>31</v>
      </c>
      <c r="B521" s="62">
        <v>8222</v>
      </c>
      <c r="C521" s="63" t="s">
        <v>26</v>
      </c>
      <c r="D521" s="127">
        <v>0</v>
      </c>
      <c r="E521" s="127">
        <v>9.5535298787331302E-2</v>
      </c>
      <c r="F521" s="127">
        <v>0.16528970540276117</v>
      </c>
    </row>
    <row r="522" spans="1:6" ht="14.25" x14ac:dyDescent="0.2">
      <c r="A522" s="64" t="s">
        <v>31</v>
      </c>
      <c r="B522" s="62">
        <v>8222</v>
      </c>
      <c r="C522" s="63" t="s">
        <v>27</v>
      </c>
      <c r="D522" s="127">
        <v>0</v>
      </c>
      <c r="E522" s="127">
        <v>7.6999023722980023E-2</v>
      </c>
      <c r="F522" s="127">
        <v>0.13233966164391014</v>
      </c>
    </row>
    <row r="523" spans="1:6" ht="14.25" x14ac:dyDescent="0.2">
      <c r="A523" s="64" t="s">
        <v>31</v>
      </c>
      <c r="B523" s="62">
        <v>8222</v>
      </c>
      <c r="C523" s="63" t="s">
        <v>28</v>
      </c>
      <c r="D523" s="125">
        <v>29</v>
      </c>
      <c r="E523" s="125">
        <v>58</v>
      </c>
      <c r="F523" s="125">
        <v>58</v>
      </c>
    </row>
    <row r="524" spans="1:6" x14ac:dyDescent="0.25">
      <c r="C524" s="63" t="s">
        <v>0</v>
      </c>
    </row>
    <row r="525" spans="1:6" x14ac:dyDescent="0.25">
      <c r="C525" s="63" t="s">
        <v>1</v>
      </c>
    </row>
    <row r="526" spans="1:6" x14ac:dyDescent="0.25">
      <c r="C526" s="63" t="s">
        <v>2</v>
      </c>
    </row>
    <row r="527" spans="1:6" x14ac:dyDescent="0.25">
      <c r="C527" s="63" t="s">
        <v>3</v>
      </c>
    </row>
    <row r="528" spans="1:6" x14ac:dyDescent="0.25">
      <c r="C528" s="63" t="s">
        <v>4</v>
      </c>
    </row>
    <row r="529" spans="3:3" x14ac:dyDescent="0.25">
      <c r="C529" s="63" t="s">
        <v>5</v>
      </c>
    </row>
    <row r="530" spans="3:3" x14ac:dyDescent="0.25">
      <c r="C530" s="63" t="s">
        <v>6</v>
      </c>
    </row>
    <row r="531" spans="3:3" x14ac:dyDescent="0.25">
      <c r="C531" s="63" t="s">
        <v>7</v>
      </c>
    </row>
    <row r="532" spans="3:3" x14ac:dyDescent="0.25">
      <c r="C532" s="63" t="s">
        <v>8</v>
      </c>
    </row>
    <row r="533" spans="3:3" x14ac:dyDescent="0.25">
      <c r="C533" s="63" t="s">
        <v>9</v>
      </c>
    </row>
    <row r="534" spans="3:3" x14ac:dyDescent="0.25">
      <c r="C534" s="63" t="s">
        <v>10</v>
      </c>
    </row>
    <row r="535" spans="3:3" x14ac:dyDescent="0.25">
      <c r="C535" s="63" t="s">
        <v>11</v>
      </c>
    </row>
    <row r="536" spans="3:3" x14ac:dyDescent="0.25">
      <c r="C536" s="63" t="s">
        <v>12</v>
      </c>
    </row>
    <row r="537" spans="3:3" x14ac:dyDescent="0.25">
      <c r="C537" s="63" t="s">
        <v>13</v>
      </c>
    </row>
    <row r="538" spans="3:3" x14ac:dyDescent="0.25">
      <c r="C538" s="63" t="s">
        <v>14</v>
      </c>
    </row>
    <row r="539" spans="3:3" x14ac:dyDescent="0.25">
      <c r="C539" s="63" t="s">
        <v>15</v>
      </c>
    </row>
    <row r="540" spans="3:3" x14ac:dyDescent="0.25">
      <c r="C540" s="63" t="s">
        <v>16</v>
      </c>
    </row>
    <row r="541" spans="3:3" x14ac:dyDescent="0.25">
      <c r="C541" s="63" t="s">
        <v>17</v>
      </c>
    </row>
    <row r="542" spans="3:3" x14ac:dyDescent="0.25">
      <c r="C542" s="63" t="s">
        <v>18</v>
      </c>
    </row>
    <row r="543" spans="3:3" x14ac:dyDescent="0.25">
      <c r="C543" s="63" t="s">
        <v>19</v>
      </c>
    </row>
    <row r="544" spans="3:3" x14ac:dyDescent="0.25">
      <c r="C544" s="63" t="s">
        <v>20</v>
      </c>
    </row>
    <row r="545" spans="3:3" x14ac:dyDescent="0.25">
      <c r="C545" s="63" t="s">
        <v>21</v>
      </c>
    </row>
    <row r="546" spans="3:3" x14ac:dyDescent="0.25">
      <c r="C546" s="63" t="s">
        <v>22</v>
      </c>
    </row>
    <row r="547" spans="3:3" x14ac:dyDescent="0.25">
      <c r="C547" s="63" t="s">
        <v>23</v>
      </c>
    </row>
    <row r="548" spans="3:3" x14ac:dyDescent="0.25">
      <c r="C548" s="63" t="s">
        <v>24</v>
      </c>
    </row>
    <row r="549" spans="3:3" x14ac:dyDescent="0.25">
      <c r="C549" s="63" t="s">
        <v>25</v>
      </c>
    </row>
    <row r="550" spans="3:3" x14ac:dyDescent="0.25">
      <c r="C550" s="63" t="s">
        <v>26</v>
      </c>
    </row>
    <row r="551" spans="3:3" x14ac:dyDescent="0.25">
      <c r="C551" s="63" t="s">
        <v>27</v>
      </c>
    </row>
    <row r="552" spans="3:3" x14ac:dyDescent="0.25">
      <c r="C552" s="63" t="s">
        <v>28</v>
      </c>
    </row>
  </sheetData>
  <conditionalFormatting sqref="C1:D1048576 E550:F551">
    <cfRule type="cellIs" dxfId="0" priority="1" operator="equal">
      <formula>"Total Discount Rate"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R85"/>
  <sheetViews>
    <sheetView zoomScale="90" zoomScaleNormal="90" workbookViewId="0">
      <pane xSplit="2" ySplit="4" topLeftCell="AU14" activePane="bottomRight" state="frozen"/>
      <selection pane="topRight" activeCell="C1" sqref="C1"/>
      <selection pane="bottomLeft" activeCell="A5" sqref="A5"/>
      <selection pane="bottomRight" activeCell="BL19" sqref="BL19:BL20"/>
    </sheetView>
  </sheetViews>
  <sheetFormatPr defaultColWidth="9.140625" defaultRowHeight="12.75" customHeight="1" x14ac:dyDescent="0.2"/>
  <cols>
    <col min="1" max="1" width="46.28515625" style="1" bestFit="1" customWidth="1"/>
    <col min="2" max="2" width="9" style="1" bestFit="1" customWidth="1"/>
    <col min="3" max="3" width="13.140625" style="1" customWidth="1"/>
    <col min="4" max="4" width="11.28515625" style="29" customWidth="1"/>
    <col min="5" max="5" width="11.85546875" style="1" customWidth="1"/>
    <col min="6" max="6" width="12.140625" style="2" customWidth="1"/>
    <col min="7" max="7" width="13.28515625" style="2" bestFit="1" customWidth="1"/>
    <col min="8" max="8" width="12" style="2" customWidth="1"/>
    <col min="9" max="9" width="16.28515625" style="2" customWidth="1"/>
    <col min="10" max="10" width="15.140625" style="2" customWidth="1"/>
    <col min="11" max="11" width="16.140625" style="2" bestFit="1" customWidth="1"/>
    <col min="12" max="12" width="15.7109375" style="1" bestFit="1" customWidth="1"/>
    <col min="13" max="13" width="16.140625" style="2" bestFit="1" customWidth="1"/>
    <col min="14" max="14" width="13.28515625" style="2" bestFit="1" customWidth="1"/>
    <col min="15" max="15" width="16.140625" style="1" bestFit="1" customWidth="1"/>
    <col min="16" max="16" width="13.28515625" style="1" bestFit="1" customWidth="1"/>
    <col min="17" max="17" width="1.7109375" style="1" customWidth="1"/>
    <col min="18" max="18" width="11.85546875" style="1" bestFit="1" customWidth="1"/>
    <col min="19" max="19" width="11.140625" style="1" customWidth="1"/>
    <col min="20" max="20" width="10.5703125" style="1" bestFit="1" customWidth="1"/>
    <col min="21" max="21" width="12.140625" style="1" customWidth="1"/>
    <col min="22" max="22" width="12.140625" style="2" customWidth="1"/>
    <col min="23" max="24" width="12" style="2" customWidth="1"/>
    <col min="25" max="25" width="12.140625" style="2" bestFit="1" customWidth="1"/>
    <col min="26" max="28" width="17.42578125" style="1" customWidth="1"/>
    <col min="29" max="30" width="12.140625" style="1" bestFit="1" customWidth="1"/>
    <col min="31" max="31" width="12.7109375" style="1" customWidth="1"/>
    <col min="32" max="32" width="3.7109375" style="1" customWidth="1"/>
    <col min="33" max="35" width="12.7109375" style="1" customWidth="1"/>
    <col min="36" max="36" width="2" style="1" customWidth="1"/>
    <col min="37" max="37" width="10.28515625" style="1" customWidth="1"/>
    <col min="38" max="38" width="2" style="1" customWidth="1"/>
    <col min="39" max="39" width="12.28515625" style="1" customWidth="1"/>
    <col min="40" max="40" width="10.5703125" style="1" customWidth="1"/>
    <col min="41" max="41" width="11.42578125" style="1" customWidth="1"/>
    <col min="42" max="42" width="11.5703125" style="1" bestFit="1" customWidth="1"/>
    <col min="43" max="43" width="11.5703125" style="1" customWidth="1"/>
    <col min="44" max="44" width="14.140625" style="1" bestFit="1" customWidth="1"/>
    <col min="45" max="45" width="10.28515625" style="1" bestFit="1" customWidth="1"/>
    <col min="46" max="47" width="11.5703125" style="1" customWidth="1"/>
    <col min="48" max="48" width="13.7109375" style="1" customWidth="1"/>
    <col min="49" max="49" width="13.28515625" style="1" bestFit="1" customWidth="1"/>
    <col min="50" max="50" width="18.140625" style="1" bestFit="1" customWidth="1"/>
    <col min="51" max="51" width="11.140625" style="66" bestFit="1" customWidth="1"/>
    <col min="52" max="52" width="2.7109375" style="66" customWidth="1"/>
    <col min="53" max="53" width="14" style="66" bestFit="1" customWidth="1"/>
    <col min="54" max="54" width="16.140625" style="66" bestFit="1" customWidth="1"/>
    <col min="55" max="55" width="12.85546875" style="66" bestFit="1" customWidth="1"/>
    <col min="56" max="56" width="11.5703125" style="74" bestFit="1" customWidth="1"/>
    <col min="57" max="57" width="12.7109375" style="66" customWidth="1"/>
    <col min="58" max="58" width="21.7109375" style="83" bestFit="1" customWidth="1"/>
    <col min="59" max="59" width="15.140625" style="83" bestFit="1" customWidth="1"/>
    <col min="60" max="61" width="14.140625" style="83" bestFit="1" customWidth="1"/>
    <col min="62" max="62" width="2.5703125" style="34" customWidth="1"/>
    <col min="63" max="63" width="16.140625" style="66" bestFit="1" customWidth="1"/>
    <col min="64" max="65" width="12.140625" style="66" customWidth="1"/>
    <col min="66" max="66" width="2.5703125" style="34" customWidth="1"/>
    <col min="67" max="67" width="16.140625" style="66" bestFit="1" customWidth="1"/>
    <col min="68" max="69" width="12.85546875" style="66" bestFit="1" customWidth="1"/>
    <col min="70" max="16384" width="9.140625" style="66"/>
  </cols>
  <sheetData>
    <row r="1" spans="1:67" ht="15" customHeight="1" x14ac:dyDescent="0.2">
      <c r="C1" s="231" t="s">
        <v>106</v>
      </c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3"/>
      <c r="S1" s="238" t="s">
        <v>46</v>
      </c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40"/>
      <c r="AG1" s="237" t="s">
        <v>47</v>
      </c>
      <c r="AH1" s="237"/>
      <c r="AI1" s="237"/>
      <c r="AJ1" s="237"/>
      <c r="AK1" s="237"/>
      <c r="AM1" s="236" t="s">
        <v>48</v>
      </c>
      <c r="AN1" s="236"/>
      <c r="AO1" s="236"/>
      <c r="AP1" s="236"/>
      <c r="AQ1" s="236"/>
      <c r="AR1" s="236"/>
      <c r="AS1" s="236"/>
      <c r="AT1" s="236"/>
      <c r="AU1" s="236"/>
      <c r="AV1" s="236"/>
      <c r="AW1" s="236"/>
      <c r="AX1" s="236"/>
      <c r="AY1" s="236"/>
    </row>
    <row r="2" spans="1:67" s="71" customFormat="1" ht="27" customHeight="1" x14ac:dyDescent="0.2">
      <c r="A2" s="5"/>
      <c r="B2" s="5"/>
      <c r="C2" s="189" t="s">
        <v>101</v>
      </c>
      <c r="D2" s="27" t="s">
        <v>113</v>
      </c>
      <c r="E2" s="178" t="s">
        <v>104</v>
      </c>
      <c r="F2" s="188" t="s">
        <v>114</v>
      </c>
      <c r="G2" s="188" t="s">
        <v>97</v>
      </c>
      <c r="H2" s="182" t="s">
        <v>97</v>
      </c>
      <c r="I2" s="7" t="s">
        <v>50</v>
      </c>
      <c r="J2" s="94" t="s">
        <v>105</v>
      </c>
      <c r="K2" s="94" t="s">
        <v>105</v>
      </c>
      <c r="L2" s="23" t="s">
        <v>97</v>
      </c>
      <c r="M2" s="23" t="s">
        <v>97</v>
      </c>
      <c r="N2" s="100" t="s">
        <v>120</v>
      </c>
      <c r="O2" s="100" t="s">
        <v>104</v>
      </c>
      <c r="P2" s="100" t="s">
        <v>104</v>
      </c>
      <c r="Q2" s="5"/>
      <c r="R2" s="169" t="s">
        <v>115</v>
      </c>
      <c r="S2" s="31" t="s">
        <v>122</v>
      </c>
      <c r="T2" s="178" t="s">
        <v>116</v>
      </c>
      <c r="U2" s="23" t="s">
        <v>117</v>
      </c>
      <c r="V2" s="151" t="s">
        <v>102</v>
      </c>
      <c r="W2" s="151" t="s">
        <v>115</v>
      </c>
      <c r="X2" s="142" t="s">
        <v>121</v>
      </c>
      <c r="Y2" s="94" t="s">
        <v>119</v>
      </c>
      <c r="Z2" s="94" t="s">
        <v>112</v>
      </c>
      <c r="AA2" s="151" t="s">
        <v>102</v>
      </c>
      <c r="AB2" s="151" t="s">
        <v>115</v>
      </c>
      <c r="AC2" s="100" t="s">
        <v>112</v>
      </c>
      <c r="AD2" s="100" t="s">
        <v>112</v>
      </c>
      <c r="AE2" s="144" t="s">
        <v>112</v>
      </c>
      <c r="AF2" s="5"/>
      <c r="AG2" s="234" t="s">
        <v>52</v>
      </c>
      <c r="AH2" s="234"/>
      <c r="AI2" s="234"/>
      <c r="AJ2" s="5"/>
      <c r="AK2" s="5" t="s">
        <v>47</v>
      </c>
      <c r="AL2" s="5"/>
      <c r="AM2" s="189" t="s">
        <v>123</v>
      </c>
      <c r="AN2" s="6" t="s">
        <v>54</v>
      </c>
      <c r="AO2" s="100" t="s">
        <v>124</v>
      </c>
      <c r="AP2" s="25" t="s">
        <v>49</v>
      </c>
      <c r="AQ2" s="21" t="s">
        <v>123</v>
      </c>
      <c r="AR2" s="70" t="s">
        <v>123</v>
      </c>
      <c r="AS2" s="70" t="s">
        <v>123</v>
      </c>
      <c r="AT2" s="6" t="s">
        <v>54</v>
      </c>
      <c r="AU2" s="32" t="s">
        <v>51</v>
      </c>
      <c r="AV2" s="205" t="s">
        <v>124</v>
      </c>
      <c r="AW2" s="206" t="s">
        <v>123</v>
      </c>
      <c r="AX2" s="205"/>
      <c r="AY2" s="207"/>
      <c r="BA2" s="235" t="s">
        <v>55</v>
      </c>
      <c r="BB2" s="235"/>
      <c r="BC2" s="235"/>
      <c r="BD2" s="71" t="s">
        <v>53</v>
      </c>
      <c r="BG2" s="87"/>
      <c r="BH2" s="87"/>
      <c r="BI2" s="87"/>
      <c r="BJ2" s="87"/>
      <c r="BK2" s="72"/>
      <c r="BO2" s="72"/>
    </row>
    <row r="3" spans="1:67" s="71" customFormat="1" ht="38.25" x14ac:dyDescent="0.2">
      <c r="A3" s="5"/>
      <c r="B3" s="5"/>
      <c r="C3" s="190" t="s">
        <v>56</v>
      </c>
      <c r="D3" s="28" t="s">
        <v>94</v>
      </c>
      <c r="E3" s="95" t="s">
        <v>58</v>
      </c>
      <c r="F3" s="183" t="s">
        <v>59</v>
      </c>
      <c r="G3" s="24" t="s">
        <v>60</v>
      </c>
      <c r="H3" s="183" t="s">
        <v>18</v>
      </c>
      <c r="I3" s="9" t="s">
        <v>57</v>
      </c>
      <c r="J3" s="95" t="s">
        <v>61</v>
      </c>
      <c r="K3" s="95" t="s">
        <v>62</v>
      </c>
      <c r="L3" s="24" t="s">
        <v>63</v>
      </c>
      <c r="M3" s="24" t="s">
        <v>53</v>
      </c>
      <c r="N3" s="95" t="s">
        <v>63</v>
      </c>
      <c r="O3" s="95" t="s">
        <v>53</v>
      </c>
      <c r="P3" s="95" t="s">
        <v>96</v>
      </c>
      <c r="Q3" s="5"/>
      <c r="R3" s="170" t="s">
        <v>58</v>
      </c>
      <c r="S3" s="8" t="s">
        <v>94</v>
      </c>
      <c r="T3" s="95" t="s">
        <v>58</v>
      </c>
      <c r="U3" s="24" t="s">
        <v>59</v>
      </c>
      <c r="V3" s="24" t="s">
        <v>118</v>
      </c>
      <c r="W3" s="24" t="s">
        <v>61</v>
      </c>
      <c r="X3" s="143" t="s">
        <v>57</v>
      </c>
      <c r="Y3" s="95" t="s">
        <v>18</v>
      </c>
      <c r="Z3" s="95" t="s">
        <v>62</v>
      </c>
      <c r="AA3" s="24" t="s">
        <v>63</v>
      </c>
      <c r="AB3" s="24" t="s">
        <v>53</v>
      </c>
      <c r="AC3" s="145" t="s">
        <v>63</v>
      </c>
      <c r="AD3" s="95" t="s">
        <v>53</v>
      </c>
      <c r="AE3" s="146" t="s">
        <v>96</v>
      </c>
      <c r="AF3" s="5"/>
      <c r="AG3" s="95" t="s">
        <v>62</v>
      </c>
      <c r="AH3" s="95" t="s">
        <v>53</v>
      </c>
      <c r="AI3" s="95" t="s">
        <v>96</v>
      </c>
      <c r="AJ3" s="5"/>
      <c r="AK3" s="8" t="s">
        <v>63</v>
      </c>
      <c r="AL3" s="8"/>
      <c r="AM3" s="190" t="s">
        <v>58</v>
      </c>
      <c r="AN3" s="8" t="s">
        <v>108</v>
      </c>
      <c r="AO3" s="145" t="s">
        <v>58</v>
      </c>
      <c r="AP3" s="26" t="s">
        <v>59</v>
      </c>
      <c r="AQ3" s="22" t="s">
        <v>61</v>
      </c>
      <c r="AR3" s="203" t="s">
        <v>118</v>
      </c>
      <c r="AS3" s="203" t="s">
        <v>53</v>
      </c>
      <c r="AT3" s="8" t="s">
        <v>64</v>
      </c>
      <c r="AU3" s="9" t="s">
        <v>61</v>
      </c>
      <c r="AV3" s="145" t="s">
        <v>125</v>
      </c>
      <c r="AW3" s="208" t="s">
        <v>63</v>
      </c>
      <c r="AX3" s="209" t="s">
        <v>53</v>
      </c>
      <c r="AY3" s="95" t="s">
        <v>65</v>
      </c>
      <c r="AZ3" s="72"/>
      <c r="BA3" s="77" t="s">
        <v>62</v>
      </c>
      <c r="BB3" s="77" t="s">
        <v>53</v>
      </c>
      <c r="BC3" s="77" t="s">
        <v>65</v>
      </c>
      <c r="BD3" s="77" t="s">
        <v>57</v>
      </c>
      <c r="BG3" s="87"/>
      <c r="BH3" s="87"/>
      <c r="BI3" s="87"/>
      <c r="BJ3" s="87"/>
      <c r="BK3" s="72"/>
      <c r="BO3" s="72"/>
    </row>
    <row r="4" spans="1:67" s="73" customFormat="1" x14ac:dyDescent="0.2">
      <c r="A4" s="3"/>
      <c r="B4" s="3"/>
      <c r="C4" s="191"/>
      <c r="D4" s="36"/>
      <c r="E4" s="96"/>
      <c r="F4" s="195"/>
      <c r="G4" s="184"/>
      <c r="H4" s="184"/>
      <c r="I4" s="11"/>
      <c r="J4" s="96"/>
      <c r="K4" s="96"/>
      <c r="L4" s="156"/>
      <c r="M4" s="157"/>
      <c r="N4" s="138"/>
      <c r="O4" s="136"/>
      <c r="P4" s="136"/>
      <c r="Q4" s="3"/>
      <c r="R4" s="171"/>
      <c r="S4" s="37"/>
      <c r="T4" s="96"/>
      <c r="U4" s="156"/>
      <c r="V4" s="152"/>
      <c r="W4" s="156"/>
      <c r="X4" s="11"/>
      <c r="Y4" s="96"/>
      <c r="Z4" s="96"/>
      <c r="AA4" s="152"/>
      <c r="AB4" s="152"/>
      <c r="AC4" s="96"/>
      <c r="AD4" s="96"/>
      <c r="AE4" s="147"/>
      <c r="AF4" s="3"/>
      <c r="AG4" s="96"/>
      <c r="AH4" s="96"/>
      <c r="AI4" s="96"/>
      <c r="AJ4" s="3"/>
      <c r="AK4" s="3"/>
      <c r="AL4" s="3"/>
      <c r="AM4" s="191"/>
      <c r="AN4" s="37"/>
      <c r="AO4" s="96"/>
      <c r="AP4" s="10"/>
      <c r="AQ4" s="10"/>
      <c r="AR4" s="10"/>
      <c r="AS4" s="10"/>
      <c r="AT4" s="10"/>
      <c r="AU4" s="3"/>
      <c r="AV4" s="96"/>
      <c r="AW4" s="96"/>
      <c r="AX4" s="96"/>
      <c r="AY4" s="96"/>
      <c r="BA4" s="37"/>
      <c r="BB4" s="37"/>
      <c r="BC4" s="37"/>
      <c r="BG4" s="88"/>
      <c r="BH4" s="88"/>
      <c r="BI4" s="88"/>
      <c r="BJ4" s="88"/>
      <c r="BK4" s="37"/>
      <c r="BO4" s="37"/>
    </row>
    <row r="5" spans="1:67" x14ac:dyDescent="0.2">
      <c r="A5" s="1" t="s">
        <v>29</v>
      </c>
      <c r="B5" s="1" t="s">
        <v>66</v>
      </c>
      <c r="C5" s="192">
        <f>+'Student Type by Acct Code'!E59</f>
        <v>1257</v>
      </c>
      <c r="D5" s="83">
        <f>+'Changes in Enrollment'!S8-'Summary by Student Type'!C5</f>
        <v>-30</v>
      </c>
      <c r="E5" s="97">
        <f>+C5+D5</f>
        <v>1227</v>
      </c>
      <c r="F5" s="196">
        <f>'Student Type by Acct Code'!E48</f>
        <v>8.6324582338902314</v>
      </c>
      <c r="G5" s="185">
        <f>+'Student Type by Acct Code'!E31</f>
        <v>1128881.22</v>
      </c>
      <c r="H5" s="185">
        <f t="shared" ref="H5:H21" si="0">G5/C5</f>
        <v>898.07575178997615</v>
      </c>
      <c r="I5" s="103">
        <v>3.1496062992125928E-2</v>
      </c>
      <c r="J5" s="132">
        <f t="shared" ref="J5:J21" si="1">H5*(1+I5)</f>
        <v>926.36160224005414</v>
      </c>
      <c r="K5" s="132">
        <f>J5*E5</f>
        <v>1136645.6859485465</v>
      </c>
      <c r="L5" s="158">
        <f>'Student Type by Acct Code'!E58</f>
        <v>6.7301458443252471E-2</v>
      </c>
      <c r="M5" s="159">
        <f t="shared" ref="M5:M21" si="2">+L5*G5</f>
        <v>75975.352515198145</v>
      </c>
      <c r="N5" s="139">
        <f>+L5</f>
        <v>6.7301458443252471E-2</v>
      </c>
      <c r="O5" s="132">
        <f>+K5*N5</f>
        <v>76497.912397568303</v>
      </c>
      <c r="P5" s="132">
        <f t="shared" ref="P5:P21" si="3">+K5-O5</f>
        <v>1060147.7735509782</v>
      </c>
      <c r="Q5" s="59"/>
      <c r="R5" s="172">
        <f>+'Student Type by Acct Code'!F59</f>
        <v>1932</v>
      </c>
      <c r="S5" s="83">
        <f>(+R5/C5*E5)-R5</f>
        <v>-46.109785202864032</v>
      </c>
      <c r="T5" s="179">
        <f>+R5+S5</f>
        <v>1885.890214797136</v>
      </c>
      <c r="U5" s="175">
        <f>'Student Type by Acct Code'!F48</f>
        <v>7.6614906832297986</v>
      </c>
      <c r="V5" s="153">
        <f>+'Student Type by Acct Code'!F31</f>
        <v>1305433</v>
      </c>
      <c r="W5" s="166">
        <f>+V5/R5</f>
        <v>675.68995859213248</v>
      </c>
      <c r="X5" s="43">
        <f>+I5</f>
        <v>3.1496062992125928E-2</v>
      </c>
      <c r="Y5" s="97">
        <f>+W5*(1+X5)</f>
        <v>696.97153209109729</v>
      </c>
      <c r="Z5" s="97">
        <f t="shared" ref="Z5:Z21" si="4">+Y5*T5</f>
        <v>1314411.7923627684</v>
      </c>
      <c r="AA5" s="199">
        <f>'Student Type by Acct Code'!F58</f>
        <v>4.027603246744875E-2</v>
      </c>
      <c r="AB5" s="153">
        <f>+V5*AA5</f>
        <v>52577.661892079021</v>
      </c>
      <c r="AC5" s="139">
        <f t="shared" ref="AC5:AC21" si="5">+N5</f>
        <v>6.7301458443252471E-2</v>
      </c>
      <c r="AD5" s="97">
        <f t="shared" ref="AD5:AD13" si="6">+Z5*AC5</f>
        <v>88461.830621023852</v>
      </c>
      <c r="AE5" s="148">
        <f t="shared" ref="AE5:AE21" si="7">+Z5-AD5</f>
        <v>1225949.9617417445</v>
      </c>
      <c r="AG5" s="202">
        <f>+K5+Z5</f>
        <v>2451057.4783113152</v>
      </c>
      <c r="AH5" s="202">
        <f>+O5+AD5</f>
        <v>164959.74301859215</v>
      </c>
      <c r="AI5" s="202">
        <f>+AG5-AH5</f>
        <v>2286097.7352927229</v>
      </c>
      <c r="AK5" s="4">
        <f t="shared" ref="AK5:AK22" si="8">IFERROR(+AH5/AG5,"")</f>
        <v>6.7301458443252457E-2</v>
      </c>
      <c r="AL5" s="4"/>
      <c r="AM5" s="192">
        <f>+'Student Type by Acct Code'!D59</f>
        <v>225</v>
      </c>
      <c r="AN5" s="83">
        <v>0</v>
      </c>
      <c r="AO5" s="97">
        <f>+AM5+AN5</f>
        <v>225</v>
      </c>
      <c r="AP5" s="14">
        <f>'Student Type by Acct Code'!D48</f>
        <v>5.6933333333333325</v>
      </c>
      <c r="AQ5" s="13">
        <f t="shared" ref="AQ5:AQ15" si="9">(AR5/AM5)*1+AT5</f>
        <v>620.40078495188095</v>
      </c>
      <c r="AR5" s="34">
        <f>+'Student Type by Acct Code'!D31</f>
        <v>139583.09</v>
      </c>
      <c r="AS5" s="34">
        <f>+AR5*AW5</f>
        <v>4779.45</v>
      </c>
      <c r="AT5" s="29">
        <f>+I5</f>
        <v>3.1496062992125928E-2</v>
      </c>
      <c r="AU5" s="1">
        <f t="shared" ref="AU5:AU21" si="10">+AQ5*(1+AT5)</f>
        <v>639.94096715508977</v>
      </c>
      <c r="AV5" s="97">
        <f t="shared" ref="AV5:AV21" si="11">AU5*AO5</f>
        <v>143986.71760989519</v>
      </c>
      <c r="AW5" s="210">
        <f>+'Student Type by Acct Code'!D57</f>
        <v>3.4240895512486505E-2</v>
      </c>
      <c r="AX5" s="97">
        <f>+AV5*AW5</f>
        <v>4930.2341528663219</v>
      </c>
      <c r="AY5" s="148">
        <f t="shared" ref="AY5:AY21" si="12">AV5-AX5</f>
        <v>139056.48345702887</v>
      </c>
      <c r="AZ5" s="74"/>
      <c r="BA5" s="66">
        <f t="shared" ref="BA5:BA21" si="13">AV5+AG5</f>
        <v>2595044.1959212106</v>
      </c>
      <c r="BB5" s="66">
        <f t="shared" ref="BB5:BB21" si="14">+AH5+AX5</f>
        <v>169889.97717145848</v>
      </c>
      <c r="BC5" s="66">
        <f>+BA5-BB5</f>
        <v>2425154.2187497523</v>
      </c>
      <c r="BD5" s="74">
        <f t="shared" ref="BD5:BD24" si="15">IFERROR(+BB5/BA5,"")</f>
        <v>6.5467084313432858E-2</v>
      </c>
      <c r="BE5" s="66">
        <f>+AY5+AI5</f>
        <v>2425154.2187497518</v>
      </c>
      <c r="BF5" s="66"/>
      <c r="BJ5" s="83"/>
      <c r="BK5" s="34"/>
      <c r="BN5" s="66"/>
      <c r="BO5" s="34"/>
    </row>
    <row r="6" spans="1:67" x14ac:dyDescent="0.2">
      <c r="A6" s="1" t="s">
        <v>67</v>
      </c>
      <c r="B6" s="1" t="s">
        <v>68</v>
      </c>
      <c r="C6" s="192">
        <f>+'Student Type by Acct Code'!E88</f>
        <v>122</v>
      </c>
      <c r="D6" s="83">
        <f>+'Changes in Enrollment'!S9-'Summary by Student Type'!C6</f>
        <v>3</v>
      </c>
      <c r="E6" s="97">
        <f t="shared" ref="E6:E21" si="16">+C6+D6</f>
        <v>125</v>
      </c>
      <c r="F6" s="196">
        <f>'Student Type by Acct Code'!E77</f>
        <v>12.032786885245891</v>
      </c>
      <c r="G6" s="185">
        <f>+'Student Type by Acct Code'!E60</f>
        <v>756965</v>
      </c>
      <c r="H6" s="185">
        <f t="shared" si="0"/>
        <v>6204.6311475409839</v>
      </c>
      <c r="I6" s="103">
        <v>5.8055152394775877E-3</v>
      </c>
      <c r="J6" s="132">
        <f t="shared" si="1"/>
        <v>6240.65222822337</v>
      </c>
      <c r="K6" s="132">
        <f t="shared" ref="K6:K21" si="17">J6*E6</f>
        <v>780081.5285279213</v>
      </c>
      <c r="L6" s="158">
        <f>'Student Type by Acct Code'!E87</f>
        <v>4.9559808107965626E-2</v>
      </c>
      <c r="M6" s="159">
        <f t="shared" si="2"/>
        <v>37515.040144446197</v>
      </c>
      <c r="N6" s="139">
        <f t="shared" ref="N6:N21" si="18">+L6</f>
        <v>4.9559808107965626E-2</v>
      </c>
      <c r="O6" s="132">
        <f t="shared" ref="O6:O21" si="19">+K6*N6</f>
        <v>38660.690862412295</v>
      </c>
      <c r="P6" s="132">
        <f t="shared" si="3"/>
        <v>741420.83766550897</v>
      </c>
      <c r="Q6" s="59"/>
      <c r="R6" s="172">
        <f>+'Student Type by Acct Code'!F88</f>
        <v>99</v>
      </c>
      <c r="S6" s="83">
        <f t="shared" ref="S6:S21" si="20">(+R6/C6*E6)-R6</f>
        <v>2.4344262295082046</v>
      </c>
      <c r="T6" s="179">
        <f t="shared" ref="T6:T21" si="21">+R6+S6</f>
        <v>101.4344262295082</v>
      </c>
      <c r="U6" s="175">
        <f>'Student Type by Acct Code'!F77</f>
        <v>11.636363636363679</v>
      </c>
      <c r="V6" s="153">
        <f>+'Student Type by Acct Code'!F60</f>
        <v>636534</v>
      </c>
      <c r="W6" s="166">
        <f t="shared" ref="W6:W21" si="22">+V6/R6</f>
        <v>6429.636363636364</v>
      </c>
      <c r="X6" s="43">
        <f t="shared" ref="X6:X21" si="23">+I6</f>
        <v>5.8055152394775877E-3</v>
      </c>
      <c r="Y6" s="97">
        <f t="shared" ref="Y6:Y21" si="24">+W6*(1+X6)</f>
        <v>6466.9637155297542</v>
      </c>
      <c r="Z6" s="97">
        <f t="shared" si="4"/>
        <v>655972.7539318091</v>
      </c>
      <c r="AA6" s="199">
        <f>'Student Type by Acct Code'!F87</f>
        <v>7.4046810354028408E-2</v>
      </c>
      <c r="AB6" s="153">
        <f t="shared" ref="AB6:AB21" si="25">+V6*AA6</f>
        <v>47133.312381891119</v>
      </c>
      <c r="AC6" s="139">
        <f t="shared" si="5"/>
        <v>4.9559808107965626E-2</v>
      </c>
      <c r="AD6" s="97">
        <f t="shared" si="6"/>
        <v>32509.883808914212</v>
      </c>
      <c r="AE6" s="148">
        <f t="shared" si="7"/>
        <v>623462.87012289488</v>
      </c>
      <c r="AG6" s="202">
        <f t="shared" ref="AG6:AG21" si="26">+K6+Z6</f>
        <v>1436054.2824597303</v>
      </c>
      <c r="AH6" s="202">
        <f t="shared" ref="AH6:AH21" si="27">+O6+AD6</f>
        <v>71170.574671326511</v>
      </c>
      <c r="AI6" s="202">
        <f t="shared" ref="AI6:AI21" si="28">+AG6-AH6</f>
        <v>1364883.7077884038</v>
      </c>
      <c r="AK6" s="4">
        <f t="shared" si="8"/>
        <v>4.9559808107965633E-2</v>
      </c>
      <c r="AL6" s="4"/>
      <c r="AM6" s="192">
        <f>+'Student Type by Acct Code'!D88</f>
        <v>31</v>
      </c>
      <c r="AN6" s="83">
        <v>0</v>
      </c>
      <c r="AO6" s="97">
        <f t="shared" ref="AO6:AO21" si="29">+AM6+AN6</f>
        <v>31</v>
      </c>
      <c r="AP6" s="33">
        <f>'Student Type by Acct Code'!D77</f>
        <v>4.7741935483871014</v>
      </c>
      <c r="AQ6" s="13">
        <f t="shared" si="9"/>
        <v>2067.7380635797554</v>
      </c>
      <c r="AR6" s="34">
        <f>+'Student Type by Acct Code'!D60</f>
        <v>64099.7</v>
      </c>
      <c r="AS6" s="34">
        <f t="shared" ref="AS6:AS21" si="30">+AR6*AW6</f>
        <v>9533.6</v>
      </c>
      <c r="AT6" s="29">
        <f t="shared" ref="AT6:AT21" si="31">+I6</f>
        <v>5.8055152394775877E-3</v>
      </c>
      <c r="AU6" s="1">
        <f t="shared" si="10"/>
        <v>2079.7423484191154</v>
      </c>
      <c r="AV6" s="97">
        <f t="shared" si="11"/>
        <v>64472.012800992576</v>
      </c>
      <c r="AW6" s="210">
        <f>+'Student Type by Acct Code'!D86</f>
        <v>0.14873080529238047</v>
      </c>
      <c r="AX6" s="97">
        <f t="shared" ref="AX6:AX21" si="32">+AV6*AW6</f>
        <v>9588.9743827122875</v>
      </c>
      <c r="AY6" s="148">
        <f t="shared" si="12"/>
        <v>54883.038418280288</v>
      </c>
      <c r="AZ6" s="74"/>
      <c r="BA6" s="66">
        <f t="shared" si="13"/>
        <v>1500526.2952607227</v>
      </c>
      <c r="BB6" s="66">
        <f t="shared" si="14"/>
        <v>80759.549054038798</v>
      </c>
      <c r="BC6" s="66">
        <f t="shared" ref="BC6:BC21" si="33">+BA6-BB6</f>
        <v>1419766.746206684</v>
      </c>
      <c r="BD6" s="74">
        <f t="shared" si="15"/>
        <v>5.3820815609236947E-2</v>
      </c>
      <c r="BE6" s="66">
        <f t="shared" ref="BE6:BE21" si="34">+AY6+AI6</f>
        <v>1419766.746206684</v>
      </c>
      <c r="BF6" s="66"/>
      <c r="BJ6" s="83"/>
      <c r="BK6" s="34"/>
      <c r="BN6" s="66"/>
      <c r="BO6" s="34"/>
    </row>
    <row r="7" spans="1:67" x14ac:dyDescent="0.2">
      <c r="A7" s="44" t="s">
        <v>34</v>
      </c>
      <c r="B7" s="45" t="s">
        <v>69</v>
      </c>
      <c r="C7" s="193">
        <f>+'Student Type by Acct Code'!E117</f>
        <v>197</v>
      </c>
      <c r="D7" s="101">
        <f>+'Changes in Enrollment'!S10-'Summary by Student Type'!C7</f>
        <v>0</v>
      </c>
      <c r="E7" s="180">
        <f t="shared" si="16"/>
        <v>197</v>
      </c>
      <c r="F7" s="197">
        <f>'Student Type by Acct Code'!E106</f>
        <v>15.385786802030506</v>
      </c>
      <c r="G7" s="186">
        <f>+'Student Type by Acct Code'!E89</f>
        <v>768504</v>
      </c>
      <c r="H7" s="186">
        <f t="shared" si="0"/>
        <v>3901.0355329949239</v>
      </c>
      <c r="I7" s="104">
        <v>5.4878048780487854E-2</v>
      </c>
      <c r="J7" s="133">
        <f t="shared" si="1"/>
        <v>4115.1167512690354</v>
      </c>
      <c r="K7" s="133">
        <f t="shared" si="17"/>
        <v>810678</v>
      </c>
      <c r="L7" s="160">
        <f>+'Student Type by Acct Code'!E115</f>
        <v>0.51459225976702783</v>
      </c>
      <c r="M7" s="161">
        <f t="shared" si="2"/>
        <v>395466.20999999996</v>
      </c>
      <c r="N7" s="140">
        <f t="shared" si="18"/>
        <v>0.51459225976702783</v>
      </c>
      <c r="O7" s="133">
        <f t="shared" si="19"/>
        <v>417168.62396341457</v>
      </c>
      <c r="P7" s="133">
        <f t="shared" si="3"/>
        <v>393509.37603658543</v>
      </c>
      <c r="Q7" s="59"/>
      <c r="R7" s="173">
        <f>+'Student Type by Acct Code'!F117</f>
        <v>195</v>
      </c>
      <c r="S7" s="101">
        <f t="shared" si="20"/>
        <v>0</v>
      </c>
      <c r="T7" s="180">
        <f t="shared" si="21"/>
        <v>195</v>
      </c>
      <c r="U7" s="176">
        <f>'Student Type by Acct Code'!F106</f>
        <v>15.138461538461559</v>
      </c>
      <c r="V7" s="154">
        <f>+'Student Type by Acct Code'!F89</f>
        <v>762272</v>
      </c>
      <c r="W7" s="167">
        <f t="shared" si="22"/>
        <v>3909.0871794871796</v>
      </c>
      <c r="X7" s="46">
        <f t="shared" si="23"/>
        <v>5.4878048780487854E-2</v>
      </c>
      <c r="Y7" s="98">
        <f t="shared" si="24"/>
        <v>4123.6102564102566</v>
      </c>
      <c r="Z7" s="98">
        <f t="shared" si="4"/>
        <v>804104</v>
      </c>
      <c r="AA7" s="200">
        <f>+'Student Type by Acct Code'!F115</f>
        <v>0.49164367837202466</v>
      </c>
      <c r="AB7" s="154">
        <f t="shared" si="25"/>
        <v>374766.20999999996</v>
      </c>
      <c r="AC7" s="140">
        <f t="shared" si="5"/>
        <v>0.51459225976702783</v>
      </c>
      <c r="AD7" s="98">
        <f t="shared" si="6"/>
        <v>413785.69444770616</v>
      </c>
      <c r="AE7" s="149">
        <f t="shared" si="7"/>
        <v>390318.30555229384</v>
      </c>
      <c r="AF7" s="45"/>
      <c r="AG7" s="98">
        <f t="shared" si="26"/>
        <v>1614782</v>
      </c>
      <c r="AH7" s="98">
        <f t="shared" si="27"/>
        <v>830954.31841112068</v>
      </c>
      <c r="AI7" s="98">
        <f t="shared" si="28"/>
        <v>783827.68158887932</v>
      </c>
      <c r="AJ7" s="45"/>
      <c r="AK7" s="49">
        <f t="shared" si="8"/>
        <v>0.51459225976702783</v>
      </c>
      <c r="AL7" s="49"/>
      <c r="AM7" s="193">
        <f>+'Student Type by Acct Code'!D117</f>
        <v>29</v>
      </c>
      <c r="AN7" s="101">
        <v>0</v>
      </c>
      <c r="AO7" s="98">
        <f t="shared" si="29"/>
        <v>29</v>
      </c>
      <c r="AP7" s="47">
        <f>'Student Type by Acct Code'!D106</f>
        <v>6.1379310344827562</v>
      </c>
      <c r="AQ7" s="45">
        <f t="shared" si="9"/>
        <v>1263.2652228763668</v>
      </c>
      <c r="AR7" s="48">
        <f>+'Student Type by Acct Code'!D89</f>
        <v>36633.100000000006</v>
      </c>
      <c r="AS7" s="48">
        <f t="shared" si="30"/>
        <v>3414.9499999999994</v>
      </c>
      <c r="AT7" s="204">
        <f t="shared" si="31"/>
        <v>5.4878048780487854E-2</v>
      </c>
      <c r="AU7" s="1">
        <f t="shared" si="10"/>
        <v>1332.5907534000698</v>
      </c>
      <c r="AV7" s="98">
        <f t="shared" si="11"/>
        <v>38645.131848602025</v>
      </c>
      <c r="AW7" s="211">
        <f>+'Student Type by Acct Code'!D115</f>
        <v>9.3220338983050821E-2</v>
      </c>
      <c r="AX7" s="98">
        <f t="shared" si="32"/>
        <v>3602.5122909713741</v>
      </c>
      <c r="AY7" s="149">
        <f t="shared" si="12"/>
        <v>35042.619557630649</v>
      </c>
      <c r="AZ7" s="75"/>
      <c r="BA7" s="48">
        <f t="shared" si="13"/>
        <v>1653427.1318486021</v>
      </c>
      <c r="BB7" s="48">
        <f t="shared" si="14"/>
        <v>834556.83070209203</v>
      </c>
      <c r="BC7" s="48">
        <f t="shared" si="33"/>
        <v>818870.30114651006</v>
      </c>
      <c r="BD7" s="78">
        <f t="shared" si="15"/>
        <v>0.50474364102699942</v>
      </c>
      <c r="BE7" s="66">
        <f t="shared" si="34"/>
        <v>818870.30114650994</v>
      </c>
      <c r="BF7" s="66"/>
      <c r="BJ7" s="83"/>
      <c r="BK7" s="34"/>
      <c r="BN7" s="66"/>
      <c r="BO7" s="34"/>
    </row>
    <row r="8" spans="1:67" x14ac:dyDescent="0.2">
      <c r="A8" s="50" t="s">
        <v>70</v>
      </c>
      <c r="B8" s="51" t="s">
        <v>71</v>
      </c>
      <c r="C8" s="194">
        <f>'Student Type by Acct Code'!E146</f>
        <v>82</v>
      </c>
      <c r="D8" s="102">
        <f>+'Changes in Enrollment'!S11-'Summary by Student Type'!C8</f>
        <v>0</v>
      </c>
      <c r="E8" s="181">
        <f t="shared" si="16"/>
        <v>82</v>
      </c>
      <c r="F8" s="198">
        <f>'Student Type by Acct Code'!E135</f>
        <v>15.012195121951219</v>
      </c>
      <c r="G8" s="187">
        <f>+'Student Type by Acct Code'!E118</f>
        <v>1297474</v>
      </c>
      <c r="H8" s="187">
        <f t="shared" si="0"/>
        <v>15822.853658536585</v>
      </c>
      <c r="I8" s="56">
        <v>1.2388162422573901E-2</v>
      </c>
      <c r="J8" s="134">
        <f t="shared" si="1"/>
        <v>16018.869739647154</v>
      </c>
      <c r="K8" s="134">
        <f t="shared" si="17"/>
        <v>1313547.3186510666</v>
      </c>
      <c r="L8" s="162">
        <f>'Student Type by Acct Code'!E144</f>
        <v>0.2007159681041778</v>
      </c>
      <c r="M8" s="163">
        <f t="shared" si="2"/>
        <v>260423.75</v>
      </c>
      <c r="N8" s="141">
        <f t="shared" si="18"/>
        <v>0.2007159681041778</v>
      </c>
      <c r="O8" s="134">
        <f t="shared" si="19"/>
        <v>263649.92171369574</v>
      </c>
      <c r="P8" s="134">
        <f t="shared" si="3"/>
        <v>1049897.3969373708</v>
      </c>
      <c r="Q8" s="59"/>
      <c r="R8" s="174">
        <f>'Student Type by Acct Code'!F146</f>
        <v>74</v>
      </c>
      <c r="S8" s="102">
        <f t="shared" si="20"/>
        <v>0</v>
      </c>
      <c r="T8" s="181">
        <f t="shared" si="21"/>
        <v>74</v>
      </c>
      <c r="U8" s="177">
        <f>'Student Type by Acct Code'!F135</f>
        <v>14.79729729729727</v>
      </c>
      <c r="V8" s="155">
        <f>+'Student Type by Acct Code'!F118</f>
        <v>1241160</v>
      </c>
      <c r="W8" s="168">
        <f t="shared" si="22"/>
        <v>16772.432432432433</v>
      </c>
      <c r="X8" s="52">
        <f t="shared" si="23"/>
        <v>1.2388162422573901E-2</v>
      </c>
      <c r="Y8" s="99">
        <f t="shared" si="24"/>
        <v>16980.212049627051</v>
      </c>
      <c r="Z8" s="99">
        <f t="shared" si="4"/>
        <v>1256535.6916724017</v>
      </c>
      <c r="AA8" s="201">
        <f>'Student Type by Acct Code'!F144</f>
        <v>0.2005363933739405</v>
      </c>
      <c r="AB8" s="155">
        <f t="shared" si="25"/>
        <v>248897.75</v>
      </c>
      <c r="AC8" s="141">
        <f t="shared" si="5"/>
        <v>0.2007159681041778</v>
      </c>
      <c r="AD8" s="99">
        <f t="shared" si="6"/>
        <v>252206.77781147877</v>
      </c>
      <c r="AE8" s="150">
        <f t="shared" si="7"/>
        <v>1004328.9138609229</v>
      </c>
      <c r="AF8" s="51"/>
      <c r="AG8" s="99">
        <f t="shared" si="26"/>
        <v>2570083.0103234686</v>
      </c>
      <c r="AH8" s="99">
        <f t="shared" si="27"/>
        <v>515856.69952517451</v>
      </c>
      <c r="AI8" s="99">
        <f t="shared" si="28"/>
        <v>2054226.3107982941</v>
      </c>
      <c r="AJ8" s="51"/>
      <c r="AK8" s="55">
        <f t="shared" si="8"/>
        <v>0.20071596810417777</v>
      </c>
      <c r="AL8" s="55"/>
      <c r="AM8" s="194">
        <f>+'Student Type by Acct Code'!D146</f>
        <v>17</v>
      </c>
      <c r="AN8" s="102">
        <v>0</v>
      </c>
      <c r="AO8" s="99">
        <f t="shared" si="29"/>
        <v>17</v>
      </c>
      <c r="AP8" s="53">
        <f>'Student Type by Acct Code'!D135</f>
        <v>6.1764705882352953</v>
      </c>
      <c r="AQ8" s="54">
        <f t="shared" si="9"/>
        <v>7768.3300352212455</v>
      </c>
      <c r="AR8" s="54">
        <f>+'Student Type by Acct Code'!D118</f>
        <v>132061.4</v>
      </c>
      <c r="AS8" s="54">
        <f t="shared" si="30"/>
        <v>0</v>
      </c>
      <c r="AT8" s="52">
        <f t="shared" si="31"/>
        <v>1.2388162422573901E-2</v>
      </c>
      <c r="AU8" s="1">
        <f t="shared" si="10"/>
        <v>7864.565369449725</v>
      </c>
      <c r="AV8" s="99">
        <f t="shared" si="11"/>
        <v>133697.61128064533</v>
      </c>
      <c r="AW8" s="212">
        <f>+'Student Type by Acct Code'!D144</f>
        <v>0</v>
      </c>
      <c r="AX8" s="99">
        <f t="shared" si="32"/>
        <v>0</v>
      </c>
      <c r="AY8" s="150">
        <f t="shared" si="12"/>
        <v>133697.61128064533</v>
      </c>
      <c r="AZ8" s="76"/>
      <c r="BA8" s="54">
        <f t="shared" si="13"/>
        <v>2703780.6216041138</v>
      </c>
      <c r="BB8" s="54">
        <f t="shared" si="14"/>
        <v>515856.69952517451</v>
      </c>
      <c r="BC8" s="54">
        <f t="shared" si="33"/>
        <v>2187923.9220789392</v>
      </c>
      <c r="BD8" s="79">
        <f t="shared" si="15"/>
        <v>0.1907908856966081</v>
      </c>
      <c r="BE8" s="66">
        <f t="shared" si="34"/>
        <v>2187923.9220789396</v>
      </c>
      <c r="BF8" s="66"/>
      <c r="BJ8" s="83"/>
      <c r="BK8" s="34"/>
      <c r="BN8" s="66"/>
      <c r="BO8" s="34"/>
    </row>
    <row r="9" spans="1:67" x14ac:dyDescent="0.2">
      <c r="A9" s="1" t="s">
        <v>30</v>
      </c>
      <c r="B9" s="1" t="s">
        <v>72</v>
      </c>
      <c r="C9" s="192">
        <f>'Student Type by Acct Code'!E175</f>
        <v>160</v>
      </c>
      <c r="D9" s="83">
        <f>+'Changes in Enrollment'!S12-'Summary by Student Type'!C9</f>
        <v>-50</v>
      </c>
      <c r="E9" s="97">
        <f t="shared" si="16"/>
        <v>110</v>
      </c>
      <c r="F9" s="196">
        <f>'Student Type by Acct Code'!E164</f>
        <v>10.025000000000009</v>
      </c>
      <c r="G9" s="185">
        <f>+'Student Type by Acct Code'!E147</f>
        <v>189966.6</v>
      </c>
      <c r="H9" s="185">
        <f t="shared" si="0"/>
        <v>1187.29125</v>
      </c>
      <c r="I9" s="103">
        <v>3.1496062992125928E-2</v>
      </c>
      <c r="J9" s="132">
        <f t="shared" si="1"/>
        <v>1224.68625</v>
      </c>
      <c r="K9" s="132">
        <f t="shared" si="17"/>
        <v>134715.48749999999</v>
      </c>
      <c r="L9" s="164">
        <f>+'Student Type by Acct Code'!E173</f>
        <v>4.0780853055221285E-2</v>
      </c>
      <c r="M9" s="165">
        <f t="shared" si="2"/>
        <v>7747</v>
      </c>
      <c r="N9" s="139">
        <f t="shared" si="18"/>
        <v>4.0780853055221285E-2</v>
      </c>
      <c r="O9" s="132">
        <f t="shared" si="19"/>
        <v>5493.8124999999991</v>
      </c>
      <c r="P9" s="132">
        <f t="shared" si="3"/>
        <v>129221.67499999999</v>
      </c>
      <c r="Q9" s="59"/>
      <c r="R9" s="172">
        <f>'Student Type by Acct Code'!F175</f>
        <v>144</v>
      </c>
      <c r="S9" s="83">
        <f t="shared" si="20"/>
        <v>-45</v>
      </c>
      <c r="T9" s="179">
        <f t="shared" si="21"/>
        <v>99</v>
      </c>
      <c r="U9" s="175">
        <f>'Student Type by Acct Code'!F164</f>
        <v>9.9722222222222143</v>
      </c>
      <c r="V9" s="153">
        <f>+'Student Type by Acct Code'!F147</f>
        <v>172593</v>
      </c>
      <c r="W9" s="166">
        <f t="shared" si="22"/>
        <v>1198.5625</v>
      </c>
      <c r="X9" s="43">
        <f t="shared" si="23"/>
        <v>3.1496062992125928E-2</v>
      </c>
      <c r="Y9" s="97">
        <f t="shared" si="24"/>
        <v>1236.3125</v>
      </c>
      <c r="Z9" s="97">
        <f t="shared" si="4"/>
        <v>122394.9375</v>
      </c>
      <c r="AA9" s="199">
        <f>+'Student Type by Acct Code'!F173</f>
        <v>5.6659308314937457E-2</v>
      </c>
      <c r="AB9" s="153">
        <f t="shared" si="25"/>
        <v>9779</v>
      </c>
      <c r="AC9" s="139">
        <f t="shared" si="5"/>
        <v>4.0780853055221285E-2</v>
      </c>
      <c r="AD9" s="97">
        <f t="shared" si="6"/>
        <v>4991.3699608904935</v>
      </c>
      <c r="AE9" s="148">
        <f t="shared" si="7"/>
        <v>117403.5675391095</v>
      </c>
      <c r="AG9" s="202">
        <f t="shared" si="26"/>
        <v>257110.42499999999</v>
      </c>
      <c r="AH9" s="202">
        <f t="shared" si="27"/>
        <v>10485.182460890494</v>
      </c>
      <c r="AI9" s="202">
        <f t="shared" si="28"/>
        <v>246625.24253910949</v>
      </c>
      <c r="AK9" s="4">
        <f t="shared" si="8"/>
        <v>4.0780853055221292E-2</v>
      </c>
      <c r="AL9" s="4"/>
      <c r="AM9" s="192">
        <f>+'Student Type by Acct Code'!D175</f>
        <v>91</v>
      </c>
      <c r="AN9" s="83">
        <v>0</v>
      </c>
      <c r="AO9" s="97">
        <f t="shared" si="29"/>
        <v>91</v>
      </c>
      <c r="AP9" s="14">
        <f>'Student Type by Acct Code'!D164</f>
        <v>6.9780219780219932</v>
      </c>
      <c r="AQ9" s="13">
        <f t="shared" si="9"/>
        <v>820.17314441464066</v>
      </c>
      <c r="AR9" s="34">
        <f>+'Student Type by Acct Code'!D147</f>
        <v>74632.890000000014</v>
      </c>
      <c r="AS9" s="34">
        <f t="shared" si="30"/>
        <v>5951.8499999999995</v>
      </c>
      <c r="AT9" s="29">
        <f t="shared" si="31"/>
        <v>3.1496062992125928E-2</v>
      </c>
      <c r="AU9" s="1">
        <f t="shared" si="10"/>
        <v>846.00536943557415</v>
      </c>
      <c r="AV9" s="97">
        <f t="shared" si="11"/>
        <v>76986.488618637246</v>
      </c>
      <c r="AW9" s="213">
        <f>+'Student Type by Acct Code'!D173</f>
        <v>7.9748352234517497E-2</v>
      </c>
      <c r="AX9" s="97">
        <f t="shared" si="32"/>
        <v>6139.5456116577552</v>
      </c>
      <c r="AY9" s="148">
        <f t="shared" si="12"/>
        <v>70846.943006979491</v>
      </c>
      <c r="AZ9" s="74"/>
      <c r="BA9" s="66">
        <f t="shared" si="13"/>
        <v>334096.91361863725</v>
      </c>
      <c r="BB9" s="66">
        <f t="shared" si="14"/>
        <v>16624.728072548249</v>
      </c>
      <c r="BC9" s="66">
        <f t="shared" si="33"/>
        <v>317472.18554608902</v>
      </c>
      <c r="BD9" s="74">
        <f t="shared" si="15"/>
        <v>4.9760196502518228E-2</v>
      </c>
      <c r="BE9" s="66">
        <f t="shared" si="34"/>
        <v>317472.18554608896</v>
      </c>
      <c r="BF9" s="66"/>
      <c r="BJ9" s="83"/>
      <c r="BK9" s="34"/>
      <c r="BN9" s="66"/>
      <c r="BO9" s="34"/>
    </row>
    <row r="10" spans="1:67" x14ac:dyDescent="0.2">
      <c r="A10" s="1" t="s">
        <v>73</v>
      </c>
      <c r="B10" s="1" t="s">
        <v>74</v>
      </c>
      <c r="C10" s="192">
        <f>'Student Type by Acct Code'!E204</f>
        <v>21</v>
      </c>
      <c r="D10" s="83">
        <f>+'Changes in Enrollment'!S13-'Summary by Student Type'!C10</f>
        <v>-4</v>
      </c>
      <c r="E10" s="97">
        <f t="shared" si="16"/>
        <v>17</v>
      </c>
      <c r="F10" s="196">
        <f>'Student Type by Acct Code'!E193</f>
        <v>8.9999999999999964</v>
      </c>
      <c r="G10" s="185">
        <f>+'Student Type by Acct Code'!E176</f>
        <v>67031</v>
      </c>
      <c r="H10" s="185">
        <f t="shared" si="0"/>
        <v>3191.9523809523807</v>
      </c>
      <c r="I10" s="103">
        <v>9.5923261390886694E-3</v>
      </c>
      <c r="J10" s="132">
        <f t="shared" si="1"/>
        <v>3222.5706292109166</v>
      </c>
      <c r="K10" s="132">
        <f t="shared" si="17"/>
        <v>54783.700696585584</v>
      </c>
      <c r="L10" s="164">
        <f>+'Student Type by Acct Code'!E202</f>
        <v>3.7326013337112676E-2</v>
      </c>
      <c r="M10" s="165">
        <f t="shared" si="2"/>
        <v>2502</v>
      </c>
      <c r="N10" s="139">
        <f t="shared" si="18"/>
        <v>3.7326013337112676E-2</v>
      </c>
      <c r="O10" s="132">
        <f t="shared" si="19"/>
        <v>2044.8571428571424</v>
      </c>
      <c r="P10" s="132">
        <f t="shared" si="3"/>
        <v>52738.843553728439</v>
      </c>
      <c r="Q10" s="59"/>
      <c r="R10" s="172">
        <f>'Student Type by Acct Code'!F204</f>
        <v>17</v>
      </c>
      <c r="S10" s="83">
        <f t="shared" si="20"/>
        <v>-3.2380952380952372</v>
      </c>
      <c r="T10" s="179">
        <f t="shared" si="21"/>
        <v>13.761904761904763</v>
      </c>
      <c r="U10" s="175">
        <f>'Student Type by Acct Code'!F193</f>
        <v>8.0588235294117698</v>
      </c>
      <c r="V10" s="153">
        <f>+'Student Type by Acct Code'!F176</f>
        <v>47178</v>
      </c>
      <c r="W10" s="166">
        <f t="shared" si="22"/>
        <v>2775.1764705882351</v>
      </c>
      <c r="X10" s="43">
        <f t="shared" si="23"/>
        <v>9.5923261390886694E-3</v>
      </c>
      <c r="Y10" s="97">
        <f t="shared" si="24"/>
        <v>2801.7968683876425</v>
      </c>
      <c r="Z10" s="97">
        <f t="shared" si="4"/>
        <v>38558.061664953748</v>
      </c>
      <c r="AA10" s="199">
        <f>+'Student Type by Acct Code'!F202</f>
        <v>2.4227394124380009E-2</v>
      </c>
      <c r="AB10" s="153">
        <f t="shared" si="25"/>
        <v>1143</v>
      </c>
      <c r="AC10" s="139">
        <f t="shared" si="5"/>
        <v>3.7326013337112676E-2</v>
      </c>
      <c r="AD10" s="97">
        <f t="shared" si="6"/>
        <v>1439.2187239592765</v>
      </c>
      <c r="AE10" s="148">
        <f t="shared" si="7"/>
        <v>37118.842940994473</v>
      </c>
      <c r="AG10" s="202">
        <f t="shared" si="26"/>
        <v>93341.762361539324</v>
      </c>
      <c r="AH10" s="202">
        <f t="shared" si="27"/>
        <v>3484.075866816419</v>
      </c>
      <c r="AI10" s="202">
        <f t="shared" si="28"/>
        <v>89857.686494722904</v>
      </c>
      <c r="AK10" s="4">
        <f t="shared" si="8"/>
        <v>3.7326013337112676E-2</v>
      </c>
      <c r="AL10" s="4"/>
      <c r="AM10" s="192">
        <f>+'Student Type by Acct Code'!D204</f>
        <v>15</v>
      </c>
      <c r="AN10" s="83">
        <v>0</v>
      </c>
      <c r="AO10" s="97">
        <f t="shared" si="29"/>
        <v>15</v>
      </c>
      <c r="AP10" s="14">
        <f>'Student Type by Acct Code'!D193</f>
        <v>4.7999999999999963</v>
      </c>
      <c r="AQ10" s="13">
        <f t="shared" si="9"/>
        <v>1925.2429256594723</v>
      </c>
      <c r="AR10" s="34">
        <f>+'Student Type by Acct Code'!D176</f>
        <v>28878.5</v>
      </c>
      <c r="AS10" s="34">
        <f t="shared" si="30"/>
        <v>0</v>
      </c>
      <c r="AT10" s="29">
        <f t="shared" si="31"/>
        <v>9.5923261390886694E-3</v>
      </c>
      <c r="AU10" s="1">
        <f t="shared" si="10"/>
        <v>1943.7104836993713</v>
      </c>
      <c r="AV10" s="97">
        <f t="shared" si="11"/>
        <v>29155.657255490569</v>
      </c>
      <c r="AW10" s="213">
        <f>+'Student Type by Acct Code'!D202</f>
        <v>0</v>
      </c>
      <c r="AX10" s="97">
        <f t="shared" si="32"/>
        <v>0</v>
      </c>
      <c r="AY10" s="148">
        <f t="shared" si="12"/>
        <v>29155.657255490569</v>
      </c>
      <c r="AZ10" s="74"/>
      <c r="BA10" s="66">
        <f t="shared" si="13"/>
        <v>122497.4196170299</v>
      </c>
      <c r="BB10" s="66">
        <f t="shared" si="14"/>
        <v>3484.075866816419</v>
      </c>
      <c r="BC10" s="66">
        <f t="shared" si="33"/>
        <v>119013.34375021348</v>
      </c>
      <c r="BD10" s="74">
        <f t="shared" si="15"/>
        <v>2.844203476047796E-2</v>
      </c>
      <c r="BE10" s="66">
        <f t="shared" si="34"/>
        <v>119013.34375021348</v>
      </c>
      <c r="BF10" s="66"/>
      <c r="BJ10" s="83"/>
      <c r="BK10" s="34"/>
      <c r="BN10" s="66"/>
      <c r="BO10" s="34"/>
    </row>
    <row r="11" spans="1:67" x14ac:dyDescent="0.2">
      <c r="A11" s="1" t="s">
        <v>35</v>
      </c>
      <c r="B11" s="1" t="s">
        <v>75</v>
      </c>
      <c r="C11" s="192">
        <f>'Student Type by Acct Code'!E233</f>
        <v>3777</v>
      </c>
      <c r="D11" s="83">
        <f>+'Changes in Enrollment'!S14-'Summary by Student Type'!C11</f>
        <v>184</v>
      </c>
      <c r="E11" s="97">
        <f t="shared" si="16"/>
        <v>3961</v>
      </c>
      <c r="F11" s="196">
        <f>'Student Type by Acct Code'!E222</f>
        <v>14.287794545935672</v>
      </c>
      <c r="G11" s="185">
        <f>+'Student Type by Acct Code'!E205</f>
        <v>11581519.5</v>
      </c>
      <c r="H11" s="185">
        <f t="shared" si="0"/>
        <v>3066.3276409849086</v>
      </c>
      <c r="I11" s="103">
        <v>6.7415730337078594E-2</v>
      </c>
      <c r="J11" s="132">
        <f t="shared" si="1"/>
        <v>3273.0463583546775</v>
      </c>
      <c r="K11" s="132">
        <f t="shared" si="17"/>
        <v>12964536.625442877</v>
      </c>
      <c r="L11" s="158">
        <f>+'Student Type by Acct Code'!E231</f>
        <v>0.33228552609180523</v>
      </c>
      <c r="M11" s="159">
        <f t="shared" si="2"/>
        <v>3848371.3000000012</v>
      </c>
      <c r="N11" s="139">
        <f>+L11+0.01</f>
        <v>0.34228552609180524</v>
      </c>
      <c r="O11" s="132">
        <f t="shared" si="19"/>
        <v>4437573.2393761929</v>
      </c>
      <c r="P11" s="132">
        <f t="shared" si="3"/>
        <v>8526963.3860666845</v>
      </c>
      <c r="Q11" s="59"/>
      <c r="R11" s="172">
        <f>'Student Type by Acct Code'!F233</f>
        <v>3559</v>
      </c>
      <c r="S11" s="83">
        <f t="shared" si="20"/>
        <v>173.37993116229836</v>
      </c>
      <c r="T11" s="179">
        <f t="shared" si="21"/>
        <v>3732.3799311622984</v>
      </c>
      <c r="U11" s="175">
        <f>'Student Type by Acct Code'!F222</f>
        <v>14.091598763697448</v>
      </c>
      <c r="V11" s="153">
        <f>+'Student Type by Acct Code'!F205</f>
        <v>10835757.5</v>
      </c>
      <c r="W11" s="166">
        <f t="shared" si="22"/>
        <v>3044.607333520652</v>
      </c>
      <c r="X11" s="43">
        <f t="shared" si="23"/>
        <v>6.7415730337078594E-2</v>
      </c>
      <c r="Y11" s="97">
        <f t="shared" si="24"/>
        <v>3249.861760499572</v>
      </c>
      <c r="Z11" s="97">
        <f t="shared" si="4"/>
        <v>12129718.813940378</v>
      </c>
      <c r="AA11" s="199">
        <f>+'Student Type by Acct Code'!F231</f>
        <v>0.33493781122362704</v>
      </c>
      <c r="AB11" s="153">
        <f t="shared" si="25"/>
        <v>3629304.9000000008</v>
      </c>
      <c r="AC11" s="229">
        <f t="shared" si="5"/>
        <v>0.34228552609180524</v>
      </c>
      <c r="AD11" s="97">
        <f t="shared" si="6"/>
        <v>4151827.1855752501</v>
      </c>
      <c r="AE11" s="148">
        <f t="shared" si="7"/>
        <v>7977891.6283651274</v>
      </c>
      <c r="AG11" s="202">
        <f t="shared" si="26"/>
        <v>25094255.439383253</v>
      </c>
      <c r="AH11" s="202">
        <f t="shared" si="27"/>
        <v>8589400.4249514434</v>
      </c>
      <c r="AI11" s="202">
        <f t="shared" si="28"/>
        <v>16504855.01443181</v>
      </c>
      <c r="AK11" s="4">
        <f t="shared" si="8"/>
        <v>0.34228552609180529</v>
      </c>
      <c r="AL11" s="4"/>
      <c r="AM11" s="192">
        <f>+'Student Type by Acct Code'!D233</f>
        <v>663</v>
      </c>
      <c r="AN11" s="83">
        <v>0</v>
      </c>
      <c r="AO11" s="97">
        <f t="shared" si="29"/>
        <v>663</v>
      </c>
      <c r="AP11" s="14">
        <f>'Student Type by Acct Code'!D222</f>
        <v>6.6033182503770407</v>
      </c>
      <c r="AQ11" s="13">
        <f t="shared" si="9"/>
        <v>1573.8597234226449</v>
      </c>
      <c r="AR11" s="34">
        <f>+'Student Type by Acct Code'!D205</f>
        <v>1043424.3</v>
      </c>
      <c r="AS11" s="34">
        <f t="shared" si="30"/>
        <v>95924.75</v>
      </c>
      <c r="AT11" s="29">
        <f t="shared" si="31"/>
        <v>6.7415730337078594E-2</v>
      </c>
      <c r="AU11" s="1">
        <f t="shared" si="10"/>
        <v>1679.9626261252952</v>
      </c>
      <c r="AV11" s="97">
        <f t="shared" si="11"/>
        <v>1113815.2211210707</v>
      </c>
      <c r="AW11" s="210">
        <f>+'Student Type by Acct Code'!D231</f>
        <v>9.1932639483285936E-2</v>
      </c>
      <c r="AX11" s="97">
        <f t="shared" si="32"/>
        <v>102395.97317431979</v>
      </c>
      <c r="AY11" s="148">
        <f t="shared" si="12"/>
        <v>1011419.2479467508</v>
      </c>
      <c r="AZ11" s="74"/>
      <c r="BA11" s="66">
        <f t="shared" si="13"/>
        <v>26208070.660504322</v>
      </c>
      <c r="BB11" s="66">
        <f t="shared" si="14"/>
        <v>8691796.398125764</v>
      </c>
      <c r="BC11" s="66">
        <f t="shared" si="33"/>
        <v>17516274.262378559</v>
      </c>
      <c r="BD11" s="74">
        <f t="shared" si="15"/>
        <v>0.33164579379833325</v>
      </c>
      <c r="BE11" s="66">
        <f t="shared" si="34"/>
        <v>17516274.262378562</v>
      </c>
      <c r="BF11" s="66"/>
      <c r="BJ11" s="83"/>
      <c r="BK11" s="34"/>
      <c r="BN11" s="66"/>
      <c r="BO11" s="34"/>
    </row>
    <row r="12" spans="1:67" x14ac:dyDescent="0.2">
      <c r="A12" s="1" t="s">
        <v>76</v>
      </c>
      <c r="B12" s="1" t="s">
        <v>77</v>
      </c>
      <c r="C12" s="192">
        <f>'Student Type by Acct Code'!E262</f>
        <v>1502</v>
      </c>
      <c r="D12" s="83">
        <f>+'Changes in Enrollment'!S15-'Summary by Student Type'!C12</f>
        <v>-198</v>
      </c>
      <c r="E12" s="97">
        <f t="shared" si="16"/>
        <v>1304</v>
      </c>
      <c r="F12" s="196">
        <f>'Student Type by Acct Code'!E251</f>
        <v>15.093874833555114</v>
      </c>
      <c r="G12" s="185">
        <f>+'Student Type by Acct Code'!E234</f>
        <v>21774642</v>
      </c>
      <c r="H12" s="185">
        <f t="shared" si="0"/>
        <v>14497.098535286284</v>
      </c>
      <c r="I12" s="103">
        <v>1.3953488372093092E-2</v>
      </c>
      <c r="J12" s="132">
        <f t="shared" si="1"/>
        <v>14699.38363112749</v>
      </c>
      <c r="K12" s="132">
        <f t="shared" si="17"/>
        <v>19167996.254990246</v>
      </c>
      <c r="L12" s="158">
        <f>+'Student Type by Acct Code'!E260</f>
        <v>0.43272701337638531</v>
      </c>
      <c r="M12" s="159">
        <f t="shared" si="2"/>
        <v>9422475.8000000007</v>
      </c>
      <c r="N12" s="229">
        <f>+L12+0.01</f>
        <v>0.44272701337638531</v>
      </c>
      <c r="O12" s="132">
        <f t="shared" si="19"/>
        <v>8486189.7343815695</v>
      </c>
      <c r="P12" s="132">
        <f t="shared" si="3"/>
        <v>10681806.520608677</v>
      </c>
      <c r="Q12" s="59"/>
      <c r="R12" s="172">
        <f>'Student Type by Acct Code'!F262</f>
        <v>1326</v>
      </c>
      <c r="S12" s="83">
        <f t="shared" si="20"/>
        <v>-174.7989347536618</v>
      </c>
      <c r="T12" s="179">
        <f t="shared" si="21"/>
        <v>1151.2010652463382</v>
      </c>
      <c r="U12" s="175">
        <f>'Student Type by Acct Code'!F251</f>
        <v>14.916289592760151</v>
      </c>
      <c r="V12" s="153">
        <f>+'Student Type by Acct Code'!F234</f>
        <v>19616036</v>
      </c>
      <c r="W12" s="166">
        <f t="shared" si="22"/>
        <v>14793.39064856712</v>
      </c>
      <c r="X12" s="43">
        <f t="shared" si="23"/>
        <v>1.3953488372093092E-2</v>
      </c>
      <c r="Y12" s="97">
        <f t="shared" si="24"/>
        <v>14999.810052965731</v>
      </c>
      <c r="Z12" s="97">
        <f t="shared" si="4"/>
        <v>17267797.311466884</v>
      </c>
      <c r="AA12" s="199">
        <f>+'Student Type by Acct Code'!F260</f>
        <v>0.44166211766740232</v>
      </c>
      <c r="AB12" s="153">
        <f t="shared" si="25"/>
        <v>8663660</v>
      </c>
      <c r="AC12" s="229">
        <f t="shared" si="5"/>
        <v>0.44272701337638531</v>
      </c>
      <c r="AD12" s="97">
        <f t="shared" si="6"/>
        <v>7644920.3312945096</v>
      </c>
      <c r="AE12" s="148">
        <f t="shared" si="7"/>
        <v>9622876.9801723734</v>
      </c>
      <c r="AG12" s="202">
        <f t="shared" si="26"/>
        <v>36435793.56645713</v>
      </c>
      <c r="AH12" s="202">
        <f t="shared" si="27"/>
        <v>16131110.065676078</v>
      </c>
      <c r="AI12" s="202">
        <f t="shared" si="28"/>
        <v>20304683.500781052</v>
      </c>
      <c r="AK12" s="4">
        <f t="shared" si="8"/>
        <v>0.44272701337638526</v>
      </c>
      <c r="AL12" s="4"/>
      <c r="AM12" s="192">
        <f>+'Student Type by Acct Code'!D262</f>
        <v>225</v>
      </c>
      <c r="AN12" s="83">
        <v>0</v>
      </c>
      <c r="AO12" s="97">
        <f t="shared" si="29"/>
        <v>225</v>
      </c>
      <c r="AP12" s="14">
        <f>'Student Type by Acct Code'!D251</f>
        <v>5.697777777777782</v>
      </c>
      <c r="AQ12" s="13">
        <f t="shared" si="9"/>
        <v>5796.1030645994833</v>
      </c>
      <c r="AR12" s="34">
        <f>+'Student Type by Acct Code'!D234</f>
        <v>1304120.05</v>
      </c>
      <c r="AS12" s="34">
        <f t="shared" si="30"/>
        <v>91861.950000000012</v>
      </c>
      <c r="AT12" s="29">
        <f t="shared" si="31"/>
        <v>1.3953488372093092E-2</v>
      </c>
      <c r="AU12" s="1">
        <f t="shared" si="10"/>
        <v>5876.9789213148251</v>
      </c>
      <c r="AV12" s="97">
        <f t="shared" si="11"/>
        <v>1322320.2572958358</v>
      </c>
      <c r="AW12" s="210">
        <f>+'Student Type by Acct Code'!D260</f>
        <v>7.0439795784138129E-2</v>
      </c>
      <c r="AX12" s="97">
        <f t="shared" si="32"/>
        <v>93143.968885147653</v>
      </c>
      <c r="AY12" s="148">
        <f t="shared" si="12"/>
        <v>1229176.2884106881</v>
      </c>
      <c r="AZ12" s="74"/>
      <c r="BA12" s="66">
        <f t="shared" si="13"/>
        <v>37758113.82375297</v>
      </c>
      <c r="BB12" s="66">
        <f t="shared" si="14"/>
        <v>16224254.034561226</v>
      </c>
      <c r="BC12" s="66">
        <f t="shared" si="33"/>
        <v>21533859.789191745</v>
      </c>
      <c r="BD12" s="74">
        <f t="shared" si="15"/>
        <v>0.42968920826640528</v>
      </c>
      <c r="BE12" s="66">
        <f t="shared" si="34"/>
        <v>21533859.789191741</v>
      </c>
      <c r="BF12" s="66"/>
      <c r="BJ12" s="83"/>
      <c r="BK12" s="34"/>
      <c r="BN12" s="66"/>
      <c r="BO12" s="34"/>
    </row>
    <row r="13" spans="1:67" x14ac:dyDescent="0.2">
      <c r="A13" s="1" t="s">
        <v>37</v>
      </c>
      <c r="B13" s="1" t="s">
        <v>78</v>
      </c>
      <c r="C13" s="192">
        <f>'Student Type by Acct Code'!E291</f>
        <v>624</v>
      </c>
      <c r="D13" s="83">
        <f>+'Changes in Enrollment'!S16-'Summary by Student Type'!C13</f>
        <v>398</v>
      </c>
      <c r="E13" s="97">
        <f t="shared" si="16"/>
        <v>1022</v>
      </c>
      <c r="F13" s="196">
        <f>'Student Type by Acct Code'!E280</f>
        <v>15.796474358974406</v>
      </c>
      <c r="G13" s="185">
        <f>+'Student Type by Acct Code'!E263</f>
        <v>2983396</v>
      </c>
      <c r="H13" s="185">
        <f t="shared" si="0"/>
        <v>4781.083333333333</v>
      </c>
      <c r="I13" s="103">
        <v>6.7331670822942558E-2</v>
      </c>
      <c r="J13" s="132">
        <f t="shared" si="1"/>
        <v>5103.0016625103899</v>
      </c>
      <c r="K13" s="132">
        <f t="shared" si="17"/>
        <v>5215267.6990856184</v>
      </c>
      <c r="L13" s="158">
        <f>+'Student Type by Acct Code'!E289</f>
        <v>0.1093994763015034</v>
      </c>
      <c r="M13" s="159">
        <f t="shared" si="2"/>
        <v>326381.96000000002</v>
      </c>
      <c r="N13" s="229">
        <f t="shared" si="18"/>
        <v>0.1093994763015034</v>
      </c>
      <c r="O13" s="132">
        <f t="shared" si="19"/>
        <v>570547.55505211325</v>
      </c>
      <c r="P13" s="132">
        <f t="shared" si="3"/>
        <v>4644720.1440335046</v>
      </c>
      <c r="Q13" s="59"/>
      <c r="R13" s="172">
        <f>'Student Type by Acct Code'!F291</f>
        <v>566</v>
      </c>
      <c r="S13" s="83">
        <f t="shared" si="20"/>
        <v>361.00641025641028</v>
      </c>
      <c r="T13" s="179">
        <f t="shared" si="21"/>
        <v>927.00641025641028</v>
      </c>
      <c r="U13" s="175">
        <f>'Student Type by Acct Code'!F280</f>
        <v>15.664310954063588</v>
      </c>
      <c r="V13" s="153">
        <f>+'Student Type by Acct Code'!F263</f>
        <v>2694307</v>
      </c>
      <c r="W13" s="166">
        <f t="shared" si="22"/>
        <v>4760.2597173144877</v>
      </c>
      <c r="X13" s="43">
        <f t="shared" si="23"/>
        <v>6.7331670822942558E-2</v>
      </c>
      <c r="Y13" s="97">
        <f t="shared" si="24"/>
        <v>5080.7759576324206</v>
      </c>
      <c r="Z13" s="97">
        <f t="shared" si="4"/>
        <v>4709911.8818019051</v>
      </c>
      <c r="AA13" s="199">
        <f>+'Student Type by Acct Code'!F289</f>
        <v>0.1098437928565676</v>
      </c>
      <c r="AB13" s="153">
        <f t="shared" si="25"/>
        <v>295952.90000000008</v>
      </c>
      <c r="AC13" s="139">
        <f t="shared" si="5"/>
        <v>0.1093994763015034</v>
      </c>
      <c r="AD13" s="97">
        <f t="shared" si="6"/>
        <v>515261.89329535683</v>
      </c>
      <c r="AE13" s="148">
        <f t="shared" si="7"/>
        <v>4194649.9885065481</v>
      </c>
      <c r="AG13" s="202">
        <f t="shared" si="26"/>
        <v>9925179.5808875225</v>
      </c>
      <c r="AH13" s="202">
        <f t="shared" si="27"/>
        <v>1085809.44834747</v>
      </c>
      <c r="AI13" s="202">
        <f t="shared" si="28"/>
        <v>8839370.1325400528</v>
      </c>
      <c r="AK13" s="4">
        <f t="shared" si="8"/>
        <v>0.1093994763015034</v>
      </c>
      <c r="AL13" s="4"/>
      <c r="AM13" s="192">
        <f>+'Student Type by Acct Code'!D291</f>
        <v>75</v>
      </c>
      <c r="AN13" s="83">
        <v>0</v>
      </c>
      <c r="AO13" s="97">
        <f t="shared" si="29"/>
        <v>75</v>
      </c>
      <c r="AP13" s="14">
        <f>'Student Type by Acct Code'!D280</f>
        <v>5.7200000000000184</v>
      </c>
      <c r="AQ13" s="13">
        <f t="shared" si="9"/>
        <v>2054.0539983374897</v>
      </c>
      <c r="AR13" s="34">
        <f>+'Student Type by Acct Code'!D263</f>
        <v>154049</v>
      </c>
      <c r="AS13" s="34">
        <f t="shared" si="30"/>
        <v>8252</v>
      </c>
      <c r="AT13" s="29">
        <f t="shared" si="31"/>
        <v>6.7331670822942558E-2</v>
      </c>
      <c r="AU13" s="1">
        <f t="shared" si="10"/>
        <v>2192.3568860060986</v>
      </c>
      <c r="AV13" s="97">
        <f t="shared" si="11"/>
        <v>164426.76645045739</v>
      </c>
      <c r="AW13" s="210">
        <f>+'Student Type by Acct Code'!D289</f>
        <v>5.3567371420781697E-2</v>
      </c>
      <c r="AX13" s="97">
        <f t="shared" si="32"/>
        <v>8807.9096699697784</v>
      </c>
      <c r="AY13" s="148">
        <f t="shared" si="12"/>
        <v>155618.85678048761</v>
      </c>
      <c r="AZ13" s="74"/>
      <c r="BA13" s="66">
        <f t="shared" si="13"/>
        <v>10089606.34733798</v>
      </c>
      <c r="BB13" s="66">
        <f t="shared" si="14"/>
        <v>1094617.3580174397</v>
      </c>
      <c r="BC13" s="66">
        <f t="shared" si="33"/>
        <v>8994988.9893205408</v>
      </c>
      <c r="BD13" s="74">
        <f t="shared" si="15"/>
        <v>0.10848960012262929</v>
      </c>
      <c r="BE13" s="66">
        <f t="shared" si="34"/>
        <v>8994988.9893205408</v>
      </c>
      <c r="BF13" s="66"/>
      <c r="BJ13" s="83"/>
      <c r="BK13" s="34"/>
      <c r="BN13" s="66"/>
      <c r="BO13" s="34"/>
    </row>
    <row r="14" spans="1:67" x14ac:dyDescent="0.2">
      <c r="A14" s="1" t="s">
        <v>32</v>
      </c>
      <c r="B14" s="1" t="s">
        <v>79</v>
      </c>
      <c r="C14" s="192">
        <f>'Student Type by Acct Code'!E320</f>
        <v>683</v>
      </c>
      <c r="D14" s="83">
        <f>+'Changes in Enrollment'!S17-'Summary by Student Type'!C14</f>
        <v>-64</v>
      </c>
      <c r="E14" s="97">
        <f t="shared" si="16"/>
        <v>619</v>
      </c>
      <c r="F14" s="196">
        <f>'Student Type by Acct Code'!E309</f>
        <v>10.364568081991131</v>
      </c>
      <c r="G14" s="185">
        <f>+'Student Type by Acct Code'!E292</f>
        <v>1935490</v>
      </c>
      <c r="H14" s="185">
        <f t="shared" si="0"/>
        <v>2833.8067349926791</v>
      </c>
      <c r="I14" s="103">
        <v>5.4878048780487854E-2</v>
      </c>
      <c r="J14" s="132">
        <f t="shared" si="1"/>
        <v>2989.3205192300825</v>
      </c>
      <c r="K14" s="132">
        <f t="shared" si="17"/>
        <v>1850389.4014034211</v>
      </c>
      <c r="L14" s="158">
        <f>+'Student Type by Acct Code'!E318</f>
        <v>0.25975024412422693</v>
      </c>
      <c r="M14" s="159">
        <f t="shared" si="2"/>
        <v>502744</v>
      </c>
      <c r="N14" s="139">
        <f t="shared" si="18"/>
        <v>0.25975024412422693</v>
      </c>
      <c r="O14" s="132">
        <f>+K14*N14-62603</f>
        <v>418036.09873942076</v>
      </c>
      <c r="P14" s="132">
        <f t="shared" si="3"/>
        <v>1432353.3026640003</v>
      </c>
      <c r="Q14" s="59"/>
      <c r="R14" s="172">
        <f>'Student Type by Acct Code'!F320</f>
        <v>657</v>
      </c>
      <c r="S14" s="83">
        <f t="shared" si="20"/>
        <v>-61.563689604685123</v>
      </c>
      <c r="T14" s="179">
        <f t="shared" si="21"/>
        <v>595.43631039531488</v>
      </c>
      <c r="U14" s="175">
        <f>'Student Type by Acct Code'!F309</f>
        <v>9.7640791476407802</v>
      </c>
      <c r="V14" s="153">
        <f>+'Student Type by Acct Code'!F292</f>
        <v>1810812</v>
      </c>
      <c r="W14" s="166">
        <f t="shared" si="22"/>
        <v>2756.1826484018266</v>
      </c>
      <c r="X14" s="43">
        <f t="shared" si="23"/>
        <v>5.4878048780487854E-2</v>
      </c>
      <c r="Y14" s="97">
        <f t="shared" si="24"/>
        <v>2907.4365742287564</v>
      </c>
      <c r="Z14" s="97">
        <f t="shared" si="4"/>
        <v>1731193.3064671648</v>
      </c>
      <c r="AA14" s="199">
        <f>+'Student Type by Acct Code'!F318</f>
        <v>0.27331605931482672</v>
      </c>
      <c r="AB14" s="153">
        <f t="shared" si="25"/>
        <v>494924</v>
      </c>
      <c r="AC14" s="139">
        <f t="shared" si="5"/>
        <v>0.25975024412422693</v>
      </c>
      <c r="AD14" s="97">
        <f>+Z14*AC14-62603</f>
        <v>387074.88398107362</v>
      </c>
      <c r="AE14" s="148">
        <f t="shared" si="7"/>
        <v>1344118.422486091</v>
      </c>
      <c r="AG14" s="202">
        <f t="shared" si="26"/>
        <v>3581582.7078705858</v>
      </c>
      <c r="AH14" s="202">
        <f t="shared" si="27"/>
        <v>805110.98272049439</v>
      </c>
      <c r="AI14" s="202">
        <f t="shared" si="28"/>
        <v>2776471.7251500916</v>
      </c>
      <c r="AK14" s="4">
        <f t="shared" si="8"/>
        <v>0.22479195606770436</v>
      </c>
      <c r="AL14" s="4"/>
      <c r="AM14" s="192">
        <f>+'Student Type by Acct Code'!D320</f>
        <v>241</v>
      </c>
      <c r="AN14" s="83">
        <v>0</v>
      </c>
      <c r="AO14" s="97">
        <f t="shared" si="29"/>
        <v>241</v>
      </c>
      <c r="AP14" s="14">
        <f>'Student Type by Acct Code'!D309</f>
        <v>5.4522821576763789</v>
      </c>
      <c r="AQ14" s="13">
        <f t="shared" si="9"/>
        <v>1522.6768697500261</v>
      </c>
      <c r="AR14" s="34">
        <f>+'Student Type by Acct Code'!D292</f>
        <v>366951.9000000002</v>
      </c>
      <c r="AS14" s="34">
        <f t="shared" si="30"/>
        <v>33432.949999999997</v>
      </c>
      <c r="AT14" s="29">
        <f t="shared" si="31"/>
        <v>5.4878048780487854E-2</v>
      </c>
      <c r="AU14" s="1">
        <f t="shared" si="10"/>
        <v>1606.2384052850884</v>
      </c>
      <c r="AV14" s="97">
        <f t="shared" si="11"/>
        <v>387103.45567370631</v>
      </c>
      <c r="AW14" s="210">
        <f>+'Student Type by Acct Code'!D318</f>
        <v>9.1109897509728061E-2</v>
      </c>
      <c r="AX14" s="97">
        <f t="shared" si="32"/>
        <v>35268.956172092941</v>
      </c>
      <c r="AY14" s="148">
        <f t="shared" si="12"/>
        <v>351834.49950161338</v>
      </c>
      <c r="AZ14" s="74"/>
      <c r="BA14" s="66">
        <f t="shared" si="13"/>
        <v>3968686.1635442921</v>
      </c>
      <c r="BB14" s="66">
        <f t="shared" si="14"/>
        <v>840379.93889258732</v>
      </c>
      <c r="BC14" s="66">
        <f t="shared" si="33"/>
        <v>3128306.2246517045</v>
      </c>
      <c r="BD14" s="74">
        <f t="shared" si="15"/>
        <v>0.21175268193594676</v>
      </c>
      <c r="BE14" s="66">
        <f t="shared" si="34"/>
        <v>3128306.224651705</v>
      </c>
      <c r="BF14" s="66"/>
      <c r="BJ14" s="83"/>
      <c r="BK14" s="34"/>
      <c r="BN14" s="66"/>
      <c r="BO14" s="34"/>
    </row>
    <row r="15" spans="1:67" x14ac:dyDescent="0.2">
      <c r="A15" s="1" t="s">
        <v>80</v>
      </c>
      <c r="B15" s="1" t="s">
        <v>81</v>
      </c>
      <c r="C15" s="192">
        <f>'Student Type by Acct Code'!E349</f>
        <v>289</v>
      </c>
      <c r="D15" s="83">
        <f>+'Changes in Enrollment'!S18-'Summary by Student Type'!C15</f>
        <v>-7</v>
      </c>
      <c r="E15" s="97">
        <f t="shared" si="16"/>
        <v>282</v>
      </c>
      <c r="F15" s="196">
        <f>'Student Type by Acct Code'!E338</f>
        <v>9.9065743944636431</v>
      </c>
      <c r="G15" s="185">
        <f>+'Student Type by Acct Code'!E321</f>
        <v>2312386</v>
      </c>
      <c r="H15" s="185">
        <f t="shared" si="0"/>
        <v>8001.3356401384081</v>
      </c>
      <c r="I15" s="103">
        <v>1.2388162422573901E-2</v>
      </c>
      <c r="J15" s="132">
        <f t="shared" si="1"/>
        <v>8100.4574856459722</v>
      </c>
      <c r="K15" s="132">
        <f t="shared" si="17"/>
        <v>2284329.010952164</v>
      </c>
      <c r="L15" s="158">
        <f>+'Student Type by Acct Code'!E347</f>
        <v>0.22382361768320685</v>
      </c>
      <c r="M15" s="159">
        <f t="shared" si="2"/>
        <v>517566.6</v>
      </c>
      <c r="N15" s="139">
        <f t="shared" si="18"/>
        <v>0.22382361768320685</v>
      </c>
      <c r="O15" s="132">
        <f>+K15*N15-62603</f>
        <v>448683.78321001522</v>
      </c>
      <c r="P15" s="132">
        <f t="shared" si="3"/>
        <v>1835645.2277421488</v>
      </c>
      <c r="Q15" s="59"/>
      <c r="R15" s="172">
        <f>'Student Type by Acct Code'!F349</f>
        <v>243</v>
      </c>
      <c r="S15" s="83">
        <f t="shared" si="20"/>
        <v>-5.8858131487889125</v>
      </c>
      <c r="T15" s="179">
        <f t="shared" si="21"/>
        <v>237.11418685121109</v>
      </c>
      <c r="U15" s="175">
        <f>'Student Type by Acct Code'!F338</f>
        <v>9.4732510288065814</v>
      </c>
      <c r="V15" s="153">
        <f>+'Student Type by Acct Code'!F321</f>
        <v>1875249</v>
      </c>
      <c r="W15" s="166">
        <f t="shared" si="22"/>
        <v>7717.0740740740739</v>
      </c>
      <c r="X15" s="43">
        <f t="shared" si="23"/>
        <v>1.2388162422573901E-2</v>
      </c>
      <c r="Y15" s="97">
        <f t="shared" si="24"/>
        <v>7812.6744411307373</v>
      </c>
      <c r="Z15" s="97">
        <f t="shared" si="4"/>
        <v>1852495.9472419547</v>
      </c>
      <c r="AA15" s="199">
        <f>+'Student Type by Acct Code'!F347</f>
        <v>0.24810497165976358</v>
      </c>
      <c r="AB15" s="153">
        <f t="shared" si="25"/>
        <v>465258.6</v>
      </c>
      <c r="AC15" s="139">
        <f t="shared" si="5"/>
        <v>0.22382361768320685</v>
      </c>
      <c r="AD15" s="97">
        <f>+Z15*AC15-62604</f>
        <v>352028.34465517342</v>
      </c>
      <c r="AE15" s="148">
        <f t="shared" si="7"/>
        <v>1500467.6025867814</v>
      </c>
      <c r="AG15" s="202">
        <f t="shared" si="26"/>
        <v>4136824.9581941189</v>
      </c>
      <c r="AH15" s="202">
        <f t="shared" si="27"/>
        <v>800712.12786518864</v>
      </c>
      <c r="AI15" s="202">
        <f t="shared" si="28"/>
        <v>3336112.8303289302</v>
      </c>
      <c r="AK15" s="4">
        <f t="shared" si="8"/>
        <v>0.19355716907459625</v>
      </c>
      <c r="AL15" s="4"/>
      <c r="AM15" s="192">
        <f>+'Student Type by Acct Code'!D349</f>
        <v>65</v>
      </c>
      <c r="AN15" s="83">
        <v>0</v>
      </c>
      <c r="AO15" s="97">
        <f t="shared" si="29"/>
        <v>65</v>
      </c>
      <c r="AP15" s="14">
        <f>'Student Type by Acct Code'!D338</f>
        <v>5.0307692307692289</v>
      </c>
      <c r="AQ15" s="13">
        <f t="shared" si="9"/>
        <v>5494.8377727778052</v>
      </c>
      <c r="AR15" s="34">
        <f>+'Student Type by Acct Code'!D321</f>
        <v>357163.64999999991</v>
      </c>
      <c r="AS15" s="34">
        <f t="shared" si="30"/>
        <v>13413.449999999999</v>
      </c>
      <c r="AT15" s="29">
        <f t="shared" si="31"/>
        <v>1.2388162422573901E-2</v>
      </c>
      <c r="AU15" s="1">
        <f t="shared" si="10"/>
        <v>5562.9087155926709</v>
      </c>
      <c r="AV15" s="97">
        <f t="shared" si="11"/>
        <v>361589.06651352363</v>
      </c>
      <c r="AW15" s="210">
        <f>+'Student Type by Acct Code'!D347</f>
        <v>3.7555473520331652E-2</v>
      </c>
      <c r="AX15" s="97">
        <f t="shared" si="32"/>
        <v>13579.648612690076</v>
      </c>
      <c r="AY15" s="148">
        <f t="shared" si="12"/>
        <v>348009.41790083353</v>
      </c>
      <c r="AZ15" s="74"/>
      <c r="BA15" s="66">
        <f t="shared" si="13"/>
        <v>4498414.0247076424</v>
      </c>
      <c r="BB15" s="66">
        <f t="shared" si="14"/>
        <v>814291.77647787868</v>
      </c>
      <c r="BC15" s="66">
        <f t="shared" si="33"/>
        <v>3684122.2482297635</v>
      </c>
      <c r="BD15" s="74">
        <f t="shared" si="15"/>
        <v>0.18101752573359464</v>
      </c>
      <c r="BE15" s="66">
        <f t="shared" si="34"/>
        <v>3684122.2482297635</v>
      </c>
      <c r="BF15" s="66"/>
      <c r="BJ15" s="83"/>
      <c r="BK15" s="34"/>
      <c r="BN15" s="66"/>
      <c r="BO15" s="34"/>
    </row>
    <row r="16" spans="1:67" x14ac:dyDescent="0.2">
      <c r="A16" s="38" t="s">
        <v>92</v>
      </c>
      <c r="B16" s="1" t="s">
        <v>82</v>
      </c>
      <c r="C16" s="192">
        <f>'Student Type by Acct Code'!E378</f>
        <v>217</v>
      </c>
      <c r="D16" s="83">
        <f>+'Changes in Enrollment'!S19-'Summary by Student Type'!C16</f>
        <v>-5</v>
      </c>
      <c r="E16" s="97">
        <f t="shared" si="16"/>
        <v>212</v>
      </c>
      <c r="F16" s="196">
        <f>'Student Type by Acct Code'!E367</f>
        <v>9.7649769585253416</v>
      </c>
      <c r="G16" s="185">
        <f>+'Student Type by Acct Code'!E350</f>
        <v>662888</v>
      </c>
      <c r="H16" s="185">
        <f t="shared" si="0"/>
        <v>3054.7834101382487</v>
      </c>
      <c r="I16" s="103">
        <v>5.4878048780487854E-2</v>
      </c>
      <c r="J16" s="132">
        <f t="shared" si="1"/>
        <v>3222.4239631336404</v>
      </c>
      <c r="K16" s="132">
        <f t="shared" si="17"/>
        <v>683153.88018433179</v>
      </c>
      <c r="L16" s="158">
        <f>+'Student Type by Acct Code'!E376</f>
        <v>0.98403953609056127</v>
      </c>
      <c r="M16" s="159">
        <f t="shared" si="2"/>
        <v>652308</v>
      </c>
      <c r="N16" s="139">
        <f t="shared" si="18"/>
        <v>0.98403953609056127</v>
      </c>
      <c r="O16" s="132">
        <f t="shared" si="19"/>
        <v>672250.42733505671</v>
      </c>
      <c r="P16" s="132">
        <f t="shared" si="3"/>
        <v>10903.452849275083</v>
      </c>
      <c r="Q16" s="59"/>
      <c r="R16" s="172">
        <f>'Student Type by Acct Code'!F378</f>
        <v>222</v>
      </c>
      <c r="S16" s="83">
        <f t="shared" si="20"/>
        <v>-5.1152073732718861</v>
      </c>
      <c r="T16" s="179">
        <f t="shared" si="21"/>
        <v>216.88479262672811</v>
      </c>
      <c r="U16" s="175">
        <f>'Student Type by Acct Code'!F367</f>
        <v>9.3873873873873599</v>
      </c>
      <c r="V16" s="153">
        <f>+'Student Type by Acct Code'!F350</f>
        <v>654360</v>
      </c>
      <c r="W16" s="166">
        <f t="shared" si="22"/>
        <v>2947.5675675675675</v>
      </c>
      <c r="X16" s="43">
        <f t="shared" si="23"/>
        <v>5.4878048780487854E-2</v>
      </c>
      <c r="Y16" s="97">
        <f t="shared" si="24"/>
        <v>3109.3243243243246</v>
      </c>
      <c r="Z16" s="97">
        <f t="shared" si="4"/>
        <v>674365.16129032266</v>
      </c>
      <c r="AA16" s="199">
        <f>+'Student Type by Acct Code'!F376</f>
        <v>0.9616724738675958</v>
      </c>
      <c r="AB16" s="153">
        <f t="shared" si="25"/>
        <v>629280</v>
      </c>
      <c r="AC16" s="139">
        <f t="shared" si="5"/>
        <v>0.98403953609056127</v>
      </c>
      <c r="AD16" s="97">
        <f t="shared" ref="AD16:AD21" si="35">+Z16*AC16</f>
        <v>663601.98047176562</v>
      </c>
      <c r="AE16" s="148">
        <f t="shared" si="7"/>
        <v>10763.180818557041</v>
      </c>
      <c r="AG16" s="202">
        <f t="shared" si="26"/>
        <v>1357519.0414746543</v>
      </c>
      <c r="AH16" s="202">
        <f t="shared" si="27"/>
        <v>1335852.4078068223</v>
      </c>
      <c r="AI16" s="202">
        <f t="shared" si="28"/>
        <v>21666.633667832008</v>
      </c>
      <c r="AK16" s="4">
        <f t="shared" si="8"/>
        <v>0.98403953609056127</v>
      </c>
      <c r="AL16" s="4"/>
      <c r="AM16" s="192">
        <f>+'Student Type by Acct Code'!D378</f>
        <v>0</v>
      </c>
      <c r="AN16" s="83">
        <v>0</v>
      </c>
      <c r="AO16" s="97">
        <f t="shared" si="29"/>
        <v>0</v>
      </c>
      <c r="AP16" s="14">
        <f>'Student Type by Acct Code'!D367</f>
        <v>0</v>
      </c>
      <c r="AQ16" s="13">
        <f>IFERROR((AR16/AM16)*1+AT16,0)</f>
        <v>0</v>
      </c>
      <c r="AR16" s="34">
        <f>+'Student Type by Acct Code'!D350</f>
        <v>0</v>
      </c>
      <c r="AS16" s="34">
        <f t="shared" si="30"/>
        <v>0</v>
      </c>
      <c r="AT16" s="29">
        <f t="shared" si="31"/>
        <v>5.4878048780487854E-2</v>
      </c>
      <c r="AU16" s="1">
        <f t="shared" si="10"/>
        <v>0</v>
      </c>
      <c r="AV16" s="97">
        <f t="shared" si="11"/>
        <v>0</v>
      </c>
      <c r="AW16" s="210">
        <f>+'Student Type by Acct Code'!D376</f>
        <v>0</v>
      </c>
      <c r="AX16" s="97">
        <f t="shared" si="32"/>
        <v>0</v>
      </c>
      <c r="AY16" s="148">
        <f t="shared" si="12"/>
        <v>0</v>
      </c>
      <c r="AZ16" s="74"/>
      <c r="BA16" s="66">
        <f t="shared" si="13"/>
        <v>1357519.0414746543</v>
      </c>
      <c r="BB16" s="66">
        <f t="shared" si="14"/>
        <v>1335852.4078068223</v>
      </c>
      <c r="BC16" s="66">
        <f t="shared" si="33"/>
        <v>21666.633667832008</v>
      </c>
      <c r="BD16" s="74">
        <f t="shared" si="15"/>
        <v>0.98403953609056127</v>
      </c>
      <c r="BE16" s="66">
        <f t="shared" si="34"/>
        <v>21666.633667832008</v>
      </c>
      <c r="BF16" s="66"/>
      <c r="BJ16" s="83"/>
      <c r="BK16" s="34"/>
      <c r="BN16" s="66"/>
      <c r="BO16" s="34"/>
    </row>
    <row r="17" spans="1:67" x14ac:dyDescent="0.2">
      <c r="A17" s="1" t="s">
        <v>36</v>
      </c>
      <c r="B17" s="1" t="s">
        <v>83</v>
      </c>
      <c r="C17" s="192">
        <f>'Student Type by Acct Code'!E407</f>
        <v>247</v>
      </c>
      <c r="D17" s="83">
        <f>+'Changes in Enrollment'!S20-'Summary by Student Type'!C17</f>
        <v>-6</v>
      </c>
      <c r="E17" s="97">
        <f t="shared" si="16"/>
        <v>241</v>
      </c>
      <c r="F17" s="196">
        <f>'Student Type by Acct Code'!E396</f>
        <v>10.639676113360322</v>
      </c>
      <c r="G17" s="185">
        <f>+'Student Type by Acct Code'!E379</f>
        <v>639410</v>
      </c>
      <c r="H17" s="185">
        <f t="shared" si="0"/>
        <v>2588.7044534412958</v>
      </c>
      <c r="I17" s="103">
        <v>6.7415730337078594E-2</v>
      </c>
      <c r="J17" s="132">
        <f t="shared" si="1"/>
        <v>2763.2238547968886</v>
      </c>
      <c r="K17" s="132">
        <f t="shared" si="17"/>
        <v>665936.94900605013</v>
      </c>
      <c r="L17" s="158">
        <f>+'Student Type by Acct Code'!E405</f>
        <v>0.16505684928293271</v>
      </c>
      <c r="M17" s="159">
        <f t="shared" si="2"/>
        <v>105539</v>
      </c>
      <c r="N17" s="139">
        <f t="shared" si="18"/>
        <v>0.16505684928293271</v>
      </c>
      <c r="O17" s="132">
        <f t="shared" si="19"/>
        <v>109917.45462402767</v>
      </c>
      <c r="P17" s="132">
        <f t="shared" si="3"/>
        <v>556019.49438202241</v>
      </c>
      <c r="Q17" s="59"/>
      <c r="R17" s="172">
        <f>'Student Type by Acct Code'!F407</f>
        <v>243</v>
      </c>
      <c r="S17" s="83">
        <f t="shared" si="20"/>
        <v>-5.9028340080971873</v>
      </c>
      <c r="T17" s="179">
        <f t="shared" si="21"/>
        <v>237.09716599190281</v>
      </c>
      <c r="U17" s="175">
        <f>'Student Type by Acct Code'!F396</f>
        <v>10.662551440329207</v>
      </c>
      <c r="V17" s="153">
        <f>+'Student Type by Acct Code'!F379</f>
        <v>624321</v>
      </c>
      <c r="W17" s="166">
        <f t="shared" si="22"/>
        <v>2569.2222222222222</v>
      </c>
      <c r="X17" s="43">
        <f t="shared" si="23"/>
        <v>6.7415730337078594E-2</v>
      </c>
      <c r="Y17" s="97">
        <f t="shared" si="24"/>
        <v>2742.4282147315853</v>
      </c>
      <c r="Z17" s="97">
        <f t="shared" si="4"/>
        <v>650221.95764909242</v>
      </c>
      <c r="AA17" s="199">
        <f>+'Student Type by Acct Code'!F405</f>
        <v>0.14807687071234188</v>
      </c>
      <c r="AB17" s="153">
        <f t="shared" si="25"/>
        <v>92447.5</v>
      </c>
      <c r="AC17" s="139">
        <f t="shared" si="5"/>
        <v>0.16505684928293271</v>
      </c>
      <c r="AD17" s="97">
        <f t="shared" si="35"/>
        <v>107323.5876641397</v>
      </c>
      <c r="AE17" s="148">
        <f t="shared" si="7"/>
        <v>542898.36998495273</v>
      </c>
      <c r="AG17" s="202">
        <f t="shared" si="26"/>
        <v>1316158.9066551425</v>
      </c>
      <c r="AH17" s="202">
        <f t="shared" si="27"/>
        <v>217241.04228816737</v>
      </c>
      <c r="AI17" s="202">
        <f t="shared" si="28"/>
        <v>1098917.8643669751</v>
      </c>
      <c r="AK17" s="4">
        <f t="shared" si="8"/>
        <v>0.16505684928293271</v>
      </c>
      <c r="AL17" s="4"/>
      <c r="AM17" s="192">
        <f>+'Student Type by Acct Code'!D407</f>
        <v>164</v>
      </c>
      <c r="AN17" s="83">
        <v>0</v>
      </c>
      <c r="AO17" s="97">
        <f t="shared" si="29"/>
        <v>164</v>
      </c>
      <c r="AP17" s="14">
        <f>'Student Type by Acct Code'!D396</f>
        <v>7.5792682926829391</v>
      </c>
      <c r="AQ17" s="13">
        <f>(AR17/AM17)*1+AT17</f>
        <v>1783.0113791449712</v>
      </c>
      <c r="AR17" s="34">
        <f>+'Student Type by Acct Code'!D379</f>
        <v>292402.81</v>
      </c>
      <c r="AS17" s="34">
        <f t="shared" si="30"/>
        <v>29044</v>
      </c>
      <c r="AT17" s="29">
        <f t="shared" si="31"/>
        <v>6.7415730337078594E-2</v>
      </c>
      <c r="AU17" s="1">
        <f t="shared" si="10"/>
        <v>1903.2143934693513</v>
      </c>
      <c r="AV17" s="97">
        <f t="shared" si="11"/>
        <v>312127.16052897362</v>
      </c>
      <c r="AW17" s="210">
        <f>+'Student Type by Acct Code'!D405</f>
        <v>9.9328730801184845E-2</v>
      </c>
      <c r="AX17" s="97">
        <f t="shared" si="32"/>
        <v>31003.194703920628</v>
      </c>
      <c r="AY17" s="148">
        <f t="shared" si="12"/>
        <v>281123.96582505299</v>
      </c>
      <c r="AZ17" s="74"/>
      <c r="BA17" s="66">
        <f t="shared" si="13"/>
        <v>1628286.0671841162</v>
      </c>
      <c r="BB17" s="66">
        <f t="shared" si="14"/>
        <v>248244.236992088</v>
      </c>
      <c r="BC17" s="66">
        <f t="shared" si="33"/>
        <v>1380041.8301920283</v>
      </c>
      <c r="BD17" s="74">
        <f t="shared" si="15"/>
        <v>0.15245738571072481</v>
      </c>
      <c r="BE17" s="66">
        <f t="shared" si="34"/>
        <v>1380041.8301920281</v>
      </c>
      <c r="BF17" s="66"/>
      <c r="BJ17" s="83"/>
      <c r="BK17" s="34"/>
      <c r="BN17" s="66"/>
      <c r="BO17" s="34"/>
    </row>
    <row r="18" spans="1:67" x14ac:dyDescent="0.2">
      <c r="A18" s="38" t="s">
        <v>98</v>
      </c>
      <c r="B18" s="1" t="s">
        <v>84</v>
      </c>
      <c r="C18" s="192">
        <f>'Student Type by Acct Code'!E436</f>
        <v>57</v>
      </c>
      <c r="D18" s="83">
        <f>+'Changes in Enrollment'!S21-'Summary by Student Type'!C18</f>
        <v>-1</v>
      </c>
      <c r="E18" s="97">
        <f t="shared" si="16"/>
        <v>56</v>
      </c>
      <c r="F18" s="196">
        <f>'Student Type by Acct Code'!E425</f>
        <v>10.245614035087717</v>
      </c>
      <c r="G18" s="185">
        <f>+'Student Type by Acct Code'!E408</f>
        <v>447763</v>
      </c>
      <c r="H18" s="185">
        <f t="shared" si="0"/>
        <v>7855.4912280701756</v>
      </c>
      <c r="I18" s="103">
        <v>2.100350058343059E-2</v>
      </c>
      <c r="J18" s="132">
        <f t="shared" si="1"/>
        <v>8020.4840426620813</v>
      </c>
      <c r="K18" s="132">
        <f t="shared" si="17"/>
        <v>449147.10638907657</v>
      </c>
      <c r="L18" s="158">
        <f>+'Student Type by Acct Code'!E434</f>
        <v>4.5935014728773926E-2</v>
      </c>
      <c r="M18" s="159">
        <f t="shared" si="2"/>
        <v>20568</v>
      </c>
      <c r="N18" s="139">
        <f t="shared" si="18"/>
        <v>4.5935014728773926E-2</v>
      </c>
      <c r="O18" s="132">
        <f t="shared" si="19"/>
        <v>20631.57894736842</v>
      </c>
      <c r="P18" s="132">
        <f t="shared" si="3"/>
        <v>428515.52744170814</v>
      </c>
      <c r="Q18" s="59"/>
      <c r="R18" s="172">
        <f>'Student Type by Acct Code'!F436</f>
        <v>71</v>
      </c>
      <c r="S18" s="83">
        <f t="shared" si="20"/>
        <v>-1.2456140350877121</v>
      </c>
      <c r="T18" s="179">
        <f t="shared" si="21"/>
        <v>69.754385964912288</v>
      </c>
      <c r="U18" s="175">
        <f>'Student Type by Acct Code'!F425</f>
        <v>9.5070422535211279</v>
      </c>
      <c r="V18" s="153">
        <f>+'Student Type by Acct Code'!F408</f>
        <v>513594</v>
      </c>
      <c r="W18" s="166">
        <f t="shared" si="22"/>
        <v>7233.7183098591549</v>
      </c>
      <c r="X18" s="43">
        <f t="shared" si="23"/>
        <v>2.100350058343059E-2</v>
      </c>
      <c r="Y18" s="97">
        <f t="shared" si="24"/>
        <v>7385.6517166006543</v>
      </c>
      <c r="Z18" s="97">
        <f t="shared" si="4"/>
        <v>515181.60044217901</v>
      </c>
      <c r="AA18" s="199">
        <f>+'Student Type by Acct Code'!F434</f>
        <v>8.4833545563226982E-3</v>
      </c>
      <c r="AB18" s="153">
        <f t="shared" si="25"/>
        <v>4357</v>
      </c>
      <c r="AC18" s="139">
        <f t="shared" si="5"/>
        <v>4.5935014728773926E-2</v>
      </c>
      <c r="AD18" s="97">
        <f t="shared" si="35"/>
        <v>23664.874404304817</v>
      </c>
      <c r="AE18" s="148">
        <f t="shared" si="7"/>
        <v>491516.72603787418</v>
      </c>
      <c r="AG18" s="202">
        <f t="shared" si="26"/>
        <v>964328.70683125558</v>
      </c>
      <c r="AH18" s="202">
        <f t="shared" si="27"/>
        <v>44296.453351673234</v>
      </c>
      <c r="AI18" s="202">
        <f t="shared" si="28"/>
        <v>920032.25347958237</v>
      </c>
      <c r="AK18" s="4">
        <f t="shared" si="8"/>
        <v>4.5935014728773919E-2</v>
      </c>
      <c r="AL18" s="4"/>
      <c r="AM18" s="192">
        <f>+'Student Type by Acct Code'!D436</f>
        <v>65</v>
      </c>
      <c r="AN18" s="83">
        <v>0</v>
      </c>
      <c r="AO18" s="97">
        <f t="shared" si="29"/>
        <v>65</v>
      </c>
      <c r="AP18" s="14">
        <f>'Student Type by Acct Code'!D425</f>
        <v>6.2615384615384579</v>
      </c>
      <c r="AQ18" s="13">
        <f>(AR18/AM18)*1+AT18</f>
        <v>5006.1310035005836</v>
      </c>
      <c r="AR18" s="34">
        <f>+'Student Type by Acct Code'!D408</f>
        <v>325397.15000000002</v>
      </c>
      <c r="AS18" s="34">
        <f t="shared" si="30"/>
        <v>5028.6000000000004</v>
      </c>
      <c r="AT18" s="29">
        <f t="shared" si="31"/>
        <v>2.100350058343059E-2</v>
      </c>
      <c r="AU18" s="1">
        <f t="shared" si="10"/>
        <v>5111.2772789533383</v>
      </c>
      <c r="AV18" s="97">
        <f t="shared" si="11"/>
        <v>332233.023131967</v>
      </c>
      <c r="AW18" s="210">
        <f>+'Student Type by Acct Code'!D434</f>
        <v>1.5453730925424515E-2</v>
      </c>
      <c r="AX18" s="97">
        <f t="shared" si="32"/>
        <v>5134.2397440217565</v>
      </c>
      <c r="AY18" s="148">
        <f t="shared" si="12"/>
        <v>327098.78338794527</v>
      </c>
      <c r="AZ18" s="74"/>
      <c r="BA18" s="66">
        <f t="shared" si="13"/>
        <v>1296561.7299632225</v>
      </c>
      <c r="BB18" s="66">
        <f t="shared" si="14"/>
        <v>49430.693095694987</v>
      </c>
      <c r="BC18" s="66">
        <f t="shared" si="33"/>
        <v>1247131.0368675275</v>
      </c>
      <c r="BD18" s="74">
        <f t="shared" si="15"/>
        <v>3.8124442479955896E-2</v>
      </c>
      <c r="BE18" s="66">
        <f t="shared" si="34"/>
        <v>1247131.0368675278</v>
      </c>
      <c r="BF18" s="66"/>
      <c r="BJ18" s="83"/>
      <c r="BK18" s="34"/>
      <c r="BN18" s="66"/>
      <c r="BO18" s="34"/>
    </row>
    <row r="19" spans="1:67" x14ac:dyDescent="0.2">
      <c r="A19" s="1" t="s">
        <v>33</v>
      </c>
      <c r="B19" s="1" t="s">
        <v>85</v>
      </c>
      <c r="C19" s="192">
        <f>'Student Type by Acct Code'!E465</f>
        <v>260</v>
      </c>
      <c r="D19" s="83">
        <f>+'Changes in Enrollment'!S22-'Summary by Student Type'!C19</f>
        <v>-6</v>
      </c>
      <c r="E19" s="97">
        <f t="shared" si="16"/>
        <v>254</v>
      </c>
      <c r="F19" s="196">
        <f>'Student Type by Acct Code'!E454</f>
        <v>6.523076923076923</v>
      </c>
      <c r="G19" s="185">
        <f>+'Student Type by Acct Code'!E437</f>
        <v>519880</v>
      </c>
      <c r="H19" s="185">
        <f t="shared" si="0"/>
        <v>1999.5384615384614</v>
      </c>
      <c r="I19" s="103">
        <v>5.4878048780487854E-2</v>
      </c>
      <c r="J19" s="132">
        <f t="shared" si="1"/>
        <v>2109.2692307692309</v>
      </c>
      <c r="K19" s="132">
        <f t="shared" si="17"/>
        <v>535754.38461538462</v>
      </c>
      <c r="L19" s="158">
        <f>+'Student Type by Acct Code'!E463</f>
        <v>0.2482803723936293</v>
      </c>
      <c r="M19" s="159">
        <f t="shared" si="2"/>
        <v>129076</v>
      </c>
      <c r="N19" s="139">
        <f t="shared" si="18"/>
        <v>0.2482803723936293</v>
      </c>
      <c r="O19" s="132">
        <f t="shared" si="19"/>
        <v>133017.29812382738</v>
      </c>
      <c r="P19" s="132">
        <f t="shared" si="3"/>
        <v>402737.08649155725</v>
      </c>
      <c r="Q19" s="59"/>
      <c r="R19" s="172">
        <f>'Student Type by Acct Code'!F465</f>
        <v>276</v>
      </c>
      <c r="S19" s="83">
        <f t="shared" si="20"/>
        <v>-6.3692307692307963</v>
      </c>
      <c r="T19" s="179">
        <f t="shared" si="21"/>
        <v>269.6307692307692</v>
      </c>
      <c r="U19" s="175">
        <f>'Student Type by Acct Code'!F454</f>
        <v>6.5652173913043503</v>
      </c>
      <c r="V19" s="153">
        <f>+'Student Type by Acct Code'!F437</f>
        <v>571704</v>
      </c>
      <c r="W19" s="166">
        <f t="shared" si="22"/>
        <v>2071.391304347826</v>
      </c>
      <c r="X19" s="43">
        <f t="shared" si="23"/>
        <v>5.4878048780487854E-2</v>
      </c>
      <c r="Y19" s="97">
        <f t="shared" si="24"/>
        <v>2185.0652173913045</v>
      </c>
      <c r="Z19" s="97">
        <f t="shared" si="4"/>
        <v>589160.81538461533</v>
      </c>
      <c r="AA19" s="199">
        <f>+'Student Type by Acct Code'!F463</f>
        <v>0.27251864601262193</v>
      </c>
      <c r="AB19" s="153">
        <f t="shared" si="25"/>
        <v>155800</v>
      </c>
      <c r="AC19" s="139">
        <f t="shared" si="5"/>
        <v>0.2482803723936293</v>
      </c>
      <c r="AD19" s="97">
        <f t="shared" si="35"/>
        <v>146277.06664342657</v>
      </c>
      <c r="AE19" s="148">
        <f t="shared" si="7"/>
        <v>442883.74874118879</v>
      </c>
      <c r="AG19" s="202">
        <f t="shared" si="26"/>
        <v>1124915.2</v>
      </c>
      <c r="AH19" s="202">
        <f t="shared" si="27"/>
        <v>279294.36476725398</v>
      </c>
      <c r="AI19" s="202">
        <f t="shared" si="28"/>
        <v>845620.83523274597</v>
      </c>
      <c r="AK19" s="4">
        <f t="shared" si="8"/>
        <v>0.2482803723936293</v>
      </c>
      <c r="AL19" s="4"/>
      <c r="AM19" s="192">
        <f>+'Student Type by Acct Code'!D465</f>
        <v>188</v>
      </c>
      <c r="AN19" s="83">
        <v>0</v>
      </c>
      <c r="AO19" s="97">
        <f t="shared" si="29"/>
        <v>188</v>
      </c>
      <c r="AP19" s="14">
        <f>'Student Type by Acct Code'!D454</f>
        <v>5.0585106382978733</v>
      </c>
      <c r="AQ19" s="13">
        <f>(AR19/AM19)*1+AT19</f>
        <v>1549.0022184743123</v>
      </c>
      <c r="AR19" s="34">
        <f>+'Student Type by Acct Code'!D437</f>
        <v>291202.09999999998</v>
      </c>
      <c r="AS19" s="34">
        <f t="shared" si="30"/>
        <v>59243.7</v>
      </c>
      <c r="AT19" s="29">
        <f t="shared" si="31"/>
        <v>5.4878048780487854E-2</v>
      </c>
      <c r="AU19" s="1">
        <f t="shared" si="10"/>
        <v>1634.0084377808296</v>
      </c>
      <c r="AV19" s="97">
        <f t="shared" si="11"/>
        <v>307193.58630279597</v>
      </c>
      <c r="AW19" s="210">
        <f>+'Student Type by Acct Code'!D463</f>
        <v>0.20344530482438142</v>
      </c>
      <c r="AX19" s="97">
        <f t="shared" si="32"/>
        <v>62497.092805467248</v>
      </c>
      <c r="AY19" s="148">
        <f t="shared" si="12"/>
        <v>244696.49349732872</v>
      </c>
      <c r="AZ19" s="74"/>
      <c r="BA19" s="66">
        <f t="shared" si="13"/>
        <v>1432108.7863027959</v>
      </c>
      <c r="BB19" s="66">
        <f t="shared" si="14"/>
        <v>341791.45757272124</v>
      </c>
      <c r="BC19" s="66">
        <f t="shared" si="33"/>
        <v>1090317.3287300747</v>
      </c>
      <c r="BD19" s="74">
        <f t="shared" si="15"/>
        <v>0.23866305467974069</v>
      </c>
      <c r="BE19" s="66">
        <f t="shared" si="34"/>
        <v>1090317.3287300747</v>
      </c>
      <c r="BF19" s="66"/>
      <c r="BJ19" s="83"/>
      <c r="BK19" s="34"/>
      <c r="BN19" s="66"/>
      <c r="BO19" s="34"/>
    </row>
    <row r="20" spans="1:67" x14ac:dyDescent="0.2">
      <c r="A20" s="1" t="s">
        <v>86</v>
      </c>
      <c r="B20" s="1" t="s">
        <v>87</v>
      </c>
      <c r="C20" s="192">
        <f>'Student Type by Acct Code'!E494</f>
        <v>33</v>
      </c>
      <c r="D20" s="83">
        <f>+'Changes in Enrollment'!S23-'Summary by Student Type'!C20</f>
        <v>-1</v>
      </c>
      <c r="E20" s="97">
        <f t="shared" si="16"/>
        <v>32</v>
      </c>
      <c r="F20" s="196">
        <f>'Student Type by Acct Code'!E483</f>
        <v>8.7272727272727444</v>
      </c>
      <c r="G20" s="185">
        <f>+'Student Type by Acct Code'!E466</f>
        <v>266704</v>
      </c>
      <c r="H20" s="185">
        <f t="shared" si="0"/>
        <v>8081.939393939394</v>
      </c>
      <c r="I20" s="103">
        <v>1.7492711370262315E-2</v>
      </c>
      <c r="J20" s="132">
        <f t="shared" si="1"/>
        <v>8223.3144270695284</v>
      </c>
      <c r="K20" s="132">
        <f t="shared" si="17"/>
        <v>263146.06166622491</v>
      </c>
      <c r="L20" s="158">
        <f>+'Student Type by Acct Code'!E492</f>
        <v>0.11778975943367928</v>
      </c>
      <c r="M20" s="159">
        <f t="shared" si="2"/>
        <v>31415</v>
      </c>
      <c r="N20" s="139">
        <f t="shared" si="18"/>
        <v>0.11778975943367928</v>
      </c>
      <c r="O20" s="132">
        <f t="shared" si="19"/>
        <v>30995.911299584764</v>
      </c>
      <c r="P20" s="132">
        <f t="shared" si="3"/>
        <v>232150.15036664015</v>
      </c>
      <c r="Q20" s="59"/>
      <c r="R20" s="172">
        <f>'Student Type by Acct Code'!F494</f>
        <v>37</v>
      </c>
      <c r="S20" s="83">
        <f t="shared" si="20"/>
        <v>-1.1212121212121247</v>
      </c>
      <c r="T20" s="179">
        <f t="shared" si="21"/>
        <v>35.878787878787875</v>
      </c>
      <c r="U20" s="175">
        <f>'Student Type by Acct Code'!F483</f>
        <v>8.1081081081081088</v>
      </c>
      <c r="V20" s="153">
        <f>+'Student Type by Acct Code'!F466</f>
        <v>260485</v>
      </c>
      <c r="W20" s="166">
        <f t="shared" si="22"/>
        <v>7040.135135135135</v>
      </c>
      <c r="X20" s="43">
        <f t="shared" si="23"/>
        <v>1.7492711370262315E-2</v>
      </c>
      <c r="Y20" s="97">
        <f t="shared" si="24"/>
        <v>7163.2861870616962</v>
      </c>
      <c r="Z20" s="97">
        <f t="shared" si="4"/>
        <v>257010.02562063781</v>
      </c>
      <c r="AA20" s="199">
        <f>+'Student Type by Acct Code'!F492</f>
        <v>0.12246002648904927</v>
      </c>
      <c r="AB20" s="153">
        <f t="shared" si="25"/>
        <v>31899</v>
      </c>
      <c r="AC20" s="139">
        <f t="shared" si="5"/>
        <v>0.11778975943367928</v>
      </c>
      <c r="AD20" s="97">
        <f t="shared" si="35"/>
        <v>30273.149089898678</v>
      </c>
      <c r="AE20" s="148">
        <f t="shared" si="7"/>
        <v>226736.87653073913</v>
      </c>
      <c r="AG20" s="202">
        <f t="shared" si="26"/>
        <v>520156.08728686272</v>
      </c>
      <c r="AH20" s="202">
        <f t="shared" si="27"/>
        <v>61269.060389483442</v>
      </c>
      <c r="AI20" s="202">
        <f t="shared" si="28"/>
        <v>458887.02689737926</v>
      </c>
      <c r="AK20" s="4">
        <f t="shared" si="8"/>
        <v>0.11778975943367928</v>
      </c>
      <c r="AL20" s="4"/>
      <c r="AM20" s="192">
        <f>+'Student Type by Acct Code'!D494</f>
        <v>22</v>
      </c>
      <c r="AN20" s="83">
        <v>0</v>
      </c>
      <c r="AO20" s="97">
        <f t="shared" si="29"/>
        <v>22</v>
      </c>
      <c r="AP20" s="14">
        <f>'Student Type by Acct Code'!D483</f>
        <v>3.8636363636363655</v>
      </c>
      <c r="AQ20" s="13">
        <f>(AR20/AM20)*1+AT20</f>
        <v>3590.7902199840969</v>
      </c>
      <c r="AR20" s="34">
        <f>+'Student Type by Acct Code'!D466</f>
        <v>78996.999999999985</v>
      </c>
      <c r="AS20" s="34">
        <f t="shared" si="30"/>
        <v>3104.5</v>
      </c>
      <c r="AT20" s="29">
        <f t="shared" si="31"/>
        <v>1.7492711370262315E-2</v>
      </c>
      <c r="AU20" s="1">
        <f t="shared" si="10"/>
        <v>3653.6028768934393</v>
      </c>
      <c r="AV20" s="97">
        <f t="shared" si="11"/>
        <v>80379.263291655661</v>
      </c>
      <c r="AW20" s="210">
        <f>+'Student Type by Acct Code'!D492</f>
        <v>3.9298960720027351E-2</v>
      </c>
      <c r="AX20" s="97">
        <f t="shared" si="32"/>
        <v>3158.8215108035124</v>
      </c>
      <c r="AY20" s="148">
        <f t="shared" si="12"/>
        <v>77220.441780852154</v>
      </c>
      <c r="AZ20" s="74"/>
      <c r="BA20" s="66">
        <f t="shared" si="13"/>
        <v>600535.35057851835</v>
      </c>
      <c r="BB20" s="66">
        <f t="shared" si="14"/>
        <v>64427.881900286957</v>
      </c>
      <c r="BC20" s="66">
        <f t="shared" si="33"/>
        <v>536107.46867823135</v>
      </c>
      <c r="BD20" s="74">
        <f t="shared" si="15"/>
        <v>0.10728407884435304</v>
      </c>
      <c r="BE20" s="66">
        <f t="shared" si="34"/>
        <v>536107.46867823135</v>
      </c>
      <c r="BF20" s="66"/>
      <c r="BJ20" s="83"/>
      <c r="BK20" s="34"/>
      <c r="BN20" s="66"/>
      <c r="BO20" s="34"/>
    </row>
    <row r="21" spans="1:67" x14ac:dyDescent="0.2">
      <c r="A21" s="1" t="s">
        <v>31</v>
      </c>
      <c r="B21" s="1" t="s">
        <v>88</v>
      </c>
      <c r="C21" s="192">
        <f>'Student Type by Acct Code'!E523</f>
        <v>58</v>
      </c>
      <c r="D21" s="83">
        <f>+'Changes in Enrollment'!S24-'Summary by Student Type'!C21</f>
        <v>-1</v>
      </c>
      <c r="E21" s="97">
        <f t="shared" si="16"/>
        <v>57</v>
      </c>
      <c r="F21" s="196">
        <f>'Student Type by Acct Code'!E512</f>
        <v>12.413793103448286</v>
      </c>
      <c r="G21" s="185">
        <f>+'Student Type by Acct Code'!E495</f>
        <v>292248</v>
      </c>
      <c r="H21" s="185">
        <f t="shared" si="0"/>
        <v>5038.7586206896549</v>
      </c>
      <c r="I21" s="103">
        <v>3.7190082644628086E-2</v>
      </c>
      <c r="J21" s="132">
        <f t="shared" si="1"/>
        <v>5226.1504702194352</v>
      </c>
      <c r="K21" s="132">
        <f t="shared" si="17"/>
        <v>297890.5768025078</v>
      </c>
      <c r="L21" s="158">
        <f>+'Student Type by Acct Code'!E521</f>
        <v>9.5535298787331302E-2</v>
      </c>
      <c r="M21" s="159">
        <f t="shared" si="2"/>
        <v>27920</v>
      </c>
      <c r="N21" s="139">
        <f t="shared" si="18"/>
        <v>9.5535298787331302E-2</v>
      </c>
      <c r="O21" s="132">
        <f t="shared" si="19"/>
        <v>28459.065260758045</v>
      </c>
      <c r="P21" s="132">
        <f t="shared" si="3"/>
        <v>269431.51154174976</v>
      </c>
      <c r="Q21" s="59"/>
      <c r="R21" s="172">
        <f>'Student Type by Acct Code'!F523</f>
        <v>58</v>
      </c>
      <c r="S21" s="83">
        <f t="shared" si="20"/>
        <v>-1</v>
      </c>
      <c r="T21" s="179">
        <f t="shared" si="21"/>
        <v>57</v>
      </c>
      <c r="U21" s="175">
        <f>'Student Type by Acct Code'!F512</f>
        <v>12.58620689655171</v>
      </c>
      <c r="V21" s="153">
        <f>+'Student Type by Acct Code'!F495</f>
        <v>294368</v>
      </c>
      <c r="W21" s="166">
        <f t="shared" si="22"/>
        <v>5075.3103448275861</v>
      </c>
      <c r="X21" s="43">
        <f t="shared" si="23"/>
        <v>3.7190082644628086E-2</v>
      </c>
      <c r="Y21" s="97">
        <f t="shared" si="24"/>
        <v>5264.0615559988601</v>
      </c>
      <c r="Z21" s="97">
        <f t="shared" si="4"/>
        <v>300051.50869193504</v>
      </c>
      <c r="AA21" s="199">
        <f>+'Student Type by Acct Code'!F521</f>
        <v>0.16528970540276117</v>
      </c>
      <c r="AB21" s="153">
        <f t="shared" si="25"/>
        <v>48656</v>
      </c>
      <c r="AC21" s="139">
        <f t="shared" si="5"/>
        <v>9.5535298787331302E-2</v>
      </c>
      <c r="AD21" s="97">
        <f t="shared" si="35"/>
        <v>28665.510534473549</v>
      </c>
      <c r="AE21" s="148">
        <f t="shared" si="7"/>
        <v>271385.99815746152</v>
      </c>
      <c r="AG21" s="202">
        <f t="shared" si="26"/>
        <v>597942.08549444284</v>
      </c>
      <c r="AH21" s="202">
        <f t="shared" si="27"/>
        <v>57124.575795231591</v>
      </c>
      <c r="AI21" s="202">
        <f t="shared" si="28"/>
        <v>540817.50969921122</v>
      </c>
      <c r="AK21" s="4">
        <f t="shared" si="8"/>
        <v>9.5535298787331288E-2</v>
      </c>
      <c r="AL21" s="4"/>
      <c r="AM21" s="192">
        <f>+'Student Type by Acct Code'!D523</f>
        <v>29</v>
      </c>
      <c r="AN21" s="83">
        <v>0</v>
      </c>
      <c r="AO21" s="97">
        <f t="shared" si="29"/>
        <v>29</v>
      </c>
      <c r="AP21" s="14">
        <f>'Student Type by Acct Code'!D512</f>
        <v>6.6896551724137927</v>
      </c>
      <c r="AQ21" s="13">
        <f>(AR21/AM21)*1+AT21</f>
        <v>2924.5889142205756</v>
      </c>
      <c r="AR21" s="13">
        <f>+'Student Type by Acct Code'!D495</f>
        <v>84812</v>
      </c>
      <c r="AS21" s="13">
        <f t="shared" si="30"/>
        <v>0</v>
      </c>
      <c r="AT21" s="29">
        <f t="shared" si="31"/>
        <v>3.7190082644628086E-2</v>
      </c>
      <c r="AU21" s="1">
        <f t="shared" si="10"/>
        <v>3033.3546176420018</v>
      </c>
      <c r="AV21" s="97">
        <f t="shared" si="11"/>
        <v>87967.283911618055</v>
      </c>
      <c r="AW21" s="210">
        <f>+'Student Type by Acct Code'!D521</f>
        <v>0</v>
      </c>
      <c r="AX21" s="97">
        <f t="shared" si="32"/>
        <v>0</v>
      </c>
      <c r="AY21" s="148">
        <f t="shared" si="12"/>
        <v>87967.283911618055</v>
      </c>
      <c r="AZ21" s="74"/>
      <c r="BA21" s="66">
        <f t="shared" si="13"/>
        <v>685909.3694060609</v>
      </c>
      <c r="BB21" s="66">
        <f t="shared" si="14"/>
        <v>57124.575795231591</v>
      </c>
      <c r="BC21" s="66">
        <f t="shared" si="33"/>
        <v>628784.79361082928</v>
      </c>
      <c r="BD21" s="74">
        <f t="shared" si="15"/>
        <v>8.3282979272752328E-2</v>
      </c>
      <c r="BE21" s="66">
        <f t="shared" si="34"/>
        <v>628784.79361082928</v>
      </c>
      <c r="BF21" s="66"/>
      <c r="BJ21" s="83"/>
      <c r="BK21" s="34"/>
      <c r="BN21" s="66"/>
      <c r="BO21" s="34"/>
    </row>
    <row r="22" spans="1:67" x14ac:dyDescent="0.2">
      <c r="C22" s="12"/>
      <c r="D22" s="39"/>
      <c r="E22" s="13"/>
      <c r="F22" s="14"/>
      <c r="G22" s="129"/>
      <c r="H22" s="129"/>
      <c r="I22" s="14"/>
      <c r="J22" s="129"/>
      <c r="K22" s="129"/>
      <c r="L22" s="14"/>
      <c r="M22" s="129"/>
      <c r="N22" s="13"/>
      <c r="O22" s="129"/>
      <c r="P22" s="137"/>
      <c r="Q22" s="29"/>
      <c r="R22" s="172"/>
      <c r="S22" s="34"/>
      <c r="T22" s="13"/>
      <c r="U22" s="14"/>
      <c r="V22" s="13"/>
      <c r="W22" s="39"/>
      <c r="X22" s="39"/>
      <c r="Y22" s="39"/>
      <c r="Z22" s="13"/>
      <c r="AA22" s="13"/>
      <c r="AB22" s="13"/>
      <c r="AC22" s="13"/>
      <c r="AD22" s="13"/>
      <c r="AE22" s="15"/>
      <c r="AK22" s="4" t="str">
        <f t="shared" si="8"/>
        <v/>
      </c>
      <c r="AL22" s="4"/>
      <c r="AM22" s="12"/>
      <c r="AN22" s="34"/>
      <c r="AO22" s="13"/>
      <c r="AP22" s="14"/>
      <c r="AQ22" s="14"/>
      <c r="AR22" s="13"/>
      <c r="AS22" s="13"/>
      <c r="AT22" s="14"/>
      <c r="AV22" s="34"/>
      <c r="AW22" s="14"/>
      <c r="AX22" s="13"/>
      <c r="AY22" s="15"/>
      <c r="AZ22" s="74"/>
      <c r="BD22" s="74" t="str">
        <f t="shared" si="15"/>
        <v/>
      </c>
      <c r="BF22" s="66"/>
      <c r="BJ22" s="83"/>
      <c r="BK22" s="34"/>
      <c r="BN22" s="66"/>
      <c r="BO22" s="34"/>
    </row>
    <row r="23" spans="1:67" x14ac:dyDescent="0.2">
      <c r="B23" s="13"/>
      <c r="C23" s="12"/>
      <c r="E23" s="13"/>
      <c r="F23" s="14"/>
      <c r="G23" s="129"/>
      <c r="H23" s="129"/>
      <c r="I23" s="14"/>
      <c r="J23" s="129"/>
      <c r="K23" s="129"/>
      <c r="L23" s="14"/>
      <c r="M23" s="129"/>
      <c r="N23" s="13"/>
      <c r="O23" s="129"/>
      <c r="P23" s="137"/>
      <c r="Q23" s="29"/>
      <c r="R23" s="12"/>
      <c r="S23" s="13"/>
      <c r="T23" s="13"/>
      <c r="U23" s="14"/>
      <c r="V23" s="13"/>
      <c r="W23" s="39"/>
      <c r="X23" s="39"/>
      <c r="Y23" s="39"/>
      <c r="Z23" s="13"/>
      <c r="AA23" s="13"/>
      <c r="AB23" s="13"/>
      <c r="AC23" s="13"/>
      <c r="AD23" s="13"/>
      <c r="AE23" s="15"/>
      <c r="AK23" s="4"/>
      <c r="AL23" s="4"/>
      <c r="AM23" s="12"/>
      <c r="AN23" s="13"/>
      <c r="AO23" s="13"/>
      <c r="AP23" s="14"/>
      <c r="AQ23" s="14"/>
      <c r="AR23" s="13"/>
      <c r="AS23" s="13"/>
      <c r="AT23" s="14"/>
      <c r="AV23" s="13"/>
      <c r="AW23" s="14"/>
      <c r="AX23" s="13"/>
      <c r="AY23" s="15"/>
      <c r="AZ23" s="74"/>
      <c r="BD23" s="74" t="str">
        <f t="shared" si="15"/>
        <v/>
      </c>
      <c r="BF23" s="66"/>
      <c r="BJ23" s="83"/>
      <c r="BK23" s="34"/>
      <c r="BN23" s="66"/>
      <c r="BO23" s="34"/>
    </row>
    <row r="24" spans="1:67" x14ac:dyDescent="0.2">
      <c r="B24" s="13">
        <f t="shared" ref="B24" si="36">SUM(B5:B23)</f>
        <v>0</v>
      </c>
      <c r="C24" s="16">
        <f>SUM(C4:C23)</f>
        <v>9586</v>
      </c>
      <c r="D24" s="16">
        <f>SUM(D4:D23)</f>
        <v>212</v>
      </c>
      <c r="E24" s="16">
        <f>SUM(E4:E23)</f>
        <v>9798</v>
      </c>
      <c r="F24" s="18"/>
      <c r="G24" s="130">
        <f>SUM(G5:G23)</f>
        <v>47625148.32</v>
      </c>
      <c r="H24" s="130">
        <f>+G24/E24</f>
        <v>4860.700992039192</v>
      </c>
      <c r="I24" s="18"/>
      <c r="J24" s="130">
        <f>+K24/E24</f>
        <v>4961.0124180304165</v>
      </c>
      <c r="K24" s="135">
        <f>SUM(K4:K23)</f>
        <v>48607999.671862021</v>
      </c>
      <c r="L24" s="30">
        <f>+M24/G24</f>
        <v>0.3435998750640667</v>
      </c>
      <c r="M24" s="135">
        <f>SUM(M4:M23)</f>
        <v>16363995.012659647</v>
      </c>
      <c r="N24" s="30">
        <f>+O24/K24</f>
        <v>0.33245182015347169</v>
      </c>
      <c r="O24" s="135">
        <f>SUM(O4:O23)</f>
        <v>16159817.964929882</v>
      </c>
      <c r="P24" s="135">
        <f>SUM(P4:P23)</f>
        <v>32448181.70693215</v>
      </c>
      <c r="R24" s="16">
        <f>SUM(R5:R23)</f>
        <v>9719</v>
      </c>
      <c r="S24" s="16">
        <f t="shared" ref="S24:T24" si="37">SUM(S5:S23)</f>
        <v>179.47035139322207</v>
      </c>
      <c r="T24" s="16">
        <f t="shared" si="37"/>
        <v>9898.4703513932218</v>
      </c>
      <c r="U24" s="18"/>
      <c r="V24" s="17">
        <f>SUM(V5:V23)</f>
        <v>43916163.5</v>
      </c>
      <c r="W24" s="128">
        <f>+V24/R24</f>
        <v>4518.5886922522895</v>
      </c>
      <c r="X24" s="128"/>
      <c r="Y24" s="128">
        <f>+Z24/T24</f>
        <v>4532.931248393711</v>
      </c>
      <c r="Z24" s="17">
        <f>SUM(Z5:Z23)</f>
        <v>44869085.567129008</v>
      </c>
      <c r="AA24" s="17"/>
      <c r="AB24" s="41">
        <f>SUM(AB5:AB23)</f>
        <v>15245836.834273972</v>
      </c>
      <c r="AC24" s="17"/>
      <c r="AD24" s="41">
        <f>SUM(AD5:AD23)</f>
        <v>14844313.582983345</v>
      </c>
      <c r="AE24" s="42">
        <f>SUM(AE5:AE23)</f>
        <v>30024771.984145649</v>
      </c>
      <c r="AG24" s="20">
        <f>SUM(AG5:AG23)</f>
        <v>93477085.238991037</v>
      </c>
      <c r="AH24" s="20">
        <f t="shared" ref="AH24:AI24" si="38">SUM(AH5:AH23)</f>
        <v>31004131.547913227</v>
      </c>
      <c r="AI24" s="20">
        <f t="shared" si="38"/>
        <v>62472953.691077814</v>
      </c>
      <c r="AK24" s="4">
        <f>IFERROR(+AH24/AG24,"")</f>
        <v>0.33167627626220447</v>
      </c>
      <c r="AL24" s="4"/>
      <c r="AM24" s="16">
        <f>SUM(AM4:AM23)</f>
        <v>2145</v>
      </c>
      <c r="AN24" s="17"/>
      <c r="AO24" s="16">
        <f>SUM(AO5:AO23)</f>
        <v>2145</v>
      </c>
      <c r="AP24" s="18"/>
      <c r="AQ24" s="18"/>
      <c r="AR24" s="17">
        <f>SUM(AR5:AR23)</f>
        <v>4774408.6400000006</v>
      </c>
      <c r="AS24" s="17">
        <f>SUM(AS5:AS23)</f>
        <v>362985.75</v>
      </c>
      <c r="AT24" s="18"/>
      <c r="AV24" s="17">
        <f>SUM(AV5:AV23)</f>
        <v>4956098.7036358677</v>
      </c>
      <c r="AW24" s="18"/>
      <c r="AX24" s="17">
        <f t="shared" ref="AX24" si="39">SUM(AX5:AX23)</f>
        <v>379251.07171664119</v>
      </c>
      <c r="AY24" s="19">
        <f>SUM(AY5:AY23)</f>
        <v>4576847.6319192257</v>
      </c>
      <c r="AZ24" s="74"/>
      <c r="BA24" s="80">
        <f>SUM(BA5:BA23)</f>
        <v>98433183.942626908</v>
      </c>
      <c r="BB24" s="80">
        <f t="shared" ref="BB24:BE24" si="40">SUM(BB5:BB23)</f>
        <v>31383382.619629871</v>
      </c>
      <c r="BC24" s="80">
        <f t="shared" si="40"/>
        <v>67049801.322997019</v>
      </c>
      <c r="BD24" s="74">
        <f t="shared" si="15"/>
        <v>0.31882929478256128</v>
      </c>
      <c r="BE24" s="80">
        <f t="shared" si="40"/>
        <v>67049801.322997019</v>
      </c>
      <c r="BF24" s="66"/>
      <c r="BJ24" s="83"/>
      <c r="BK24" s="34"/>
      <c r="BN24" s="66"/>
      <c r="BO24" s="34"/>
    </row>
    <row r="25" spans="1:67" x14ac:dyDescent="0.2">
      <c r="A25" s="38" t="s">
        <v>89</v>
      </c>
      <c r="E25" s="57"/>
      <c r="G25" s="129">
        <f>'Student Type by Acct Code'!E524</f>
        <v>0</v>
      </c>
      <c r="H25" s="129"/>
      <c r="K25" s="58"/>
      <c r="L25" s="2"/>
      <c r="N25" s="1"/>
      <c r="O25" s="1">
        <f>+G24*'Student Type by Acct Code'!E550</f>
        <v>0</v>
      </c>
      <c r="P25" s="1">
        <f>+G25-O25</f>
        <v>0</v>
      </c>
      <c r="U25" s="2"/>
      <c r="V25" s="1">
        <f>'Student Type by Acct Code'!F524</f>
        <v>0</v>
      </c>
      <c r="Y25" s="1"/>
      <c r="AC25" s="13"/>
      <c r="AD25" s="13"/>
      <c r="AF25" s="66"/>
      <c r="AG25" s="66"/>
      <c r="AH25" s="66"/>
      <c r="AI25" s="66"/>
      <c r="AJ25" s="66"/>
      <c r="AQ25" s="1">
        <f>+'Student Type by Acct Code'!D524</f>
        <v>0</v>
      </c>
      <c r="AU25" s="1">
        <f>+AQ25</f>
        <v>0</v>
      </c>
      <c r="BA25" s="66">
        <f>+'Student Type by Acct Code'!D525</f>
        <v>0</v>
      </c>
      <c r="BB25" s="66">
        <f>+AQ25-BA25</f>
        <v>0</v>
      </c>
      <c r="BD25" s="66"/>
    </row>
    <row r="26" spans="1:67" x14ac:dyDescent="0.2">
      <c r="A26" s="38" t="s">
        <v>95</v>
      </c>
      <c r="E26" s="29"/>
      <c r="G26" s="129">
        <f>G24-G25</f>
        <v>47625148.32</v>
      </c>
      <c r="H26" s="129"/>
      <c r="K26" s="1">
        <f>+K24-G24</f>
        <v>982851.35186202079</v>
      </c>
      <c r="L26" s="2"/>
      <c r="N26" s="1"/>
      <c r="O26" s="40"/>
      <c r="P26" s="1">
        <f>+P24-G24+M24</f>
        <v>1187028.3995917961</v>
      </c>
      <c r="U26" s="2"/>
      <c r="Y26" s="1"/>
      <c r="AC26" s="40"/>
      <c r="AD26" s="40"/>
      <c r="AF26" s="66"/>
      <c r="AG26" s="67"/>
      <c r="AH26" s="68"/>
      <c r="AI26" s="68"/>
      <c r="AJ26" s="66"/>
      <c r="AU26" s="1">
        <f>+AV24-AU25</f>
        <v>4956098.7036358677</v>
      </c>
      <c r="AX26" s="1">
        <f>+AY24-AX25</f>
        <v>4576847.6319192257</v>
      </c>
      <c r="BA26" s="67"/>
      <c r="BB26" s="67"/>
      <c r="BC26" s="68"/>
      <c r="BD26" s="66"/>
    </row>
    <row r="27" spans="1:67" x14ac:dyDescent="0.2">
      <c r="A27" s="38" t="s">
        <v>90</v>
      </c>
      <c r="E27" s="29">
        <f>+E24/C24-1</f>
        <v>2.2115585228458245E-2</v>
      </c>
      <c r="K27" s="29">
        <f>+K26/G24</f>
        <v>2.0637234455588585E-2</v>
      </c>
      <c r="L27" s="2"/>
      <c r="N27" s="1"/>
      <c r="O27" s="29"/>
      <c r="P27" s="29">
        <f>+P26/(G24-M24)</f>
        <v>3.79713565882124E-2</v>
      </c>
      <c r="U27" s="2"/>
      <c r="Y27" s="29"/>
      <c r="AC27" s="29"/>
      <c r="AD27" s="29"/>
      <c r="AF27" s="66"/>
      <c r="AG27" s="66"/>
      <c r="AH27" s="68"/>
      <c r="AI27" s="68"/>
      <c r="AJ27" s="68"/>
      <c r="AU27" s="29"/>
      <c r="AX27" s="29"/>
      <c r="BC27" s="68"/>
      <c r="BD27" s="66"/>
    </row>
    <row r="28" spans="1:67" x14ac:dyDescent="0.2">
      <c r="A28" s="111"/>
      <c r="B28" s="34"/>
      <c r="C28" s="34"/>
      <c r="D28" s="43"/>
      <c r="E28" s="43"/>
      <c r="F28" s="33"/>
      <c r="G28" s="33"/>
      <c r="H28" s="33"/>
      <c r="I28" s="33"/>
      <c r="J28" s="33"/>
      <c r="K28" s="34"/>
      <c r="L28" s="33"/>
      <c r="Q28" s="34"/>
      <c r="R28" s="34"/>
      <c r="S28" s="34"/>
      <c r="T28" s="34"/>
      <c r="U28" s="33"/>
      <c r="V28" s="33"/>
      <c r="W28" s="33"/>
      <c r="X28" s="33"/>
      <c r="Y28" s="34"/>
      <c r="Z28" s="34"/>
      <c r="AA28" s="34"/>
      <c r="AB28" s="34"/>
      <c r="AC28" s="34"/>
      <c r="AD28" s="34"/>
      <c r="AE28" s="34"/>
      <c r="AF28" s="34"/>
      <c r="AG28" s="34"/>
      <c r="AH28" s="112"/>
      <c r="AI28" s="112"/>
      <c r="AJ28" s="112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43"/>
      <c r="BB28" s="43"/>
      <c r="BC28" s="112"/>
      <c r="BD28" s="34"/>
      <c r="BE28" s="34"/>
    </row>
    <row r="29" spans="1:67" x14ac:dyDescent="0.2">
      <c r="A29" s="111"/>
      <c r="B29" s="34"/>
      <c r="C29" s="34"/>
      <c r="D29" s="43"/>
      <c r="E29" s="43"/>
      <c r="F29" s="33"/>
      <c r="G29" s="33"/>
      <c r="H29" s="33"/>
      <c r="I29" s="33"/>
      <c r="J29" s="33"/>
      <c r="K29" s="34"/>
      <c r="L29" s="33"/>
      <c r="M29" s="33">
        <f>+G24-M24</f>
        <v>31261153.307340354</v>
      </c>
      <c r="N29" s="34"/>
      <c r="O29" s="69"/>
      <c r="P29" s="34">
        <f>+K24-O24</f>
        <v>32448181.706932139</v>
      </c>
      <c r="Q29" s="34"/>
      <c r="R29" s="34"/>
      <c r="S29" s="34"/>
      <c r="T29" s="34"/>
      <c r="U29" s="33"/>
      <c r="V29" s="33"/>
      <c r="W29" s="33"/>
      <c r="X29" s="33"/>
      <c r="Y29" s="34"/>
      <c r="Z29" s="34"/>
      <c r="AA29" s="34"/>
      <c r="AB29" s="34"/>
      <c r="AC29" s="43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109"/>
      <c r="AV29" s="34"/>
      <c r="AW29" s="34"/>
      <c r="AX29" s="34"/>
      <c r="AY29" s="112"/>
      <c r="AZ29" s="34"/>
      <c r="BA29" s="34"/>
      <c r="BB29" s="34"/>
      <c r="BC29" s="34"/>
      <c r="BD29" s="34"/>
      <c r="BE29" s="34"/>
    </row>
    <row r="30" spans="1:67" x14ac:dyDescent="0.2">
      <c r="A30" s="34"/>
      <c r="B30" s="34"/>
      <c r="C30" s="34"/>
      <c r="D30" s="43"/>
      <c r="E30" s="43"/>
      <c r="F30" s="33"/>
      <c r="G30" s="33"/>
      <c r="H30" s="33"/>
      <c r="I30" s="33"/>
      <c r="J30" s="33"/>
      <c r="K30" s="34"/>
      <c r="L30" s="33"/>
      <c r="M30" s="131">
        <f>+M29/C24</f>
        <v>3261.1259448508608</v>
      </c>
      <c r="N30" s="131"/>
      <c r="O30" s="131"/>
      <c r="P30" s="131">
        <f>+P29/E24</f>
        <v>3311.7148098522289</v>
      </c>
      <c r="Q30" s="34"/>
      <c r="R30" s="34"/>
      <c r="S30" s="34"/>
      <c r="T30" s="34"/>
      <c r="U30" s="33"/>
      <c r="V30" s="33"/>
      <c r="W30" s="33"/>
      <c r="X30" s="33"/>
      <c r="Y30" s="34"/>
      <c r="Z30" s="34"/>
      <c r="AA30" s="34"/>
      <c r="AB30" s="34"/>
      <c r="AC30" s="43"/>
      <c r="AD30" s="34"/>
      <c r="AE30" s="34"/>
      <c r="AF30" s="34"/>
      <c r="AG30" s="34"/>
      <c r="AH30" s="69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67" x14ac:dyDescent="0.2">
      <c r="A31" s="34"/>
      <c r="B31" s="34"/>
      <c r="C31" s="34"/>
      <c r="D31" s="43"/>
      <c r="E31" s="43"/>
      <c r="F31" s="33"/>
      <c r="G31" s="33"/>
      <c r="H31" s="33"/>
      <c r="I31" s="33"/>
      <c r="J31" s="33"/>
      <c r="K31" s="33"/>
      <c r="L31" s="34"/>
      <c r="M31" s="33"/>
      <c r="N31" s="33"/>
      <c r="O31" s="34"/>
      <c r="P31" s="34"/>
      <c r="Q31" s="34"/>
      <c r="R31" s="34"/>
      <c r="S31" s="34"/>
      <c r="T31" s="34"/>
      <c r="U31" s="34"/>
      <c r="V31" s="33"/>
      <c r="W31" s="33"/>
      <c r="X31" s="33"/>
      <c r="Y31" s="33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67" x14ac:dyDescent="0.2">
      <c r="A32" s="111"/>
      <c r="B32" s="34"/>
      <c r="C32" s="34"/>
      <c r="D32" s="43"/>
      <c r="E32" s="34"/>
      <c r="F32" s="33"/>
      <c r="G32" s="33"/>
      <c r="H32" s="33"/>
      <c r="I32" s="34"/>
      <c r="J32" s="33"/>
      <c r="K32" s="33"/>
      <c r="L32" s="34"/>
      <c r="M32" s="33"/>
      <c r="N32" s="33"/>
      <c r="O32" s="34"/>
      <c r="P32" s="34"/>
      <c r="Q32" s="34"/>
      <c r="R32" s="34"/>
      <c r="S32" s="34"/>
      <c r="T32" s="43"/>
      <c r="U32" s="34"/>
      <c r="V32" s="33"/>
      <c r="W32" s="34"/>
      <c r="X32" s="34"/>
      <c r="Y32" s="33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70" ht="13.5" thickBot="1" x14ac:dyDescent="0.25">
      <c r="A33" s="111"/>
      <c r="B33" s="34"/>
      <c r="C33" s="34"/>
      <c r="D33" s="43"/>
      <c r="E33" s="34"/>
      <c r="F33" s="33"/>
      <c r="G33" s="33"/>
      <c r="H33" s="33"/>
      <c r="I33" s="34"/>
      <c r="J33" s="33"/>
      <c r="K33" s="33"/>
      <c r="L33" s="34"/>
      <c r="M33" s="33"/>
      <c r="N33" s="33"/>
      <c r="O33" s="34"/>
      <c r="P33" s="34"/>
      <c r="Q33" s="34"/>
      <c r="R33" s="34"/>
      <c r="S33" s="34"/>
      <c r="T33" s="43"/>
      <c r="U33" s="34"/>
      <c r="V33" s="33"/>
      <c r="W33" s="34"/>
      <c r="X33" s="34"/>
      <c r="Y33" s="33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70" ht="12.75" customHeight="1" x14ac:dyDescent="0.2">
      <c r="A34" s="34"/>
      <c r="B34" s="34"/>
      <c r="C34" s="34"/>
      <c r="D34" s="43"/>
      <c r="E34" s="34"/>
      <c r="F34" s="33"/>
      <c r="G34" s="33"/>
      <c r="H34" s="33"/>
      <c r="I34" s="33"/>
      <c r="J34" s="33"/>
      <c r="K34" s="33"/>
      <c r="L34" s="34"/>
      <c r="M34" s="33"/>
      <c r="N34" s="33"/>
      <c r="O34" s="34"/>
      <c r="P34" s="34"/>
      <c r="Q34" s="34"/>
      <c r="R34" s="34"/>
      <c r="S34" s="34"/>
      <c r="T34" s="34"/>
      <c r="U34" s="34"/>
      <c r="V34" s="33"/>
      <c r="W34" s="33"/>
      <c r="X34" s="33"/>
      <c r="Y34" s="33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81"/>
      <c r="BF34" s="117"/>
      <c r="BG34" s="117"/>
      <c r="BH34" s="117"/>
      <c r="BI34" s="117"/>
      <c r="BJ34" s="118"/>
      <c r="BK34" s="118"/>
      <c r="BL34" s="118"/>
      <c r="BM34" s="118"/>
      <c r="BN34" s="118"/>
      <c r="BO34" s="118"/>
      <c r="BP34" s="118"/>
      <c r="BQ34" s="118"/>
      <c r="BR34" s="119"/>
    </row>
    <row r="35" spans="1:70" x14ac:dyDescent="0.2">
      <c r="A35" s="111"/>
      <c r="B35" s="34"/>
      <c r="C35" s="34"/>
      <c r="D35" s="43"/>
      <c r="E35" s="34"/>
      <c r="F35" s="33"/>
      <c r="G35" s="33"/>
      <c r="H35" s="33"/>
      <c r="I35" s="33"/>
      <c r="J35" s="33"/>
      <c r="K35" s="33"/>
      <c r="L35" s="34"/>
      <c r="M35" s="33"/>
      <c r="N35" s="33"/>
      <c r="O35" s="34"/>
      <c r="P35" s="34"/>
      <c r="Q35" s="69"/>
      <c r="R35" s="34"/>
      <c r="S35" s="34"/>
      <c r="T35" s="34"/>
      <c r="U35" s="34"/>
      <c r="V35" s="33"/>
      <c r="W35" s="33"/>
      <c r="X35" s="33"/>
      <c r="Y35" s="33"/>
      <c r="Z35" s="34"/>
      <c r="AA35" s="34"/>
      <c r="AB35" s="34"/>
      <c r="AC35" s="34"/>
      <c r="AD35" s="34"/>
      <c r="AE35" s="69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82"/>
      <c r="BG35" s="89"/>
      <c r="BH35" s="89" t="s">
        <v>93</v>
      </c>
      <c r="BI35" s="89"/>
      <c r="BJ35" s="92"/>
      <c r="BK35" s="92"/>
      <c r="BL35" s="92" t="s">
        <v>107</v>
      </c>
      <c r="BM35" s="92"/>
      <c r="BN35" s="92"/>
      <c r="BO35" s="92"/>
      <c r="BP35" s="92" t="s">
        <v>108</v>
      </c>
      <c r="BQ35" s="92"/>
      <c r="BR35" s="84"/>
    </row>
    <row r="36" spans="1:70" x14ac:dyDescent="0.2">
      <c r="A36" s="34"/>
      <c r="B36" s="34"/>
      <c r="C36" s="34"/>
      <c r="D36" s="43"/>
      <c r="E36" s="34"/>
      <c r="F36" s="33"/>
      <c r="G36" s="33"/>
      <c r="H36" s="33"/>
      <c r="I36" s="33"/>
      <c r="J36" s="33"/>
      <c r="K36" s="33"/>
      <c r="L36" s="110"/>
      <c r="M36" s="33"/>
      <c r="N36" s="33"/>
      <c r="O36" s="34"/>
      <c r="P36" s="34"/>
      <c r="Q36" s="34"/>
      <c r="R36" s="34"/>
      <c r="S36" s="34"/>
      <c r="T36" s="34"/>
      <c r="U36" s="34"/>
      <c r="V36" s="33"/>
      <c r="W36" s="33"/>
      <c r="X36" s="33"/>
      <c r="Y36" s="33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7"/>
      <c r="BB36" s="37"/>
      <c r="BC36" s="37"/>
      <c r="BD36" s="113"/>
      <c r="BE36" s="82"/>
      <c r="BF36" s="90"/>
      <c r="BG36" s="220" t="s">
        <v>100</v>
      </c>
      <c r="BH36" s="220" t="s">
        <v>99</v>
      </c>
      <c r="BI36" s="220" t="s">
        <v>91</v>
      </c>
      <c r="BJ36" s="89"/>
      <c r="BK36" s="220" t="s">
        <v>100</v>
      </c>
      <c r="BL36" s="220" t="s">
        <v>99</v>
      </c>
      <c r="BM36" s="220" t="s">
        <v>91</v>
      </c>
      <c r="BN36" s="89"/>
      <c r="BO36" s="220" t="s">
        <v>100</v>
      </c>
      <c r="BP36" s="220" t="s">
        <v>99</v>
      </c>
      <c r="BQ36" s="220" t="s">
        <v>91</v>
      </c>
      <c r="BR36" s="84"/>
    </row>
    <row r="37" spans="1:70" x14ac:dyDescent="0.2">
      <c r="A37" s="34"/>
      <c r="B37" s="34"/>
      <c r="C37" s="34"/>
      <c r="D37" s="43"/>
      <c r="E37" s="34"/>
      <c r="F37" s="33"/>
      <c r="G37" s="33"/>
      <c r="H37" s="33"/>
      <c r="I37" s="33"/>
      <c r="J37" s="33"/>
      <c r="K37" s="33"/>
      <c r="L37" s="34"/>
      <c r="M37" s="33"/>
      <c r="N37" s="33"/>
      <c r="O37" s="34"/>
      <c r="P37" s="34"/>
      <c r="Q37" s="34"/>
      <c r="R37" s="34"/>
      <c r="S37" s="34"/>
      <c r="T37" s="34"/>
      <c r="U37" s="34"/>
      <c r="V37" s="33"/>
      <c r="W37" s="33"/>
      <c r="X37" s="33"/>
      <c r="Y37" s="33"/>
      <c r="Z37" s="34"/>
      <c r="AA37" s="34"/>
      <c r="AB37" s="34"/>
      <c r="AC37" s="34"/>
      <c r="AD37" s="34"/>
      <c r="AE37" s="34"/>
      <c r="AF37" s="34"/>
      <c r="AG37" s="34"/>
      <c r="AH37" s="34"/>
      <c r="AI37" s="83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83"/>
      <c r="BB37" s="83"/>
      <c r="BC37" s="83"/>
      <c r="BD37" s="43"/>
      <c r="BE37" s="82"/>
      <c r="BF37" s="106" t="s">
        <v>128</v>
      </c>
      <c r="BG37" s="83">
        <f>+BG52+BG60</f>
        <v>47625148.32</v>
      </c>
      <c r="BH37" s="83">
        <f>+BH52+BH60</f>
        <v>16374244.012659645</v>
      </c>
      <c r="BI37" s="83">
        <f>+BG37-BH37</f>
        <v>31250904.307340354</v>
      </c>
      <c r="BJ37" s="83"/>
      <c r="BK37" s="83">
        <f>+BK52+BK60</f>
        <v>48607999.671862021</v>
      </c>
      <c r="BL37" s="83">
        <f>+BL52+BL60</f>
        <v>16159817.964929882</v>
      </c>
      <c r="BM37" s="39">
        <f t="shared" ref="BM37:BM38" si="41">BK37-BL37</f>
        <v>32448181.706932139</v>
      </c>
      <c r="BN37" s="83"/>
      <c r="BO37" s="34">
        <f>+BK37-BG37</f>
        <v>982851.35186202079</v>
      </c>
      <c r="BP37" s="34">
        <f t="shared" ref="BP37:BQ41" si="42">+BL37-BH37</f>
        <v>-214426.04772976227</v>
      </c>
      <c r="BQ37" s="34">
        <f t="shared" si="42"/>
        <v>1197277.3995917849</v>
      </c>
      <c r="BR37" s="84"/>
    </row>
    <row r="38" spans="1:70" x14ac:dyDescent="0.2">
      <c r="A38" s="111"/>
      <c r="B38" s="34"/>
      <c r="C38" s="34"/>
      <c r="D38" s="43"/>
      <c r="E38" s="34"/>
      <c r="F38" s="33"/>
      <c r="G38" s="33"/>
      <c r="H38" s="33"/>
      <c r="I38" s="33"/>
      <c r="J38" s="33"/>
      <c r="K38" s="33"/>
      <c r="L38" s="34"/>
      <c r="M38" s="33"/>
      <c r="N38" s="33"/>
      <c r="O38" s="34"/>
      <c r="P38" s="34"/>
      <c r="Q38" s="34"/>
      <c r="R38" s="34"/>
      <c r="S38" s="34"/>
      <c r="T38" s="34"/>
      <c r="U38" s="34"/>
      <c r="V38" s="33"/>
      <c r="W38" s="33"/>
      <c r="X38" s="33"/>
      <c r="Y38" s="33"/>
      <c r="Z38" s="34"/>
      <c r="AA38" s="34"/>
      <c r="AB38" s="34"/>
      <c r="AC38" s="34"/>
      <c r="AD38" s="34"/>
      <c r="AE38" s="34"/>
      <c r="AF38" s="34"/>
      <c r="AG38" s="34"/>
      <c r="AH38" s="34"/>
      <c r="AI38" s="83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89"/>
      <c r="BB38" s="83"/>
      <c r="BC38" s="83"/>
      <c r="BD38" s="43"/>
      <c r="BE38" s="82"/>
      <c r="BF38" s="107" t="s">
        <v>129</v>
      </c>
      <c r="BG38" s="83">
        <f>+BG53+BG61</f>
        <v>43916163.5</v>
      </c>
      <c r="BH38" s="83">
        <f>+BH53+BH61</f>
        <v>15245836.83427397</v>
      </c>
      <c r="BI38" s="83">
        <f>+BG38-BH38</f>
        <v>28670326.665726028</v>
      </c>
      <c r="BJ38" s="83"/>
      <c r="BK38" s="83">
        <f>+BK53+BK61</f>
        <v>44869085.567129008</v>
      </c>
      <c r="BL38" s="83">
        <f>+BL53+BL61</f>
        <v>14844313.582983345</v>
      </c>
      <c r="BM38" s="39">
        <f t="shared" si="41"/>
        <v>30024771.984145664</v>
      </c>
      <c r="BN38" s="83"/>
      <c r="BO38" s="34">
        <f t="shared" ref="BO38:BO41" si="43">+BK38-BG38</f>
        <v>952922.06712900847</v>
      </c>
      <c r="BP38" s="34">
        <f t="shared" si="42"/>
        <v>-401523.25129062496</v>
      </c>
      <c r="BQ38" s="34">
        <f t="shared" si="42"/>
        <v>1354445.3184196353</v>
      </c>
      <c r="BR38" s="84"/>
    </row>
    <row r="39" spans="1:70" x14ac:dyDescent="0.2">
      <c r="A39" s="111"/>
      <c r="B39" s="34"/>
      <c r="C39" s="34"/>
      <c r="D39" s="43"/>
      <c r="E39" s="34"/>
      <c r="F39" s="33"/>
      <c r="G39" s="33"/>
      <c r="H39" s="33"/>
      <c r="I39" s="33"/>
      <c r="J39" s="33"/>
      <c r="K39" s="33"/>
      <c r="L39" s="34"/>
      <c r="M39" s="33"/>
      <c r="N39" s="33"/>
      <c r="O39" s="34"/>
      <c r="P39" s="34"/>
      <c r="Q39" s="34"/>
      <c r="R39" s="34"/>
      <c r="S39" s="34"/>
      <c r="T39" s="34"/>
      <c r="U39" s="34"/>
      <c r="V39" s="33"/>
      <c r="W39" s="33"/>
      <c r="X39" s="33"/>
      <c r="Y39" s="33"/>
      <c r="Z39" s="34"/>
      <c r="AA39" s="34"/>
      <c r="AB39" s="34"/>
      <c r="AC39" s="34"/>
      <c r="AD39" s="34"/>
      <c r="AE39" s="34"/>
      <c r="AF39" s="34"/>
      <c r="AG39" s="34"/>
      <c r="AH39" s="34"/>
      <c r="AI39" s="83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89"/>
      <c r="BB39" s="83"/>
      <c r="BC39" s="83"/>
      <c r="BD39" s="43"/>
      <c r="BE39" s="82"/>
      <c r="BF39" s="107" t="s">
        <v>52</v>
      </c>
      <c r="BG39" s="218">
        <f>SUM(BG37:BG38)</f>
        <v>91541311.819999993</v>
      </c>
      <c r="BH39" s="218">
        <f t="shared" ref="BH39:BI39" si="44">SUM(BH37:BH38)</f>
        <v>31620080.846933614</v>
      </c>
      <c r="BI39" s="218">
        <f t="shared" si="44"/>
        <v>59921230.973066382</v>
      </c>
      <c r="BJ39" s="83"/>
      <c r="BK39" s="218">
        <f>SUM(BK37:BK38)</f>
        <v>93477085.238991022</v>
      </c>
      <c r="BL39" s="218">
        <f t="shared" ref="BL39" si="45">SUM(BL37:BL38)</f>
        <v>31004131.547913227</v>
      </c>
      <c r="BM39" s="218">
        <f t="shared" ref="BM39" si="46">SUM(BM37:BM38)</f>
        <v>62472953.691077799</v>
      </c>
      <c r="BN39" s="83"/>
      <c r="BO39" s="80">
        <f t="shared" si="43"/>
        <v>1935773.4189910293</v>
      </c>
      <c r="BP39" s="80">
        <f t="shared" si="42"/>
        <v>-615949.29902038723</v>
      </c>
      <c r="BQ39" s="80">
        <f t="shared" si="42"/>
        <v>2551722.7180114165</v>
      </c>
      <c r="BR39" s="84"/>
    </row>
    <row r="40" spans="1:70" x14ac:dyDescent="0.2">
      <c r="A40" s="34"/>
      <c r="B40" s="34"/>
      <c r="C40" s="34"/>
      <c r="D40" s="43"/>
      <c r="E40" s="34"/>
      <c r="F40" s="33"/>
      <c r="G40" s="33"/>
      <c r="H40" s="33"/>
      <c r="I40" s="33"/>
      <c r="J40" s="33"/>
      <c r="K40" s="33"/>
      <c r="L40" s="34"/>
      <c r="M40" s="33"/>
      <c r="N40" s="33"/>
      <c r="O40" s="34"/>
      <c r="P40" s="34"/>
      <c r="Q40" s="34"/>
      <c r="R40" s="34"/>
      <c r="S40" s="34"/>
      <c r="T40" s="34"/>
      <c r="U40" s="34"/>
      <c r="V40" s="33"/>
      <c r="W40" s="33"/>
      <c r="X40" s="33"/>
      <c r="Y40" s="33"/>
      <c r="Z40" s="34"/>
      <c r="AA40" s="34"/>
      <c r="AB40" s="34"/>
      <c r="AC40" s="34"/>
      <c r="AD40" s="34"/>
      <c r="AE40" s="34"/>
      <c r="AF40" s="34"/>
      <c r="AG40" s="34"/>
      <c r="AH40" s="34"/>
      <c r="AI40" s="83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83"/>
      <c r="BB40" s="83"/>
      <c r="BC40" s="83"/>
      <c r="BD40" s="43"/>
      <c r="BE40" s="82"/>
      <c r="BF40" s="107" t="s">
        <v>54</v>
      </c>
      <c r="BG40" s="83">
        <f>+BG55+BG63</f>
        <v>4774408.6399999997</v>
      </c>
      <c r="BH40" s="83">
        <f>+BH55+BH63</f>
        <v>362985.75000000006</v>
      </c>
      <c r="BI40" s="83">
        <f>+BG40-BH40</f>
        <v>4411422.8899999997</v>
      </c>
      <c r="BJ40" s="83"/>
      <c r="BK40" s="83">
        <f t="shared" ref="BK40:BL40" si="47">+BK55+BK63</f>
        <v>4956098.7036358686</v>
      </c>
      <c r="BL40" s="83">
        <f t="shared" si="47"/>
        <v>379251.07171664108</v>
      </c>
      <c r="BM40" s="39">
        <f t="shared" ref="BM40" si="48">BK40-BL40</f>
        <v>4576847.6319192275</v>
      </c>
      <c r="BN40" s="83"/>
      <c r="BO40" s="34">
        <f t="shared" si="43"/>
        <v>181690.06363586895</v>
      </c>
      <c r="BP40" s="34">
        <f t="shared" si="42"/>
        <v>16265.321716641018</v>
      </c>
      <c r="BQ40" s="34">
        <f t="shared" si="42"/>
        <v>165424.74191922788</v>
      </c>
      <c r="BR40" s="84"/>
    </row>
    <row r="41" spans="1:70" x14ac:dyDescent="0.2">
      <c r="A41" s="34"/>
      <c r="B41" s="34"/>
      <c r="C41" s="34"/>
      <c r="D41" s="43"/>
      <c r="E41" s="37"/>
      <c r="F41" s="114"/>
      <c r="G41" s="114"/>
      <c r="H41" s="33"/>
      <c r="I41" s="33"/>
      <c r="J41" s="33"/>
      <c r="K41" s="33"/>
      <c r="L41" s="34"/>
      <c r="M41" s="33"/>
      <c r="N41" s="33"/>
      <c r="O41" s="34"/>
      <c r="P41" s="34"/>
      <c r="Q41" s="34"/>
      <c r="R41" s="34"/>
      <c r="S41" s="34"/>
      <c r="T41" s="34"/>
      <c r="U41" s="34"/>
      <c r="V41" s="33"/>
      <c r="W41" s="33"/>
      <c r="X41" s="33"/>
      <c r="Y41" s="33"/>
      <c r="Z41" s="34"/>
      <c r="AA41" s="34"/>
      <c r="AB41" s="34"/>
      <c r="AC41" s="34"/>
      <c r="AD41" s="34"/>
      <c r="AE41" s="34"/>
      <c r="AF41" s="34"/>
      <c r="AG41" s="34"/>
      <c r="AH41" s="34"/>
      <c r="AI41" s="83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43"/>
      <c r="BB41" s="43"/>
      <c r="BC41" s="69"/>
      <c r="BD41" s="34"/>
      <c r="BE41" s="82"/>
      <c r="BF41" s="90" t="s">
        <v>55</v>
      </c>
      <c r="BG41" s="108">
        <f>+BG39+BG40</f>
        <v>96315720.459999993</v>
      </c>
      <c r="BH41" s="108">
        <f t="shared" ref="BH41:BI41" si="49">+BH39+BH40</f>
        <v>31983066.596933614</v>
      </c>
      <c r="BI41" s="108">
        <f t="shared" si="49"/>
        <v>64332653.863066383</v>
      </c>
      <c r="BJ41" s="83"/>
      <c r="BK41" s="108">
        <f>+BK39+BK40</f>
        <v>98433183.942626894</v>
      </c>
      <c r="BL41" s="108">
        <f t="shared" ref="BL41" si="50">+BL39+BL40</f>
        <v>31383382.619629867</v>
      </c>
      <c r="BM41" s="108">
        <f t="shared" ref="BM41" si="51">+BM39+BM40</f>
        <v>67049801.322997026</v>
      </c>
      <c r="BN41" s="83"/>
      <c r="BO41" s="108">
        <f t="shared" si="43"/>
        <v>2117463.4826269001</v>
      </c>
      <c r="BP41" s="108">
        <f t="shared" si="42"/>
        <v>-599683.97730374709</v>
      </c>
      <c r="BQ41" s="108">
        <f t="shared" si="42"/>
        <v>2717147.4599306434</v>
      </c>
      <c r="BR41" s="84"/>
    </row>
    <row r="42" spans="1:70" x14ac:dyDescent="0.2">
      <c r="A42" s="34"/>
      <c r="B42" s="34"/>
      <c r="C42" s="34"/>
      <c r="D42" s="43"/>
      <c r="E42" s="34"/>
      <c r="F42" s="69"/>
      <c r="G42" s="69"/>
      <c r="H42" s="33"/>
      <c r="I42" s="33"/>
      <c r="J42" s="33"/>
      <c r="K42" s="33"/>
      <c r="L42" s="34"/>
      <c r="M42" s="33"/>
      <c r="N42" s="33"/>
      <c r="O42" s="34"/>
      <c r="P42" s="34"/>
      <c r="Q42" s="34"/>
      <c r="R42" s="34"/>
      <c r="S42" s="34"/>
      <c r="T42" s="34"/>
      <c r="U42" s="34"/>
      <c r="V42" s="33"/>
      <c r="W42" s="33"/>
      <c r="X42" s="33"/>
      <c r="Y42" s="33"/>
      <c r="Z42" s="34"/>
      <c r="AA42" s="34"/>
      <c r="AB42" s="34"/>
      <c r="AC42" s="34"/>
      <c r="AD42" s="34"/>
      <c r="AE42" s="34"/>
      <c r="AF42" s="34"/>
      <c r="AG42" s="34"/>
      <c r="AH42" s="34"/>
      <c r="AI42" s="83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82"/>
      <c r="BF42" s="90"/>
      <c r="BJ42" s="83"/>
      <c r="BK42" s="39"/>
      <c r="BL42" s="39"/>
      <c r="BM42" s="39"/>
      <c r="BN42" s="83"/>
      <c r="BO42" s="34"/>
      <c r="BP42" s="34"/>
      <c r="BQ42" s="34"/>
      <c r="BR42" s="84"/>
    </row>
    <row r="43" spans="1:70" x14ac:dyDescent="0.2">
      <c r="A43" s="34"/>
      <c r="B43" s="34"/>
      <c r="C43" s="34"/>
      <c r="D43" s="43"/>
      <c r="E43" s="34"/>
      <c r="F43" s="69"/>
      <c r="G43" s="69"/>
      <c r="H43" s="33"/>
      <c r="I43" s="33"/>
      <c r="J43" s="33"/>
      <c r="K43" s="33"/>
      <c r="L43" s="34"/>
      <c r="M43" s="33"/>
      <c r="N43" s="33"/>
      <c r="O43" s="34"/>
      <c r="P43" s="34"/>
      <c r="Q43" s="34"/>
      <c r="R43" s="34"/>
      <c r="S43" s="34"/>
      <c r="T43" s="34"/>
      <c r="U43" s="34"/>
      <c r="V43" s="33"/>
      <c r="W43" s="33"/>
      <c r="X43" s="33"/>
      <c r="Y43" s="33"/>
      <c r="Z43" s="34"/>
      <c r="AA43" s="34"/>
      <c r="AB43" s="34"/>
      <c r="AC43" s="34"/>
      <c r="AD43" s="34"/>
      <c r="AE43" s="34"/>
      <c r="AF43" s="34"/>
      <c r="AG43" s="34"/>
      <c r="AH43" s="34"/>
      <c r="AI43" s="83"/>
      <c r="AJ43" s="34"/>
      <c r="AK43" s="110"/>
      <c r="AL43" s="34"/>
      <c r="AM43" s="34"/>
      <c r="AN43" s="110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43"/>
      <c r="BE43" s="82"/>
      <c r="BF43" s="106" t="s">
        <v>128</v>
      </c>
      <c r="BJ43" s="83"/>
      <c r="BK43" s="29"/>
      <c r="BL43" s="35"/>
      <c r="BM43" s="39"/>
      <c r="BN43" s="83"/>
      <c r="BO43" s="69">
        <f>+BO37/BG37</f>
        <v>2.0637234455588585E-2</v>
      </c>
      <c r="BP43" s="69">
        <f t="shared" ref="BP43:BQ47" si="52">+BP37/BH37</f>
        <v>-1.3095325046089464E-2</v>
      </c>
      <c r="BQ43" s="69">
        <f t="shared" si="52"/>
        <v>3.8311768127316653E-2</v>
      </c>
      <c r="BR43" s="84"/>
    </row>
    <row r="44" spans="1:70" x14ac:dyDescent="0.2">
      <c r="A44" s="34"/>
      <c r="B44" s="34"/>
      <c r="C44" s="34"/>
      <c r="D44" s="43"/>
      <c r="E44" s="34"/>
      <c r="F44" s="69"/>
      <c r="G44" s="69"/>
      <c r="H44" s="33"/>
      <c r="I44" s="33"/>
      <c r="J44" s="33"/>
      <c r="K44" s="33"/>
      <c r="L44" s="34"/>
      <c r="M44" s="33"/>
      <c r="N44" s="33"/>
      <c r="O44" s="34"/>
      <c r="P44" s="34"/>
      <c r="Q44" s="34"/>
      <c r="R44" s="34"/>
      <c r="S44" s="34"/>
      <c r="T44" s="34"/>
      <c r="U44" s="34"/>
      <c r="V44" s="33"/>
      <c r="W44" s="33"/>
      <c r="X44" s="33"/>
      <c r="Y44" s="33"/>
      <c r="Z44" s="34"/>
      <c r="AA44" s="34"/>
      <c r="AB44" s="34"/>
      <c r="AC44" s="34"/>
      <c r="AD44" s="34"/>
      <c r="AE44" s="34"/>
      <c r="AF44" s="34"/>
      <c r="AG44" s="34"/>
      <c r="AH44" s="34"/>
      <c r="AI44" s="83"/>
      <c r="AJ44" s="34"/>
      <c r="AK44" s="110"/>
      <c r="AL44" s="34"/>
      <c r="AM44" s="34"/>
      <c r="AN44" s="110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43"/>
      <c r="BE44" s="82"/>
      <c r="BF44" s="107" t="s">
        <v>129</v>
      </c>
      <c r="BG44" s="39"/>
      <c r="BH44" s="39"/>
      <c r="BI44" s="39"/>
      <c r="BK44" s="34"/>
      <c r="BL44" s="34"/>
      <c r="BM44" s="34"/>
      <c r="BO44" s="69">
        <f t="shared" ref="BO44:BO47" si="53">+BO38/BG38</f>
        <v>2.1698663799013512E-2</v>
      </c>
      <c r="BP44" s="69">
        <f t="shared" si="52"/>
        <v>-2.6336583268946293E-2</v>
      </c>
      <c r="BQ44" s="69">
        <f t="shared" si="52"/>
        <v>4.7242060901901348E-2</v>
      </c>
      <c r="BR44" s="84"/>
    </row>
    <row r="45" spans="1:70" x14ac:dyDescent="0.2">
      <c r="A45" s="34"/>
      <c r="B45" s="34"/>
      <c r="C45" s="34"/>
      <c r="D45" s="43"/>
      <c r="E45" s="34"/>
      <c r="F45" s="69"/>
      <c r="G45" s="69"/>
      <c r="H45" s="33"/>
      <c r="I45" s="33"/>
      <c r="J45" s="33"/>
      <c r="K45" s="33"/>
      <c r="L45" s="34"/>
      <c r="M45" s="33"/>
      <c r="N45" s="33"/>
      <c r="O45" s="34"/>
      <c r="P45" s="34"/>
      <c r="Q45" s="34"/>
      <c r="R45" s="34"/>
      <c r="S45" s="34"/>
      <c r="T45" s="34"/>
      <c r="U45" s="34"/>
      <c r="V45" s="33"/>
      <c r="W45" s="33"/>
      <c r="X45" s="33"/>
      <c r="Y45" s="33"/>
      <c r="Z45" s="34"/>
      <c r="AA45" s="34"/>
      <c r="AB45" s="34"/>
      <c r="AC45" s="34"/>
      <c r="AD45" s="34"/>
      <c r="AE45" s="34"/>
      <c r="AF45" s="34"/>
      <c r="AG45" s="34"/>
      <c r="AH45" s="34"/>
      <c r="AI45" s="83"/>
      <c r="AJ45" s="34"/>
      <c r="AK45" s="34"/>
      <c r="AL45" s="34"/>
      <c r="AM45" s="33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82"/>
      <c r="BF45" s="107" t="s">
        <v>52</v>
      </c>
      <c r="BG45" s="90"/>
      <c r="BH45" s="90"/>
      <c r="BI45" s="90"/>
      <c r="BJ45" s="92"/>
      <c r="BK45" s="92"/>
      <c r="BL45" s="92"/>
      <c r="BM45" s="92"/>
      <c r="BN45" s="92"/>
      <c r="BO45" s="69">
        <f t="shared" si="53"/>
        <v>2.1146446129124627E-2</v>
      </c>
      <c r="BP45" s="69">
        <f t="shared" si="52"/>
        <v>-1.9479687670694853E-2</v>
      </c>
      <c r="BQ45" s="69">
        <f t="shared" si="52"/>
        <v>4.258461778194067E-2</v>
      </c>
      <c r="BR45" s="84"/>
    </row>
    <row r="46" spans="1:70" x14ac:dyDescent="0.2">
      <c r="A46" s="34"/>
      <c r="B46" s="34"/>
      <c r="C46" s="34"/>
      <c r="D46" s="43"/>
      <c r="E46" s="34"/>
      <c r="F46" s="69"/>
      <c r="G46" s="69"/>
      <c r="H46" s="33"/>
      <c r="I46" s="33"/>
      <c r="J46" s="33"/>
      <c r="K46" s="33"/>
      <c r="L46" s="34"/>
      <c r="M46" s="33"/>
      <c r="N46" s="33"/>
      <c r="O46" s="34"/>
      <c r="P46" s="34"/>
      <c r="Q46" s="34"/>
      <c r="R46" s="34"/>
      <c r="S46" s="34"/>
      <c r="T46" s="34"/>
      <c r="U46" s="34"/>
      <c r="V46" s="33"/>
      <c r="W46" s="33"/>
      <c r="X46" s="33"/>
      <c r="Y46" s="33"/>
      <c r="Z46" s="34"/>
      <c r="AA46" s="34"/>
      <c r="AB46" s="34"/>
      <c r="AC46" s="34"/>
      <c r="AD46" s="34"/>
      <c r="AE46" s="34"/>
      <c r="AF46" s="34"/>
      <c r="AG46" s="34"/>
      <c r="AH46" s="34"/>
      <c r="AI46" s="83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82"/>
      <c r="BF46" s="107" t="s">
        <v>54</v>
      </c>
      <c r="BG46" s="90"/>
      <c r="BH46" s="90"/>
      <c r="BI46" s="90"/>
      <c r="BJ46" s="92"/>
      <c r="BK46" s="92"/>
      <c r="BL46" s="92"/>
      <c r="BM46" s="92"/>
      <c r="BN46" s="92"/>
      <c r="BO46" s="69">
        <f t="shared" si="53"/>
        <v>3.8054988027976792E-2</v>
      </c>
      <c r="BP46" s="69">
        <f t="shared" si="52"/>
        <v>4.4809807868879191E-2</v>
      </c>
      <c r="BQ46" s="69">
        <f t="shared" si="52"/>
        <v>3.749918020650881E-2</v>
      </c>
      <c r="BR46" s="84"/>
    </row>
    <row r="47" spans="1:70" x14ac:dyDescent="0.2">
      <c r="A47" s="34"/>
      <c r="B47" s="34"/>
      <c r="C47" s="34"/>
      <c r="D47" s="43"/>
      <c r="E47" s="34"/>
      <c r="F47" s="69"/>
      <c r="G47" s="69"/>
      <c r="H47" s="33"/>
      <c r="I47" s="33"/>
      <c r="J47" s="33"/>
      <c r="K47" s="33"/>
      <c r="L47" s="34"/>
      <c r="M47" s="33"/>
      <c r="N47" s="33"/>
      <c r="O47" s="34"/>
      <c r="P47" s="34"/>
      <c r="Q47" s="34"/>
      <c r="R47" s="34"/>
      <c r="S47" s="34"/>
      <c r="T47" s="34"/>
      <c r="U47" s="34"/>
      <c r="V47" s="33"/>
      <c r="W47" s="33"/>
      <c r="X47" s="33"/>
      <c r="Y47" s="33"/>
      <c r="Z47" s="34"/>
      <c r="AA47" s="34"/>
      <c r="AB47" s="34"/>
      <c r="AC47" s="34"/>
      <c r="AD47" s="34"/>
      <c r="AE47" s="34"/>
      <c r="AF47" s="34"/>
      <c r="AG47" s="34"/>
      <c r="AH47" s="34"/>
      <c r="AI47" s="83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82"/>
      <c r="BF47" s="90" t="s">
        <v>55</v>
      </c>
      <c r="BG47" s="90"/>
      <c r="BH47" s="90"/>
      <c r="BI47" s="90"/>
      <c r="BJ47" s="92"/>
      <c r="BK47" s="92"/>
      <c r="BL47" s="92"/>
      <c r="BM47" s="92"/>
      <c r="BN47" s="92"/>
      <c r="BO47" s="69">
        <f t="shared" si="53"/>
        <v>2.1984609288223978E-2</v>
      </c>
      <c r="BP47" s="69">
        <f t="shared" si="52"/>
        <v>-1.8750046231065347E-2</v>
      </c>
      <c r="BQ47" s="69">
        <f t="shared" si="52"/>
        <v>4.2235898828519615E-2</v>
      </c>
      <c r="BR47" s="84"/>
    </row>
    <row r="48" spans="1:70" ht="13.5" thickBot="1" x14ac:dyDescent="0.25">
      <c r="A48" s="34"/>
      <c r="B48" s="34"/>
      <c r="C48" s="34"/>
      <c r="D48" s="43"/>
      <c r="E48" s="34"/>
      <c r="F48" s="69"/>
      <c r="G48" s="69"/>
      <c r="H48" s="33"/>
      <c r="I48" s="33"/>
      <c r="J48" s="33"/>
      <c r="K48" s="33"/>
      <c r="L48" s="34"/>
      <c r="M48" s="33"/>
      <c r="N48" s="33"/>
      <c r="O48" s="34"/>
      <c r="P48" s="34"/>
      <c r="Q48" s="34"/>
      <c r="R48" s="34"/>
      <c r="S48" s="34"/>
      <c r="T48" s="34"/>
      <c r="U48" s="34"/>
      <c r="V48" s="33"/>
      <c r="W48" s="33"/>
      <c r="X48" s="33"/>
      <c r="Y48" s="33"/>
      <c r="Z48" s="34"/>
      <c r="AA48" s="34"/>
      <c r="AB48" s="34"/>
      <c r="AC48" s="34"/>
      <c r="AD48" s="34"/>
      <c r="AE48" s="34"/>
      <c r="AF48" s="34"/>
      <c r="AG48" s="34"/>
      <c r="AH48" s="34"/>
      <c r="AI48" s="83"/>
      <c r="AJ48" s="34"/>
      <c r="AK48" s="34"/>
      <c r="AL48" s="34"/>
      <c r="AM48" s="33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115"/>
      <c r="AY48" s="34"/>
      <c r="AZ48" s="34"/>
      <c r="BA48" s="34"/>
      <c r="BB48" s="34"/>
      <c r="BC48" s="34"/>
      <c r="BD48" s="34"/>
      <c r="BE48" s="85"/>
      <c r="BF48" s="120"/>
      <c r="BG48" s="120"/>
      <c r="BH48" s="120"/>
      <c r="BI48" s="120"/>
      <c r="BJ48" s="121"/>
      <c r="BK48" s="121"/>
      <c r="BL48" s="121"/>
      <c r="BM48" s="121"/>
      <c r="BN48" s="121"/>
      <c r="BO48" s="221"/>
      <c r="BP48" s="221"/>
      <c r="BQ48" s="221"/>
      <c r="BR48" s="86"/>
    </row>
    <row r="49" spans="1:69" x14ac:dyDescent="0.2">
      <c r="A49" s="34"/>
      <c r="B49" s="34"/>
      <c r="C49" s="34"/>
      <c r="D49" s="43"/>
      <c r="E49" s="34"/>
      <c r="F49" s="69"/>
      <c r="G49" s="69"/>
      <c r="H49" s="33"/>
      <c r="I49" s="33"/>
      <c r="J49" s="33"/>
      <c r="K49" s="33"/>
      <c r="L49" s="34"/>
      <c r="M49" s="33"/>
      <c r="N49" s="33"/>
      <c r="O49" s="34"/>
      <c r="P49" s="34"/>
      <c r="Q49" s="34"/>
      <c r="R49" s="34"/>
      <c r="S49" s="34"/>
      <c r="T49" s="34"/>
      <c r="U49" s="34"/>
      <c r="V49" s="33"/>
      <c r="W49" s="33"/>
      <c r="X49" s="33"/>
      <c r="Y49" s="33"/>
      <c r="Z49" s="34"/>
      <c r="AA49" s="34"/>
      <c r="AB49" s="34"/>
      <c r="AC49" s="34"/>
      <c r="AD49" s="34"/>
      <c r="AE49" s="34"/>
      <c r="AF49" s="34"/>
      <c r="AG49" s="34"/>
      <c r="AH49" s="34"/>
      <c r="AI49" s="83"/>
      <c r="AJ49" s="34"/>
      <c r="AK49" s="34"/>
      <c r="AL49" s="34"/>
      <c r="AM49" s="33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90"/>
      <c r="BG49" s="90"/>
      <c r="BH49" s="90"/>
      <c r="BI49" s="90"/>
      <c r="BJ49" s="92"/>
      <c r="BK49" s="92"/>
      <c r="BL49" s="92"/>
      <c r="BM49" s="92"/>
      <c r="BN49" s="92"/>
    </row>
    <row r="50" spans="1:69" x14ac:dyDescent="0.2">
      <c r="A50" s="34"/>
      <c r="B50" s="34"/>
      <c r="C50" s="34"/>
      <c r="D50" s="43"/>
      <c r="E50" s="34"/>
      <c r="F50" s="69"/>
      <c r="G50" s="69"/>
      <c r="H50" s="33"/>
      <c r="I50" s="33"/>
      <c r="J50" s="33"/>
      <c r="K50" s="33"/>
      <c r="L50" s="34"/>
      <c r="M50" s="33"/>
      <c r="N50" s="33"/>
      <c r="O50" s="34"/>
      <c r="P50" s="34"/>
      <c r="Q50" s="34"/>
      <c r="R50" s="34"/>
      <c r="S50" s="34"/>
      <c r="T50" s="34"/>
      <c r="U50" s="34"/>
      <c r="V50" s="33"/>
      <c r="W50" s="33"/>
      <c r="X50" s="33"/>
      <c r="Y50" s="33"/>
      <c r="Z50" s="34"/>
      <c r="AA50" s="34"/>
      <c r="AB50" s="34"/>
      <c r="AC50" s="34"/>
      <c r="AD50" s="34"/>
      <c r="AE50" s="34"/>
      <c r="AF50" s="34"/>
      <c r="AG50" s="34"/>
      <c r="AH50" s="34"/>
      <c r="AI50" s="83"/>
      <c r="AJ50" s="34"/>
      <c r="AK50" s="34"/>
      <c r="AL50" s="34"/>
      <c r="AM50" s="33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69"/>
      <c r="AY50" s="34"/>
      <c r="AZ50" s="34"/>
      <c r="BA50" s="34"/>
      <c r="BB50" s="34"/>
      <c r="BC50" s="34"/>
      <c r="BD50" s="34"/>
      <c r="BE50" s="34"/>
      <c r="BF50" s="89"/>
      <c r="BG50" s="89"/>
      <c r="BH50" s="89" t="s">
        <v>93</v>
      </c>
      <c r="BI50" s="89"/>
      <c r="BJ50" s="92"/>
      <c r="BK50" s="92"/>
      <c r="BL50" s="92" t="s">
        <v>107</v>
      </c>
      <c r="BM50" s="92"/>
      <c r="BN50" s="92"/>
      <c r="BO50" s="92"/>
      <c r="BP50" s="92" t="s">
        <v>108</v>
      </c>
      <c r="BQ50" s="92"/>
    </row>
    <row r="51" spans="1:69" x14ac:dyDescent="0.2">
      <c r="A51" s="34"/>
      <c r="B51" s="34"/>
      <c r="C51" s="34"/>
      <c r="D51" s="43"/>
      <c r="E51" s="34"/>
      <c r="F51" s="69"/>
      <c r="G51" s="69"/>
      <c r="H51" s="33"/>
      <c r="I51" s="33"/>
      <c r="J51" s="33"/>
      <c r="K51" s="33"/>
      <c r="L51" s="34"/>
      <c r="M51" s="33"/>
      <c r="N51" s="33"/>
      <c r="O51" s="34"/>
      <c r="P51" s="34"/>
      <c r="Q51" s="34"/>
      <c r="R51" s="34"/>
      <c r="S51" s="34"/>
      <c r="T51" s="34"/>
      <c r="U51" s="34"/>
      <c r="V51" s="33"/>
      <c r="W51" s="33"/>
      <c r="X51" s="33"/>
      <c r="Y51" s="33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3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219" t="s">
        <v>126</v>
      </c>
      <c r="BG51" s="220" t="s">
        <v>100</v>
      </c>
      <c r="BH51" s="220" t="s">
        <v>99</v>
      </c>
      <c r="BI51" s="220" t="s">
        <v>91</v>
      </c>
      <c r="BJ51" s="219"/>
      <c r="BK51" s="220" t="s">
        <v>100</v>
      </c>
      <c r="BL51" s="220" t="s">
        <v>99</v>
      </c>
      <c r="BM51" s="220" t="s">
        <v>91</v>
      </c>
      <c r="BN51" s="219"/>
      <c r="BO51" s="220" t="s">
        <v>100</v>
      </c>
      <c r="BP51" s="220" t="s">
        <v>99</v>
      </c>
      <c r="BQ51" s="220" t="s">
        <v>91</v>
      </c>
    </row>
    <row r="52" spans="1:69" x14ac:dyDescent="0.2">
      <c r="A52" s="34"/>
      <c r="B52" s="34"/>
      <c r="C52" s="34"/>
      <c r="D52" s="43"/>
      <c r="E52" s="34"/>
      <c r="F52" s="69"/>
      <c r="G52" s="69"/>
      <c r="H52" s="33"/>
      <c r="I52" s="33"/>
      <c r="J52" s="33"/>
      <c r="K52" s="33"/>
      <c r="L52" s="34"/>
      <c r="M52" s="33"/>
      <c r="N52" s="33"/>
      <c r="O52" s="34"/>
      <c r="P52" s="34"/>
      <c r="Q52" s="34"/>
      <c r="R52" s="34"/>
      <c r="S52" s="34"/>
      <c r="T52" s="34"/>
      <c r="U52" s="34"/>
      <c r="V52" s="33"/>
      <c r="W52" s="33"/>
      <c r="X52" s="33"/>
      <c r="Y52" s="33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3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215" t="s">
        <v>109</v>
      </c>
      <c r="BG52" s="39">
        <f>+G5+G6+G9+G10</f>
        <v>2142843.8200000003</v>
      </c>
      <c r="BH52" s="39">
        <f>+M5+M6+M9+M10</f>
        <v>123739.39265964433</v>
      </c>
      <c r="BI52" s="39">
        <f>+BG52-BH52</f>
        <v>2019104.4273403559</v>
      </c>
      <c r="BK52" s="39">
        <f>+K5+K6+K9+K10</f>
        <v>2106226.4026730536</v>
      </c>
      <c r="BL52" s="39">
        <f>+O5+O6+O9+O10</f>
        <v>122697.27290283774</v>
      </c>
      <c r="BM52" s="39">
        <f>+BK52-BL52</f>
        <v>1983529.1297702158</v>
      </c>
      <c r="BO52" s="34">
        <f>+BK52-BG52</f>
        <v>-36617.417326946743</v>
      </c>
      <c r="BP52" s="34">
        <f t="shared" ref="BP52:BP53" si="54">+BL52-BH52</f>
        <v>-1042.1197568065982</v>
      </c>
      <c r="BQ52" s="34">
        <f t="shared" ref="BQ52:BQ53" si="55">+BM52-BI52</f>
        <v>-35575.297570140101</v>
      </c>
    </row>
    <row r="53" spans="1:69" x14ac:dyDescent="0.2">
      <c r="A53" s="34"/>
      <c r="B53" s="34"/>
      <c r="C53" s="34"/>
      <c r="D53" s="43"/>
      <c r="E53" s="34"/>
      <c r="F53" s="69"/>
      <c r="G53" s="69"/>
      <c r="H53" s="33"/>
      <c r="I53" s="33"/>
      <c r="J53" s="33"/>
      <c r="K53" s="33"/>
      <c r="L53" s="34"/>
      <c r="M53" s="33"/>
      <c r="N53" s="33"/>
      <c r="O53" s="34"/>
      <c r="P53" s="34"/>
      <c r="Q53" s="34"/>
      <c r="R53" s="34"/>
      <c r="S53" s="34"/>
      <c r="T53" s="34"/>
      <c r="U53" s="34"/>
      <c r="V53" s="33"/>
      <c r="W53" s="33"/>
      <c r="X53" s="33"/>
      <c r="Y53" s="33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3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216" t="s">
        <v>110</v>
      </c>
      <c r="BG53" s="39">
        <f>+V5+V6+V9+V10</f>
        <v>2161738</v>
      </c>
      <c r="BH53" s="39">
        <f>+AB5+AB6+AB9+AB10</f>
        <v>110632.97427397015</v>
      </c>
      <c r="BI53" s="39">
        <f>+BG53-BH53</f>
        <v>2051105.0257260299</v>
      </c>
      <c r="BK53" s="39">
        <f>+Z5+Z6+Z9+Z10</f>
        <v>2131337.5454595312</v>
      </c>
      <c r="BL53" s="39">
        <f>+AD5+AD6+AD9+AD10</f>
        <v>127402.30311478784</v>
      </c>
      <c r="BM53" s="39">
        <f>+BK53-BL53</f>
        <v>2003935.2423447433</v>
      </c>
      <c r="BO53" s="34">
        <f>+BK53-BG53</f>
        <v>-30400.454540468752</v>
      </c>
      <c r="BP53" s="34">
        <f t="shared" si="54"/>
        <v>16769.328840817689</v>
      </c>
      <c r="BQ53" s="34">
        <f t="shared" si="55"/>
        <v>-47169.783381286543</v>
      </c>
    </row>
    <row r="54" spans="1:69" x14ac:dyDescent="0.2">
      <c r="A54" s="34"/>
      <c r="B54" s="34"/>
      <c r="C54" s="34"/>
      <c r="D54" s="43"/>
      <c r="E54" s="34"/>
      <c r="F54" s="69"/>
      <c r="G54" s="69"/>
      <c r="H54" s="33"/>
      <c r="I54" s="33"/>
      <c r="J54" s="33"/>
      <c r="K54" s="33"/>
      <c r="L54" s="34"/>
      <c r="M54" s="33"/>
      <c r="N54" s="33"/>
      <c r="O54" s="34"/>
      <c r="P54" s="34"/>
      <c r="Q54" s="34"/>
      <c r="R54" s="34"/>
      <c r="S54" s="34"/>
      <c r="T54" s="34"/>
      <c r="U54" s="34"/>
      <c r="V54" s="33"/>
      <c r="W54" s="33"/>
      <c r="X54" s="33"/>
      <c r="Y54" s="33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3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9"/>
      <c r="BG54" s="108">
        <f>SUM(BG52:BG53)</f>
        <v>4304581.82</v>
      </c>
      <c r="BH54" s="108">
        <f t="shared" ref="BH54:BI54" si="56">SUM(BH52:BH53)</f>
        <v>234372.36693361448</v>
      </c>
      <c r="BI54" s="108">
        <f t="shared" si="56"/>
        <v>4070209.4530663858</v>
      </c>
      <c r="BK54" s="108">
        <f>SUM(BK52:BK53)</f>
        <v>4237563.9481325848</v>
      </c>
      <c r="BL54" s="108">
        <f t="shared" ref="BL54" si="57">SUM(BL52:BL53)</f>
        <v>250099.57601762557</v>
      </c>
      <c r="BM54" s="108">
        <f t="shared" ref="BM54" si="58">SUM(BM52:BM53)</f>
        <v>3987464.3721149592</v>
      </c>
      <c r="BO54" s="80">
        <f>SUM(BO52:BO53)</f>
        <v>-67017.871867415495</v>
      </c>
      <c r="BP54" s="80">
        <f t="shared" ref="BP54:BQ54" si="59">SUM(BP52:BP53)</f>
        <v>15727.20908401109</v>
      </c>
      <c r="BQ54" s="80">
        <f t="shared" si="59"/>
        <v>-82745.080951426644</v>
      </c>
    </row>
    <row r="55" spans="1:69" x14ac:dyDescent="0.2">
      <c r="A55" s="34"/>
      <c r="B55" s="34"/>
      <c r="C55" s="34"/>
      <c r="D55" s="43"/>
      <c r="E55" s="34"/>
      <c r="F55" s="69"/>
      <c r="G55" s="69"/>
      <c r="H55" s="33"/>
      <c r="I55" s="33"/>
      <c r="J55" s="33"/>
      <c r="K55" s="33"/>
      <c r="L55" s="34"/>
      <c r="M55" s="33"/>
      <c r="N55" s="33"/>
      <c r="O55" s="34"/>
      <c r="P55" s="34"/>
      <c r="Q55" s="34"/>
      <c r="R55" s="34"/>
      <c r="S55" s="34"/>
      <c r="T55" s="34"/>
      <c r="U55" s="34"/>
      <c r="V55" s="33"/>
      <c r="W55" s="33"/>
      <c r="X55" s="33"/>
      <c r="Y55" s="33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3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216" t="s">
        <v>111</v>
      </c>
      <c r="BG55" s="39">
        <f>+AR5+AR6+AR9+AR10</f>
        <v>307194.18</v>
      </c>
      <c r="BH55" s="39">
        <f>+AS5+AS6+AS9+AS10</f>
        <v>20264.899999999998</v>
      </c>
      <c r="BI55" s="39">
        <f>+BG55-BH55</f>
        <v>286929.27999999997</v>
      </c>
      <c r="BK55" s="39">
        <f>+AV5+AV6+AV9+AV10</f>
        <v>314600.87628501555</v>
      </c>
      <c r="BL55" s="39">
        <f>+AX5+AX6+AX9+AX10</f>
        <v>20658.754147236366</v>
      </c>
      <c r="BM55" s="39">
        <f>+BK55-BL55</f>
        <v>293942.1221377792</v>
      </c>
      <c r="BO55" s="34">
        <f>+BK55-BG55</f>
        <v>7406.6962850155542</v>
      </c>
      <c r="BP55" s="34">
        <f t="shared" ref="BP55" si="60">+BL55-BH55</f>
        <v>393.85414723636859</v>
      </c>
      <c r="BQ55" s="34">
        <f t="shared" ref="BQ55" si="61">+BM55-BI55</f>
        <v>7012.8421377792256</v>
      </c>
    </row>
    <row r="56" spans="1:69" ht="13.5" thickBot="1" x14ac:dyDescent="0.25">
      <c r="A56" s="34"/>
      <c r="B56" s="34"/>
      <c r="C56" s="34"/>
      <c r="D56" s="43"/>
      <c r="E56" s="34"/>
      <c r="F56" s="69"/>
      <c r="G56" s="69"/>
      <c r="H56" s="33"/>
      <c r="I56" s="33"/>
      <c r="J56" s="33"/>
      <c r="K56" s="33"/>
      <c r="L56" s="34"/>
      <c r="M56" s="33"/>
      <c r="N56" s="33"/>
      <c r="O56" s="34"/>
      <c r="P56" s="34"/>
      <c r="Q56" s="34"/>
      <c r="R56" s="34"/>
      <c r="S56" s="34"/>
      <c r="T56" s="34"/>
      <c r="U56" s="34"/>
      <c r="V56" s="33"/>
      <c r="W56" s="33"/>
      <c r="X56" s="33"/>
      <c r="Y56" s="33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3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9"/>
      <c r="BG56" s="217">
        <f>SUM(BG54:BG55)</f>
        <v>4611776</v>
      </c>
      <c r="BH56" s="217">
        <f t="shared" ref="BH56:BI56" si="62">SUM(BH54:BH55)</f>
        <v>254637.26693361448</v>
      </c>
      <c r="BI56" s="217">
        <f t="shared" si="62"/>
        <v>4357138.7330663856</v>
      </c>
      <c r="BK56" s="217">
        <f>SUM(BK54:BK55)</f>
        <v>4552164.8244176004</v>
      </c>
      <c r="BL56" s="217">
        <f t="shared" ref="BL56" si="63">SUM(BL54:BL55)</f>
        <v>270758.33016486192</v>
      </c>
      <c r="BM56" s="217">
        <f t="shared" ref="BM56" si="64">SUM(BM54:BM55)</f>
        <v>4281406.4942527385</v>
      </c>
      <c r="BO56" s="217">
        <f>SUM(BO54:BO55)</f>
        <v>-59611.175582399941</v>
      </c>
      <c r="BP56" s="217">
        <f t="shared" ref="BP56" si="65">SUM(BP54:BP55)</f>
        <v>16121.063231247459</v>
      </c>
      <c r="BQ56" s="217">
        <f t="shared" ref="BQ56" si="66">SUM(BQ54:BQ55)</f>
        <v>-75732.238813647418</v>
      </c>
    </row>
    <row r="57" spans="1:69" ht="13.5" thickTop="1" x14ac:dyDescent="0.2">
      <c r="A57" s="34"/>
      <c r="B57" s="34"/>
      <c r="C57" s="34"/>
      <c r="D57" s="43"/>
      <c r="E57" s="34"/>
      <c r="F57" s="69"/>
      <c r="G57" s="69"/>
      <c r="H57" s="33"/>
      <c r="I57" s="33"/>
      <c r="J57" s="33"/>
      <c r="K57" s="33"/>
      <c r="L57" s="34"/>
      <c r="M57" s="33"/>
      <c r="N57" s="33"/>
      <c r="O57" s="34"/>
      <c r="P57" s="34"/>
      <c r="Q57" s="34"/>
      <c r="R57" s="34"/>
      <c r="S57" s="34"/>
      <c r="T57" s="34"/>
      <c r="U57" s="34"/>
      <c r="V57" s="33"/>
      <c r="W57" s="33"/>
      <c r="X57" s="33"/>
      <c r="Y57" s="33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3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90"/>
      <c r="BG57" s="90"/>
      <c r="BH57" s="90"/>
      <c r="BI57" s="90"/>
      <c r="BJ57" s="92"/>
      <c r="BK57" s="92"/>
      <c r="BL57" s="92"/>
      <c r="BM57" s="92"/>
      <c r="BN57" s="92"/>
    </row>
    <row r="58" spans="1:69" x14ac:dyDescent="0.2">
      <c r="A58" s="34"/>
      <c r="B58" s="34"/>
      <c r="C58" s="34"/>
      <c r="D58" s="43"/>
      <c r="E58" s="34"/>
      <c r="F58" s="69"/>
      <c r="G58" s="69"/>
      <c r="H58" s="33"/>
      <c r="I58" s="33"/>
      <c r="J58" s="33"/>
      <c r="K58" s="33"/>
      <c r="L58" s="34"/>
      <c r="M58" s="33"/>
      <c r="N58" s="33"/>
      <c r="O58" s="34"/>
      <c r="P58" s="34"/>
      <c r="Q58" s="34"/>
      <c r="R58" s="34"/>
      <c r="S58" s="34"/>
      <c r="T58" s="34"/>
      <c r="U58" s="34"/>
      <c r="V58" s="33"/>
      <c r="W58" s="33"/>
      <c r="X58" s="33"/>
      <c r="Y58" s="33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3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89"/>
      <c r="BG58" s="89"/>
      <c r="BH58" s="89" t="s">
        <v>93</v>
      </c>
      <c r="BI58" s="89"/>
      <c r="BJ58" s="92"/>
      <c r="BK58" s="92"/>
      <c r="BL58" s="92" t="s">
        <v>107</v>
      </c>
      <c r="BM58" s="92"/>
      <c r="BN58" s="92"/>
      <c r="BO58" s="92"/>
      <c r="BP58" s="92" t="s">
        <v>108</v>
      </c>
      <c r="BQ58" s="92"/>
    </row>
    <row r="59" spans="1:69" x14ac:dyDescent="0.2">
      <c r="A59" s="34"/>
      <c r="B59" s="34"/>
      <c r="C59" s="34"/>
      <c r="D59" s="43"/>
      <c r="E59" s="34"/>
      <c r="F59" s="69"/>
      <c r="G59" s="69"/>
      <c r="H59" s="33"/>
      <c r="I59" s="33"/>
      <c r="J59" s="33"/>
      <c r="K59" s="33"/>
      <c r="L59" s="34"/>
      <c r="M59" s="33"/>
      <c r="N59" s="33"/>
      <c r="O59" s="34"/>
      <c r="P59" s="34"/>
      <c r="Q59" s="34"/>
      <c r="R59" s="34"/>
      <c r="S59" s="34"/>
      <c r="T59" s="34"/>
      <c r="U59" s="34"/>
      <c r="V59" s="33"/>
      <c r="W59" s="33"/>
      <c r="X59" s="33"/>
      <c r="Y59" s="33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3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219" t="s">
        <v>127</v>
      </c>
      <c r="BG59" s="220" t="s">
        <v>100</v>
      </c>
      <c r="BH59" s="220" t="s">
        <v>99</v>
      </c>
      <c r="BI59" s="220" t="s">
        <v>91</v>
      </c>
      <c r="BJ59" s="219"/>
      <c r="BK59" s="220" t="s">
        <v>100</v>
      </c>
      <c r="BL59" s="220" t="s">
        <v>99</v>
      </c>
      <c r="BM59" s="220" t="s">
        <v>91</v>
      </c>
      <c r="BN59" s="219"/>
      <c r="BO59" s="220" t="s">
        <v>100</v>
      </c>
      <c r="BP59" s="220" t="s">
        <v>99</v>
      </c>
      <c r="BQ59" s="220" t="s">
        <v>91</v>
      </c>
    </row>
    <row r="60" spans="1:69" x14ac:dyDescent="0.2">
      <c r="A60" s="34"/>
      <c r="B60" s="34"/>
      <c r="C60" s="34"/>
      <c r="D60" s="43"/>
      <c r="E60" s="34"/>
      <c r="F60" s="69"/>
      <c r="G60" s="69"/>
      <c r="H60" s="33"/>
      <c r="I60" s="33"/>
      <c r="J60" s="33"/>
      <c r="K60" s="33"/>
      <c r="L60" s="34"/>
      <c r="M60" s="33"/>
      <c r="N60" s="33"/>
      <c r="O60" s="34"/>
      <c r="P60" s="34"/>
      <c r="Q60" s="34"/>
      <c r="R60" s="34"/>
      <c r="S60" s="34"/>
      <c r="T60" s="34"/>
      <c r="U60" s="34"/>
      <c r="V60" s="33"/>
      <c r="W60" s="33"/>
      <c r="X60" s="33"/>
      <c r="Y60" s="33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3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215" t="s">
        <v>109</v>
      </c>
      <c r="BG60" s="39">
        <f>SUM(G7:G8)+SUM(G11:G21)</f>
        <v>45482304.5</v>
      </c>
      <c r="BH60" s="39">
        <f>SUM(M7:M8)+SUM(M9:M21)</f>
        <v>16250504.620000001</v>
      </c>
      <c r="BI60" s="39">
        <f>+BG60-BH60</f>
        <v>29231799.879999999</v>
      </c>
      <c r="BK60" s="39">
        <f>SUM(K7:K8)+SUM(K11:K21)</f>
        <v>46501773.26918897</v>
      </c>
      <c r="BL60" s="39">
        <f>SUM(O7:O8)+SUM(O11:O21)</f>
        <v>16037120.692027045</v>
      </c>
      <c r="BM60" s="39">
        <f>+BK60-BL60</f>
        <v>30464652.577161923</v>
      </c>
      <c r="BO60" s="34">
        <f>+BK60-BG60</f>
        <v>1019468.7691889703</v>
      </c>
      <c r="BP60" s="34">
        <f t="shared" ref="BP60:BP61" si="67">+BL60-BH60</f>
        <v>-213383.92797295563</v>
      </c>
      <c r="BQ60" s="34">
        <f t="shared" ref="BQ60:BQ61" si="68">+BM60-BI60</f>
        <v>1232852.6971619241</v>
      </c>
    </row>
    <row r="61" spans="1:69" x14ac:dyDescent="0.2">
      <c r="A61" s="34"/>
      <c r="B61" s="34"/>
      <c r="C61" s="34"/>
      <c r="D61" s="43"/>
      <c r="E61" s="34"/>
      <c r="F61" s="33"/>
      <c r="G61" s="33"/>
      <c r="H61" s="33"/>
      <c r="I61" s="33"/>
      <c r="J61" s="33"/>
      <c r="K61" s="33"/>
      <c r="L61" s="34"/>
      <c r="M61" s="33"/>
      <c r="N61" s="33"/>
      <c r="O61" s="34"/>
      <c r="P61" s="34"/>
      <c r="Q61" s="34"/>
      <c r="R61" s="34"/>
      <c r="S61" s="34"/>
      <c r="T61" s="34"/>
      <c r="U61" s="34"/>
      <c r="V61" s="33"/>
      <c r="W61" s="33"/>
      <c r="X61" s="33"/>
      <c r="Y61" s="33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3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216" t="s">
        <v>110</v>
      </c>
      <c r="BG61" s="39">
        <f>SUM(V7:V8)+SUM(V11:V21)</f>
        <v>41754425.5</v>
      </c>
      <c r="BH61" s="39">
        <f>+SUM(AB7:AB8)+SUM(AB11:AB21)</f>
        <v>15135203.859999999</v>
      </c>
      <c r="BI61" s="39">
        <f>+BG61-BH61</f>
        <v>26619221.640000001</v>
      </c>
      <c r="BK61" s="39">
        <f>SUM(Z7:Z8)+SUM(Z11:Z21)</f>
        <v>42737748.021669477</v>
      </c>
      <c r="BL61" s="39">
        <f>SUM(AD7:AD8)+SUM(AD11:AD21)</f>
        <v>14716911.279868556</v>
      </c>
      <c r="BM61" s="39">
        <f>+BK61-BL61</f>
        <v>28020836.741800919</v>
      </c>
      <c r="BO61" s="34">
        <f>+BK61-BG61</f>
        <v>983322.52166947722</v>
      </c>
      <c r="BP61" s="34">
        <f t="shared" si="67"/>
        <v>-418292.58013144322</v>
      </c>
      <c r="BQ61" s="34">
        <f t="shared" si="68"/>
        <v>1401615.1018009186</v>
      </c>
    </row>
    <row r="62" spans="1:69" x14ac:dyDescent="0.2">
      <c r="A62" s="34"/>
      <c r="B62" s="34"/>
      <c r="C62" s="34"/>
      <c r="D62" s="43"/>
      <c r="E62" s="43"/>
      <c r="F62" s="33"/>
      <c r="G62" s="33"/>
      <c r="H62" s="33"/>
      <c r="I62" s="33"/>
      <c r="J62" s="33"/>
      <c r="K62" s="33"/>
      <c r="L62" s="34"/>
      <c r="M62" s="33"/>
      <c r="N62" s="33"/>
      <c r="O62" s="34"/>
      <c r="P62" s="34"/>
      <c r="Q62" s="34"/>
      <c r="R62" s="34"/>
      <c r="S62" s="34"/>
      <c r="T62" s="34"/>
      <c r="U62" s="34"/>
      <c r="V62" s="33"/>
      <c r="W62" s="33"/>
      <c r="X62" s="33"/>
      <c r="Y62" s="33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116"/>
      <c r="BE62" s="34"/>
      <c r="BF62" s="39"/>
      <c r="BG62" s="108">
        <f>SUM(BG60:BG61)</f>
        <v>87236730</v>
      </c>
      <c r="BH62" s="108">
        <f t="shared" ref="BH62" si="69">SUM(BH60:BH61)</f>
        <v>31385708.48</v>
      </c>
      <c r="BI62" s="108">
        <f t="shared" ref="BI62" si="70">SUM(BI60:BI61)</f>
        <v>55851021.519999996</v>
      </c>
      <c r="BK62" s="108">
        <f>SUM(BK60:BK61)</f>
        <v>89239521.290858448</v>
      </c>
      <c r="BL62" s="108">
        <f t="shared" ref="BL62" si="71">SUM(BL60:BL61)</f>
        <v>30754031.971895602</v>
      </c>
      <c r="BM62" s="108">
        <f t="shared" ref="BM62" si="72">SUM(BM60:BM61)</f>
        <v>58485489.318962842</v>
      </c>
      <c r="BO62" s="80">
        <f>SUM(BO60:BO61)</f>
        <v>2002791.2908584476</v>
      </c>
      <c r="BP62" s="80">
        <f t="shared" ref="BP62" si="73">SUM(BP60:BP61)</f>
        <v>-631676.50810439885</v>
      </c>
      <c r="BQ62" s="80">
        <f t="shared" ref="BQ62" si="74">SUM(BQ60:BQ61)</f>
        <v>2634467.7989628427</v>
      </c>
    </row>
    <row r="63" spans="1:69" ht="12.75" customHeight="1" x14ac:dyDescent="0.2">
      <c r="A63" s="34"/>
      <c r="B63" s="34"/>
      <c r="C63" s="34"/>
      <c r="D63" s="43"/>
      <c r="E63" s="34"/>
      <c r="F63" s="33"/>
      <c r="G63" s="33"/>
      <c r="H63" s="33"/>
      <c r="I63" s="33"/>
      <c r="J63" s="33"/>
      <c r="K63" s="33"/>
      <c r="L63" s="34"/>
      <c r="M63" s="33"/>
      <c r="N63" s="33"/>
      <c r="O63" s="34"/>
      <c r="P63" s="34"/>
      <c r="Q63" s="34"/>
      <c r="R63" s="34"/>
      <c r="S63" s="34"/>
      <c r="T63" s="34"/>
      <c r="U63" s="34"/>
      <c r="V63" s="33"/>
      <c r="W63" s="33"/>
      <c r="X63" s="33"/>
      <c r="Y63" s="33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116"/>
      <c r="BE63" s="34"/>
      <c r="BF63" s="216" t="s">
        <v>111</v>
      </c>
      <c r="BG63" s="39">
        <f>SUM(AR7:AR8)+SUM(AR11:AR21)</f>
        <v>4467214.46</v>
      </c>
      <c r="BH63" s="39">
        <f>SUM(AS7:AS8)+SUM(AS11:AS21)</f>
        <v>342720.85000000003</v>
      </c>
      <c r="BI63" s="39">
        <f>+BG63-BH63</f>
        <v>4124493.61</v>
      </c>
      <c r="BK63" s="39">
        <f>SUM(AV7:AV8)+SUM(AV11:AV21)</f>
        <v>4641497.827350853</v>
      </c>
      <c r="BL63" s="39">
        <f>SUM(AX7:AX8)+SUM(AX11:AX21)</f>
        <v>358592.31756940472</v>
      </c>
      <c r="BM63" s="39">
        <f>+BK63-BL63</f>
        <v>4282905.5097814482</v>
      </c>
      <c r="BO63" s="34">
        <f>+BK63-BG63</f>
        <v>174283.36735085305</v>
      </c>
      <c r="BP63" s="34">
        <f>+BL63-BH63</f>
        <v>15871.467569404689</v>
      </c>
      <c r="BQ63" s="34">
        <f t="shared" ref="BQ63" si="75">+BM63-BI63</f>
        <v>158411.8997814483</v>
      </c>
    </row>
    <row r="64" spans="1:69" ht="12.75" customHeight="1" thickBot="1" x14ac:dyDescent="0.25">
      <c r="A64" s="34"/>
      <c r="B64" s="34"/>
      <c r="C64" s="34"/>
      <c r="D64" s="43"/>
      <c r="E64" s="34"/>
      <c r="F64" s="33"/>
      <c r="G64" s="33"/>
      <c r="H64" s="33"/>
      <c r="I64" s="33"/>
      <c r="J64" s="33"/>
      <c r="K64" s="33"/>
      <c r="L64" s="34"/>
      <c r="M64" s="33"/>
      <c r="N64" s="33"/>
      <c r="O64" s="34"/>
      <c r="P64" s="34"/>
      <c r="Q64" s="34"/>
      <c r="R64" s="34"/>
      <c r="S64" s="34"/>
      <c r="T64" s="34"/>
      <c r="U64" s="34"/>
      <c r="V64" s="33"/>
      <c r="W64" s="33"/>
      <c r="X64" s="33"/>
      <c r="Y64" s="33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116"/>
      <c r="BE64" s="34"/>
      <c r="BF64" s="39"/>
      <c r="BG64" s="217">
        <f>SUM(BG62:BG63)</f>
        <v>91703944.459999993</v>
      </c>
      <c r="BH64" s="217">
        <f t="shared" ref="BH64" si="76">SUM(BH62:BH63)</f>
        <v>31728429.330000002</v>
      </c>
      <c r="BI64" s="217">
        <f t="shared" ref="BI64" si="77">SUM(BI62:BI63)</f>
        <v>59975515.129999995</v>
      </c>
      <c r="BK64" s="217">
        <f>SUM(BK62:BK63)</f>
        <v>93881019.118209302</v>
      </c>
      <c r="BL64" s="217">
        <f t="shared" ref="BL64" si="78">SUM(BL62:BL63)</f>
        <v>31112624.289465006</v>
      </c>
      <c r="BM64" s="217">
        <f t="shared" ref="BM64" si="79">SUM(BM62:BM63)</f>
        <v>62768394.828744292</v>
      </c>
      <c r="BO64" s="217">
        <f>SUM(BO62:BO63)</f>
        <v>2177074.6582093006</v>
      </c>
      <c r="BP64" s="217">
        <f t="shared" ref="BP64" si="80">SUM(BP62:BP63)</f>
        <v>-615805.0405349941</v>
      </c>
      <c r="BQ64" s="217">
        <f t="shared" ref="BQ64" si="81">SUM(BQ62:BQ63)</f>
        <v>2792879.698744291</v>
      </c>
    </row>
    <row r="65" spans="1:66" ht="12.75" customHeight="1" thickTop="1" x14ac:dyDescent="0.2">
      <c r="A65" s="34"/>
      <c r="B65" s="34"/>
      <c r="C65" s="34"/>
      <c r="D65" s="43"/>
      <c r="E65" s="34"/>
      <c r="F65" s="33"/>
      <c r="G65" s="33"/>
      <c r="H65" s="33"/>
      <c r="I65" s="33"/>
      <c r="J65" s="33"/>
      <c r="K65" s="33"/>
      <c r="L65" s="34"/>
      <c r="M65" s="33"/>
      <c r="N65" s="33"/>
      <c r="O65" s="34"/>
      <c r="P65" s="34"/>
      <c r="Q65" s="34"/>
      <c r="R65" s="34"/>
      <c r="S65" s="34"/>
      <c r="T65" s="34"/>
      <c r="U65" s="34"/>
      <c r="V65" s="33"/>
      <c r="W65" s="33"/>
      <c r="X65" s="33"/>
      <c r="Y65" s="33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116"/>
      <c r="BE65" s="34"/>
      <c r="BF65" s="90"/>
      <c r="BG65" s="89"/>
      <c r="BH65" s="89"/>
      <c r="BI65" s="89"/>
      <c r="BJ65" s="92"/>
      <c r="BK65" s="91"/>
      <c r="BL65" s="91"/>
      <c r="BM65" s="91"/>
      <c r="BN65" s="92"/>
    </row>
    <row r="66" spans="1:66" ht="12.75" customHeight="1" x14ac:dyDescent="0.2">
      <c r="A66" s="34"/>
      <c r="B66" s="34"/>
      <c r="C66" s="34"/>
      <c r="D66" s="43"/>
      <c r="E66" s="34"/>
      <c r="F66" s="33"/>
      <c r="G66" s="33"/>
      <c r="H66" s="33"/>
      <c r="I66" s="33"/>
      <c r="J66" s="33"/>
      <c r="K66" s="33"/>
      <c r="L66" s="34"/>
      <c r="M66" s="33"/>
      <c r="N66" s="33"/>
      <c r="O66" s="34"/>
      <c r="P66" s="34"/>
      <c r="Q66" s="34"/>
      <c r="R66" s="34"/>
      <c r="S66" s="34"/>
      <c r="T66" s="34"/>
      <c r="U66" s="34"/>
      <c r="V66" s="33"/>
      <c r="W66" s="33"/>
      <c r="X66" s="33"/>
      <c r="Y66" s="33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116"/>
      <c r="BE66" s="34"/>
      <c r="BF66" s="90"/>
      <c r="BG66" s="89"/>
      <c r="BH66" s="89"/>
      <c r="BI66" s="89"/>
      <c r="BJ66" s="92"/>
      <c r="BK66" s="91"/>
      <c r="BL66" s="91"/>
      <c r="BM66" s="91"/>
      <c r="BN66" s="92"/>
    </row>
    <row r="67" spans="1:66" ht="12.75" customHeight="1" x14ac:dyDescent="0.2">
      <c r="A67" s="34"/>
      <c r="B67" s="34"/>
      <c r="C67" s="34"/>
      <c r="D67" s="43"/>
      <c r="E67" s="34"/>
      <c r="F67" s="33"/>
      <c r="G67" s="33"/>
      <c r="H67" s="33"/>
      <c r="I67" s="33"/>
      <c r="J67" s="33"/>
      <c r="K67" s="33"/>
      <c r="L67" s="34"/>
      <c r="M67" s="33"/>
      <c r="N67" s="33"/>
      <c r="O67" s="34"/>
      <c r="P67" s="34"/>
      <c r="Q67" s="34"/>
      <c r="R67" s="34"/>
      <c r="S67" s="34"/>
      <c r="T67" s="34"/>
      <c r="U67" s="34"/>
      <c r="V67" s="33"/>
      <c r="W67" s="33"/>
      <c r="X67" s="33"/>
      <c r="Y67" s="33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116"/>
      <c r="BE67" s="34"/>
      <c r="BF67" s="89"/>
      <c r="BG67" s="89"/>
      <c r="BH67" s="89"/>
      <c r="BI67" s="89"/>
      <c r="BJ67" s="92"/>
      <c r="BK67" s="91"/>
      <c r="BL67" s="91"/>
      <c r="BM67" s="91"/>
      <c r="BN67" s="92"/>
    </row>
    <row r="68" spans="1:66" ht="12.75" customHeight="1" x14ac:dyDescent="0.2">
      <c r="A68" s="34"/>
      <c r="B68" s="34"/>
      <c r="C68" s="34"/>
      <c r="D68" s="43"/>
      <c r="E68" s="34"/>
      <c r="F68" s="33"/>
      <c r="G68" s="33"/>
      <c r="H68" s="33"/>
      <c r="I68" s="33"/>
      <c r="J68" s="33"/>
      <c r="K68" s="33"/>
      <c r="L68" s="34"/>
      <c r="M68" s="33"/>
      <c r="N68" s="33"/>
      <c r="O68" s="34"/>
      <c r="P68" s="34"/>
      <c r="Q68" s="34"/>
      <c r="R68" s="34"/>
      <c r="S68" s="34"/>
      <c r="T68" s="34"/>
      <c r="U68" s="34"/>
      <c r="V68" s="33"/>
      <c r="W68" s="33"/>
      <c r="X68" s="33"/>
      <c r="Y68" s="33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116"/>
      <c r="BE68" s="34"/>
      <c r="BF68" s="90"/>
      <c r="BJ68" s="92"/>
      <c r="BK68" s="91"/>
      <c r="BL68" s="91"/>
      <c r="BM68" s="91"/>
      <c r="BN68" s="92"/>
    </row>
    <row r="69" spans="1:66" ht="12.75" customHeight="1" x14ac:dyDescent="0.2">
      <c r="A69" s="34"/>
      <c r="B69" s="34"/>
      <c r="C69" s="34"/>
      <c r="D69" s="43"/>
      <c r="E69" s="34"/>
      <c r="F69" s="33"/>
      <c r="G69" s="33"/>
      <c r="H69" s="33"/>
      <c r="I69" s="33"/>
      <c r="J69" s="33"/>
      <c r="K69" s="33"/>
      <c r="L69" s="34"/>
      <c r="M69" s="33"/>
      <c r="N69" s="33"/>
      <c r="O69" s="34"/>
      <c r="P69" s="34"/>
      <c r="Q69" s="34"/>
      <c r="R69" s="34"/>
      <c r="S69" s="34"/>
      <c r="T69" s="34"/>
      <c r="U69" s="34"/>
      <c r="V69" s="33"/>
      <c r="W69" s="33"/>
      <c r="X69" s="33"/>
      <c r="Y69" s="33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116"/>
      <c r="BE69" s="34"/>
      <c r="BF69" s="89"/>
      <c r="BI69" s="90"/>
      <c r="BJ69" s="92"/>
      <c r="BK69" s="91"/>
      <c r="BL69" s="91"/>
      <c r="BM69" s="91"/>
      <c r="BN69" s="92"/>
    </row>
    <row r="70" spans="1:66" ht="12.75" customHeight="1" x14ac:dyDescent="0.2">
      <c r="A70" s="34"/>
      <c r="B70" s="34"/>
      <c r="C70" s="34"/>
      <c r="D70" s="43"/>
      <c r="E70" s="34"/>
      <c r="F70" s="33"/>
      <c r="G70" s="33"/>
      <c r="H70" s="33"/>
      <c r="I70" s="33"/>
      <c r="J70" s="33"/>
      <c r="K70" s="33"/>
      <c r="L70" s="34"/>
      <c r="M70" s="33"/>
      <c r="N70" s="33"/>
      <c r="O70" s="34"/>
      <c r="P70" s="34"/>
      <c r="Q70" s="34"/>
      <c r="R70" s="34"/>
      <c r="S70" s="34"/>
      <c r="T70" s="34"/>
      <c r="U70" s="34"/>
      <c r="V70" s="33"/>
      <c r="W70" s="33"/>
      <c r="X70" s="33"/>
      <c r="Y70" s="33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116"/>
      <c r="BE70" s="34"/>
      <c r="BF70" s="89"/>
      <c r="BI70" s="89"/>
      <c r="BJ70" s="92"/>
      <c r="BK70" s="91"/>
      <c r="BL70" s="91"/>
      <c r="BM70" s="91"/>
      <c r="BN70" s="92"/>
    </row>
    <row r="71" spans="1:66" ht="12.75" customHeight="1" x14ac:dyDescent="0.2">
      <c r="A71" s="34"/>
      <c r="B71" s="34"/>
      <c r="C71" s="34"/>
      <c r="D71" s="43"/>
      <c r="E71" s="34"/>
      <c r="F71" s="33"/>
      <c r="G71" s="33"/>
      <c r="H71" s="33"/>
      <c r="I71" s="33"/>
      <c r="J71" s="33"/>
      <c r="K71" s="33"/>
      <c r="L71" s="34"/>
      <c r="M71" s="33"/>
      <c r="N71" s="33"/>
      <c r="O71" s="34"/>
      <c r="P71" s="34"/>
      <c r="Q71" s="34"/>
      <c r="R71" s="34"/>
      <c r="S71" s="34"/>
      <c r="T71" s="34"/>
      <c r="U71" s="34"/>
      <c r="V71" s="33"/>
      <c r="W71" s="33"/>
      <c r="X71" s="33"/>
      <c r="Y71" s="33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116"/>
      <c r="BE71" s="34"/>
      <c r="BF71" s="89"/>
      <c r="BI71" s="90"/>
      <c r="BJ71" s="92"/>
      <c r="BK71" s="91"/>
      <c r="BL71" s="91"/>
      <c r="BM71" s="91"/>
      <c r="BN71" s="92"/>
    </row>
    <row r="72" spans="1:66" ht="12.75" customHeight="1" x14ac:dyDescent="0.2">
      <c r="A72" s="34"/>
      <c r="B72" s="34"/>
      <c r="C72" s="34"/>
      <c r="D72" s="43"/>
      <c r="E72" s="34"/>
      <c r="F72" s="33"/>
      <c r="G72" s="33"/>
      <c r="H72" s="33"/>
      <c r="I72" s="33"/>
      <c r="J72" s="33"/>
      <c r="K72" s="33"/>
      <c r="L72" s="34"/>
      <c r="M72" s="33"/>
      <c r="N72" s="33"/>
      <c r="O72" s="34"/>
      <c r="P72" s="34"/>
      <c r="Q72" s="34"/>
      <c r="R72" s="34"/>
      <c r="S72" s="34"/>
      <c r="T72" s="34"/>
      <c r="U72" s="34"/>
      <c r="V72" s="33"/>
      <c r="W72" s="33"/>
      <c r="X72" s="33"/>
      <c r="Y72" s="33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116"/>
      <c r="BE72" s="34"/>
      <c r="BF72" s="89"/>
      <c r="BJ72" s="92"/>
      <c r="BK72" s="91"/>
      <c r="BL72" s="91"/>
      <c r="BM72" s="91"/>
      <c r="BN72" s="92"/>
    </row>
    <row r="73" spans="1:66" ht="12.75" customHeight="1" x14ac:dyDescent="0.2">
      <c r="A73" s="34"/>
      <c r="B73" s="34"/>
      <c r="C73" s="34"/>
      <c r="D73" s="43"/>
      <c r="E73" s="34"/>
      <c r="F73" s="33"/>
      <c r="G73" s="33"/>
      <c r="H73" s="33"/>
      <c r="I73" s="33"/>
      <c r="J73" s="33"/>
      <c r="K73" s="33"/>
      <c r="L73" s="34"/>
      <c r="M73" s="33"/>
      <c r="N73" s="33"/>
      <c r="O73" s="34"/>
      <c r="P73" s="34"/>
      <c r="Q73" s="34"/>
      <c r="R73" s="34"/>
      <c r="S73" s="34"/>
      <c r="T73" s="34"/>
      <c r="U73" s="34"/>
      <c r="V73" s="33"/>
      <c r="W73" s="33"/>
      <c r="X73" s="33"/>
      <c r="Y73" s="33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116"/>
      <c r="BE73" s="34"/>
      <c r="BF73" s="89"/>
      <c r="BJ73" s="92"/>
      <c r="BK73" s="91"/>
      <c r="BL73" s="91"/>
      <c r="BM73" s="91"/>
      <c r="BN73" s="92"/>
    </row>
    <row r="74" spans="1:66" ht="12.75" customHeight="1" x14ac:dyDescent="0.2">
      <c r="A74" s="34"/>
      <c r="B74" s="34"/>
      <c r="C74" s="34"/>
      <c r="D74" s="43"/>
      <c r="E74" s="34"/>
      <c r="F74" s="33"/>
      <c r="G74" s="33"/>
      <c r="H74" s="33"/>
      <c r="I74" s="33"/>
      <c r="J74" s="33"/>
      <c r="K74" s="33"/>
      <c r="L74" s="34"/>
      <c r="M74" s="33"/>
      <c r="N74" s="33"/>
      <c r="O74" s="34"/>
      <c r="P74" s="34"/>
      <c r="Q74" s="34"/>
      <c r="R74" s="34"/>
      <c r="S74" s="34"/>
      <c r="T74" s="34"/>
      <c r="U74" s="34"/>
      <c r="V74" s="33"/>
      <c r="W74" s="33"/>
      <c r="X74" s="33"/>
      <c r="Y74" s="33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116"/>
      <c r="BE74" s="34"/>
      <c r="BF74" s="89"/>
      <c r="BI74" s="90"/>
      <c r="BJ74" s="92"/>
      <c r="BK74" s="91"/>
      <c r="BL74" s="91"/>
      <c r="BM74" s="91"/>
      <c r="BN74" s="92"/>
    </row>
    <row r="75" spans="1:66" ht="12.75" customHeight="1" x14ac:dyDescent="0.2">
      <c r="A75" s="34"/>
      <c r="B75" s="34"/>
      <c r="C75" s="34"/>
      <c r="D75" s="43"/>
      <c r="E75" s="34"/>
      <c r="F75" s="33"/>
      <c r="G75" s="33"/>
      <c r="H75" s="33"/>
      <c r="I75" s="33"/>
      <c r="J75" s="33"/>
      <c r="K75" s="33"/>
      <c r="L75" s="34"/>
      <c r="M75" s="33"/>
      <c r="N75" s="33"/>
      <c r="O75" s="34"/>
      <c r="P75" s="34"/>
      <c r="Q75" s="34"/>
      <c r="R75" s="34"/>
      <c r="S75" s="34"/>
      <c r="T75" s="34"/>
      <c r="U75" s="34"/>
      <c r="V75" s="33"/>
      <c r="W75" s="33"/>
      <c r="X75" s="33"/>
      <c r="Y75" s="33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116"/>
      <c r="BE75" s="34"/>
      <c r="BF75" s="89"/>
      <c r="BI75" s="89"/>
      <c r="BJ75" s="92"/>
      <c r="BK75" s="91"/>
      <c r="BL75" s="91"/>
      <c r="BM75" s="91"/>
      <c r="BN75" s="92"/>
    </row>
    <row r="76" spans="1:66" ht="12.75" customHeight="1" x14ac:dyDescent="0.2">
      <c r="A76" s="34"/>
      <c r="B76" s="34"/>
      <c r="C76" s="34"/>
      <c r="D76" s="43"/>
      <c r="E76" s="34"/>
      <c r="F76" s="33"/>
      <c r="G76" s="33"/>
      <c r="H76" s="33"/>
      <c r="I76" s="33"/>
      <c r="J76" s="33"/>
      <c r="K76" s="33"/>
      <c r="L76" s="34"/>
      <c r="M76" s="33"/>
      <c r="N76" s="33"/>
      <c r="O76" s="34"/>
      <c r="P76" s="34"/>
      <c r="Q76" s="34"/>
      <c r="R76" s="34"/>
      <c r="S76" s="34"/>
      <c r="T76" s="34"/>
      <c r="U76" s="34"/>
      <c r="V76" s="33"/>
      <c r="W76" s="33"/>
      <c r="X76" s="33"/>
      <c r="Y76" s="33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116"/>
      <c r="BE76" s="34"/>
      <c r="BG76" s="90"/>
      <c r="BH76" s="90"/>
    </row>
    <row r="77" spans="1:66" ht="12.75" customHeight="1" x14ac:dyDescent="0.2">
      <c r="A77" s="34"/>
      <c r="B77" s="34"/>
      <c r="C77" s="34"/>
      <c r="D77" s="43"/>
      <c r="E77" s="34"/>
      <c r="F77" s="33"/>
      <c r="G77" s="33"/>
      <c r="H77" s="33"/>
      <c r="I77" s="33"/>
      <c r="J77" s="33"/>
      <c r="K77" s="33"/>
      <c r="L77" s="34"/>
      <c r="M77" s="33"/>
      <c r="N77" s="33"/>
      <c r="O77" s="34"/>
      <c r="P77" s="34"/>
      <c r="Q77" s="34"/>
      <c r="R77" s="34"/>
      <c r="S77" s="34"/>
      <c r="T77" s="34"/>
      <c r="U77" s="34"/>
      <c r="V77" s="33"/>
      <c r="W77" s="33"/>
      <c r="X77" s="33"/>
      <c r="Y77" s="33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116"/>
      <c r="BE77" s="34"/>
      <c r="BI77" s="89"/>
    </row>
    <row r="78" spans="1:66" ht="12.75" customHeight="1" x14ac:dyDescent="0.2">
      <c r="A78" s="34"/>
      <c r="B78" s="34"/>
      <c r="C78" s="34"/>
      <c r="D78" s="43"/>
      <c r="E78" s="34"/>
      <c r="F78" s="33"/>
      <c r="G78" s="33"/>
      <c r="H78" s="33"/>
      <c r="I78" s="33"/>
      <c r="J78" s="33"/>
      <c r="K78" s="33"/>
      <c r="L78" s="34"/>
      <c r="M78" s="33"/>
      <c r="N78" s="33"/>
      <c r="O78" s="34"/>
      <c r="P78" s="34"/>
      <c r="Q78" s="34"/>
      <c r="R78" s="34"/>
      <c r="S78" s="34"/>
      <c r="T78" s="34"/>
      <c r="U78" s="34"/>
      <c r="V78" s="33"/>
      <c r="W78" s="33"/>
      <c r="X78" s="33"/>
      <c r="Y78" s="33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116"/>
      <c r="BE78" s="34"/>
      <c r="BI78" s="89"/>
    </row>
    <row r="79" spans="1:66" ht="12.75" customHeight="1" x14ac:dyDescent="0.2">
      <c r="A79" s="34"/>
      <c r="B79" s="34"/>
      <c r="C79" s="34"/>
      <c r="D79" s="43"/>
      <c r="E79" s="34"/>
      <c r="F79" s="33"/>
      <c r="G79" s="33"/>
      <c r="H79" s="33"/>
      <c r="I79" s="33"/>
      <c r="J79" s="33"/>
      <c r="K79" s="33"/>
      <c r="L79" s="34"/>
      <c r="M79" s="33"/>
      <c r="N79" s="33"/>
      <c r="O79" s="34"/>
      <c r="P79" s="34"/>
      <c r="Q79" s="34"/>
      <c r="R79" s="34"/>
      <c r="S79" s="34"/>
      <c r="T79" s="34"/>
      <c r="U79" s="34"/>
      <c r="V79" s="33"/>
      <c r="W79" s="33"/>
      <c r="X79" s="33"/>
      <c r="Y79" s="33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116"/>
      <c r="BE79" s="34"/>
      <c r="BI79" s="89"/>
    </row>
    <row r="80" spans="1:66" ht="12.75" customHeight="1" x14ac:dyDescent="0.2">
      <c r="A80" s="34"/>
      <c r="B80" s="34"/>
      <c r="C80" s="34"/>
      <c r="D80" s="43"/>
      <c r="E80" s="34"/>
      <c r="F80" s="33"/>
      <c r="G80" s="33"/>
      <c r="H80" s="33"/>
      <c r="I80" s="33"/>
      <c r="J80" s="33"/>
      <c r="K80" s="33"/>
      <c r="L80" s="34"/>
      <c r="M80" s="33"/>
      <c r="N80" s="33"/>
      <c r="O80" s="34"/>
      <c r="P80" s="34"/>
      <c r="Q80" s="34"/>
      <c r="R80" s="34"/>
      <c r="S80" s="34"/>
      <c r="T80" s="34"/>
      <c r="U80" s="34"/>
      <c r="V80" s="33"/>
      <c r="W80" s="33"/>
      <c r="X80" s="33"/>
      <c r="Y80" s="33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116"/>
      <c r="BE80" s="34"/>
      <c r="BI80" s="89"/>
    </row>
    <row r="81" spans="1:61" ht="12.75" customHeight="1" x14ac:dyDescent="0.2">
      <c r="A81" s="34"/>
      <c r="B81" s="34"/>
      <c r="C81" s="34"/>
      <c r="D81" s="43"/>
      <c r="E81" s="34"/>
      <c r="F81" s="33"/>
      <c r="G81" s="33"/>
      <c r="H81" s="33"/>
      <c r="I81" s="33"/>
      <c r="J81" s="33"/>
      <c r="K81" s="33"/>
      <c r="L81" s="34"/>
      <c r="M81" s="33"/>
      <c r="N81" s="33"/>
      <c r="O81" s="34"/>
      <c r="P81" s="34"/>
      <c r="Q81" s="34"/>
      <c r="R81" s="34"/>
      <c r="S81" s="34"/>
      <c r="T81" s="34"/>
      <c r="U81" s="34"/>
      <c r="V81" s="33"/>
      <c r="W81" s="33"/>
      <c r="X81" s="33"/>
      <c r="Y81" s="33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116"/>
      <c r="BE81" s="34"/>
      <c r="BI81" s="93"/>
    </row>
    <row r="82" spans="1:61" ht="12.75" customHeight="1" x14ac:dyDescent="0.2">
      <c r="A82" s="34"/>
      <c r="B82" s="34"/>
      <c r="C82" s="34"/>
      <c r="D82" s="43"/>
      <c r="E82" s="34"/>
      <c r="F82" s="33"/>
      <c r="G82" s="33"/>
      <c r="H82" s="33"/>
      <c r="I82" s="33"/>
      <c r="J82" s="33"/>
      <c r="K82" s="33"/>
      <c r="L82" s="34"/>
      <c r="M82" s="33"/>
      <c r="N82" s="33"/>
      <c r="O82" s="34"/>
      <c r="P82" s="34"/>
      <c r="Q82" s="34"/>
      <c r="R82" s="34"/>
      <c r="S82" s="34"/>
      <c r="T82" s="34"/>
      <c r="U82" s="34"/>
      <c r="V82" s="33"/>
      <c r="W82" s="33"/>
      <c r="X82" s="33"/>
      <c r="Y82" s="33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116"/>
      <c r="BE82" s="34"/>
      <c r="BG82" s="89"/>
      <c r="BH82" s="89"/>
      <c r="BI82" s="89"/>
    </row>
    <row r="83" spans="1:61" ht="12.75" customHeight="1" x14ac:dyDescent="0.2">
      <c r="BI83" s="89"/>
    </row>
    <row r="85" spans="1:61" ht="12.75" customHeight="1" x14ac:dyDescent="0.2">
      <c r="BG85" s="89"/>
    </row>
  </sheetData>
  <sortState xmlns:xlrd2="http://schemas.microsoft.com/office/spreadsheetml/2017/richdata2" ref="A5:BF21">
    <sortCondition ref="B5:B21"/>
  </sortState>
  <mergeCells count="6">
    <mergeCell ref="C1:Q1"/>
    <mergeCell ref="AG2:AI2"/>
    <mergeCell ref="BA2:BC2"/>
    <mergeCell ref="AM1:AY1"/>
    <mergeCell ref="AG1:AK1"/>
    <mergeCell ref="S1:AE1"/>
  </mergeCells>
  <pageMargins left="0.25" right="0.25" top="0.75" bottom="0.75" header="0.3" footer="0.3"/>
  <pageSetup paperSize="5" scale="48" fitToWidth="2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08C7B-6F45-4492-B5E5-6DE5637B9558}">
  <sheetPr>
    <pageSetUpPr fitToPage="1"/>
  </sheetPr>
  <dimension ref="E3:V30"/>
  <sheetViews>
    <sheetView tabSelected="1" workbookViewId="0">
      <selection activeCell="E3" sqref="E3:V26"/>
    </sheetView>
  </sheetViews>
  <sheetFormatPr defaultRowHeight="15" x14ac:dyDescent="0.25"/>
  <cols>
    <col min="5" max="5" width="36.5703125" bestFit="1" customWidth="1"/>
    <col min="6" max="6" width="6.7109375" bestFit="1" customWidth="1"/>
    <col min="7" max="7" width="1.7109375" customWidth="1"/>
    <col min="8" max="8" width="9" bestFit="1" customWidth="1"/>
    <col min="9" max="9" width="7" bestFit="1" customWidth="1"/>
    <col min="10" max="10" width="8.42578125" bestFit="1" customWidth="1"/>
    <col min="11" max="11" width="9.5703125" bestFit="1" customWidth="1"/>
    <col min="12" max="12" width="7" bestFit="1" customWidth="1"/>
    <col min="13" max="13" width="8" bestFit="1" customWidth="1"/>
    <col min="14" max="14" width="2" customWidth="1"/>
    <col min="15" max="15" width="11.140625" bestFit="1" customWidth="1"/>
    <col min="16" max="16" width="2" customWidth="1"/>
    <col min="17" max="17" width="8" hidden="1" customWidth="1"/>
    <col min="18" max="18" width="10.42578125" hidden="1" customWidth="1"/>
    <col min="20" max="20" width="2" customWidth="1"/>
  </cols>
  <sheetData>
    <row r="3" spans="5:22" x14ac:dyDescent="0.25">
      <c r="F3" s="242" t="s">
        <v>142</v>
      </c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</row>
    <row r="4" spans="5:22" ht="15.75" customHeight="1" x14ac:dyDescent="0.25"/>
    <row r="5" spans="5:22" s="227" customFormat="1" x14ac:dyDescent="0.25">
      <c r="I5" s="227" t="s">
        <v>135</v>
      </c>
      <c r="K5" s="227" t="s">
        <v>136</v>
      </c>
      <c r="L5" s="227" t="s">
        <v>136</v>
      </c>
    </row>
    <row r="6" spans="5:22" s="227" customFormat="1" x14ac:dyDescent="0.25">
      <c r="I6" s="227" t="s">
        <v>129</v>
      </c>
      <c r="K6" s="227" t="s">
        <v>131</v>
      </c>
      <c r="L6" s="227" t="s">
        <v>131</v>
      </c>
      <c r="M6" s="227" t="s">
        <v>131</v>
      </c>
      <c r="O6" s="227" t="s">
        <v>143</v>
      </c>
      <c r="Q6" s="227" t="s">
        <v>131</v>
      </c>
      <c r="S6" s="227" t="s">
        <v>131</v>
      </c>
    </row>
    <row r="7" spans="5:22" s="227" customFormat="1" x14ac:dyDescent="0.25">
      <c r="F7" s="228" t="s">
        <v>120</v>
      </c>
      <c r="H7" s="228" t="s">
        <v>115</v>
      </c>
      <c r="I7" s="228" t="s">
        <v>130</v>
      </c>
      <c r="J7" s="228" t="s">
        <v>132</v>
      </c>
      <c r="K7" s="241" t="s">
        <v>141</v>
      </c>
      <c r="L7" s="228" t="s">
        <v>133</v>
      </c>
      <c r="M7" s="228" t="s">
        <v>134</v>
      </c>
      <c r="O7" s="228" t="s">
        <v>144</v>
      </c>
      <c r="Q7" s="228" t="s">
        <v>137</v>
      </c>
      <c r="R7" s="228" t="s">
        <v>138</v>
      </c>
      <c r="S7" s="228" t="s">
        <v>139</v>
      </c>
      <c r="U7" s="228" t="s">
        <v>108</v>
      </c>
      <c r="V7" s="228" t="s">
        <v>90</v>
      </c>
    </row>
    <row r="8" spans="5:22" x14ac:dyDescent="0.25">
      <c r="E8" s="1" t="s">
        <v>29</v>
      </c>
      <c r="F8" s="1">
        <f>+'Summary by Student Type'!C5</f>
        <v>1257</v>
      </c>
      <c r="G8" s="1"/>
      <c r="H8" s="1">
        <f>+'Summary by Student Type'!R5</f>
        <v>1932</v>
      </c>
      <c r="I8">
        <v>97</v>
      </c>
      <c r="J8" s="222">
        <f>+H8-I8</f>
        <v>1835</v>
      </c>
      <c r="K8">
        <f>350-L8</f>
        <v>129</v>
      </c>
      <c r="L8">
        <v>221</v>
      </c>
      <c r="M8" s="222">
        <f>+J8+K8+L8</f>
        <v>2185</v>
      </c>
      <c r="O8" s="222">
        <f>+S8-M8</f>
        <v>-958</v>
      </c>
      <c r="Q8" s="222">
        <f>+F8</f>
        <v>1257</v>
      </c>
      <c r="R8" s="214">
        <f>ROUND(+Q8/$Q$26*$Q$30,0)</f>
        <v>30</v>
      </c>
      <c r="S8" s="222">
        <f>+Q8-R8</f>
        <v>1227</v>
      </c>
      <c r="U8" s="222">
        <f>+S8-F8</f>
        <v>-30</v>
      </c>
      <c r="V8" s="225">
        <f>+U8/F8</f>
        <v>-2.386634844868735E-2</v>
      </c>
    </row>
    <row r="9" spans="5:22" x14ac:dyDescent="0.25">
      <c r="E9" s="1" t="s">
        <v>67</v>
      </c>
      <c r="F9" s="1">
        <f>+'Summary by Student Type'!C6</f>
        <v>122</v>
      </c>
      <c r="G9" s="1"/>
      <c r="H9" s="1">
        <f>+'Summary by Student Type'!R6</f>
        <v>99</v>
      </c>
      <c r="I9">
        <v>18</v>
      </c>
      <c r="J9" s="222">
        <f t="shared" ref="J9:J24" si="0">+H9-I9</f>
        <v>81</v>
      </c>
      <c r="K9">
        <f>47-L9</f>
        <v>27</v>
      </c>
      <c r="L9">
        <v>20</v>
      </c>
      <c r="M9" s="222">
        <f t="shared" ref="M9:M24" si="1">+J9+K9+L9</f>
        <v>128</v>
      </c>
      <c r="O9" s="222">
        <f t="shared" ref="O9:O25" si="2">+S9-M9</f>
        <v>-3</v>
      </c>
      <c r="Q9" s="222">
        <f>+M9</f>
        <v>128</v>
      </c>
      <c r="R9" s="214">
        <f t="shared" ref="R9:R24" si="3">ROUND(+Q9/$Q$26*$Q$30,0)</f>
        <v>3</v>
      </c>
      <c r="S9" s="222">
        <f t="shared" ref="S9:S24" si="4">+Q9-R9</f>
        <v>125</v>
      </c>
      <c r="U9" s="222">
        <f t="shared" ref="U9:U24" si="5">+S9-F9</f>
        <v>3</v>
      </c>
      <c r="V9" s="225">
        <f t="shared" ref="V9:V26" si="6">+U9/F9</f>
        <v>2.4590163934426229E-2</v>
      </c>
    </row>
    <row r="10" spans="5:22" x14ac:dyDescent="0.25">
      <c r="E10" s="44" t="s">
        <v>34</v>
      </c>
      <c r="F10" s="1">
        <f>+'Summary by Student Type'!C7</f>
        <v>197</v>
      </c>
      <c r="G10" s="1"/>
      <c r="H10" s="1">
        <f>+'Summary by Student Type'!R7</f>
        <v>195</v>
      </c>
      <c r="J10" s="222">
        <f t="shared" si="0"/>
        <v>195</v>
      </c>
      <c r="M10" s="222">
        <f t="shared" si="1"/>
        <v>195</v>
      </c>
      <c r="O10" s="222">
        <f t="shared" si="2"/>
        <v>2</v>
      </c>
      <c r="Q10" s="222">
        <f>+F10</f>
        <v>197</v>
      </c>
      <c r="R10" s="214"/>
      <c r="S10" s="222">
        <f t="shared" si="4"/>
        <v>197</v>
      </c>
      <c r="U10" s="222">
        <f t="shared" si="5"/>
        <v>0</v>
      </c>
      <c r="V10" s="225">
        <f t="shared" si="6"/>
        <v>0</v>
      </c>
    </row>
    <row r="11" spans="5:22" x14ac:dyDescent="0.25">
      <c r="E11" s="50" t="s">
        <v>70</v>
      </c>
      <c r="F11" s="1">
        <f>+'Summary by Student Type'!C8</f>
        <v>82</v>
      </c>
      <c r="G11" s="1"/>
      <c r="H11" s="1">
        <f>+'Summary by Student Type'!R8</f>
        <v>74</v>
      </c>
      <c r="J11" s="222">
        <f t="shared" si="0"/>
        <v>74</v>
      </c>
      <c r="M11" s="222">
        <f t="shared" si="1"/>
        <v>74</v>
      </c>
      <c r="O11" s="222">
        <f t="shared" si="2"/>
        <v>8</v>
      </c>
      <c r="Q11" s="222">
        <f>+F11</f>
        <v>82</v>
      </c>
      <c r="R11" s="214"/>
      <c r="S11" s="222">
        <f t="shared" si="4"/>
        <v>82</v>
      </c>
      <c r="U11" s="222">
        <f t="shared" si="5"/>
        <v>0</v>
      </c>
      <c r="V11" s="225">
        <f t="shared" si="6"/>
        <v>0</v>
      </c>
    </row>
    <row r="12" spans="5:22" x14ac:dyDescent="0.25">
      <c r="E12" s="1" t="s">
        <v>30</v>
      </c>
      <c r="F12" s="1">
        <f>+'Summary by Student Type'!C9</f>
        <v>160</v>
      </c>
      <c r="G12" s="1"/>
      <c r="H12" s="1">
        <f>+'Summary by Student Type'!R9</f>
        <v>144</v>
      </c>
      <c r="I12">
        <v>31</v>
      </c>
      <c r="J12" s="222">
        <f t="shared" si="0"/>
        <v>113</v>
      </c>
      <c r="M12" s="222">
        <f t="shared" si="1"/>
        <v>113</v>
      </c>
      <c r="O12" s="222">
        <f t="shared" si="2"/>
        <v>-3</v>
      </c>
      <c r="Q12" s="222">
        <f t="shared" ref="Q12:Q17" si="7">MIN(M12,F12)</f>
        <v>113</v>
      </c>
      <c r="R12" s="214">
        <f t="shared" si="3"/>
        <v>3</v>
      </c>
      <c r="S12" s="222">
        <f t="shared" si="4"/>
        <v>110</v>
      </c>
      <c r="U12" s="222">
        <f t="shared" si="5"/>
        <v>-50</v>
      </c>
      <c r="V12" s="225">
        <f t="shared" si="6"/>
        <v>-0.3125</v>
      </c>
    </row>
    <row r="13" spans="5:22" x14ac:dyDescent="0.25">
      <c r="E13" s="1" t="s">
        <v>73</v>
      </c>
      <c r="F13" s="1">
        <f>+'Summary by Student Type'!C10</f>
        <v>21</v>
      </c>
      <c r="G13" s="1"/>
      <c r="H13" s="1">
        <f>+'Summary by Student Type'!R10</f>
        <v>17</v>
      </c>
      <c r="J13" s="222">
        <f t="shared" si="0"/>
        <v>17</v>
      </c>
      <c r="M13" s="222">
        <f t="shared" si="1"/>
        <v>17</v>
      </c>
      <c r="O13" s="222">
        <f t="shared" si="2"/>
        <v>0</v>
      </c>
      <c r="Q13" s="222">
        <f t="shared" si="7"/>
        <v>17</v>
      </c>
      <c r="R13" s="214">
        <f t="shared" si="3"/>
        <v>0</v>
      </c>
      <c r="S13" s="222">
        <f t="shared" si="4"/>
        <v>17</v>
      </c>
      <c r="U13" s="222">
        <f t="shared" si="5"/>
        <v>-4</v>
      </c>
      <c r="V13" s="225">
        <f t="shared" si="6"/>
        <v>-0.19047619047619047</v>
      </c>
    </row>
    <row r="14" spans="5:22" x14ac:dyDescent="0.25">
      <c r="E14" s="1" t="s">
        <v>35</v>
      </c>
      <c r="F14" s="1">
        <f>+'Summary by Student Type'!C11</f>
        <v>3777</v>
      </c>
      <c r="G14" s="1"/>
      <c r="H14" s="1">
        <f>+'Summary by Student Type'!R11</f>
        <v>3559</v>
      </c>
      <c r="I14">
        <v>541</v>
      </c>
      <c r="J14" s="222">
        <f t="shared" si="0"/>
        <v>3018</v>
      </c>
      <c r="K14">
        <f>1040-L14</f>
        <v>762</v>
      </c>
      <c r="L14">
        <v>278</v>
      </c>
      <c r="M14" s="222">
        <f t="shared" si="1"/>
        <v>4058</v>
      </c>
      <c r="O14" s="222">
        <f t="shared" si="2"/>
        <v>-97</v>
      </c>
      <c r="Q14" s="222">
        <f>+M14</f>
        <v>4058</v>
      </c>
      <c r="R14" s="214">
        <f t="shared" si="3"/>
        <v>97</v>
      </c>
      <c r="S14" s="222">
        <f t="shared" si="4"/>
        <v>3961</v>
      </c>
      <c r="U14" s="222">
        <f t="shared" si="5"/>
        <v>184</v>
      </c>
      <c r="V14" s="225">
        <f t="shared" si="6"/>
        <v>4.871591209954991E-2</v>
      </c>
    </row>
    <row r="15" spans="5:22" x14ac:dyDescent="0.25">
      <c r="E15" s="1" t="s">
        <v>76</v>
      </c>
      <c r="F15" s="1">
        <f>+'Summary by Student Type'!C12</f>
        <v>1502</v>
      </c>
      <c r="G15" s="1"/>
      <c r="H15" s="1">
        <f>+'Summary by Student Type'!R12</f>
        <v>1326</v>
      </c>
      <c r="I15">
        <v>235</v>
      </c>
      <c r="J15" s="222">
        <f t="shared" si="0"/>
        <v>1091</v>
      </c>
      <c r="K15">
        <f>140+105-L15</f>
        <v>240</v>
      </c>
      <c r="L15">
        <v>5</v>
      </c>
      <c r="M15" s="222">
        <f t="shared" si="1"/>
        <v>1336</v>
      </c>
      <c r="O15" s="222">
        <f t="shared" si="2"/>
        <v>-32</v>
      </c>
      <c r="Q15" s="222">
        <f>+M15</f>
        <v>1336</v>
      </c>
      <c r="R15" s="214">
        <f t="shared" si="3"/>
        <v>32</v>
      </c>
      <c r="S15" s="222">
        <f t="shared" si="4"/>
        <v>1304</v>
      </c>
      <c r="U15" s="222">
        <f t="shared" si="5"/>
        <v>-198</v>
      </c>
      <c r="V15" s="225">
        <f t="shared" si="6"/>
        <v>-0.13182423435419441</v>
      </c>
    </row>
    <row r="16" spans="5:22" x14ac:dyDescent="0.25">
      <c r="E16" s="1" t="s">
        <v>37</v>
      </c>
      <c r="F16" s="1">
        <f>+'Summary by Student Type'!C13</f>
        <v>624</v>
      </c>
      <c r="G16" s="1"/>
      <c r="H16" s="1">
        <f>+'Summary by Student Type'!R13</f>
        <v>566</v>
      </c>
      <c r="I16">
        <v>94</v>
      </c>
      <c r="J16" s="222">
        <f t="shared" si="0"/>
        <v>472</v>
      </c>
      <c r="K16">
        <f>575-L16</f>
        <v>446</v>
      </c>
      <c r="L16">
        <v>129</v>
      </c>
      <c r="M16" s="222">
        <f t="shared" si="1"/>
        <v>1047</v>
      </c>
      <c r="O16" s="222">
        <f t="shared" si="2"/>
        <v>-25</v>
      </c>
      <c r="Q16" s="222">
        <f>+M16</f>
        <v>1047</v>
      </c>
      <c r="R16" s="214">
        <f t="shared" si="3"/>
        <v>25</v>
      </c>
      <c r="S16" s="222">
        <f t="shared" si="4"/>
        <v>1022</v>
      </c>
      <c r="U16" s="222">
        <f t="shared" si="5"/>
        <v>398</v>
      </c>
      <c r="V16" s="225">
        <f t="shared" si="6"/>
        <v>0.63782051282051277</v>
      </c>
    </row>
    <row r="17" spans="5:22" x14ac:dyDescent="0.25">
      <c r="E17" s="1" t="s">
        <v>32</v>
      </c>
      <c r="F17" s="1">
        <f>+'Summary by Student Type'!C14</f>
        <v>683</v>
      </c>
      <c r="G17" s="1"/>
      <c r="H17" s="1">
        <f>+'Summary by Student Type'!R14</f>
        <v>657</v>
      </c>
      <c r="I17">
        <v>23</v>
      </c>
      <c r="J17" s="222">
        <f t="shared" si="0"/>
        <v>634</v>
      </c>
      <c r="M17" s="222">
        <f t="shared" si="1"/>
        <v>634</v>
      </c>
      <c r="O17" s="222">
        <f t="shared" si="2"/>
        <v>-15</v>
      </c>
      <c r="Q17" s="222">
        <f t="shared" si="7"/>
        <v>634</v>
      </c>
      <c r="R17" s="214">
        <f t="shared" si="3"/>
        <v>15</v>
      </c>
      <c r="S17" s="222">
        <f t="shared" si="4"/>
        <v>619</v>
      </c>
      <c r="U17" s="222">
        <f t="shared" si="5"/>
        <v>-64</v>
      </c>
      <c r="V17" s="225">
        <f t="shared" si="6"/>
        <v>-9.3704245973645683E-2</v>
      </c>
    </row>
    <row r="18" spans="5:22" x14ac:dyDescent="0.25">
      <c r="E18" s="1" t="s">
        <v>80</v>
      </c>
      <c r="F18" s="1">
        <f>+'Summary by Student Type'!C15</f>
        <v>289</v>
      </c>
      <c r="G18" s="1"/>
      <c r="H18" s="1">
        <f>+'Summary by Student Type'!R15</f>
        <v>243</v>
      </c>
      <c r="I18">
        <v>3</v>
      </c>
      <c r="J18" s="222">
        <f t="shared" si="0"/>
        <v>240</v>
      </c>
      <c r="M18" s="222">
        <f t="shared" si="1"/>
        <v>240</v>
      </c>
      <c r="O18" s="222">
        <f t="shared" si="2"/>
        <v>42</v>
      </c>
      <c r="Q18" s="222">
        <f>+F18</f>
        <v>289</v>
      </c>
      <c r="R18" s="214">
        <f t="shared" si="3"/>
        <v>7</v>
      </c>
      <c r="S18" s="222">
        <f t="shared" si="4"/>
        <v>282</v>
      </c>
      <c r="U18" s="222">
        <f t="shared" si="5"/>
        <v>-7</v>
      </c>
      <c r="V18" s="225">
        <f t="shared" si="6"/>
        <v>-2.4221453287197232E-2</v>
      </c>
    </row>
    <row r="19" spans="5:22" x14ac:dyDescent="0.25">
      <c r="E19" s="38" t="s">
        <v>92</v>
      </c>
      <c r="F19" s="1">
        <f>+'Summary by Student Type'!C16</f>
        <v>217</v>
      </c>
      <c r="G19" s="1"/>
      <c r="H19" s="1">
        <f>+'Summary by Student Type'!R16</f>
        <v>222</v>
      </c>
      <c r="I19">
        <v>5</v>
      </c>
      <c r="J19" s="222">
        <f t="shared" si="0"/>
        <v>217</v>
      </c>
      <c r="M19" s="222">
        <f t="shared" si="1"/>
        <v>217</v>
      </c>
      <c r="O19" s="222">
        <f t="shared" si="2"/>
        <v>-5</v>
      </c>
      <c r="Q19" s="222">
        <f t="shared" ref="Q19:Q24" si="8">+F19</f>
        <v>217</v>
      </c>
      <c r="R19" s="214">
        <f t="shared" si="3"/>
        <v>5</v>
      </c>
      <c r="S19" s="222">
        <f t="shared" si="4"/>
        <v>212</v>
      </c>
      <c r="U19" s="222">
        <f t="shared" si="5"/>
        <v>-5</v>
      </c>
      <c r="V19" s="225">
        <f t="shared" si="6"/>
        <v>-2.3041474654377881E-2</v>
      </c>
    </row>
    <row r="20" spans="5:22" x14ac:dyDescent="0.25">
      <c r="E20" s="1" t="s">
        <v>36</v>
      </c>
      <c r="F20" s="1">
        <f>+'Summary by Student Type'!C17</f>
        <v>247</v>
      </c>
      <c r="G20" s="1"/>
      <c r="H20" s="1">
        <f>+'Summary by Student Type'!R17</f>
        <v>243</v>
      </c>
      <c r="I20">
        <v>45</v>
      </c>
      <c r="J20" s="222">
        <f t="shared" si="0"/>
        <v>198</v>
      </c>
      <c r="M20" s="222">
        <f t="shared" si="1"/>
        <v>198</v>
      </c>
      <c r="O20" s="222">
        <f t="shared" si="2"/>
        <v>43</v>
      </c>
      <c r="Q20" s="222">
        <f t="shared" si="8"/>
        <v>247</v>
      </c>
      <c r="R20" s="214">
        <f t="shared" si="3"/>
        <v>6</v>
      </c>
      <c r="S20" s="222">
        <f t="shared" si="4"/>
        <v>241</v>
      </c>
      <c r="U20" s="222">
        <f t="shared" si="5"/>
        <v>-6</v>
      </c>
      <c r="V20" s="225">
        <f t="shared" si="6"/>
        <v>-2.4291497975708502E-2</v>
      </c>
    </row>
    <row r="21" spans="5:22" x14ac:dyDescent="0.25">
      <c r="E21" s="38" t="s">
        <v>98</v>
      </c>
      <c r="F21" s="1">
        <f>+'Summary by Student Type'!C18</f>
        <v>57</v>
      </c>
      <c r="G21" s="1"/>
      <c r="H21" s="1">
        <f>+'Summary by Student Type'!R18</f>
        <v>71</v>
      </c>
      <c r="I21">
        <v>12</v>
      </c>
      <c r="J21" s="222">
        <f t="shared" si="0"/>
        <v>59</v>
      </c>
      <c r="M21" s="222">
        <f t="shared" si="1"/>
        <v>59</v>
      </c>
      <c r="O21" s="222">
        <f t="shared" si="2"/>
        <v>-3</v>
      </c>
      <c r="Q21" s="222">
        <f t="shared" si="8"/>
        <v>57</v>
      </c>
      <c r="R21" s="214">
        <f t="shared" si="3"/>
        <v>1</v>
      </c>
      <c r="S21" s="222">
        <f t="shared" si="4"/>
        <v>56</v>
      </c>
      <c r="U21" s="222">
        <f t="shared" si="5"/>
        <v>-1</v>
      </c>
      <c r="V21" s="225">
        <f t="shared" si="6"/>
        <v>-1.7543859649122806E-2</v>
      </c>
    </row>
    <row r="22" spans="5:22" x14ac:dyDescent="0.25">
      <c r="E22" s="1" t="s">
        <v>33</v>
      </c>
      <c r="F22" s="1">
        <f>+'Summary by Student Type'!C19</f>
        <v>260</v>
      </c>
      <c r="G22" s="1"/>
      <c r="H22" s="1">
        <f>+'Summary by Student Type'!R19</f>
        <v>276</v>
      </c>
      <c r="I22">
        <v>2</v>
      </c>
      <c r="J22" s="222">
        <f t="shared" si="0"/>
        <v>274</v>
      </c>
      <c r="M22" s="222">
        <f t="shared" si="1"/>
        <v>274</v>
      </c>
      <c r="O22" s="222">
        <f t="shared" si="2"/>
        <v>-20</v>
      </c>
      <c r="Q22" s="222">
        <f t="shared" si="8"/>
        <v>260</v>
      </c>
      <c r="R22" s="214">
        <f t="shared" si="3"/>
        <v>6</v>
      </c>
      <c r="S22" s="222">
        <f t="shared" si="4"/>
        <v>254</v>
      </c>
      <c r="U22" s="222">
        <f t="shared" si="5"/>
        <v>-6</v>
      </c>
      <c r="V22" s="225">
        <f t="shared" si="6"/>
        <v>-2.3076923076923078E-2</v>
      </c>
    </row>
    <row r="23" spans="5:22" x14ac:dyDescent="0.25">
      <c r="E23" s="1" t="s">
        <v>86</v>
      </c>
      <c r="F23" s="1">
        <f>+'Summary by Student Type'!C20</f>
        <v>33</v>
      </c>
      <c r="G23" s="1"/>
      <c r="H23" s="1">
        <f>+'Summary by Student Type'!R20</f>
        <v>37</v>
      </c>
      <c r="J23" s="222">
        <f t="shared" si="0"/>
        <v>37</v>
      </c>
      <c r="M23" s="222">
        <f t="shared" si="1"/>
        <v>37</v>
      </c>
      <c r="O23" s="222">
        <f t="shared" si="2"/>
        <v>-5</v>
      </c>
      <c r="Q23" s="222">
        <f t="shared" si="8"/>
        <v>33</v>
      </c>
      <c r="R23" s="214">
        <f t="shared" si="3"/>
        <v>1</v>
      </c>
      <c r="S23" s="222">
        <f t="shared" si="4"/>
        <v>32</v>
      </c>
      <c r="U23" s="222">
        <f t="shared" si="5"/>
        <v>-1</v>
      </c>
      <c r="V23" s="225">
        <f t="shared" si="6"/>
        <v>-3.0303030303030304E-2</v>
      </c>
    </row>
    <row r="24" spans="5:22" x14ac:dyDescent="0.25">
      <c r="E24" s="1" t="s">
        <v>31</v>
      </c>
      <c r="F24" s="1">
        <f>+'Summary by Student Type'!C21</f>
        <v>58</v>
      </c>
      <c r="G24" s="1"/>
      <c r="H24" s="1">
        <f>+'Summary by Student Type'!R21</f>
        <v>58</v>
      </c>
      <c r="I24">
        <v>4</v>
      </c>
      <c r="J24" s="222">
        <f t="shared" si="0"/>
        <v>54</v>
      </c>
      <c r="M24" s="222">
        <f t="shared" si="1"/>
        <v>54</v>
      </c>
      <c r="O24" s="222">
        <f t="shared" si="2"/>
        <v>3</v>
      </c>
      <c r="Q24" s="222">
        <f t="shared" si="8"/>
        <v>58</v>
      </c>
      <c r="R24" s="214">
        <f t="shared" si="3"/>
        <v>1</v>
      </c>
      <c r="S24" s="222">
        <f t="shared" si="4"/>
        <v>57</v>
      </c>
      <c r="U24" s="222">
        <f t="shared" si="5"/>
        <v>-1</v>
      </c>
      <c r="V24" s="225">
        <f t="shared" si="6"/>
        <v>-1.7241379310344827E-2</v>
      </c>
    </row>
    <row r="25" spans="5:22" x14ac:dyDescent="0.25">
      <c r="O25" s="222">
        <f t="shared" si="2"/>
        <v>0</v>
      </c>
      <c r="R25" s="214"/>
      <c r="V25" s="225"/>
    </row>
    <row r="26" spans="5:22" x14ac:dyDescent="0.25">
      <c r="F26" s="223">
        <f t="shared" ref="F26" si="9">SUM(F8:F25)</f>
        <v>9586</v>
      </c>
      <c r="H26" s="223">
        <f>SUM(H8:H25)</f>
        <v>9719</v>
      </c>
      <c r="I26" s="223">
        <f t="shared" ref="I26:Q26" si="10">SUM(I8:I25)</f>
        <v>1110</v>
      </c>
      <c r="J26" s="223">
        <f t="shared" si="10"/>
        <v>8609</v>
      </c>
      <c r="K26" s="223">
        <f t="shared" si="10"/>
        <v>1604</v>
      </c>
      <c r="L26" s="223">
        <f t="shared" si="10"/>
        <v>653</v>
      </c>
      <c r="M26" s="223">
        <f t="shared" si="10"/>
        <v>10866</v>
      </c>
      <c r="O26" s="223">
        <f t="shared" si="10"/>
        <v>-1068</v>
      </c>
      <c r="Q26" s="223">
        <f t="shared" si="10"/>
        <v>10030</v>
      </c>
      <c r="R26" s="223">
        <f t="shared" ref="R26" si="11">SUM(R8:R25)</f>
        <v>232</v>
      </c>
      <c r="S26" s="223">
        <f t="shared" ref="S26:U26" si="12">SUM(S8:S25)</f>
        <v>9798</v>
      </c>
      <c r="U26" s="223">
        <f t="shared" si="12"/>
        <v>212</v>
      </c>
      <c r="V26" s="225">
        <f t="shared" si="6"/>
        <v>2.2115585228458169E-2</v>
      </c>
    </row>
    <row r="27" spans="5:22" x14ac:dyDescent="0.25">
      <c r="L27" s="222">
        <f>+L26+K26</f>
        <v>2257</v>
      </c>
    </row>
    <row r="28" spans="5:22" x14ac:dyDescent="0.25">
      <c r="Q28" s="224">
        <f>+Q26/F26-1</f>
        <v>4.6317546421865252E-2</v>
      </c>
      <c r="S28" s="226">
        <f>+S26/F26-1</f>
        <v>2.2115585228458245E-2</v>
      </c>
    </row>
    <row r="30" spans="5:22" x14ac:dyDescent="0.25">
      <c r="Q30">
        <f>+F26*0.025</f>
        <v>239.65</v>
      </c>
      <c r="R30" s="230" t="s">
        <v>140</v>
      </c>
    </row>
  </sheetData>
  <mergeCells count="1">
    <mergeCell ref="F3:V3"/>
  </mergeCells>
  <pageMargins left="0.7" right="0.7" top="0.75" bottom="0.75" header="0.3" footer="0.3"/>
  <pageSetup scale="8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c4a8a5-9deb-4ac7-9bb0-04675e3754a3" xsi:nil="true"/>
    <lcf76f155ced4ddcb4097134ff3c332f xmlns="aa8b539e-5a42-4053-8a1f-20f8e54e164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F7E8397148DB498F5B43E624F4E4B1" ma:contentTypeVersion="15" ma:contentTypeDescription="Create a new document." ma:contentTypeScope="" ma:versionID="5c2e5f7c3233faff06cb1b1843f7a9ec">
  <xsd:schema xmlns:xsd="http://www.w3.org/2001/XMLSchema" xmlns:xs="http://www.w3.org/2001/XMLSchema" xmlns:p="http://schemas.microsoft.com/office/2006/metadata/properties" xmlns:ns2="aa8b539e-5a42-4053-8a1f-20f8e54e164f" xmlns:ns3="d8c4a8a5-9deb-4ac7-9bb0-04675e3754a3" targetNamespace="http://schemas.microsoft.com/office/2006/metadata/properties" ma:root="true" ma:fieldsID="d4d4cea8407e548185ceb0284293befb" ns2:_="" ns3:_="">
    <xsd:import namespace="aa8b539e-5a42-4053-8a1f-20f8e54e164f"/>
    <xsd:import namespace="d8c4a8a5-9deb-4ac7-9bb0-04675e3754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b539e-5a42-4053-8a1f-20f8e54e16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c2dd9a6-8483-4555-a8f4-00fbe5822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c4a8a5-9deb-4ac7-9bb0-04675e3754a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024e9b7-97ba-4d67-a37f-819381919c00}" ma:internalName="TaxCatchAll" ma:showField="CatchAllData" ma:web="d8c4a8a5-9deb-4ac7-9bb0-04675e3754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7AAF39-2231-47AE-A411-D64B7AA8C871}">
  <ds:schemaRefs>
    <ds:schemaRef ds:uri="http://schemas.microsoft.com/office/2006/metadata/properties"/>
    <ds:schemaRef ds:uri="http://schemas.microsoft.com/office/infopath/2007/PartnerControls"/>
    <ds:schemaRef ds:uri="d8c4a8a5-9deb-4ac7-9bb0-04675e3754a3"/>
    <ds:schemaRef ds:uri="aa8b539e-5a42-4053-8a1f-20f8e54e164f"/>
  </ds:schemaRefs>
</ds:datastoreItem>
</file>

<file path=customXml/itemProps2.xml><?xml version="1.0" encoding="utf-8"?>
<ds:datastoreItem xmlns:ds="http://schemas.openxmlformats.org/officeDocument/2006/customXml" ds:itemID="{5BDD08CF-5AF2-4AD0-84AA-35F2E5A232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A41AE2-8666-4EF1-BAB6-FF5F8D957D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Student Type by Acct Code</vt:lpstr>
      <vt:lpstr>Summary by Student Type</vt:lpstr>
      <vt:lpstr>Changes in Enrollment</vt:lpstr>
      <vt:lpstr>'Summary by Student Type'!Print_Area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Lasiter, Paul</dc:creator>
  <cp:keywords/>
  <dc:description/>
  <cp:lastModifiedBy>Lasiter, Paul</cp:lastModifiedBy>
  <cp:revision/>
  <cp:lastPrinted>2026-02-24T22:45:34Z</cp:lastPrinted>
  <dcterms:created xsi:type="dcterms:W3CDTF">2022-02-02T22:54:41Z</dcterms:created>
  <dcterms:modified xsi:type="dcterms:W3CDTF">2026-03-04T22:20:36Z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0x01010006F7E8397148DB498F5B43E624F4E4B1</vt:lpwstr>
  </property>
  <property fmtid="{D5CDD505-2E9C-101B-9397-08002B2CF9AE}" pid="3" name="MediaServiceImageTags">
    <vt:lpwstr/>
  </property>
</Properties>
</file>