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aul Lasiter\Excel\Annual Budget Development\"/>
    </mc:Choice>
  </mc:AlternateContent>
  <bookViews>
    <workbookView xWindow="-120" yWindow="-120" windowWidth="29040" windowHeight="15840" tabRatio="886" activeTab="5"/>
  </bookViews>
  <sheets>
    <sheet name="BAM - 2020" sheetId="2" r:id="rId1"/>
    <sheet name="BAM - 2021" sheetId="32" r:id="rId2"/>
    <sheet name="BAM - 2022" sheetId="35" r:id="rId3"/>
    <sheet name="BAM - 2023" sheetId="37" r:id="rId4"/>
    <sheet name="BAM - 2024 FORECAST" sheetId="41" r:id="rId5"/>
    <sheet name="BAM - 2025 PLANNING" sheetId="43" r:id="rId6"/>
    <sheet name="ER Ratio History" sheetId="42" r:id="rId7"/>
    <sheet name="Net Tuition AY" sheetId="5" r:id="rId8"/>
    <sheet name="Net Tuition Summer" sheetId="6" r:id="rId9"/>
    <sheet name="Appropriations" sheetId="7" r:id="rId10"/>
    <sheet name="Weighted Rev Allocation" sheetId="20" r:id="rId11"/>
    <sheet name="Wtd Rev Alloc - Revised" sheetId="40" r:id="rId12"/>
    <sheet name="Research Allocation" sheetId="19" r:id="rId13"/>
    <sheet name="Research Data-Awards" sheetId="31" r:id="rId14"/>
    <sheet name="Major Allocation - Original" sheetId="17" r:id="rId15"/>
    <sheet name="Majors - Details - Original" sheetId="9" r:id="rId16"/>
    <sheet name="Major Allocation - Revised" sheetId="36" r:id="rId17"/>
    <sheet name="Majors - Details - Revised" sheetId="39" r:id="rId18"/>
    <sheet name="AY Credit Hour Allocation" sheetId="18" r:id="rId19"/>
    <sheet name="Summer Credit Hour Allocation" sheetId="21" r:id="rId20"/>
    <sheet name="State SCH" sheetId="23" r:id="rId21"/>
    <sheet name="Historical College Expenses" sheetId="22" r:id="rId22"/>
    <sheet name="Library Expenses" sheetId="34" r:id="rId23"/>
    <sheet name="Charts Inflation Adj Exp SCH" sheetId="29" r:id="rId24"/>
    <sheet name="Charts Historical Exp No 2" sheetId="33" r:id="rId25"/>
    <sheet name="Humanties and Sciences Options" sheetId="30" r:id="rId26"/>
    <sheet name="Actual Spending" sheetId="10" r:id="rId27"/>
    <sheet name="Budgeted FY21" sheetId="26" r:id="rId28"/>
    <sheet name="To Do List" sheetId="24" r:id="rId29"/>
  </sheets>
  <definedNames>
    <definedName name="_xlnm.Print_Area" localSheetId="0">'BAM - 2020'!$A$1:$AK$75</definedName>
    <definedName name="_xlnm.Print_Area" localSheetId="1">'BAM - 2021'!$A$1:$AK$75</definedName>
    <definedName name="_xlnm.Print_Area" localSheetId="2">'BAM - 2022'!$A$1:$AQ$76</definedName>
    <definedName name="_xlnm.Print_Area" localSheetId="3">'BAM - 2023'!$A$1:$AQ$79</definedName>
    <definedName name="_xlnm.Print_Area" localSheetId="4">'BAM - 2024 FORECAST'!$A$1:$V$104</definedName>
    <definedName name="_xlnm.Print_Area" localSheetId="5">'BAM - 2025 PLANNING'!$A$1:$V$105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7" i="40" l="1"/>
  <c r="G110" i="40" s="1"/>
  <c r="H97" i="40"/>
  <c r="H110" i="40" s="1"/>
  <c r="I97" i="40"/>
  <c r="I110" i="40" s="1"/>
  <c r="G98" i="40"/>
  <c r="H98" i="40"/>
  <c r="I98" i="40"/>
  <c r="G99" i="40"/>
  <c r="H99" i="40"/>
  <c r="I99" i="40"/>
  <c r="G100" i="40"/>
  <c r="H100" i="40"/>
  <c r="I100" i="40"/>
  <c r="G101" i="40"/>
  <c r="H101" i="40"/>
  <c r="I101" i="40"/>
  <c r="G102" i="40"/>
  <c r="H102" i="40"/>
  <c r="I102" i="40"/>
  <c r="G103" i="40"/>
  <c r="H103" i="40"/>
  <c r="I103" i="40"/>
  <c r="G104" i="40"/>
  <c r="H104" i="40"/>
  <c r="I104" i="40"/>
  <c r="G105" i="40"/>
  <c r="H105" i="40"/>
  <c r="I105" i="40"/>
  <c r="G106" i="40"/>
  <c r="H106" i="40"/>
  <c r="I106" i="40"/>
  <c r="G107" i="40"/>
  <c r="H107" i="40"/>
  <c r="I107" i="40"/>
  <c r="G108" i="40"/>
  <c r="H108" i="40"/>
  <c r="I108" i="40"/>
  <c r="G109" i="40"/>
  <c r="H109" i="40"/>
  <c r="I109" i="40"/>
  <c r="F109" i="40"/>
  <c r="F108" i="40"/>
  <c r="F107" i="40"/>
  <c r="F106" i="40"/>
  <c r="F105" i="40"/>
  <c r="F104" i="40"/>
  <c r="F103" i="40"/>
  <c r="F102" i="40"/>
  <c r="F101" i="40"/>
  <c r="F100" i="40"/>
  <c r="F99" i="40"/>
  <c r="F98" i="40"/>
  <c r="F97" i="40"/>
  <c r="F110" i="40" s="1"/>
  <c r="C97" i="40"/>
  <c r="C110" i="40" s="1"/>
  <c r="D97" i="40"/>
  <c r="C98" i="40"/>
  <c r="D98" i="40"/>
  <c r="C99" i="40"/>
  <c r="D99" i="40"/>
  <c r="C100" i="40"/>
  <c r="D100" i="40"/>
  <c r="C101" i="40"/>
  <c r="D101" i="40"/>
  <c r="C102" i="40"/>
  <c r="D102" i="40"/>
  <c r="C103" i="40"/>
  <c r="D103" i="40"/>
  <c r="C104" i="40"/>
  <c r="D104" i="40"/>
  <c r="C105" i="40"/>
  <c r="D105" i="40"/>
  <c r="C106" i="40"/>
  <c r="D106" i="40"/>
  <c r="C107" i="40"/>
  <c r="D107" i="40"/>
  <c r="C108" i="40"/>
  <c r="D108" i="40"/>
  <c r="C109" i="40"/>
  <c r="D109" i="40"/>
  <c r="B98" i="40"/>
  <c r="B99" i="40"/>
  <c r="B100" i="40"/>
  <c r="B101" i="40"/>
  <c r="B102" i="40"/>
  <c r="B103" i="40"/>
  <c r="B104" i="40"/>
  <c r="B105" i="40"/>
  <c r="B106" i="40"/>
  <c r="B107" i="40"/>
  <c r="B108" i="40"/>
  <c r="B109" i="40"/>
  <c r="B97" i="40"/>
  <c r="D110" i="40"/>
  <c r="G79" i="40"/>
  <c r="H79" i="40"/>
  <c r="I79" i="40"/>
  <c r="G80" i="40"/>
  <c r="H80" i="40"/>
  <c r="I80" i="40"/>
  <c r="G81" i="40"/>
  <c r="H81" i="40"/>
  <c r="I81" i="40"/>
  <c r="G82" i="40"/>
  <c r="H82" i="40"/>
  <c r="I82" i="40"/>
  <c r="G83" i="40"/>
  <c r="H83" i="40"/>
  <c r="I83" i="40"/>
  <c r="G84" i="40"/>
  <c r="H84" i="40"/>
  <c r="I84" i="40"/>
  <c r="G85" i="40"/>
  <c r="H85" i="40"/>
  <c r="I85" i="40"/>
  <c r="G86" i="40"/>
  <c r="H86" i="40"/>
  <c r="I86" i="40"/>
  <c r="G87" i="40"/>
  <c r="H87" i="40"/>
  <c r="I87" i="40"/>
  <c r="G88" i="40"/>
  <c r="H88" i="40"/>
  <c r="I88" i="40"/>
  <c r="G89" i="40"/>
  <c r="H89" i="40"/>
  <c r="I89" i="40"/>
  <c r="G90" i="40"/>
  <c r="H90" i="40"/>
  <c r="I90" i="40"/>
  <c r="G91" i="40"/>
  <c r="H91" i="40"/>
  <c r="I91" i="40"/>
  <c r="F80" i="40"/>
  <c r="F81" i="40"/>
  <c r="F82" i="40"/>
  <c r="F83" i="40"/>
  <c r="F84" i="40"/>
  <c r="F85" i="40"/>
  <c r="F86" i="40"/>
  <c r="F87" i="40"/>
  <c r="F88" i="40"/>
  <c r="F89" i="40"/>
  <c r="F90" i="40"/>
  <c r="F91" i="40"/>
  <c r="F79" i="40"/>
  <c r="C79" i="40"/>
  <c r="D79" i="40"/>
  <c r="D92" i="40" s="1"/>
  <c r="C80" i="40"/>
  <c r="D80" i="40"/>
  <c r="C81" i="40"/>
  <c r="D81" i="40"/>
  <c r="C82" i="40"/>
  <c r="D82" i="40"/>
  <c r="C83" i="40"/>
  <c r="D83" i="40"/>
  <c r="C84" i="40"/>
  <c r="D84" i="40"/>
  <c r="C85" i="40"/>
  <c r="D85" i="40"/>
  <c r="C86" i="40"/>
  <c r="D86" i="40"/>
  <c r="C87" i="40"/>
  <c r="D87" i="40"/>
  <c r="C88" i="40"/>
  <c r="D88" i="40"/>
  <c r="C89" i="40"/>
  <c r="D89" i="40"/>
  <c r="C90" i="40"/>
  <c r="D90" i="40"/>
  <c r="C91" i="40"/>
  <c r="D91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79" i="40"/>
  <c r="BI49" i="18"/>
  <c r="BI50" i="18"/>
  <c r="BI51" i="18"/>
  <c r="BI52" i="18"/>
  <c r="BI53" i="18"/>
  <c r="BI54" i="18"/>
  <c r="BI55" i="18"/>
  <c r="BI48" i="18"/>
  <c r="BO49" i="18"/>
  <c r="B25" i="20" s="1"/>
  <c r="BO50" i="18"/>
  <c r="B26" i="20" s="1"/>
  <c r="BO51" i="18"/>
  <c r="B27" i="20" s="1"/>
  <c r="BO52" i="18"/>
  <c r="B28" i="20" s="1"/>
  <c r="BO53" i="18"/>
  <c r="B29" i="20" s="1"/>
  <c r="BO54" i="18"/>
  <c r="B30" i="20" s="1"/>
  <c r="BO55" i="18"/>
  <c r="BO48" i="18"/>
  <c r="B24" i="20" s="1"/>
  <c r="BI66" i="18"/>
  <c r="BO66" i="18"/>
  <c r="BI59" i="18"/>
  <c r="BO59" i="18"/>
  <c r="B32" i="20" s="1"/>
  <c r="B31" i="20"/>
  <c r="B13" i="20"/>
  <c r="B6" i="20"/>
  <c r="B7" i="20"/>
  <c r="B8" i="20"/>
  <c r="B9" i="20"/>
  <c r="B10" i="20"/>
  <c r="B11" i="20"/>
  <c r="B12" i="20"/>
  <c r="B5" i="20"/>
  <c r="B110" i="40" l="1"/>
  <c r="C92" i="40"/>
  <c r="B92" i="40"/>
  <c r="G92" i="40"/>
  <c r="H92" i="40"/>
  <c r="P47" i="43"/>
  <c r="M14" i="33"/>
  <c r="N14" i="33"/>
  <c r="O14" i="33"/>
  <c r="P14" i="33"/>
  <c r="Q14" i="33"/>
  <c r="R14" i="33"/>
  <c r="S14" i="33"/>
  <c r="T14" i="33"/>
  <c r="U14" i="33"/>
  <c r="V14" i="33"/>
  <c r="M15" i="33"/>
  <c r="N15" i="33"/>
  <c r="O15" i="33"/>
  <c r="P15" i="33"/>
  <c r="Q15" i="33"/>
  <c r="R15" i="33"/>
  <c r="S15" i="33"/>
  <c r="T15" i="33"/>
  <c r="U15" i="33"/>
  <c r="V15" i="33"/>
  <c r="M16" i="33"/>
  <c r="N16" i="33"/>
  <c r="O16" i="33"/>
  <c r="P16" i="33"/>
  <c r="Q16" i="33"/>
  <c r="R16" i="33"/>
  <c r="S16" i="33"/>
  <c r="T16" i="33"/>
  <c r="U16" i="33"/>
  <c r="V16" i="33"/>
  <c r="M17" i="33"/>
  <c r="N17" i="33"/>
  <c r="O17" i="33"/>
  <c r="P17" i="33"/>
  <c r="Q17" i="33"/>
  <c r="R17" i="33"/>
  <c r="S17" i="33"/>
  <c r="T17" i="33"/>
  <c r="U17" i="33"/>
  <c r="V17" i="33"/>
  <c r="B14" i="33"/>
  <c r="C14" i="33"/>
  <c r="D14" i="33"/>
  <c r="E14" i="33"/>
  <c r="F14" i="33"/>
  <c r="G14" i="33"/>
  <c r="H14" i="33"/>
  <c r="I14" i="33"/>
  <c r="J14" i="33"/>
  <c r="K14" i="33"/>
  <c r="B15" i="33"/>
  <c r="C15" i="33"/>
  <c r="D15" i="33"/>
  <c r="E15" i="33"/>
  <c r="F15" i="33"/>
  <c r="G15" i="33"/>
  <c r="H15" i="33"/>
  <c r="I15" i="33"/>
  <c r="J15" i="33"/>
  <c r="K15" i="33"/>
  <c r="B16" i="33"/>
  <c r="C16" i="33"/>
  <c r="D16" i="33"/>
  <c r="E16" i="33"/>
  <c r="F16" i="33"/>
  <c r="G16" i="33"/>
  <c r="H16" i="33"/>
  <c r="I16" i="33"/>
  <c r="J16" i="33"/>
  <c r="K16" i="33"/>
  <c r="B17" i="33"/>
  <c r="C17" i="33"/>
  <c r="D17" i="33"/>
  <c r="E17" i="33"/>
  <c r="F17" i="33"/>
  <c r="G17" i="33"/>
  <c r="H17" i="33"/>
  <c r="I17" i="33"/>
  <c r="J17" i="33"/>
  <c r="K17" i="33"/>
  <c r="B13" i="29"/>
  <c r="P46" i="43"/>
  <c r="D11" i="35"/>
  <c r="F39" i="35"/>
  <c r="F36" i="35"/>
  <c r="F35" i="35"/>
  <c r="F34" i="35"/>
  <c r="F32" i="35"/>
  <c r="F31" i="35"/>
  <c r="F30" i="35"/>
  <c r="F29" i="35"/>
  <c r="F28" i="35"/>
  <c r="D39" i="35"/>
  <c r="D36" i="35"/>
  <c r="D35" i="35"/>
  <c r="D34" i="35"/>
  <c r="D32" i="35"/>
  <c r="D31" i="35"/>
  <c r="D30" i="35"/>
  <c r="D29" i="35"/>
  <c r="D28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D45" i="35"/>
  <c r="C46" i="35"/>
  <c r="C47" i="35"/>
  <c r="C48" i="35"/>
  <c r="C49" i="35"/>
  <c r="C50" i="35"/>
  <c r="C51" i="35"/>
  <c r="C52" i="35"/>
  <c r="C53" i="35"/>
  <c r="C54" i="35"/>
  <c r="C55" i="35"/>
  <c r="C56" i="35"/>
  <c r="C57" i="35"/>
  <c r="C58" i="35"/>
  <c r="C59" i="35"/>
  <c r="C60" i="35"/>
  <c r="C61" i="35"/>
  <c r="C62" i="35"/>
  <c r="C45" i="35"/>
  <c r="B54" i="40"/>
  <c r="B55" i="40"/>
  <c r="B51" i="40"/>
  <c r="B44" i="40"/>
  <c r="B45" i="40"/>
  <c r="B46" i="40"/>
  <c r="B47" i="40"/>
  <c r="B48" i="40"/>
  <c r="B49" i="40"/>
  <c r="B50" i="40"/>
  <c r="B43" i="40"/>
  <c r="E69" i="37"/>
  <c r="E70" i="37"/>
  <c r="E71" i="37"/>
  <c r="E72" i="37"/>
  <c r="E73" i="37"/>
  <c r="E74" i="37"/>
  <c r="E75" i="37"/>
  <c r="E76" i="37"/>
  <c r="E77" i="37"/>
  <c r="E78" i="37"/>
  <c r="E79" i="37"/>
  <c r="E80" i="37"/>
  <c r="E68" i="37"/>
  <c r="D69" i="37"/>
  <c r="D70" i="37"/>
  <c r="D71" i="37"/>
  <c r="D72" i="37"/>
  <c r="D73" i="37"/>
  <c r="D74" i="37"/>
  <c r="D75" i="37"/>
  <c r="D76" i="37"/>
  <c r="D77" i="37"/>
  <c r="D78" i="37"/>
  <c r="D79" i="37"/>
  <c r="D80" i="37"/>
  <c r="D68" i="37"/>
  <c r="C69" i="37"/>
  <c r="C70" i="37"/>
  <c r="C71" i="37"/>
  <c r="C72" i="37"/>
  <c r="C73" i="37"/>
  <c r="C74" i="37"/>
  <c r="C75" i="37"/>
  <c r="C76" i="37"/>
  <c r="C77" i="37"/>
  <c r="C78" i="37"/>
  <c r="C79" i="37"/>
  <c r="C80" i="37"/>
  <c r="C68" i="37"/>
  <c r="F39" i="37"/>
  <c r="F36" i="37"/>
  <c r="F35" i="37"/>
  <c r="F34" i="37"/>
  <c r="F32" i="37"/>
  <c r="F31" i="37"/>
  <c r="F30" i="37"/>
  <c r="F29" i="37"/>
  <c r="F28" i="37"/>
  <c r="D39" i="37"/>
  <c r="D36" i="37"/>
  <c r="D35" i="37"/>
  <c r="D34" i="37"/>
  <c r="D32" i="37"/>
  <c r="D31" i="37"/>
  <c r="D30" i="37"/>
  <c r="D29" i="37"/>
  <c r="D28" i="37"/>
  <c r="D46" i="37"/>
  <c r="D47" i="37"/>
  <c r="D48" i="37"/>
  <c r="D49" i="37"/>
  <c r="D50" i="37"/>
  <c r="D51" i="37"/>
  <c r="D52" i="37"/>
  <c r="D53" i="37"/>
  <c r="D54" i="37"/>
  <c r="D55" i="37"/>
  <c r="D56" i="37"/>
  <c r="D57" i="37"/>
  <c r="D58" i="37"/>
  <c r="D59" i="37"/>
  <c r="D60" i="37"/>
  <c r="D61" i="37"/>
  <c r="D62" i="37"/>
  <c r="D45" i="37"/>
  <c r="C46" i="37"/>
  <c r="C47" i="37"/>
  <c r="C48" i="37"/>
  <c r="C49" i="37"/>
  <c r="C50" i="37"/>
  <c r="C51" i="37"/>
  <c r="C52" i="37"/>
  <c r="C53" i="37"/>
  <c r="C54" i="37"/>
  <c r="C55" i="37"/>
  <c r="C56" i="37"/>
  <c r="C57" i="37"/>
  <c r="C58" i="37"/>
  <c r="C59" i="37"/>
  <c r="C60" i="37"/>
  <c r="C61" i="37"/>
  <c r="C62" i="37"/>
  <c r="C45" i="37"/>
  <c r="F92" i="40" l="1"/>
  <c r="I92" i="40"/>
  <c r="C63" i="35"/>
  <c r="C64" i="35" s="1"/>
  <c r="V94" i="43"/>
  <c r="V93" i="43"/>
  <c r="P40" i="43"/>
  <c r="H42" i="41" l="1"/>
  <c r="F38" i="41"/>
  <c r="F37" i="41"/>
  <c r="F36" i="41"/>
  <c r="F35" i="41"/>
  <c r="F33" i="41"/>
  <c r="F32" i="41"/>
  <c r="F31" i="41"/>
  <c r="F30" i="41"/>
  <c r="F29" i="41"/>
  <c r="D38" i="41"/>
  <c r="D37" i="41"/>
  <c r="D36" i="41"/>
  <c r="D35" i="41"/>
  <c r="D33" i="41"/>
  <c r="D32" i="41"/>
  <c r="D31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65" i="41"/>
  <c r="C49" i="41"/>
  <c r="D34" i="43"/>
  <c r="D33" i="43"/>
  <c r="D29" i="41"/>
  <c r="F40" i="43"/>
  <c r="F39" i="43"/>
  <c r="F38" i="43"/>
  <c r="F37" i="43"/>
  <c r="F35" i="43"/>
  <c r="F33" i="43"/>
  <c r="F32" i="43"/>
  <c r="F31" i="43"/>
  <c r="D40" i="43"/>
  <c r="D39" i="43"/>
  <c r="D38" i="43"/>
  <c r="D37" i="43"/>
  <c r="D35" i="43"/>
  <c r="D32" i="43"/>
  <c r="D30" i="41" l="1"/>
  <c r="D67" i="41"/>
  <c r="E50" i="41"/>
  <c r="E51" i="41"/>
  <c r="E52" i="41"/>
  <c r="E53" i="41"/>
  <c r="E54" i="41"/>
  <c r="E55" i="41"/>
  <c r="E56" i="41"/>
  <c r="E57" i="41"/>
  <c r="E58" i="41"/>
  <c r="E59" i="41"/>
  <c r="E60" i="41"/>
  <c r="E61" i="41"/>
  <c r="E62" i="41"/>
  <c r="E63" i="41"/>
  <c r="E64" i="41"/>
  <c r="E65" i="41"/>
  <c r="D68" i="41"/>
  <c r="D50" i="41"/>
  <c r="D51" i="41"/>
  <c r="D52" i="41"/>
  <c r="D53" i="41"/>
  <c r="D54" i="41"/>
  <c r="D55" i="41"/>
  <c r="D56" i="41"/>
  <c r="D57" i="41"/>
  <c r="D58" i="41"/>
  <c r="D59" i="41"/>
  <c r="D60" i="41"/>
  <c r="D61" i="41"/>
  <c r="D62" i="41"/>
  <c r="D63" i="41"/>
  <c r="D64" i="41"/>
  <c r="D65" i="41"/>
  <c r="D66" i="41"/>
  <c r="D49" i="41"/>
  <c r="D70" i="43"/>
  <c r="D52" i="43"/>
  <c r="D53" i="43"/>
  <c r="D54" i="43"/>
  <c r="D55" i="43"/>
  <c r="D56" i="43"/>
  <c r="D57" i="43"/>
  <c r="D58" i="43"/>
  <c r="D59" i="43"/>
  <c r="D60" i="43"/>
  <c r="D61" i="43"/>
  <c r="D62" i="43"/>
  <c r="D63" i="43"/>
  <c r="D64" i="43"/>
  <c r="D65" i="43"/>
  <c r="D66" i="43"/>
  <c r="D67" i="43"/>
  <c r="D68" i="43"/>
  <c r="D51" i="43"/>
  <c r="C70" i="43"/>
  <c r="C52" i="43"/>
  <c r="C53" i="43"/>
  <c r="C54" i="43"/>
  <c r="C55" i="43"/>
  <c r="C56" i="43"/>
  <c r="C57" i="43"/>
  <c r="C58" i="43"/>
  <c r="C59" i="43"/>
  <c r="C60" i="43"/>
  <c r="C61" i="43"/>
  <c r="C62" i="43"/>
  <c r="C63" i="43"/>
  <c r="C64" i="43"/>
  <c r="C65" i="43"/>
  <c r="C66" i="43"/>
  <c r="C67" i="43"/>
  <c r="C68" i="43"/>
  <c r="C51" i="43"/>
  <c r="J54" i="5"/>
  <c r="K54" i="5"/>
  <c r="L54" i="5"/>
  <c r="M54" i="5"/>
  <c r="N54" i="5"/>
  <c r="O54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Q55" i="5"/>
  <c r="P54" i="5"/>
  <c r="C66" i="41" s="1"/>
  <c r="C67" i="41" s="1"/>
  <c r="E66" i="41" l="1"/>
  <c r="P55" i="5"/>
  <c r="Q93" i="43" l="1"/>
  <c r="Q65" i="43"/>
  <c r="AG19" i="23" l="1"/>
  <c r="AG4" i="23"/>
  <c r="Q42" i="5" l="1"/>
  <c r="P46" i="5"/>
  <c r="O46" i="5"/>
  <c r="N46" i="5"/>
  <c r="M46" i="5"/>
  <c r="O27" i="6" l="1"/>
  <c r="O26" i="6"/>
  <c r="F20" i="43"/>
  <c r="L4" i="7"/>
  <c r="N4" i="7" s="1"/>
  <c r="Q29" i="5"/>
  <c r="Q28" i="5"/>
  <c r="L44" i="43" l="1"/>
  <c r="L43" i="43"/>
  <c r="P43" i="43" s="1"/>
  <c r="L42" i="43"/>
  <c r="P42" i="43" s="1"/>
  <c r="L41" i="43"/>
  <c r="P41" i="43" s="1"/>
  <c r="L36" i="43"/>
  <c r="BH56" i="21"/>
  <c r="E39" i="43" s="1"/>
  <c r="H44" i="43"/>
  <c r="BH44" i="21"/>
  <c r="BC12" i="21"/>
  <c r="BB22" i="21"/>
  <c r="BB24" i="21"/>
  <c r="BB17" i="21"/>
  <c r="BB18" i="21"/>
  <c r="BB19" i="21"/>
  <c r="BB20" i="21"/>
  <c r="BB21" i="21"/>
  <c r="BB12" i="21"/>
  <c r="BB3" i="21"/>
  <c r="BB4" i="21"/>
  <c r="BB5" i="21"/>
  <c r="BB6" i="21"/>
  <c r="BB7" i="21"/>
  <c r="BB8" i="21"/>
  <c r="BB9" i="21"/>
  <c r="BB2" i="21"/>
  <c r="AT25" i="21"/>
  <c r="BH26" i="21"/>
  <c r="BG26" i="21"/>
  <c r="BF26" i="21"/>
  <c r="BH12" i="21"/>
  <c r="BF4" i="21"/>
  <c r="O17" i="6"/>
  <c r="O16" i="6"/>
  <c r="O18" i="6" s="1"/>
  <c r="O5" i="6"/>
  <c r="O68" i="6"/>
  <c r="O67" i="6"/>
  <c r="P67" i="6" s="1"/>
  <c r="O37" i="6"/>
  <c r="O38" i="6"/>
  <c r="O44" i="6"/>
  <c r="O45" i="6"/>
  <c r="O48" i="6"/>
  <c r="O33" i="6"/>
  <c r="O73" i="6"/>
  <c r="O63" i="6"/>
  <c r="O62" i="6"/>
  <c r="O59" i="6"/>
  <c r="U17" i="36"/>
  <c r="U21" i="36" s="1"/>
  <c r="O17" i="36"/>
  <c r="O21" i="36" s="1"/>
  <c r="P17" i="36"/>
  <c r="P21" i="36" s="1"/>
  <c r="O51" i="6" l="1"/>
  <c r="O70" i="6"/>
  <c r="BH42" i="21"/>
  <c r="BF10" i="21"/>
  <c r="BF14" i="21" s="1"/>
  <c r="BF28" i="21" s="1"/>
  <c r="O4" i="6"/>
  <c r="O74" i="6"/>
  <c r="O9" i="6"/>
  <c r="O13" i="6" s="1"/>
  <c r="O8" i="6"/>
  <c r="O28" i="6"/>
  <c r="O23" i="6"/>
  <c r="F14" i="40"/>
  <c r="F15" i="40"/>
  <c r="F16" i="40"/>
  <c r="F17" i="40"/>
  <c r="I17" i="40" s="1"/>
  <c r="CS59" i="18"/>
  <c r="B12" i="40" s="1"/>
  <c r="F12" i="40" s="1"/>
  <c r="H17" i="40"/>
  <c r="G17" i="40"/>
  <c r="H16" i="40"/>
  <c r="G15" i="40"/>
  <c r="H14" i="40"/>
  <c r="CR13" i="18"/>
  <c r="CR10" i="18" s="1"/>
  <c r="CP18" i="18"/>
  <c r="CP19" i="18"/>
  <c r="CP20" i="18"/>
  <c r="CP21" i="18"/>
  <c r="CP22" i="18"/>
  <c r="CP23" i="18"/>
  <c r="CP24" i="18"/>
  <c r="CP25" i="18"/>
  <c r="CO19" i="18"/>
  <c r="CO20" i="18"/>
  <c r="CO21" i="18"/>
  <c r="CO22" i="18"/>
  <c r="CO23" i="18"/>
  <c r="CO24" i="18"/>
  <c r="CO25" i="18"/>
  <c r="CO18" i="18"/>
  <c r="CP13" i="18"/>
  <c r="CO13" i="18"/>
  <c r="CP2" i="18"/>
  <c r="CP3" i="18"/>
  <c r="CP4" i="18"/>
  <c r="CP6" i="18"/>
  <c r="CP7" i="18"/>
  <c r="CP8" i="18"/>
  <c r="CP9" i="18"/>
  <c r="CO3" i="18"/>
  <c r="CO4" i="18"/>
  <c r="CO5" i="18"/>
  <c r="CO6" i="18"/>
  <c r="CO7" i="18"/>
  <c r="CO8" i="18"/>
  <c r="CO9" i="18"/>
  <c r="CO2" i="18"/>
  <c r="CJ18" i="18"/>
  <c r="CJ19" i="18"/>
  <c r="CJ20" i="18"/>
  <c r="CJ21" i="18"/>
  <c r="CJ22" i="18"/>
  <c r="CJ23" i="18"/>
  <c r="CJ25" i="18"/>
  <c r="CI19" i="18"/>
  <c r="CI20" i="18"/>
  <c r="CI21" i="18"/>
  <c r="CI22" i="18"/>
  <c r="CI23" i="18"/>
  <c r="CI25" i="18"/>
  <c r="CI18" i="18"/>
  <c r="CJ2" i="18"/>
  <c r="CJ3" i="18"/>
  <c r="CJ5" i="18"/>
  <c r="CJ6" i="18"/>
  <c r="CJ7" i="18"/>
  <c r="CJ8" i="18"/>
  <c r="CJ9" i="18"/>
  <c r="CI3" i="18"/>
  <c r="CI5" i="18"/>
  <c r="CI6" i="18"/>
  <c r="CI7" i="18"/>
  <c r="CI8" i="18"/>
  <c r="CI9" i="18"/>
  <c r="CI2" i="18"/>
  <c r="CF27" i="18"/>
  <c r="CG27" i="18"/>
  <c r="CD18" i="18"/>
  <c r="CD19" i="18"/>
  <c r="CD20" i="18"/>
  <c r="CD21" i="18"/>
  <c r="CD22" i="18"/>
  <c r="CD23" i="18"/>
  <c r="CD25" i="18"/>
  <c r="CC19" i="18"/>
  <c r="CC20" i="18"/>
  <c r="CC21" i="18"/>
  <c r="CC22" i="18"/>
  <c r="CC23" i="18"/>
  <c r="CC25" i="18"/>
  <c r="CC18" i="18"/>
  <c r="CE9" i="18"/>
  <c r="CG9" i="18" s="1"/>
  <c r="CC9" i="18"/>
  <c r="CD9" i="18"/>
  <c r="CD13" i="18"/>
  <c r="CC13" i="18"/>
  <c r="CD2" i="18"/>
  <c r="CD3" i="18"/>
  <c r="CD5" i="18"/>
  <c r="CD6" i="18"/>
  <c r="CD7" i="18"/>
  <c r="CD8" i="18"/>
  <c r="CC3" i="18"/>
  <c r="CC5" i="18"/>
  <c r="CC6" i="18"/>
  <c r="CC7" i="18"/>
  <c r="CC8" i="18"/>
  <c r="CC2" i="18"/>
  <c r="M15" i="7"/>
  <c r="M6" i="7"/>
  <c r="I50" i="6"/>
  <c r="H50" i="6"/>
  <c r="G50" i="6"/>
  <c r="P77" i="5"/>
  <c r="P78" i="5"/>
  <c r="P66" i="5"/>
  <c r="P67" i="5"/>
  <c r="L34" i="43"/>
  <c r="Q37" i="5"/>
  <c r="L39" i="43" l="1"/>
  <c r="L38" i="43"/>
  <c r="O30" i="6"/>
  <c r="O75" i="6" s="1"/>
  <c r="E10" i="43"/>
  <c r="M14" i="7"/>
  <c r="M16" i="7" s="1"/>
  <c r="E18" i="43"/>
  <c r="O12" i="6"/>
  <c r="N40" i="6"/>
  <c r="P44" i="5"/>
  <c r="O44" i="5"/>
  <c r="N44" i="5"/>
  <c r="M44" i="5"/>
  <c r="P40" i="5"/>
  <c r="O40" i="5"/>
  <c r="N40" i="5"/>
  <c r="M40" i="5"/>
  <c r="G48" i="23"/>
  <c r="H48" i="23"/>
  <c r="I48" i="23"/>
  <c r="J48" i="23"/>
  <c r="K48" i="23"/>
  <c r="L48" i="23"/>
  <c r="M48" i="23"/>
  <c r="N48" i="23"/>
  <c r="O48" i="23"/>
  <c r="P48" i="23"/>
  <c r="F48" i="23"/>
  <c r="P46" i="23"/>
  <c r="O46" i="23"/>
  <c r="O49" i="23" s="1"/>
  <c r="N46" i="23"/>
  <c r="N49" i="23" s="1"/>
  <c r="M46" i="23"/>
  <c r="M49" i="23" s="1"/>
  <c r="L46" i="23"/>
  <c r="L49" i="23" s="1"/>
  <c r="K46" i="23"/>
  <c r="K49" i="23" s="1"/>
  <c r="J46" i="23"/>
  <c r="J49" i="23" s="1"/>
  <c r="I46" i="23"/>
  <c r="I31" i="23"/>
  <c r="I49" i="23" s="1"/>
  <c r="H46" i="23"/>
  <c r="H49" i="23" s="1"/>
  <c r="G46" i="23"/>
  <c r="G49" i="23" s="1"/>
  <c r="F46" i="23"/>
  <c r="F49" i="23" s="1"/>
  <c r="D31" i="43" l="1"/>
  <c r="L37" i="43"/>
  <c r="P49" i="23"/>
  <c r="BB23" i="21"/>
  <c r="N50" i="6"/>
  <c r="O64" i="6"/>
  <c r="O19" i="19"/>
  <c r="Y15" i="19" s="1"/>
  <c r="P19" i="19"/>
  <c r="Z15" i="19" s="1"/>
  <c r="N51" i="6" l="1"/>
  <c r="Z16" i="19"/>
  <c r="Y16" i="19"/>
  <c r="Y17" i="19"/>
  <c r="Z17" i="19"/>
  <c r="Y11" i="19"/>
  <c r="Y18" i="19"/>
  <c r="Y7" i="19"/>
  <c r="Z7" i="19"/>
  <c r="Y8" i="19"/>
  <c r="Z8" i="19"/>
  <c r="Z9" i="19"/>
  <c r="Y10" i="19"/>
  <c r="Z11" i="19"/>
  <c r="Y12" i="19"/>
  <c r="Z12" i="19"/>
  <c r="Y13" i="19"/>
  <c r="Z13" i="19"/>
  <c r="Y14" i="19"/>
  <c r="Z14" i="19"/>
  <c r="Z18" i="19"/>
  <c r="Y9" i="19"/>
  <c r="Z10" i="19"/>
  <c r="N22" i="23"/>
  <c r="O22" i="23" s="1"/>
  <c r="N21" i="23"/>
  <c r="O21" i="23" s="1"/>
  <c r="P22" i="23"/>
  <c r="Q22" i="23" s="1"/>
  <c r="P21" i="23"/>
  <c r="Q21" i="23" s="1"/>
  <c r="R22" i="23"/>
  <c r="S22" i="23" s="1"/>
  <c r="R21" i="23"/>
  <c r="S21" i="23" s="1"/>
  <c r="Q17" i="36"/>
  <c r="Q33" i="36" s="1"/>
  <c r="Q44" i="17"/>
  <c r="O44" i="17"/>
  <c r="Q34" i="17"/>
  <c r="Q47" i="17" s="1"/>
  <c r="P34" i="17"/>
  <c r="P48" i="17" s="1"/>
  <c r="O34" i="17"/>
  <c r="O45" i="17" s="1"/>
  <c r="Q14" i="17"/>
  <c r="Q29" i="17" s="1"/>
  <c r="P14" i="17"/>
  <c r="P29" i="17" s="1"/>
  <c r="O14" i="17"/>
  <c r="O30" i="17" s="1"/>
  <c r="T22" i="23"/>
  <c r="U22" i="23" s="1"/>
  <c r="T21" i="23"/>
  <c r="U21" i="23" s="1"/>
  <c r="V22" i="23"/>
  <c r="W22" i="23" s="1"/>
  <c r="V21" i="23"/>
  <c r="W21" i="23" s="1"/>
  <c r="X22" i="23"/>
  <c r="Y22" i="23" s="1"/>
  <c r="X21" i="23"/>
  <c r="Y21" i="23" s="1"/>
  <c r="Z22" i="23"/>
  <c r="AA22" i="23" s="1"/>
  <c r="Z21" i="23"/>
  <c r="AA21" i="23" s="1"/>
  <c r="AB21" i="23"/>
  <c r="AC21" i="23" s="1"/>
  <c r="AD21" i="23"/>
  <c r="Q61" i="5"/>
  <c r="Q67" i="5" s="1"/>
  <c r="AF21" i="23"/>
  <c r="AI5" i="23"/>
  <c r="CP5" i="18" s="1"/>
  <c r="P44" i="17"/>
  <c r="Q17" i="5"/>
  <c r="Q16" i="5"/>
  <c r="Q4" i="5" s="1"/>
  <c r="L4" i="5"/>
  <c r="M4" i="5"/>
  <c r="N4" i="5"/>
  <c r="O4" i="5"/>
  <c r="L5" i="5"/>
  <c r="M5" i="5"/>
  <c r="N5" i="5"/>
  <c r="O5" i="5"/>
  <c r="D11" i="43" l="1"/>
  <c r="L33" i="43"/>
  <c r="L32" i="43"/>
  <c r="P22" i="17"/>
  <c r="D69" i="43"/>
  <c r="AG21" i="23"/>
  <c r="CL13" i="18" s="1"/>
  <c r="O47" i="17"/>
  <c r="Q27" i="17"/>
  <c r="P45" i="17"/>
  <c r="Q36" i="36"/>
  <c r="Q47" i="36" s="1"/>
  <c r="C13" i="40" s="1"/>
  <c r="G13" i="40" s="1"/>
  <c r="P30" i="17"/>
  <c r="Q43" i="17" s="1"/>
  <c r="Q45" i="17"/>
  <c r="Q46" i="36"/>
  <c r="C12" i="40" s="1"/>
  <c r="Q30" i="17"/>
  <c r="Q22" i="17"/>
  <c r="Q25" i="36"/>
  <c r="P23" i="17"/>
  <c r="Q42" i="17" s="1"/>
  <c r="P41" i="17"/>
  <c r="Q26" i="36"/>
  <c r="Q21" i="36"/>
  <c r="O23" i="17"/>
  <c r="P42" i="17" s="1"/>
  <c r="Q23" i="17"/>
  <c r="Q41" i="17"/>
  <c r="Q27" i="36"/>
  <c r="Q5" i="5"/>
  <c r="P26" i="17"/>
  <c r="Q37" i="17" s="1"/>
  <c r="Q28" i="36"/>
  <c r="Q26" i="17"/>
  <c r="Q29" i="36"/>
  <c r="O27" i="17"/>
  <c r="P40" i="17" s="1"/>
  <c r="Q30" i="36"/>
  <c r="P27" i="17"/>
  <c r="Q40" i="17" s="1"/>
  <c r="Q32" i="36"/>
  <c r="Q31" i="36"/>
  <c r="O24" i="17"/>
  <c r="P36" i="17" s="1"/>
  <c r="P43" i="17"/>
  <c r="O29" i="17"/>
  <c r="O48" i="17"/>
  <c r="P24" i="17"/>
  <c r="P28" i="17"/>
  <c r="Q46" i="17" s="1"/>
  <c r="P47" i="17"/>
  <c r="Q24" i="17"/>
  <c r="Q28" i="17"/>
  <c r="Q39" i="17"/>
  <c r="O18" i="17"/>
  <c r="P18" i="17"/>
  <c r="P25" i="17"/>
  <c r="Q38" i="17" s="1"/>
  <c r="Q18" i="17"/>
  <c r="Q25" i="17"/>
  <c r="Q48" i="17"/>
  <c r="O28" i="17"/>
  <c r="P46" i="17" s="1"/>
  <c r="O25" i="17"/>
  <c r="P38" i="17" s="1"/>
  <c r="O22" i="17"/>
  <c r="P39" i="17" s="1"/>
  <c r="O26" i="17"/>
  <c r="P37" i="17" s="1"/>
  <c r="O41" i="17"/>
  <c r="AE21" i="23"/>
  <c r="CF13" i="18" s="1"/>
  <c r="CJ4" i="18"/>
  <c r="AF19" i="23"/>
  <c r="AF4" i="23"/>
  <c r="AE19" i="23"/>
  <c r="AE4" i="23"/>
  <c r="CD4" i="18" s="1"/>
  <c r="AD19" i="23"/>
  <c r="AD4" i="23"/>
  <c r="CC4" i="18" s="1"/>
  <c r="AC19" i="23"/>
  <c r="AC4" i="23"/>
  <c r="AB4" i="23"/>
  <c r="AB19" i="23"/>
  <c r="CS27" i="18"/>
  <c r="CR27" i="18"/>
  <c r="CQ26" i="18"/>
  <c r="CQ18" i="18"/>
  <c r="CQ17" i="18"/>
  <c r="CQ9" i="18"/>
  <c r="CS9" i="18" s="1"/>
  <c r="CQ7" i="18"/>
  <c r="CS7" i="18" s="1"/>
  <c r="CQ3" i="18"/>
  <c r="CS3" i="18" s="1"/>
  <c r="L40" i="43" l="1"/>
  <c r="Q38" i="36"/>
  <c r="C4" i="40" s="1"/>
  <c r="G4" i="40" s="1"/>
  <c r="CD24" i="18"/>
  <c r="CJ24" i="18"/>
  <c r="Q41" i="36"/>
  <c r="C7" i="40" s="1"/>
  <c r="G7" i="40" s="1"/>
  <c r="E11" i="43"/>
  <c r="F11" i="43" s="1"/>
  <c r="O53" i="6"/>
  <c r="CI24" i="18"/>
  <c r="CC24" i="18"/>
  <c r="AF22" i="23"/>
  <c r="AG22" i="23" s="1"/>
  <c r="CI4" i="18"/>
  <c r="Q44" i="36"/>
  <c r="C10" i="40" s="1"/>
  <c r="Q43" i="36"/>
  <c r="C9" i="40" s="1"/>
  <c r="Q40" i="36"/>
  <c r="C6" i="40" s="1"/>
  <c r="Q42" i="36"/>
  <c r="C8" i="40" s="1"/>
  <c r="G8" i="40" s="1"/>
  <c r="Q39" i="36"/>
  <c r="C5" i="40" s="1"/>
  <c r="Q31" i="17"/>
  <c r="P31" i="17"/>
  <c r="Q45" i="36"/>
  <c r="C11" i="40" s="1"/>
  <c r="AD22" i="23"/>
  <c r="Q34" i="36"/>
  <c r="P49" i="17"/>
  <c r="O31" i="17"/>
  <c r="Q36" i="17"/>
  <c r="Q49" i="17" s="1"/>
  <c r="AB22" i="23"/>
  <c r="AC22" i="23" s="1"/>
  <c r="CO11" i="18"/>
  <c r="CO15" i="18" s="1"/>
  <c r="CQ8" i="18"/>
  <c r="CQ5" i="18"/>
  <c r="CS5" i="18" s="1"/>
  <c r="CO27" i="18"/>
  <c r="AH23" i="23"/>
  <c r="CQ6" i="18"/>
  <c r="CS6" i="18" s="1"/>
  <c r="CQ13" i="18"/>
  <c r="CS13" i="18" s="1"/>
  <c r="CS44" i="18" s="1"/>
  <c r="CQ2" i="18"/>
  <c r="CS2" i="18" s="1"/>
  <c r="CP11" i="18"/>
  <c r="CP15" i="18" s="1"/>
  <c r="Q90" i="5"/>
  <c r="Q87" i="5"/>
  <c r="Q76" i="5"/>
  <c r="E7" i="43"/>
  <c r="E15" i="43" s="1"/>
  <c r="Q31" i="5"/>
  <c r="Q25" i="5"/>
  <c r="Q9" i="5"/>
  <c r="Q13" i="5" s="1"/>
  <c r="Q114" i="43"/>
  <c r="E88" i="43"/>
  <c r="D88" i="43"/>
  <c r="C88" i="43"/>
  <c r="E87" i="43"/>
  <c r="D87" i="43"/>
  <c r="C87" i="43"/>
  <c r="Q90" i="43"/>
  <c r="Q94" i="43" s="1"/>
  <c r="E86" i="43"/>
  <c r="D86" i="43"/>
  <c r="C86" i="43"/>
  <c r="E85" i="43"/>
  <c r="D85" i="43"/>
  <c r="C85" i="43"/>
  <c r="E84" i="43"/>
  <c r="D84" i="43"/>
  <c r="C84" i="43"/>
  <c r="H83" i="43"/>
  <c r="E83" i="43"/>
  <c r="A83" i="43"/>
  <c r="H82" i="43"/>
  <c r="A82" i="43"/>
  <c r="H81" i="43"/>
  <c r="A81" i="43"/>
  <c r="H80" i="43"/>
  <c r="E80" i="43"/>
  <c r="C80" i="43"/>
  <c r="A80" i="43"/>
  <c r="H79" i="43"/>
  <c r="E79" i="43"/>
  <c r="A79" i="43"/>
  <c r="H78" i="43"/>
  <c r="E78" i="43"/>
  <c r="C78" i="43"/>
  <c r="A78" i="43"/>
  <c r="H77" i="43"/>
  <c r="E77" i="43"/>
  <c r="A77" i="43"/>
  <c r="H76" i="43"/>
  <c r="A76" i="43"/>
  <c r="H75" i="43"/>
  <c r="E75" i="43"/>
  <c r="A75" i="43"/>
  <c r="E61" i="43"/>
  <c r="E56" i="43"/>
  <c r="E55" i="43"/>
  <c r="E60" i="43"/>
  <c r="E82" i="43"/>
  <c r="E81" i="43"/>
  <c r="E67" i="43"/>
  <c r="E58" i="43"/>
  <c r="E66" i="43"/>
  <c r="E65" i="43"/>
  <c r="E64" i="43"/>
  <c r="E63" i="43"/>
  <c r="E62" i="43"/>
  <c r="E53" i="43"/>
  <c r="U90" i="43"/>
  <c r="U94" i="43" s="1"/>
  <c r="E57" i="43"/>
  <c r="V45" i="43"/>
  <c r="Q45" i="43"/>
  <c r="H45" i="43"/>
  <c r="H46" i="43" s="1"/>
  <c r="U40" i="43"/>
  <c r="U45" i="43" s="1"/>
  <c r="U93" i="43" s="1"/>
  <c r="AE22" i="23" l="1"/>
  <c r="CD26" i="18" s="1"/>
  <c r="CD27" i="18" s="1"/>
  <c r="CC26" i="18"/>
  <c r="CC27" i="18" s="1"/>
  <c r="CL10" i="18"/>
  <c r="Q50" i="36"/>
  <c r="E6" i="43"/>
  <c r="E14" i="43" s="1"/>
  <c r="CS66" i="18"/>
  <c r="Q95" i="43"/>
  <c r="R93" i="43" s="1"/>
  <c r="Q48" i="36"/>
  <c r="E54" i="43"/>
  <c r="CQ4" i="18"/>
  <c r="CS4" i="18" s="1"/>
  <c r="Q33" i="5"/>
  <c r="C83" i="43"/>
  <c r="L31" i="43"/>
  <c r="AI23" i="23"/>
  <c r="AI25" i="23" s="1"/>
  <c r="CS8" i="18"/>
  <c r="CO29" i="18"/>
  <c r="E51" i="43"/>
  <c r="U95" i="43"/>
  <c r="F45" i="43"/>
  <c r="E76" i="43"/>
  <c r="E89" i="43" s="1"/>
  <c r="C82" i="43"/>
  <c r="E59" i="43"/>
  <c r="R194" i="22"/>
  <c r="R94" i="43" l="1"/>
  <c r="CF10" i="18"/>
  <c r="CG10" i="18" s="1"/>
  <c r="Q57" i="5"/>
  <c r="AW2" i="19"/>
  <c r="Q52" i="36"/>
  <c r="Q101" i="43"/>
  <c r="Q116" i="43" s="1"/>
  <c r="Q97" i="43"/>
  <c r="CQ11" i="18"/>
  <c r="CQ15" i="18" s="1"/>
  <c r="C81" i="43"/>
  <c r="Q60" i="5"/>
  <c r="Q66" i="5" s="1"/>
  <c r="Q34" i="5"/>
  <c r="C75" i="43"/>
  <c r="C77" i="43"/>
  <c r="C76" i="43"/>
  <c r="E16" i="43" l="1"/>
  <c r="C194" i="22"/>
  <c r="D194" i="22"/>
  <c r="B194" i="22"/>
  <c r="B191" i="22"/>
  <c r="C191" i="22"/>
  <c r="D191" i="22"/>
  <c r="R191" i="22"/>
  <c r="B192" i="22"/>
  <c r="C192" i="22"/>
  <c r="D192" i="22"/>
  <c r="R192" i="22"/>
  <c r="B193" i="22"/>
  <c r="C193" i="22"/>
  <c r="D193" i="22"/>
  <c r="R193" i="22"/>
  <c r="E175" i="22"/>
  <c r="F175" i="22" s="1"/>
  <c r="E174" i="22"/>
  <c r="E173" i="22"/>
  <c r="F173" i="22" s="1"/>
  <c r="E172" i="22"/>
  <c r="F172" i="22" s="1"/>
  <c r="E156" i="22"/>
  <c r="F156" i="22" s="1"/>
  <c r="E155" i="22"/>
  <c r="F155" i="22" s="1"/>
  <c r="E154" i="22"/>
  <c r="E153" i="22"/>
  <c r="F153" i="22" s="1"/>
  <c r="E137" i="22"/>
  <c r="E136" i="22"/>
  <c r="F136" i="22" s="1"/>
  <c r="E135" i="22"/>
  <c r="E134" i="22"/>
  <c r="E118" i="22"/>
  <c r="E117" i="22"/>
  <c r="F117" i="22" s="1"/>
  <c r="E116" i="22"/>
  <c r="E115" i="22"/>
  <c r="E99" i="22"/>
  <c r="F99" i="22" s="1"/>
  <c r="E98" i="22"/>
  <c r="E97" i="22"/>
  <c r="E96" i="22"/>
  <c r="F96" i="22" s="1"/>
  <c r="E80" i="22"/>
  <c r="E79" i="22"/>
  <c r="F79" i="22" s="1"/>
  <c r="E78" i="22"/>
  <c r="E77" i="22"/>
  <c r="E61" i="22"/>
  <c r="F61" i="22" s="1"/>
  <c r="E60" i="22"/>
  <c r="E59" i="22"/>
  <c r="F59" i="22" s="1"/>
  <c r="E58" i="22"/>
  <c r="F58" i="22" s="1"/>
  <c r="E42" i="22"/>
  <c r="E41" i="22"/>
  <c r="F41" i="22" s="1"/>
  <c r="E40" i="22"/>
  <c r="E39" i="22"/>
  <c r="E20" i="22"/>
  <c r="E21" i="22"/>
  <c r="E22" i="22"/>
  <c r="F22" i="22" s="1"/>
  <c r="E23" i="22"/>
  <c r="F23" i="22" s="1"/>
  <c r="E194" i="22" l="1"/>
  <c r="F194" i="22" s="1"/>
  <c r="E193" i="22"/>
  <c r="F193" i="22" s="1"/>
  <c r="F20" i="22"/>
  <c r="E191" i="22"/>
  <c r="E192" i="22"/>
  <c r="F192" i="22" s="1"/>
  <c r="F174" i="22"/>
  <c r="F154" i="22"/>
  <c r="F135" i="22"/>
  <c r="F137" i="22"/>
  <c r="F134" i="22"/>
  <c r="F116" i="22"/>
  <c r="F115" i="22"/>
  <c r="F118" i="22"/>
  <c r="F21" i="22"/>
  <c r="F98" i="22"/>
  <c r="F97" i="22"/>
  <c r="F78" i="22"/>
  <c r="F77" i="22"/>
  <c r="F80" i="22"/>
  <c r="F60" i="22"/>
  <c r="F39" i="22"/>
  <c r="F42" i="22"/>
  <c r="F40" i="22"/>
  <c r="I54" i="5"/>
  <c r="H54" i="5"/>
  <c r="G54" i="5"/>
  <c r="F191" i="22" l="1"/>
  <c r="Q85" i="41"/>
  <c r="Q89" i="41" s="1"/>
  <c r="Q109" i="41"/>
  <c r="Q8" i="5" l="1"/>
  <c r="Q19" i="5"/>
  <c r="Q92" i="5"/>
  <c r="Q91" i="5"/>
  <c r="Q93" i="5"/>
  <c r="C6" i="7"/>
  <c r="C14" i="7" s="1"/>
  <c r="C16" i="7" s="1"/>
  <c r="D6" i="7"/>
  <c r="E6" i="7"/>
  <c r="E14" i="7" s="1"/>
  <c r="E16" i="7" s="1"/>
  <c r="F6" i="7"/>
  <c r="F14" i="7" s="1"/>
  <c r="F16" i="7" s="1"/>
  <c r="G6" i="7"/>
  <c r="G14" i="7" s="1"/>
  <c r="G16" i="7" s="1"/>
  <c r="H6" i="7"/>
  <c r="H14" i="7" s="1"/>
  <c r="H16" i="7" s="1"/>
  <c r="I6" i="7"/>
  <c r="J6" i="7"/>
  <c r="B18" i="43" s="1"/>
  <c r="K6" i="7"/>
  <c r="C18" i="43" s="1"/>
  <c r="L6" i="7"/>
  <c r="D18" i="43" s="1"/>
  <c r="B6" i="7"/>
  <c r="B14" i="7" s="1"/>
  <c r="B16" i="7" s="1"/>
  <c r="F18" i="43" l="1"/>
  <c r="L14" i="7"/>
  <c r="L16" i="7" s="1"/>
  <c r="L18" i="7" s="1"/>
  <c r="I14" i="7"/>
  <c r="I16" i="7" s="1"/>
  <c r="E52" i="43"/>
  <c r="K14" i="7"/>
  <c r="K16" i="7" s="1"/>
  <c r="Q12" i="5"/>
  <c r="J14" i="7"/>
  <c r="J16" i="7" s="1"/>
  <c r="D14" i="7"/>
  <c r="D16" i="7" s="1"/>
  <c r="Q22" i="41"/>
  <c r="E86" i="41" l="1"/>
  <c r="D86" i="41"/>
  <c r="C86" i="41"/>
  <c r="E74" i="41"/>
  <c r="E75" i="41"/>
  <c r="E76" i="41"/>
  <c r="E77" i="41"/>
  <c r="E78" i="41"/>
  <c r="E81" i="41"/>
  <c r="E82" i="41"/>
  <c r="E83" i="41"/>
  <c r="E84" i="41"/>
  <c r="E85" i="41"/>
  <c r="E73" i="41"/>
  <c r="D82" i="41"/>
  <c r="C76" i="41"/>
  <c r="C78" i="41"/>
  <c r="C82" i="41"/>
  <c r="C83" i="41"/>
  <c r="C84" i="41"/>
  <c r="C85" i="41"/>
  <c r="U38" i="41" l="1"/>
  <c r="U50" i="41" l="1"/>
  <c r="U85" i="41" s="1"/>
  <c r="V43" i="41" l="1"/>
  <c r="W29" i="41"/>
  <c r="F18" i="41" l="1"/>
  <c r="N34" i="19"/>
  <c r="Q18" i="19" l="1"/>
  <c r="Q17" i="19"/>
  <c r="Q16" i="19"/>
  <c r="Q15" i="19"/>
  <c r="Q14" i="19"/>
  <c r="Q13" i="19"/>
  <c r="Q12" i="19"/>
  <c r="Q11" i="19"/>
  <c r="Q10" i="19"/>
  <c r="Q9" i="19"/>
  <c r="Q8" i="19"/>
  <c r="Q7" i="19"/>
  <c r="Q19" i="19" l="1"/>
  <c r="AA7" i="19" s="1"/>
  <c r="AO7" i="19" s="1"/>
  <c r="AA8" i="19"/>
  <c r="AO8" i="19" s="1"/>
  <c r="AA9" i="19"/>
  <c r="AO9" i="19" s="1"/>
  <c r="AA10" i="19"/>
  <c r="AO10" i="19" s="1"/>
  <c r="AA11" i="19"/>
  <c r="AO11" i="19" s="1"/>
  <c r="AW11" i="19" s="1"/>
  <c r="D8" i="40" s="1"/>
  <c r="H8" i="40" s="1"/>
  <c r="AA12" i="19"/>
  <c r="AO12" i="19" s="1"/>
  <c r="AA13" i="19"/>
  <c r="AO13" i="19" s="1"/>
  <c r="AA14" i="19"/>
  <c r="AO14" i="19" s="1"/>
  <c r="AA15" i="19"/>
  <c r="AO15" i="19" s="1"/>
  <c r="AW15" i="19" s="1"/>
  <c r="AA16" i="19"/>
  <c r="AO16" i="19" s="1"/>
  <c r="AA17" i="19"/>
  <c r="AO17" i="19" s="1"/>
  <c r="AW17" i="19" s="1"/>
  <c r="D13" i="40" s="1"/>
  <c r="H13" i="40" s="1"/>
  <c r="AA18" i="19"/>
  <c r="AO18" i="19" s="1"/>
  <c r="G31" i="40"/>
  <c r="H31" i="40"/>
  <c r="G33" i="40"/>
  <c r="F32" i="40"/>
  <c r="BD11" i="18"/>
  <c r="AX11" i="18"/>
  <c r="AR11" i="18"/>
  <c r="AL11" i="18"/>
  <c r="AF11" i="18"/>
  <c r="Z11" i="18"/>
  <c r="T11" i="18"/>
  <c r="N11" i="18"/>
  <c r="H11" i="18"/>
  <c r="G17" i="36"/>
  <c r="H17" i="36"/>
  <c r="I17" i="36"/>
  <c r="J17" i="36"/>
  <c r="K17" i="36"/>
  <c r="L17" i="36"/>
  <c r="M17" i="36"/>
  <c r="N17" i="36"/>
  <c r="AP18" i="19" l="1"/>
  <c r="AW18" i="19"/>
  <c r="D15" i="40" s="1"/>
  <c r="H15" i="40" s="1"/>
  <c r="I15" i="40" s="1"/>
  <c r="B42" i="43" s="1"/>
  <c r="AP14" i="19"/>
  <c r="AW14" i="19"/>
  <c r="D11" i="40" s="1"/>
  <c r="H11" i="40" s="1"/>
  <c r="AP16" i="19"/>
  <c r="AW16" i="19"/>
  <c r="D12" i="40" s="1"/>
  <c r="H12" i="40" s="1"/>
  <c r="AP10" i="19"/>
  <c r="AW10" i="19"/>
  <c r="D7" i="40" s="1"/>
  <c r="H7" i="40" s="1"/>
  <c r="AP13" i="19"/>
  <c r="AW13" i="19"/>
  <c r="D10" i="40" s="1"/>
  <c r="H10" i="40" s="1"/>
  <c r="AP9" i="19"/>
  <c r="AW9" i="19"/>
  <c r="D6" i="40" s="1"/>
  <c r="H6" i="40" s="1"/>
  <c r="AP12" i="19"/>
  <c r="AW12" i="19"/>
  <c r="D9" i="40" s="1"/>
  <c r="H9" i="40" s="1"/>
  <c r="AP8" i="19"/>
  <c r="AW8" i="19"/>
  <c r="D5" i="40" s="1"/>
  <c r="H5" i="40" s="1"/>
  <c r="AP7" i="19"/>
  <c r="AW7" i="19"/>
  <c r="D4" i="40" s="1"/>
  <c r="AO19" i="19"/>
  <c r="AP11" i="19"/>
  <c r="AA19" i="19"/>
  <c r="D85" i="41"/>
  <c r="D83" i="41"/>
  <c r="BD12" i="21"/>
  <c r="P50" i="23"/>
  <c r="BD26" i="21"/>
  <c r="BC26" i="21"/>
  <c r="C74" i="41"/>
  <c r="C81" i="41"/>
  <c r="C79" i="41"/>
  <c r="C77" i="41"/>
  <c r="C73" i="41"/>
  <c r="E79" i="41"/>
  <c r="E80" i="41"/>
  <c r="N5" i="6"/>
  <c r="BD44" i="21"/>
  <c r="C34" i="40"/>
  <c r="BU59" i="18"/>
  <c r="G46" i="36"/>
  <c r="H46" i="36"/>
  <c r="I46" i="36"/>
  <c r="J46" i="36"/>
  <c r="K46" i="36"/>
  <c r="L46" i="36"/>
  <c r="C32" i="20" s="1"/>
  <c r="M46" i="36"/>
  <c r="N46" i="36"/>
  <c r="O46" i="36"/>
  <c r="G36" i="36"/>
  <c r="H36" i="36"/>
  <c r="I36" i="36"/>
  <c r="J36" i="36"/>
  <c r="K36" i="36"/>
  <c r="O36" i="36"/>
  <c r="CG59" i="18"/>
  <c r="CA59" i="18"/>
  <c r="P32" i="36"/>
  <c r="H35" i="40"/>
  <c r="P9" i="5"/>
  <c r="T17" i="36"/>
  <c r="T21" i="36" s="1"/>
  <c r="CJ13" i="18"/>
  <c r="CI13" i="18"/>
  <c r="BW25" i="18"/>
  <c r="BX25" i="18"/>
  <c r="CM27" i="18"/>
  <c r="CL27" i="18"/>
  <c r="CK26" i="18"/>
  <c r="CK18" i="18"/>
  <c r="CK17" i="18"/>
  <c r="N19" i="19"/>
  <c r="E16" i="41"/>
  <c r="J70" i="6"/>
  <c r="K70" i="6"/>
  <c r="L70" i="6"/>
  <c r="C70" i="6"/>
  <c r="D70" i="6"/>
  <c r="E70" i="6"/>
  <c r="F70" i="6"/>
  <c r="G70" i="6"/>
  <c r="H70" i="6"/>
  <c r="I70" i="6"/>
  <c r="B70" i="6"/>
  <c r="C59" i="6"/>
  <c r="D59" i="6"/>
  <c r="F51" i="23" s="1"/>
  <c r="B59" i="6"/>
  <c r="K23" i="6"/>
  <c r="C51" i="6"/>
  <c r="D51" i="6"/>
  <c r="E51" i="6"/>
  <c r="F51" i="6"/>
  <c r="G51" i="6"/>
  <c r="H51" i="6"/>
  <c r="I51" i="6"/>
  <c r="B51" i="6"/>
  <c r="M40" i="6"/>
  <c r="M50" i="6" s="1"/>
  <c r="L40" i="6"/>
  <c r="L50" i="6" s="1"/>
  <c r="K40" i="6"/>
  <c r="K50" i="6" s="1"/>
  <c r="J40" i="6"/>
  <c r="J50" i="6" s="1"/>
  <c r="E23" i="6"/>
  <c r="F23" i="6"/>
  <c r="G23" i="6"/>
  <c r="H23" i="6"/>
  <c r="I23" i="6"/>
  <c r="J23" i="6"/>
  <c r="L23" i="6"/>
  <c r="M23" i="6"/>
  <c r="P90" i="5"/>
  <c r="P87" i="5"/>
  <c r="P76" i="5"/>
  <c r="P31" i="5"/>
  <c r="D90" i="5"/>
  <c r="E90" i="5"/>
  <c r="F90" i="5"/>
  <c r="G90" i="5"/>
  <c r="H90" i="5"/>
  <c r="I90" i="5"/>
  <c r="J90" i="5"/>
  <c r="K90" i="5"/>
  <c r="L90" i="5"/>
  <c r="M90" i="5"/>
  <c r="N90" i="5"/>
  <c r="O90" i="5"/>
  <c r="C90" i="5"/>
  <c r="D87" i="5"/>
  <c r="E87" i="5"/>
  <c r="F87" i="5"/>
  <c r="G87" i="5"/>
  <c r="H87" i="5"/>
  <c r="I87" i="5"/>
  <c r="J87" i="5"/>
  <c r="K87" i="5"/>
  <c r="L87" i="5"/>
  <c r="M87" i="5"/>
  <c r="N87" i="5"/>
  <c r="O87" i="5"/>
  <c r="C87" i="5"/>
  <c r="D82" i="5"/>
  <c r="E82" i="5"/>
  <c r="F82" i="5"/>
  <c r="G82" i="5"/>
  <c r="H82" i="5"/>
  <c r="I82" i="5"/>
  <c r="J82" i="5"/>
  <c r="K82" i="5"/>
  <c r="L82" i="5"/>
  <c r="M82" i="5"/>
  <c r="N82" i="5"/>
  <c r="O82" i="5"/>
  <c r="D83" i="5"/>
  <c r="E83" i="5"/>
  <c r="F83" i="5"/>
  <c r="G83" i="5"/>
  <c r="H83" i="5"/>
  <c r="I83" i="5"/>
  <c r="J83" i="5"/>
  <c r="K83" i="5"/>
  <c r="L83" i="5"/>
  <c r="M83" i="5"/>
  <c r="N83" i="5"/>
  <c r="O83" i="5"/>
  <c r="G77" i="5"/>
  <c r="H77" i="5"/>
  <c r="I77" i="5"/>
  <c r="J77" i="5"/>
  <c r="K77" i="5"/>
  <c r="L77" i="5"/>
  <c r="M77" i="5"/>
  <c r="N77" i="5"/>
  <c r="O77" i="5"/>
  <c r="G78" i="5"/>
  <c r="H78" i="5"/>
  <c r="I78" i="5"/>
  <c r="J78" i="5"/>
  <c r="K78" i="5"/>
  <c r="L78" i="5"/>
  <c r="M78" i="5"/>
  <c r="N78" i="5"/>
  <c r="O78" i="5"/>
  <c r="D76" i="5"/>
  <c r="E76" i="5"/>
  <c r="F76" i="5"/>
  <c r="G76" i="5"/>
  <c r="H76" i="5"/>
  <c r="I76" i="5"/>
  <c r="J76" i="5"/>
  <c r="K76" i="5"/>
  <c r="L76" i="5"/>
  <c r="M76" i="5"/>
  <c r="N76" i="5"/>
  <c r="O76" i="5"/>
  <c r="C76" i="5"/>
  <c r="L74" i="5"/>
  <c r="L84" i="5" s="1"/>
  <c r="M74" i="5"/>
  <c r="M84" i="5" s="1"/>
  <c r="N74" i="5"/>
  <c r="N84" i="5" s="1"/>
  <c r="L63" i="5"/>
  <c r="L64" i="5" s="1"/>
  <c r="M63" i="5"/>
  <c r="M64" i="5" s="1"/>
  <c r="N63" i="5"/>
  <c r="N64" i="5" s="1"/>
  <c r="D63" i="5"/>
  <c r="D64" i="5" s="1"/>
  <c r="E63" i="5"/>
  <c r="E64" i="5" s="1"/>
  <c r="F63" i="5"/>
  <c r="F64" i="5" s="1"/>
  <c r="G63" i="5"/>
  <c r="G64" i="5" s="1"/>
  <c r="H63" i="5"/>
  <c r="H64" i="5" s="1"/>
  <c r="I63" i="5"/>
  <c r="I64" i="5" s="1"/>
  <c r="J63" i="5"/>
  <c r="J64" i="5" s="1"/>
  <c r="K63" i="5"/>
  <c r="K64" i="5" s="1"/>
  <c r="O63" i="5"/>
  <c r="O64" i="5" s="1"/>
  <c r="C63" i="5"/>
  <c r="D74" i="5"/>
  <c r="D84" i="5" s="1"/>
  <c r="E74" i="5"/>
  <c r="E84" i="5" s="1"/>
  <c r="F74" i="5"/>
  <c r="F84" i="5" s="1"/>
  <c r="G74" i="5"/>
  <c r="G84" i="5" s="1"/>
  <c r="H74" i="5"/>
  <c r="H84" i="5" s="1"/>
  <c r="I74" i="5"/>
  <c r="I84" i="5" s="1"/>
  <c r="J74" i="5"/>
  <c r="J84" i="5" s="1"/>
  <c r="K74" i="5"/>
  <c r="K84" i="5" s="1"/>
  <c r="C74" i="5"/>
  <c r="L92" i="5"/>
  <c r="D19" i="5"/>
  <c r="E19" i="5"/>
  <c r="F19" i="5"/>
  <c r="G19" i="5"/>
  <c r="H19" i="5"/>
  <c r="I19" i="5"/>
  <c r="J19" i="5"/>
  <c r="K19" i="5"/>
  <c r="C19" i="5"/>
  <c r="L19" i="5"/>
  <c r="M19" i="5"/>
  <c r="N19" i="5"/>
  <c r="D31" i="5"/>
  <c r="E31" i="5"/>
  <c r="F31" i="5"/>
  <c r="G31" i="5"/>
  <c r="H31" i="5"/>
  <c r="I31" i="5"/>
  <c r="J31" i="5"/>
  <c r="K31" i="5"/>
  <c r="L31" i="5"/>
  <c r="M31" i="5"/>
  <c r="N31" i="5"/>
  <c r="O31" i="5"/>
  <c r="C31" i="5"/>
  <c r="G25" i="5"/>
  <c r="H25" i="5"/>
  <c r="I25" i="5"/>
  <c r="J25" i="5"/>
  <c r="K25" i="5"/>
  <c r="O25" i="5"/>
  <c r="N25" i="5"/>
  <c r="M36" i="36"/>
  <c r="L25" i="5"/>
  <c r="D92" i="5"/>
  <c r="E92" i="5"/>
  <c r="F92" i="5"/>
  <c r="G92" i="5"/>
  <c r="H92" i="5"/>
  <c r="I92" i="5"/>
  <c r="J92" i="5"/>
  <c r="K92" i="5"/>
  <c r="H81" i="41"/>
  <c r="A81" i="41"/>
  <c r="H80" i="41"/>
  <c r="A80" i="41"/>
  <c r="H79" i="41"/>
  <c r="A79" i="41"/>
  <c r="H78" i="41"/>
  <c r="A78" i="41"/>
  <c r="H77" i="41"/>
  <c r="A77" i="41"/>
  <c r="H76" i="41"/>
  <c r="A76" i="41"/>
  <c r="H75" i="41"/>
  <c r="A75" i="41"/>
  <c r="H74" i="41"/>
  <c r="A74" i="41"/>
  <c r="H73" i="41"/>
  <c r="A73" i="41"/>
  <c r="U43" i="41"/>
  <c r="U88" i="41" s="1"/>
  <c r="Q43" i="41"/>
  <c r="Q88" i="41" s="1"/>
  <c r="L42" i="41"/>
  <c r="H43" i="41"/>
  <c r="H44" i="41" s="1"/>
  <c r="L41" i="41"/>
  <c r="L40" i="41"/>
  <c r="L39" i="41"/>
  <c r="W37" i="41"/>
  <c r="W36" i="41"/>
  <c r="W35" i="41"/>
  <c r="W34" i="41"/>
  <c r="L34" i="41"/>
  <c r="W33" i="41"/>
  <c r="W32" i="41"/>
  <c r="L32" i="41"/>
  <c r="W31" i="41"/>
  <c r="W30" i="41"/>
  <c r="B6" i="43" l="1"/>
  <c r="C6" i="43"/>
  <c r="H4" i="40"/>
  <c r="H18" i="40" s="1"/>
  <c r="D18" i="40"/>
  <c r="F46" i="43"/>
  <c r="AW19" i="19"/>
  <c r="AP19" i="19"/>
  <c r="CQ25" i="18"/>
  <c r="F83" i="43"/>
  <c r="I137" i="22"/>
  <c r="N70" i="6"/>
  <c r="P70" i="6" s="1"/>
  <c r="W43" i="41"/>
  <c r="G33" i="5"/>
  <c r="G91" i="5" s="1"/>
  <c r="E87" i="41"/>
  <c r="J50" i="36"/>
  <c r="BD42" i="21"/>
  <c r="F81" i="41"/>
  <c r="N4" i="6"/>
  <c r="H50" i="36"/>
  <c r="I50" i="36"/>
  <c r="N73" i="6"/>
  <c r="N63" i="6"/>
  <c r="CA66" i="18"/>
  <c r="M70" i="6"/>
  <c r="N23" i="6"/>
  <c r="BD56" i="21"/>
  <c r="D83" i="43" s="1"/>
  <c r="J83" i="43" s="1"/>
  <c r="M51" i="6"/>
  <c r="C11" i="43" s="1"/>
  <c r="G50" i="36"/>
  <c r="M25" i="5"/>
  <c r="BU66" i="18" s="1"/>
  <c r="N18" i="6"/>
  <c r="J51" i="6"/>
  <c r="N50" i="36"/>
  <c r="N74" i="6"/>
  <c r="L50" i="36"/>
  <c r="N9" i="6"/>
  <c r="N13" i="6" s="1"/>
  <c r="K50" i="36"/>
  <c r="L33" i="5"/>
  <c r="K51" i="6"/>
  <c r="L51" i="6"/>
  <c r="B11" i="43" s="1"/>
  <c r="N36" i="36"/>
  <c r="L36" i="36"/>
  <c r="N62" i="6"/>
  <c r="O50" i="36"/>
  <c r="CG66" i="18"/>
  <c r="CJ11" i="18"/>
  <c r="CJ15" i="18" s="1"/>
  <c r="CI11" i="18"/>
  <c r="CI15" i="18" s="1"/>
  <c r="CD11" i="18"/>
  <c r="CD15" i="18" s="1"/>
  <c r="CD29" i="18" s="1"/>
  <c r="CC11" i="18"/>
  <c r="E49" i="41"/>
  <c r="E67" i="41" s="1"/>
  <c r="P31" i="36"/>
  <c r="G16" i="40" s="1"/>
  <c r="I16" i="40" s="1"/>
  <c r="B43" i="43" s="1"/>
  <c r="P33" i="36"/>
  <c r="P25" i="36"/>
  <c r="G9" i="40" s="1"/>
  <c r="P26" i="36"/>
  <c r="G10" i="40" s="1"/>
  <c r="P27" i="36"/>
  <c r="G11" i="40" s="1"/>
  <c r="P28" i="36"/>
  <c r="G12" i="40" s="1"/>
  <c r="I12" i="40" s="1"/>
  <c r="B39" i="43" s="1"/>
  <c r="P29" i="36"/>
  <c r="G14" i="40" s="1"/>
  <c r="I14" i="40" s="1"/>
  <c r="B41" i="43" s="1"/>
  <c r="P30" i="36"/>
  <c r="AG23" i="23"/>
  <c r="BB26" i="21"/>
  <c r="BB10" i="21"/>
  <c r="L33" i="41"/>
  <c r="L29" i="41"/>
  <c r="N28" i="6"/>
  <c r="N8" i="6"/>
  <c r="CK25" i="18"/>
  <c r="CK13" i="18"/>
  <c r="CK7" i="18"/>
  <c r="AF23" i="23"/>
  <c r="CK8" i="18"/>
  <c r="CM8" i="18" s="1"/>
  <c r="H156" i="22" s="1"/>
  <c r="E11" i="41"/>
  <c r="O33" i="5"/>
  <c r="CI27" i="18"/>
  <c r="CK9" i="18"/>
  <c r="CM9" i="18" s="1"/>
  <c r="H175" i="22" s="1"/>
  <c r="CK3" i="18"/>
  <c r="CK4" i="18"/>
  <c r="CK5" i="18"/>
  <c r="CK6" i="18"/>
  <c r="CK2" i="18"/>
  <c r="L30" i="41"/>
  <c r="I33" i="5"/>
  <c r="H33" i="5"/>
  <c r="N33" i="5"/>
  <c r="J33" i="5"/>
  <c r="K33" i="5"/>
  <c r="L37" i="41"/>
  <c r="F43" i="41"/>
  <c r="L35" i="41"/>
  <c r="AR90" i="37"/>
  <c r="AR91" i="37"/>
  <c r="AR92" i="37"/>
  <c r="AR93" i="37"/>
  <c r="AR29" i="37"/>
  <c r="AR30" i="37"/>
  <c r="AR31" i="37"/>
  <c r="AR32" i="37"/>
  <c r="AR33" i="37"/>
  <c r="AR34" i="37"/>
  <c r="AR35" i="37"/>
  <c r="AR36" i="37"/>
  <c r="AR28" i="37"/>
  <c r="AR46" i="37"/>
  <c r="AR53" i="37"/>
  <c r="AR54" i="37"/>
  <c r="AR56" i="37"/>
  <c r="AR57" i="37"/>
  <c r="AR50" i="37"/>
  <c r="AR47" i="37"/>
  <c r="AR51" i="37"/>
  <c r="AR52" i="37"/>
  <c r="AR49" i="37"/>
  <c r="AR44" i="37"/>
  <c r="AR60" i="37"/>
  <c r="AR62" i="37"/>
  <c r="AR63" i="37"/>
  <c r="AR64" i="37"/>
  <c r="AR65" i="37"/>
  <c r="AR66" i="37"/>
  <c r="AR67" i="37"/>
  <c r="AR68" i="37"/>
  <c r="AR69" i="37"/>
  <c r="AR70" i="37"/>
  <c r="AR71" i="37"/>
  <c r="AR72" i="37"/>
  <c r="AR73" i="37"/>
  <c r="AR74" i="37"/>
  <c r="AR55" i="37"/>
  <c r="AQ88" i="37"/>
  <c r="AQ94" i="37" s="1"/>
  <c r="AQ82" i="37" s="1"/>
  <c r="D10" i="43" l="1"/>
  <c r="BH5" i="21"/>
  <c r="BH8" i="21"/>
  <c r="BH4" i="21"/>
  <c r="BH9" i="21"/>
  <c r="BH6" i="21"/>
  <c r="BH7" i="21"/>
  <c r="BH3" i="21"/>
  <c r="G5" i="40"/>
  <c r="D11" i="41"/>
  <c r="F11" i="41" s="1"/>
  <c r="G83" i="43"/>
  <c r="I83" i="43" s="1"/>
  <c r="O34" i="5"/>
  <c r="AG25" i="23"/>
  <c r="G34" i="5"/>
  <c r="G79" i="5"/>
  <c r="N12" i="6"/>
  <c r="D84" i="41"/>
  <c r="E37" i="41"/>
  <c r="D81" i="41" s="1"/>
  <c r="C75" i="41"/>
  <c r="BC9" i="21"/>
  <c r="N30" i="6"/>
  <c r="M50" i="36"/>
  <c r="M33" i="5"/>
  <c r="BC3" i="21"/>
  <c r="BC8" i="21"/>
  <c r="K34" i="5"/>
  <c r="K35" i="5"/>
  <c r="K79" i="5"/>
  <c r="K91" i="5"/>
  <c r="BC6" i="21"/>
  <c r="BC7" i="21"/>
  <c r="J34" i="5"/>
  <c r="J35" i="5"/>
  <c r="J91" i="5"/>
  <c r="J79" i="5"/>
  <c r="BC2" i="21"/>
  <c r="I34" i="5"/>
  <c r="I35" i="5"/>
  <c r="I79" i="5"/>
  <c r="I91" i="5"/>
  <c r="N34" i="5"/>
  <c r="AT2" i="19"/>
  <c r="N79" i="5"/>
  <c r="N91" i="5"/>
  <c r="L34" i="5"/>
  <c r="L35" i="5"/>
  <c r="AR2" i="19"/>
  <c r="L91" i="5"/>
  <c r="L79" i="5"/>
  <c r="H34" i="5"/>
  <c r="H35" i="5"/>
  <c r="H91" i="5"/>
  <c r="H79" i="5"/>
  <c r="BB14" i="21"/>
  <c r="BB28" i="21" s="1"/>
  <c r="BC4" i="21"/>
  <c r="BC5" i="21"/>
  <c r="O91" i="5"/>
  <c r="O35" i="5"/>
  <c r="D6" i="41"/>
  <c r="AU2" i="19"/>
  <c r="CK11" i="18"/>
  <c r="P34" i="36"/>
  <c r="F44" i="41"/>
  <c r="CI29" i="18"/>
  <c r="Y19" i="19"/>
  <c r="Z19" i="19"/>
  <c r="L31" i="41"/>
  <c r="C54" i="40"/>
  <c r="C69" i="40"/>
  <c r="C7" i="43" l="1"/>
  <c r="C15" i="43" s="1"/>
  <c r="O57" i="5"/>
  <c r="D12" i="43"/>
  <c r="F10" i="43"/>
  <c r="BG10" i="21"/>
  <c r="BG14" i="21" s="1"/>
  <c r="BG28" i="21" s="1"/>
  <c r="BH2" i="21"/>
  <c r="E10" i="41"/>
  <c r="E12" i="43"/>
  <c r="F12" i="43" s="1"/>
  <c r="N35" i="5"/>
  <c r="N53" i="6"/>
  <c r="M91" i="5"/>
  <c r="J81" i="41"/>
  <c r="G81" i="41"/>
  <c r="I81" i="41" s="1"/>
  <c r="N75" i="6"/>
  <c r="M79" i="5"/>
  <c r="M34" i="5"/>
  <c r="AS2" i="19"/>
  <c r="M35" i="5"/>
  <c r="AT15" i="19"/>
  <c r="AT17" i="19"/>
  <c r="AR17" i="19"/>
  <c r="AR12" i="19"/>
  <c r="AR15" i="19"/>
  <c r="AU15" i="19"/>
  <c r="AU17" i="19"/>
  <c r="CK15" i="18"/>
  <c r="Q59" i="37"/>
  <c r="AR59" i="37" s="1"/>
  <c r="M92" i="5" l="1"/>
  <c r="M57" i="5"/>
  <c r="B7" i="43"/>
  <c r="N57" i="5"/>
  <c r="N92" i="5"/>
  <c r="BH10" i="21"/>
  <c r="BH32" i="21" s="1"/>
  <c r="P83" i="5"/>
  <c r="CM13" i="18"/>
  <c r="CM44" i="18" s="1"/>
  <c r="AS15" i="19"/>
  <c r="AS17" i="19"/>
  <c r="AQ48" i="37"/>
  <c r="B8" i="43" l="1"/>
  <c r="B15" i="43"/>
  <c r="H137" i="22"/>
  <c r="J137" i="22" s="1"/>
  <c r="BH46" i="21"/>
  <c r="E31" i="43" s="1"/>
  <c r="BH14" i="21"/>
  <c r="BH28" i="21" s="1"/>
  <c r="BH37" i="21"/>
  <c r="BH51" i="21" s="1"/>
  <c r="E36" i="43" s="1"/>
  <c r="BH39" i="21"/>
  <c r="BH53" i="21" s="1"/>
  <c r="E38" i="43" s="1"/>
  <c r="BH33" i="21"/>
  <c r="BH47" i="21" s="1"/>
  <c r="E32" i="43" s="1"/>
  <c r="BH34" i="21"/>
  <c r="BH48" i="21" s="1"/>
  <c r="BH38" i="21"/>
  <c r="BH52" i="21" s="1"/>
  <c r="E37" i="43" s="1"/>
  <c r="BH36" i="21"/>
  <c r="BH50" i="21" s="1"/>
  <c r="E35" i="43" s="1"/>
  <c r="BH35" i="21"/>
  <c r="BH49" i="21" s="1"/>
  <c r="E34" i="43" s="1"/>
  <c r="Q63" i="5"/>
  <c r="Q72" i="5"/>
  <c r="Q78" i="5" s="1"/>
  <c r="AQ78" i="37"/>
  <c r="AR48" i="37"/>
  <c r="S10" i="36"/>
  <c r="S17" i="36" s="1"/>
  <c r="S21" i="36" s="1"/>
  <c r="AI26" i="23" l="1"/>
  <c r="M8" i="7"/>
  <c r="M10" i="7" s="1"/>
  <c r="Q68" i="5"/>
  <c r="Q88" i="5" s="1"/>
  <c r="BH54" i="21"/>
  <c r="BH58" i="21" s="1"/>
  <c r="BH40" i="21"/>
  <c r="Q83" i="5"/>
  <c r="Q64" i="5"/>
  <c r="N137" i="22"/>
  <c r="L137" i="22"/>
  <c r="O137" i="22"/>
  <c r="M137" i="22"/>
  <c r="AZ56" i="21"/>
  <c r="P137" i="22" l="1"/>
  <c r="V137" i="22" s="1"/>
  <c r="U137" i="22"/>
  <c r="E36" i="37"/>
  <c r="AX12" i="21"/>
  <c r="AY12" i="21" s="1"/>
  <c r="AX3" i="21"/>
  <c r="AX4" i="21"/>
  <c r="AX5" i="21"/>
  <c r="AX6" i="21"/>
  <c r="AX7" i="21"/>
  <c r="AX8" i="21"/>
  <c r="AX9" i="21"/>
  <c r="AX2" i="21"/>
  <c r="AX18" i="21"/>
  <c r="AX19" i="21"/>
  <c r="AX20" i="21"/>
  <c r="AX21" i="21"/>
  <c r="AX22" i="21"/>
  <c r="AX23" i="21"/>
  <c r="AX24" i="21"/>
  <c r="AX17" i="21"/>
  <c r="AT18" i="21"/>
  <c r="AT19" i="21"/>
  <c r="AT20" i="21"/>
  <c r="AT21" i="21"/>
  <c r="AT22" i="21"/>
  <c r="AT23" i="21"/>
  <c r="AT24" i="21"/>
  <c r="AT17" i="21"/>
  <c r="AP18" i="21"/>
  <c r="AP19" i="21"/>
  <c r="AP20" i="21"/>
  <c r="AP21" i="21"/>
  <c r="AP22" i="21"/>
  <c r="AP23" i="21"/>
  <c r="AP24" i="21"/>
  <c r="AP17" i="21"/>
  <c r="AT12" i="21"/>
  <c r="AU12" i="21" s="1"/>
  <c r="AT4" i="21"/>
  <c r="AT3" i="21"/>
  <c r="AT5" i="21"/>
  <c r="AT6" i="21"/>
  <c r="AT7" i="21"/>
  <c r="AT8" i="21"/>
  <c r="AT9" i="21"/>
  <c r="AT2" i="21"/>
  <c r="M74" i="6"/>
  <c r="M63" i="6"/>
  <c r="M18" i="6"/>
  <c r="M9" i="6"/>
  <c r="M5" i="6"/>
  <c r="M4" i="6"/>
  <c r="BY26" i="18"/>
  <c r="BS25" i="18"/>
  <c r="BR26" i="18"/>
  <c r="BQ26" i="18"/>
  <c r="BM25" i="18"/>
  <c r="BL26" i="18"/>
  <c r="BK26" i="18"/>
  <c r="BG25" i="18"/>
  <c r="BF26" i="18"/>
  <c r="BE26" i="18"/>
  <c r="BA25" i="18"/>
  <c r="AZ26" i="18"/>
  <c r="AY26" i="18"/>
  <c r="AU25" i="18"/>
  <c r="AT26" i="18"/>
  <c r="AS26" i="18"/>
  <c r="AO25" i="18"/>
  <c r="AN26" i="18"/>
  <c r="AM26" i="18"/>
  <c r="AG26" i="18"/>
  <c r="AH26" i="18"/>
  <c r="AI25" i="18"/>
  <c r="BY18" i="18"/>
  <c r="BY25" i="18"/>
  <c r="BX19" i="18"/>
  <c r="BX20" i="18"/>
  <c r="BX21" i="18"/>
  <c r="BX22" i="18"/>
  <c r="BX23" i="18"/>
  <c r="BX24" i="18"/>
  <c r="BW20" i="18"/>
  <c r="BW21" i="18"/>
  <c r="BW22" i="18"/>
  <c r="BW23" i="18"/>
  <c r="BW24" i="18"/>
  <c r="BW19" i="18"/>
  <c r="BX13" i="18"/>
  <c r="BW13" i="18"/>
  <c r="BX3" i="18"/>
  <c r="BX4" i="18"/>
  <c r="BX5" i="18"/>
  <c r="BX6" i="18"/>
  <c r="BX7" i="18"/>
  <c r="BX8" i="18"/>
  <c r="BX9" i="18"/>
  <c r="BX2" i="18"/>
  <c r="BW3" i="18"/>
  <c r="BW4" i="18"/>
  <c r="BW5" i="18"/>
  <c r="BW6" i="18"/>
  <c r="BW7" i="18"/>
  <c r="BW8" i="18"/>
  <c r="BW9" i="18"/>
  <c r="BW2" i="18"/>
  <c r="AE23" i="23"/>
  <c r="AD23" i="23"/>
  <c r="AC23" i="23"/>
  <c r="AB23" i="23"/>
  <c r="AC25" i="23" l="1"/>
  <c r="AC26" i="23" s="1"/>
  <c r="AE25" i="23"/>
  <c r="AE26" i="23" s="1"/>
  <c r="BG26" i="18"/>
  <c r="BX11" i="18"/>
  <c r="BW11" i="18"/>
  <c r="BS26" i="18"/>
  <c r="BM26" i="18"/>
  <c r="AU26" i="18"/>
  <c r="BA26" i="18"/>
  <c r="BY21" i="18"/>
  <c r="BY20" i="18"/>
  <c r="BY19" i="18"/>
  <c r="BY22" i="18"/>
  <c r="D11" i="37"/>
  <c r="BY23" i="18"/>
  <c r="AO26" i="18"/>
  <c r="BY24" i="18"/>
  <c r="M62" i="6"/>
  <c r="AZ44" i="21"/>
  <c r="M73" i="6"/>
  <c r="M13" i="6"/>
  <c r="M28" i="6"/>
  <c r="M8" i="6"/>
  <c r="M12" i="6" s="1"/>
  <c r="AI26" i="18"/>
  <c r="M30" i="6" l="1"/>
  <c r="C10" i="43"/>
  <c r="C14" i="43" s="1"/>
  <c r="C16" i="43" s="1"/>
  <c r="D10" i="41"/>
  <c r="F10" i="41" s="1"/>
  <c r="D10" i="37"/>
  <c r="E12" i="41"/>
  <c r="M75" i="6"/>
  <c r="M53" i="6"/>
  <c r="D12" i="41" l="1"/>
  <c r="F12" i="41" s="1"/>
  <c r="C12" i="43"/>
  <c r="AZ26" i="21"/>
  <c r="AY26" i="21"/>
  <c r="AZ12" i="21"/>
  <c r="I136" i="22" s="1"/>
  <c r="AX10" i="21"/>
  <c r="G71" i="40"/>
  <c r="H73" i="40"/>
  <c r="G72" i="40"/>
  <c r="G73" i="40"/>
  <c r="G53" i="40"/>
  <c r="H55" i="40"/>
  <c r="D16" i="37" l="1"/>
  <c r="Q89" i="37" s="1"/>
  <c r="AR89" i="37" s="1"/>
  <c r="D16" i="41"/>
  <c r="AX14" i="21"/>
  <c r="AX26" i="21"/>
  <c r="AZ42" i="21"/>
  <c r="G54" i="40"/>
  <c r="G69" i="40"/>
  <c r="F16" i="41" l="1"/>
  <c r="AX28" i="21"/>
  <c r="BD4" i="21"/>
  <c r="BD9" i="21"/>
  <c r="BD5" i="21"/>
  <c r="BD2" i="21"/>
  <c r="BD8" i="21"/>
  <c r="BD7" i="21"/>
  <c r="BD3" i="21"/>
  <c r="BD6" i="21"/>
  <c r="AY2" i="21"/>
  <c r="AY5" i="21"/>
  <c r="AZ5" i="21" s="1"/>
  <c r="I79" i="22" s="1"/>
  <c r="AY7" i="21"/>
  <c r="AZ7" i="21" s="1"/>
  <c r="I117" i="22" s="1"/>
  <c r="AY9" i="21"/>
  <c r="AZ9" i="21" s="1"/>
  <c r="I174" i="22" s="1"/>
  <c r="AY3" i="21"/>
  <c r="AZ3" i="21" s="1"/>
  <c r="I41" i="22" s="1"/>
  <c r="AY6" i="21"/>
  <c r="AZ6" i="21" s="1"/>
  <c r="I98" i="22" s="1"/>
  <c r="AY8" i="21"/>
  <c r="AZ8" i="21" s="1"/>
  <c r="I155" i="22" s="1"/>
  <c r="AY4" i="21"/>
  <c r="AZ4" i="21" s="1"/>
  <c r="I60" i="22" s="1"/>
  <c r="J19" i="19"/>
  <c r="K19" i="19"/>
  <c r="L19" i="19"/>
  <c r="M19" i="19"/>
  <c r="X18" i="19"/>
  <c r="AM18" i="19" s="1"/>
  <c r="I19" i="19"/>
  <c r="S10" i="19" s="1"/>
  <c r="F52" i="40"/>
  <c r="F53" i="40"/>
  <c r="F54" i="40"/>
  <c r="F55" i="40"/>
  <c r="CE24" i="18"/>
  <c r="CE25" i="18"/>
  <c r="CE26" i="18"/>
  <c r="F76" i="41" l="1"/>
  <c r="F78" i="43"/>
  <c r="I80" i="22"/>
  <c r="F74" i="41"/>
  <c r="F76" i="43"/>
  <c r="I42" i="22"/>
  <c r="F79" i="41"/>
  <c r="F81" i="43"/>
  <c r="I156" i="22"/>
  <c r="J156" i="22" s="1"/>
  <c r="F80" i="41"/>
  <c r="F82" i="43"/>
  <c r="I175" i="22"/>
  <c r="F75" i="41"/>
  <c r="F77" i="43"/>
  <c r="I61" i="22"/>
  <c r="F77" i="41"/>
  <c r="F79" i="43"/>
  <c r="I99" i="22"/>
  <c r="F78" i="41"/>
  <c r="F80" i="43"/>
  <c r="I118" i="22"/>
  <c r="F73" i="41"/>
  <c r="F75" i="43"/>
  <c r="I23" i="22"/>
  <c r="BC10" i="21"/>
  <c r="BC14" i="21" s="1"/>
  <c r="BC28" i="21" s="1"/>
  <c r="BD10" i="21"/>
  <c r="BD32" i="21" s="1"/>
  <c r="AY10" i="21"/>
  <c r="AY14" i="21" s="1"/>
  <c r="AY28" i="21" s="1"/>
  <c r="AZ2" i="21"/>
  <c r="I22" i="22" s="1"/>
  <c r="I193" i="22" s="1"/>
  <c r="S9" i="19"/>
  <c r="S8" i="19"/>
  <c r="S18" i="19"/>
  <c r="S16" i="19"/>
  <c r="S13" i="19"/>
  <c r="S11" i="19"/>
  <c r="S7" i="19"/>
  <c r="S17" i="19"/>
  <c r="S15" i="19"/>
  <c r="S14" i="19"/>
  <c r="S12" i="19"/>
  <c r="X17" i="19"/>
  <c r="X10" i="19"/>
  <c r="X13" i="19"/>
  <c r="X7" i="19"/>
  <c r="AM7" i="19" s="1"/>
  <c r="X9" i="19"/>
  <c r="X8" i="19"/>
  <c r="X11" i="19"/>
  <c r="X15" i="19"/>
  <c r="AM15" i="19" s="1"/>
  <c r="X16" i="19"/>
  <c r="X12" i="19"/>
  <c r="X14" i="19"/>
  <c r="CE23" i="18"/>
  <c r="CE22" i="18"/>
  <c r="CE21" i="18"/>
  <c r="CE20" i="18"/>
  <c r="CE19" i="18"/>
  <c r="CE18" i="18"/>
  <c r="CE17" i="18"/>
  <c r="CE13" i="18"/>
  <c r="CC15" i="18"/>
  <c r="CE8" i="18"/>
  <c r="CG8" i="18" s="1"/>
  <c r="CE7" i="18"/>
  <c r="CG7" i="18" s="1"/>
  <c r="CE6" i="18"/>
  <c r="CG6" i="18" s="1"/>
  <c r="CE5" i="18"/>
  <c r="CG5" i="18" s="1"/>
  <c r="CE4" i="18"/>
  <c r="CG4" i="18" s="1"/>
  <c r="CE3" i="18"/>
  <c r="CG3" i="18" s="1"/>
  <c r="CE2" i="18"/>
  <c r="CE27" i="18" l="1"/>
  <c r="F89" i="43"/>
  <c r="F87" i="41"/>
  <c r="M156" i="22"/>
  <c r="O156" i="22"/>
  <c r="N156" i="22"/>
  <c r="L156" i="22"/>
  <c r="I194" i="22"/>
  <c r="J175" i="22"/>
  <c r="AM13" i="19"/>
  <c r="AM10" i="19"/>
  <c r="AM11" i="19"/>
  <c r="AM17" i="19"/>
  <c r="AM16" i="19"/>
  <c r="AM8" i="19"/>
  <c r="AM14" i="19"/>
  <c r="AM9" i="19"/>
  <c r="AM12" i="19"/>
  <c r="BD36" i="21"/>
  <c r="BD50" i="21" s="1"/>
  <c r="BD33" i="21"/>
  <c r="BD47" i="21" s="1"/>
  <c r="BD35" i="21"/>
  <c r="BD49" i="21" s="1"/>
  <c r="CE11" i="18"/>
  <c r="CE15" i="18" s="1"/>
  <c r="CE29" i="18" s="1"/>
  <c r="BD38" i="21"/>
  <c r="BD52" i="21" s="1"/>
  <c r="BD46" i="21"/>
  <c r="BD14" i="21"/>
  <c r="BD28" i="21" s="1"/>
  <c r="BD39" i="21"/>
  <c r="BD53" i="21" s="1"/>
  <c r="BD34" i="21"/>
  <c r="BD48" i="21" s="1"/>
  <c r="BD37" i="21"/>
  <c r="BD51" i="21" s="1"/>
  <c r="AZ10" i="21"/>
  <c r="AZ32" i="21" s="1"/>
  <c r="X19" i="19"/>
  <c r="S19" i="19"/>
  <c r="CC29" i="18"/>
  <c r="CG13" i="18"/>
  <c r="H136" i="22" s="1"/>
  <c r="N59" i="6" l="1"/>
  <c r="BD29" i="21"/>
  <c r="N64" i="6"/>
  <c r="P51" i="23"/>
  <c r="P52" i="23" s="1"/>
  <c r="L175" i="22"/>
  <c r="N175" i="22"/>
  <c r="O175" i="22"/>
  <c r="M175" i="22"/>
  <c r="E31" i="41"/>
  <c r="D75" i="41" s="1"/>
  <c r="G75" i="41" s="1"/>
  <c r="I75" i="41" s="1"/>
  <c r="D77" i="43"/>
  <c r="E29" i="41"/>
  <c r="D73" i="41" s="1"/>
  <c r="G73" i="41" s="1"/>
  <c r="I73" i="41" s="1"/>
  <c r="E35" i="41"/>
  <c r="D79" i="41" s="1"/>
  <c r="J79" i="41" s="1"/>
  <c r="D81" i="43"/>
  <c r="E32" i="41"/>
  <c r="D76" i="41" s="1"/>
  <c r="J76" i="41" s="1"/>
  <c r="D78" i="43"/>
  <c r="U156" i="22"/>
  <c r="P156" i="22"/>
  <c r="V156" i="22" s="1"/>
  <c r="E36" i="41"/>
  <c r="D80" i="41" s="1"/>
  <c r="G80" i="41" s="1"/>
  <c r="I80" i="41" s="1"/>
  <c r="D82" i="43"/>
  <c r="E30" i="41"/>
  <c r="D74" i="41" s="1"/>
  <c r="J74" i="41" s="1"/>
  <c r="D76" i="43"/>
  <c r="E33" i="41"/>
  <c r="D77" i="41" s="1"/>
  <c r="J77" i="41" s="1"/>
  <c r="D79" i="43"/>
  <c r="E34" i="41"/>
  <c r="D78" i="41" s="1"/>
  <c r="J78" i="41" s="1"/>
  <c r="D80" i="43"/>
  <c r="J136" i="22"/>
  <c r="BD54" i="21"/>
  <c r="BD58" i="21" s="1"/>
  <c r="BD40" i="21"/>
  <c r="CG44" i="18"/>
  <c r="AZ46" i="21"/>
  <c r="AZ36" i="21"/>
  <c r="AZ50" i="21" s="1"/>
  <c r="AZ33" i="21"/>
  <c r="AZ47" i="21" s="1"/>
  <c r="AZ38" i="21"/>
  <c r="AZ52" i="21" s="1"/>
  <c r="AZ34" i="21"/>
  <c r="AZ48" i="21" s="1"/>
  <c r="AZ39" i="21"/>
  <c r="AZ53" i="21" s="1"/>
  <c r="AZ14" i="21"/>
  <c r="AZ28" i="21" s="1"/>
  <c r="AZ37" i="21"/>
  <c r="AZ51" i="21" s="1"/>
  <c r="AZ35" i="21"/>
  <c r="AZ49" i="21" s="1"/>
  <c r="N66" i="5"/>
  <c r="M59" i="6" l="1"/>
  <c r="O51" i="23" s="1"/>
  <c r="AZ29" i="21"/>
  <c r="J75" i="41"/>
  <c r="U175" i="22"/>
  <c r="J80" i="41"/>
  <c r="G76" i="41"/>
  <c r="I76" i="41" s="1"/>
  <c r="J79" i="43"/>
  <c r="G79" i="43"/>
  <c r="I79" i="43" s="1"/>
  <c r="G78" i="41"/>
  <c r="I78" i="41" s="1"/>
  <c r="J82" i="43"/>
  <c r="G82" i="43"/>
  <c r="I82" i="43" s="1"/>
  <c r="G80" i="43"/>
  <c r="I80" i="43" s="1"/>
  <c r="J80" i="43"/>
  <c r="E45" i="43"/>
  <c r="E46" i="43" s="1"/>
  <c r="D75" i="43"/>
  <c r="G77" i="43"/>
  <c r="I77" i="43" s="1"/>
  <c r="J77" i="43"/>
  <c r="G81" i="43"/>
  <c r="I81" i="43" s="1"/>
  <c r="J81" i="43"/>
  <c r="G79" i="41"/>
  <c r="I79" i="41" s="1"/>
  <c r="G74" i="41"/>
  <c r="I74" i="41" s="1"/>
  <c r="G78" i="43"/>
  <c r="I78" i="43" s="1"/>
  <c r="J78" i="43"/>
  <c r="J76" i="43"/>
  <c r="G76" i="43"/>
  <c r="I76" i="43" s="1"/>
  <c r="D87" i="41"/>
  <c r="G87" i="41" s="1"/>
  <c r="G77" i="41"/>
  <c r="I77" i="41" s="1"/>
  <c r="P175" i="22"/>
  <c r="V175" i="22" s="1"/>
  <c r="L136" i="22"/>
  <c r="N136" i="22"/>
  <c r="M136" i="22"/>
  <c r="O136" i="22"/>
  <c r="O50" i="23"/>
  <c r="O52" i="23" s="1"/>
  <c r="K8" i="7"/>
  <c r="K10" i="7" s="1"/>
  <c r="M64" i="6"/>
  <c r="CF11" i="18"/>
  <c r="CF15" i="18" s="1"/>
  <c r="CF29" i="18" s="1"/>
  <c r="E29" i="37"/>
  <c r="E32" i="37"/>
  <c r="E31" i="37"/>
  <c r="E35" i="37"/>
  <c r="E34" i="37"/>
  <c r="E33" i="37"/>
  <c r="E30" i="37"/>
  <c r="O19" i="5"/>
  <c r="N34" i="17"/>
  <c r="C51" i="40"/>
  <c r="G51" i="40" s="1"/>
  <c r="N44" i="17"/>
  <c r="F51" i="40"/>
  <c r="AZ40" i="21"/>
  <c r="E28" i="37"/>
  <c r="AZ54" i="21"/>
  <c r="AZ58" i="21" s="1"/>
  <c r="M44" i="17"/>
  <c r="M34" i="17"/>
  <c r="U136" i="22" l="1"/>
  <c r="G75" i="43"/>
  <c r="I75" i="43" s="1"/>
  <c r="J75" i="43"/>
  <c r="J89" i="43" s="1"/>
  <c r="D89" i="43"/>
  <c r="G89" i="43" s="1"/>
  <c r="P136" i="22"/>
  <c r="V136" i="22" s="1"/>
  <c r="E43" i="41"/>
  <c r="E44" i="41" s="1"/>
  <c r="J73" i="41"/>
  <c r="M47" i="17"/>
  <c r="M45" i="17"/>
  <c r="M41" i="17"/>
  <c r="M48" i="17"/>
  <c r="H89" i="43" l="1"/>
  <c r="J87" i="41"/>
  <c r="D12" i="37"/>
  <c r="H87" i="41" l="1"/>
  <c r="B73" i="40"/>
  <c r="F73" i="40" s="1"/>
  <c r="B72" i="40"/>
  <c r="B71" i="40"/>
  <c r="F71" i="40" s="1"/>
  <c r="B70" i="40"/>
  <c r="F70" i="40" s="1"/>
  <c r="F72" i="40" l="1"/>
  <c r="I73" i="40"/>
  <c r="B40" i="35" s="1"/>
  <c r="D17" i="36"/>
  <c r="E17" i="36"/>
  <c r="H25" i="36" l="1"/>
  <c r="H38" i="36" s="1"/>
  <c r="H33" i="36"/>
  <c r="H47" i="36" s="1"/>
  <c r="E25" i="36"/>
  <c r="E33" i="36"/>
  <c r="D25" i="36"/>
  <c r="D33" i="36"/>
  <c r="L25" i="36"/>
  <c r="L38" i="36" s="1"/>
  <c r="L33" i="36"/>
  <c r="L47" i="36" s="1"/>
  <c r="C33" i="20" s="1"/>
  <c r="M25" i="36"/>
  <c r="M38" i="36" s="1"/>
  <c r="M33" i="36"/>
  <c r="M47" i="36" s="1"/>
  <c r="G25" i="36"/>
  <c r="G38" i="36" s="1"/>
  <c r="G33" i="36"/>
  <c r="G47" i="36" s="1"/>
  <c r="C17" i="36"/>
  <c r="C29" i="36" s="1"/>
  <c r="O33" i="36"/>
  <c r="O47" i="36" s="1"/>
  <c r="K28" i="36"/>
  <c r="K41" i="36" s="1"/>
  <c r="I29" i="36"/>
  <c r="I42" i="36" s="1"/>
  <c r="E21" i="36"/>
  <c r="E32" i="36"/>
  <c r="E31" i="36"/>
  <c r="E30" i="36"/>
  <c r="E29" i="36"/>
  <c r="E28" i="36"/>
  <c r="E27" i="36"/>
  <c r="L21" i="36"/>
  <c r="H21" i="36"/>
  <c r="D21" i="36"/>
  <c r="L32" i="36"/>
  <c r="L45" i="36" s="1"/>
  <c r="C31" i="20" s="1"/>
  <c r="H32" i="36"/>
  <c r="H45" i="36" s="1"/>
  <c r="D32" i="36"/>
  <c r="L31" i="36"/>
  <c r="L44" i="36" s="1"/>
  <c r="C30" i="20" s="1"/>
  <c r="H31" i="36"/>
  <c r="H44" i="36" s="1"/>
  <c r="D31" i="36"/>
  <c r="L30" i="36"/>
  <c r="L43" i="36" s="1"/>
  <c r="C29" i="20" s="1"/>
  <c r="H30" i="36"/>
  <c r="H43" i="36" s="1"/>
  <c r="D30" i="36"/>
  <c r="L29" i="36"/>
  <c r="L42" i="36" s="1"/>
  <c r="C28" i="20" s="1"/>
  <c r="H29" i="36"/>
  <c r="H42" i="36" s="1"/>
  <c r="D29" i="36"/>
  <c r="L28" i="36"/>
  <c r="L41" i="36" s="1"/>
  <c r="C27" i="20" s="1"/>
  <c r="H28" i="36"/>
  <c r="H41" i="36" s="1"/>
  <c r="D28" i="36"/>
  <c r="L27" i="36"/>
  <c r="L40" i="36" s="1"/>
  <c r="C26" i="20" s="1"/>
  <c r="H27" i="36"/>
  <c r="H40" i="36" s="1"/>
  <c r="D27" i="36"/>
  <c r="L26" i="36"/>
  <c r="L39" i="36" s="1"/>
  <c r="C25" i="20" s="1"/>
  <c r="H26" i="36"/>
  <c r="H39" i="36" s="1"/>
  <c r="D26" i="36"/>
  <c r="M21" i="36"/>
  <c r="M32" i="36"/>
  <c r="M45" i="36" s="1"/>
  <c r="M31" i="36"/>
  <c r="M44" i="36" s="1"/>
  <c r="M30" i="36"/>
  <c r="M43" i="36" s="1"/>
  <c r="E26" i="36"/>
  <c r="G21" i="36"/>
  <c r="G32" i="36"/>
  <c r="G45" i="36" s="1"/>
  <c r="G31" i="36"/>
  <c r="G44" i="36" s="1"/>
  <c r="G30" i="36"/>
  <c r="G43" i="36" s="1"/>
  <c r="G29" i="36"/>
  <c r="G42" i="36" s="1"/>
  <c r="G28" i="36"/>
  <c r="G41" i="36" s="1"/>
  <c r="G27" i="36"/>
  <c r="G40" i="36" s="1"/>
  <c r="G26" i="36"/>
  <c r="G39" i="36" s="1"/>
  <c r="M29" i="36"/>
  <c r="M42" i="36" s="1"/>
  <c r="M28" i="36"/>
  <c r="M41" i="36" s="1"/>
  <c r="M27" i="36"/>
  <c r="M40" i="36" s="1"/>
  <c r="M26" i="36"/>
  <c r="M39" i="36" s="1"/>
  <c r="F17" i="36"/>
  <c r="A80" i="37"/>
  <c r="A79" i="37"/>
  <c r="A78" i="37"/>
  <c r="A77" i="37"/>
  <c r="Z80" i="37"/>
  <c r="Y80" i="37"/>
  <c r="H76" i="37"/>
  <c r="A76" i="37"/>
  <c r="H75" i="37"/>
  <c r="A75" i="37"/>
  <c r="AB78" i="37"/>
  <c r="H74" i="37"/>
  <c r="A74" i="37"/>
  <c r="H73" i="37"/>
  <c r="A73" i="37"/>
  <c r="AN67" i="37"/>
  <c r="AB67" i="37"/>
  <c r="H72" i="37"/>
  <c r="A72" i="37"/>
  <c r="AN66" i="37"/>
  <c r="AB66" i="37"/>
  <c r="H71" i="37"/>
  <c r="A71" i="37"/>
  <c r="AE65" i="37"/>
  <c r="AE80" i="37" s="1"/>
  <c r="AB65" i="37"/>
  <c r="H70" i="37"/>
  <c r="A70" i="37"/>
  <c r="AN64" i="37"/>
  <c r="AB64" i="37"/>
  <c r="H69" i="37"/>
  <c r="A69" i="37"/>
  <c r="AN63" i="37"/>
  <c r="AB63" i="37"/>
  <c r="H68" i="37"/>
  <c r="A68" i="37"/>
  <c r="AN62" i="37"/>
  <c r="AB62" i="37"/>
  <c r="AN60" i="37"/>
  <c r="AB60" i="37"/>
  <c r="AN59" i="37"/>
  <c r="AB59" i="37"/>
  <c r="AN44" i="37"/>
  <c r="AB44" i="37"/>
  <c r="AN49" i="37"/>
  <c r="AB49" i="37"/>
  <c r="E45" i="37"/>
  <c r="AN48" i="37"/>
  <c r="AB48" i="37"/>
  <c r="E49" i="37"/>
  <c r="AN52" i="37"/>
  <c r="AB52" i="37"/>
  <c r="AN51" i="37"/>
  <c r="AB51" i="37"/>
  <c r="AN47" i="37"/>
  <c r="AB47" i="37"/>
  <c r="AN50" i="37"/>
  <c r="AB50" i="37"/>
  <c r="AN57" i="37"/>
  <c r="AB57" i="37"/>
  <c r="E60" i="37"/>
  <c r="AN56" i="37"/>
  <c r="AB56" i="37"/>
  <c r="AN54" i="37"/>
  <c r="AB54" i="37"/>
  <c r="E57" i="37"/>
  <c r="E56" i="37"/>
  <c r="AN46" i="37"/>
  <c r="AB46" i="37"/>
  <c r="AE43" i="37"/>
  <c r="Y43" i="37"/>
  <c r="AQ41" i="37"/>
  <c r="AC41" i="37"/>
  <c r="V41" i="37"/>
  <c r="F41" i="37"/>
  <c r="AE40" i="37"/>
  <c r="H40" i="37"/>
  <c r="H41" i="37" s="1"/>
  <c r="L39" i="37"/>
  <c r="L38" i="37"/>
  <c r="L37" i="37"/>
  <c r="AJ36" i="37"/>
  <c r="AJ35" i="37"/>
  <c r="AJ34" i="37"/>
  <c r="AJ33" i="37"/>
  <c r="L33" i="37"/>
  <c r="AJ32" i="37"/>
  <c r="L32" i="37"/>
  <c r="AJ31" i="37"/>
  <c r="L31" i="37"/>
  <c r="AJ30" i="37"/>
  <c r="AJ29" i="37"/>
  <c r="AJ28" i="37"/>
  <c r="L28" i="37"/>
  <c r="Z20" i="37"/>
  <c r="AO18" i="37"/>
  <c r="AH18" i="37"/>
  <c r="AA18" i="37"/>
  <c r="AC18" i="37" s="1"/>
  <c r="AH16" i="37"/>
  <c r="AA16" i="37"/>
  <c r="AC16" i="37" s="1"/>
  <c r="AO16" i="37"/>
  <c r="AO10" i="37"/>
  <c r="AF10" i="37"/>
  <c r="AH10" i="37" s="1"/>
  <c r="AH12" i="37" s="1"/>
  <c r="AA10" i="37"/>
  <c r="AH7" i="37"/>
  <c r="AO6" i="37"/>
  <c r="AF6" i="37"/>
  <c r="AH6" i="37" s="1"/>
  <c r="C27" i="36" l="1"/>
  <c r="C21" i="36"/>
  <c r="M48" i="36"/>
  <c r="M52" i="36" s="1"/>
  <c r="C24" i="20"/>
  <c r="L48" i="36"/>
  <c r="L52" i="36" s="1"/>
  <c r="G48" i="36"/>
  <c r="G52" i="36" s="1"/>
  <c r="H48" i="36"/>
  <c r="H52" i="36" s="1"/>
  <c r="K21" i="36"/>
  <c r="I32" i="36"/>
  <c r="I45" i="36" s="1"/>
  <c r="K26" i="36"/>
  <c r="K39" i="36" s="1"/>
  <c r="K31" i="36"/>
  <c r="K44" i="36" s="1"/>
  <c r="O27" i="36"/>
  <c r="O40" i="36" s="1"/>
  <c r="O29" i="36"/>
  <c r="N21" i="36"/>
  <c r="N33" i="36"/>
  <c r="N47" i="36" s="1"/>
  <c r="K25" i="36"/>
  <c r="K38" i="36" s="1"/>
  <c r="K33" i="36"/>
  <c r="K47" i="36" s="1"/>
  <c r="F21" i="36"/>
  <c r="F33" i="36"/>
  <c r="O31" i="36"/>
  <c r="O44" i="36" s="1"/>
  <c r="C25" i="36"/>
  <c r="C33" i="36"/>
  <c r="I30" i="36"/>
  <c r="I43" i="36" s="1"/>
  <c r="I33" i="36"/>
  <c r="I47" i="36" s="1"/>
  <c r="J21" i="36"/>
  <c r="J33" i="36"/>
  <c r="J47" i="36" s="1"/>
  <c r="I31" i="36"/>
  <c r="I44" i="36" s="1"/>
  <c r="K27" i="36"/>
  <c r="K40" i="36" s="1"/>
  <c r="K30" i="36"/>
  <c r="K43" i="36" s="1"/>
  <c r="O32" i="36"/>
  <c r="O45" i="36" s="1"/>
  <c r="C30" i="36"/>
  <c r="C26" i="36"/>
  <c r="I25" i="36"/>
  <c r="I38" i="36" s="1"/>
  <c r="I27" i="36"/>
  <c r="I40" i="36" s="1"/>
  <c r="I26" i="36"/>
  <c r="I39" i="36" s="1"/>
  <c r="C31" i="36"/>
  <c r="I28" i="36"/>
  <c r="I41" i="36" s="1"/>
  <c r="C32" i="36"/>
  <c r="O25" i="36"/>
  <c r="O38" i="36" s="1"/>
  <c r="C28" i="36"/>
  <c r="K32" i="36"/>
  <c r="K45" i="36" s="1"/>
  <c r="G55" i="40"/>
  <c r="O26" i="36"/>
  <c r="O39" i="36" s="1"/>
  <c r="I21" i="36"/>
  <c r="K29" i="36"/>
  <c r="K42" i="36" s="1"/>
  <c r="O28" i="36"/>
  <c r="O41" i="36" s="1"/>
  <c r="O30" i="36"/>
  <c r="O43" i="36" s="1"/>
  <c r="AE82" i="37"/>
  <c r="AN65" i="37"/>
  <c r="AN80" i="37" s="1"/>
  <c r="AH8" i="37"/>
  <c r="AH14" i="37" s="1"/>
  <c r="AH20" i="37" s="1"/>
  <c r="AF12" i="37"/>
  <c r="AQ80" i="37"/>
  <c r="AQ83" i="37" s="1"/>
  <c r="Y82" i="37"/>
  <c r="Y84" i="37" s="1"/>
  <c r="E81" i="37"/>
  <c r="E54" i="37"/>
  <c r="E50" i="37"/>
  <c r="L40" i="37"/>
  <c r="L29" i="37"/>
  <c r="E47" i="37"/>
  <c r="E48" i="37"/>
  <c r="E59" i="37"/>
  <c r="E52" i="37"/>
  <c r="C63" i="37"/>
  <c r="C64" i="37" s="1"/>
  <c r="E53" i="37"/>
  <c r="F30" i="36"/>
  <c r="F27" i="36"/>
  <c r="F31" i="36"/>
  <c r="F32" i="36"/>
  <c r="F25" i="36"/>
  <c r="F28" i="36"/>
  <c r="J32" i="36"/>
  <c r="J45" i="36" s="1"/>
  <c r="B17" i="36"/>
  <c r="B33" i="36" s="1"/>
  <c r="J28" i="36"/>
  <c r="J41" i="36" s="1"/>
  <c r="J25" i="36"/>
  <c r="J38" i="36" s="1"/>
  <c r="J29" i="36"/>
  <c r="J42" i="36" s="1"/>
  <c r="J26" i="36"/>
  <c r="J39" i="36" s="1"/>
  <c r="N31" i="36"/>
  <c r="N44" i="36" s="1"/>
  <c r="N28" i="36"/>
  <c r="N41" i="36" s="1"/>
  <c r="N30" i="36"/>
  <c r="N43" i="36" s="1"/>
  <c r="N29" i="36"/>
  <c r="N42" i="36" s="1"/>
  <c r="N32" i="36"/>
  <c r="N45" i="36" s="1"/>
  <c r="N27" i="36"/>
  <c r="N40" i="36" s="1"/>
  <c r="N25" i="36"/>
  <c r="N38" i="36" s="1"/>
  <c r="F26" i="36"/>
  <c r="N26" i="36"/>
  <c r="N39" i="36" s="1"/>
  <c r="F29" i="36"/>
  <c r="J31" i="36"/>
  <c r="J44" i="36" s="1"/>
  <c r="J27" i="36"/>
  <c r="J40" i="36" s="1"/>
  <c r="J30" i="36"/>
  <c r="J43" i="36" s="1"/>
  <c r="AA7" i="37"/>
  <c r="AC7" i="37" s="1"/>
  <c r="AO7" i="37"/>
  <c r="AA12" i="37"/>
  <c r="AL43" i="37"/>
  <c r="Y42" i="37"/>
  <c r="AF8" i="37"/>
  <c r="L34" i="37"/>
  <c r="AO8" i="37"/>
  <c r="AO11" i="37"/>
  <c r="AO12" i="37" s="1"/>
  <c r="AA11" i="37"/>
  <c r="AC11" i="37" s="1"/>
  <c r="E58" i="37"/>
  <c r="D63" i="37"/>
  <c r="D64" i="37" s="1"/>
  <c r="AA6" i="37"/>
  <c r="L30" i="37"/>
  <c r="AJ41" i="37"/>
  <c r="AC10" i="37"/>
  <c r="AC12" i="37" s="1"/>
  <c r="G6" i="40" l="1"/>
  <c r="C18" i="40"/>
  <c r="N48" i="36"/>
  <c r="N52" i="36" s="1"/>
  <c r="O42" i="36"/>
  <c r="C47" i="40" s="1"/>
  <c r="G47" i="40" s="1"/>
  <c r="K48" i="36"/>
  <c r="K52" i="36" s="1"/>
  <c r="I48" i="36"/>
  <c r="I52" i="36" s="1"/>
  <c r="J48" i="36"/>
  <c r="J52" i="36" s="1"/>
  <c r="C49" i="40"/>
  <c r="G49" i="40" s="1"/>
  <c r="G35" i="40"/>
  <c r="C45" i="40"/>
  <c r="G45" i="40" s="1"/>
  <c r="C48" i="40"/>
  <c r="G48" i="40" s="1"/>
  <c r="G34" i="40"/>
  <c r="C46" i="40"/>
  <c r="G46" i="40" s="1"/>
  <c r="B27" i="36"/>
  <c r="C44" i="40"/>
  <c r="G44" i="40" s="1"/>
  <c r="C50" i="40"/>
  <c r="G50" i="40" s="1"/>
  <c r="O34" i="36"/>
  <c r="AF14" i="37"/>
  <c r="AF20" i="37" s="1"/>
  <c r="AE42" i="37" s="1"/>
  <c r="C63" i="40"/>
  <c r="G63" i="40" s="1"/>
  <c r="C65" i="40"/>
  <c r="G65" i="40" s="1"/>
  <c r="C66" i="40"/>
  <c r="G66" i="40" s="1"/>
  <c r="C64" i="40"/>
  <c r="G64" i="40" s="1"/>
  <c r="C62" i="40"/>
  <c r="G62" i="40" s="1"/>
  <c r="E63" i="37"/>
  <c r="L36" i="37"/>
  <c r="D41" i="37"/>
  <c r="L35" i="37"/>
  <c r="B26" i="36"/>
  <c r="B28" i="36"/>
  <c r="B25" i="36"/>
  <c r="B31" i="36"/>
  <c r="B29" i="36"/>
  <c r="B32" i="36"/>
  <c r="B30" i="36"/>
  <c r="AO14" i="37"/>
  <c r="AO20" i="37" s="1"/>
  <c r="AC6" i="37"/>
  <c r="AC8" i="37" s="1"/>
  <c r="AC14" i="37" s="1"/>
  <c r="AC20" i="37" s="1"/>
  <c r="AA8" i="37"/>
  <c r="AA14" i="37" s="1"/>
  <c r="AA20" i="37" s="1"/>
  <c r="G18" i="40" l="1"/>
  <c r="AE84" i="37"/>
  <c r="O48" i="36"/>
  <c r="O52" i="36" s="1"/>
  <c r="C43" i="40"/>
  <c r="G43" i="40" s="1"/>
  <c r="C61" i="40"/>
  <c r="G61" i="40" s="1"/>
  <c r="C70" i="40"/>
  <c r="G70" i="40" s="1"/>
  <c r="C68" i="40"/>
  <c r="G68" i="40" s="1"/>
  <c r="L41" i="37"/>
  <c r="C67" i="40"/>
  <c r="G67" i="40" s="1"/>
  <c r="C81" i="37"/>
  <c r="B34" i="36"/>
  <c r="B21" i="36"/>
  <c r="C52" i="40" l="1"/>
  <c r="G52" i="40" s="1"/>
  <c r="G56" i="40" s="1"/>
  <c r="C74" i="40"/>
  <c r="H34" i="36"/>
  <c r="E34" i="36"/>
  <c r="M34" i="36"/>
  <c r="D34" i="36"/>
  <c r="L34" i="36"/>
  <c r="C34" i="36"/>
  <c r="I34" i="36"/>
  <c r="F34" i="36"/>
  <c r="J34" i="36"/>
  <c r="G34" i="36"/>
  <c r="K34" i="36"/>
  <c r="B48" i="36"/>
  <c r="N34" i="36"/>
  <c r="AQ63" i="35" l="1"/>
  <c r="AQ66" i="35"/>
  <c r="AQ41" i="35"/>
  <c r="Q68" i="35"/>
  <c r="Q41" i="35"/>
  <c r="AQ68" i="35" l="1"/>
  <c r="AQ70" i="35" s="1"/>
  <c r="AQ73" i="35" s="1"/>
  <c r="AQ72" i="35" s="1"/>
  <c r="AQ74" i="35" s="1"/>
  <c r="Q70" i="35"/>
  <c r="Q73" i="35" l="1"/>
  <c r="H40" i="35"/>
  <c r="AV26" i="21"/>
  <c r="AU26" i="21"/>
  <c r="AV56" i="21"/>
  <c r="C11" i="37" l="1"/>
  <c r="C11" i="41"/>
  <c r="E36" i="35"/>
  <c r="J76" i="37"/>
  <c r="L28" i="6"/>
  <c r="AV44" i="21"/>
  <c r="L63" i="6"/>
  <c r="L8" i="6"/>
  <c r="AT10" i="21"/>
  <c r="AV12" i="21"/>
  <c r="L9" i="6"/>
  <c r="L18" i="6"/>
  <c r="L73" i="6"/>
  <c r="L74" i="6"/>
  <c r="L4" i="6"/>
  <c r="L5" i="6"/>
  <c r="L62" i="6"/>
  <c r="L30" i="6" l="1"/>
  <c r="C10" i="41" s="1"/>
  <c r="C12" i="41" s="1"/>
  <c r="B10" i="43"/>
  <c r="B14" i="43" s="1"/>
  <c r="B16" i="43" s="1"/>
  <c r="AV42" i="21"/>
  <c r="I135" i="22"/>
  <c r="L13" i="6"/>
  <c r="L12" i="6"/>
  <c r="L53" i="6"/>
  <c r="D10" i="35"/>
  <c r="AT14" i="21"/>
  <c r="L75" i="6"/>
  <c r="B12" i="43" l="1"/>
  <c r="C10" i="37"/>
  <c r="C12" i="37" s="1"/>
  <c r="B22" i="43"/>
  <c r="B23" i="43" s="1"/>
  <c r="B24" i="43" s="1"/>
  <c r="AT26" i="21"/>
  <c r="AT28" i="21" l="1"/>
  <c r="AU7" i="21"/>
  <c r="AV7" i="21" s="1"/>
  <c r="I116" i="22" s="1"/>
  <c r="AU6" i="21"/>
  <c r="AV6" i="21" s="1"/>
  <c r="I97" i="22" s="1"/>
  <c r="AU2" i="21"/>
  <c r="AU4" i="21"/>
  <c r="AV4" i="21" s="1"/>
  <c r="I59" i="22" s="1"/>
  <c r="AU5" i="21"/>
  <c r="AV5" i="21" s="1"/>
  <c r="I78" i="22" s="1"/>
  <c r="AU3" i="21"/>
  <c r="AV3" i="21" s="1"/>
  <c r="I40" i="22" s="1"/>
  <c r="AU8" i="21"/>
  <c r="AV8" i="21" s="1"/>
  <c r="I154" i="22" s="1"/>
  <c r="AU9" i="21"/>
  <c r="AV9" i="21" s="1"/>
  <c r="I173" i="22" s="1"/>
  <c r="AU10" i="21" l="1"/>
  <c r="AU14" i="21" s="1"/>
  <c r="AU28" i="21" s="1"/>
  <c r="AV2" i="21"/>
  <c r="I21" i="22" s="1"/>
  <c r="I192" i="22" s="1"/>
  <c r="AV10" i="21" l="1"/>
  <c r="AV32" i="21" s="1"/>
  <c r="J70" i="37"/>
  <c r="J74" i="37"/>
  <c r="J71" i="37"/>
  <c r="J73" i="37"/>
  <c r="E41" i="37"/>
  <c r="J72" i="37"/>
  <c r="J69" i="37"/>
  <c r="J75" i="37"/>
  <c r="J14" i="17"/>
  <c r="K14" i="17"/>
  <c r="K18" i="17" s="1"/>
  <c r="L14" i="17"/>
  <c r="L18" i="17" s="1"/>
  <c r="M14" i="17"/>
  <c r="M30" i="17" s="1"/>
  <c r="M43" i="17" s="1"/>
  <c r="N14" i="17"/>
  <c r="N23" i="17" s="1"/>
  <c r="O42" i="17" s="1"/>
  <c r="M18" i="17" l="1"/>
  <c r="M23" i="17"/>
  <c r="M42" i="17" s="1"/>
  <c r="M22" i="17"/>
  <c r="M39" i="17" s="1"/>
  <c r="M25" i="17"/>
  <c r="M38" i="17" s="1"/>
  <c r="M24" i="17"/>
  <c r="M36" i="17" s="1"/>
  <c r="N25" i="17"/>
  <c r="O38" i="17" s="1"/>
  <c r="N26" i="17"/>
  <c r="O37" i="17" s="1"/>
  <c r="N18" i="17"/>
  <c r="AV46" i="21"/>
  <c r="M28" i="17"/>
  <c r="M29" i="17"/>
  <c r="AV14" i="21"/>
  <c r="AV28" i="21" s="1"/>
  <c r="AV33" i="21"/>
  <c r="AV47" i="21" s="1"/>
  <c r="E29" i="35" s="1"/>
  <c r="AV37" i="21"/>
  <c r="AV51" i="21" s="1"/>
  <c r="E33" i="35" s="1"/>
  <c r="AV39" i="21"/>
  <c r="AV53" i="21" s="1"/>
  <c r="E35" i="35" s="1"/>
  <c r="AV36" i="21"/>
  <c r="AV50" i="21" s="1"/>
  <c r="E32" i="35" s="1"/>
  <c r="AV34" i="21"/>
  <c r="AV48" i="21" s="1"/>
  <c r="E30" i="35" s="1"/>
  <c r="AV35" i="21"/>
  <c r="AV49" i="21" s="1"/>
  <c r="E31" i="35" s="1"/>
  <c r="AV38" i="21"/>
  <c r="AV52" i="21" s="1"/>
  <c r="E34" i="35" s="1"/>
  <c r="W9" i="19"/>
  <c r="AK9" i="19" s="1"/>
  <c r="AL9" i="19" s="1"/>
  <c r="AU9" i="19" s="1"/>
  <c r="W18" i="19"/>
  <c r="AK18" i="19" s="1"/>
  <c r="W13" i="19"/>
  <c r="AK13" i="19" s="1"/>
  <c r="AL13" i="19" s="1"/>
  <c r="AU13" i="19" s="1"/>
  <c r="W8" i="19"/>
  <c r="AK8" i="19" s="1"/>
  <c r="AL8" i="19" s="1"/>
  <c r="AU8" i="19" s="1"/>
  <c r="W16" i="19"/>
  <c r="AK16" i="19" s="1"/>
  <c r="AL16" i="19" s="1"/>
  <c r="AU16" i="19" s="1"/>
  <c r="W11" i="19"/>
  <c r="AK11" i="19" s="1"/>
  <c r="AL11" i="19" s="1"/>
  <c r="AU11" i="19" s="1"/>
  <c r="W12" i="19"/>
  <c r="AK12" i="19" s="1"/>
  <c r="AL12" i="19" s="1"/>
  <c r="AU12" i="19" s="1"/>
  <c r="W14" i="19"/>
  <c r="AK14" i="19" s="1"/>
  <c r="AL14" i="19" s="1"/>
  <c r="AU14" i="19" s="1"/>
  <c r="W15" i="19"/>
  <c r="AK15" i="19" s="1"/>
  <c r="W7" i="19"/>
  <c r="AK7" i="19" s="1"/>
  <c r="W17" i="19"/>
  <c r="AK17" i="19" s="1"/>
  <c r="D81" i="37"/>
  <c r="J68" i="37"/>
  <c r="J81" i="37" s="1"/>
  <c r="W10" i="19"/>
  <c r="AK10" i="19" s="1"/>
  <c r="AL10" i="19" s="1"/>
  <c r="AU10" i="19" s="1"/>
  <c r="N27" i="17"/>
  <c r="O40" i="17" s="1"/>
  <c r="N28" i="17"/>
  <c r="N29" i="17"/>
  <c r="N30" i="17"/>
  <c r="O43" i="17" s="1"/>
  <c r="N22" i="17"/>
  <c r="O39" i="17" s="1"/>
  <c r="N24" i="17"/>
  <c r="O36" i="17" s="1"/>
  <c r="M26" i="17"/>
  <c r="M37" i="17" s="1"/>
  <c r="M27" i="17"/>
  <c r="M40" i="17" s="1"/>
  <c r="L59" i="6" l="1"/>
  <c r="N51" i="23" s="1"/>
  <c r="AV29" i="21"/>
  <c r="O46" i="17"/>
  <c r="O49" i="17" s="1"/>
  <c r="AL18" i="19"/>
  <c r="AU18" i="19" s="1"/>
  <c r="N50" i="23"/>
  <c r="N52" i="23" s="1"/>
  <c r="J8" i="7"/>
  <c r="J10" i="7" s="1"/>
  <c r="L64" i="6"/>
  <c r="AK19" i="19"/>
  <c r="AL7" i="19"/>
  <c r="W19" i="19"/>
  <c r="E28" i="35"/>
  <c r="AV54" i="21"/>
  <c r="AV58" i="21" s="1"/>
  <c r="AV40" i="21"/>
  <c r="M46" i="17"/>
  <c r="M49" i="17" s="1"/>
  <c r="N31" i="17"/>
  <c r="M31" i="17"/>
  <c r="AU7" i="19" l="1"/>
  <c r="AU19" i="19" s="1"/>
  <c r="AL19" i="19"/>
  <c r="D12" i="35"/>
  <c r="BZ27" i="18"/>
  <c r="CA27" i="18"/>
  <c r="BY13" i="18"/>
  <c r="BZ13" i="18" s="1"/>
  <c r="BY3" i="18"/>
  <c r="BY4" i="18"/>
  <c r="BY5" i="18"/>
  <c r="BY7" i="18"/>
  <c r="BY8" i="18"/>
  <c r="BY17" i="18"/>
  <c r="BY9" i="18"/>
  <c r="BY6" i="18"/>
  <c r="C16" i="37" l="1"/>
  <c r="C16" i="41"/>
  <c r="C7" i="37"/>
  <c r="C7" i="41"/>
  <c r="D16" i="35"/>
  <c r="D7" i="35"/>
  <c r="BX15" i="18"/>
  <c r="BY2" i="18"/>
  <c r="BY11" i="18" s="1"/>
  <c r="BW15" i="18"/>
  <c r="BY15" i="18" l="1"/>
  <c r="BW27" i="18" l="1"/>
  <c r="BW29" i="18" s="1"/>
  <c r="BX27" i="18"/>
  <c r="BX29" i="18" s="1"/>
  <c r="BY27" i="18" l="1"/>
  <c r="BZ5" i="18" l="1"/>
  <c r="CA5" i="18" s="1"/>
  <c r="H78" i="22" s="1"/>
  <c r="J78" i="22" s="1"/>
  <c r="BZ9" i="18"/>
  <c r="CA9" i="18" s="1"/>
  <c r="H173" i="22" s="1"/>
  <c r="J173" i="22" s="1"/>
  <c r="H98" i="22"/>
  <c r="J98" i="22" s="1"/>
  <c r="BZ2" i="18"/>
  <c r="H79" i="22"/>
  <c r="J79" i="22" s="1"/>
  <c r="BZ6" i="18"/>
  <c r="CA6" i="18" s="1"/>
  <c r="H97" i="22" s="1"/>
  <c r="J97" i="22" s="1"/>
  <c r="H117" i="22"/>
  <c r="J117" i="22" s="1"/>
  <c r="H41" i="22"/>
  <c r="J41" i="22" s="1"/>
  <c r="H60" i="22"/>
  <c r="J60" i="22" s="1"/>
  <c r="H174" i="22"/>
  <c r="H155" i="22"/>
  <c r="J155" i="22" s="1"/>
  <c r="BZ4" i="18"/>
  <c r="CA4" i="18" s="1"/>
  <c r="H59" i="22" s="1"/>
  <c r="J59" i="22" s="1"/>
  <c r="BZ8" i="18"/>
  <c r="CA8" i="18" s="1"/>
  <c r="H154" i="22" s="1"/>
  <c r="J154" i="22" s="1"/>
  <c r="BZ3" i="18"/>
  <c r="CA3" i="18" s="1"/>
  <c r="H40" i="22" s="1"/>
  <c r="J40" i="22" s="1"/>
  <c r="BZ7" i="18"/>
  <c r="CA7" i="18" s="1"/>
  <c r="H116" i="22" s="1"/>
  <c r="J116" i="22" s="1"/>
  <c r="BY29" i="18"/>
  <c r="CA13" i="18"/>
  <c r="L155" i="22" l="1"/>
  <c r="N155" i="22"/>
  <c r="M155" i="22"/>
  <c r="O155" i="22"/>
  <c r="N116" i="22"/>
  <c r="M116" i="22"/>
  <c r="L116" i="22"/>
  <c r="O116" i="22"/>
  <c r="N59" i="22"/>
  <c r="L59" i="22"/>
  <c r="O59" i="22"/>
  <c r="M59" i="22"/>
  <c r="L60" i="22"/>
  <c r="M60" i="22"/>
  <c r="O60" i="22"/>
  <c r="N60" i="22"/>
  <c r="M97" i="22"/>
  <c r="N97" i="22"/>
  <c r="O97" i="22"/>
  <c r="L97" i="22"/>
  <c r="M173" i="22"/>
  <c r="O173" i="22"/>
  <c r="L173" i="22"/>
  <c r="N173" i="22"/>
  <c r="J174" i="22"/>
  <c r="L41" i="22"/>
  <c r="N41" i="22"/>
  <c r="M41" i="22"/>
  <c r="O41" i="22"/>
  <c r="L117" i="22"/>
  <c r="O117" i="22"/>
  <c r="M117" i="22"/>
  <c r="N117" i="22"/>
  <c r="L79" i="22"/>
  <c r="M79" i="22"/>
  <c r="N79" i="22"/>
  <c r="O79" i="22"/>
  <c r="L98" i="22"/>
  <c r="M98" i="22"/>
  <c r="N98" i="22"/>
  <c r="O98" i="22"/>
  <c r="N40" i="22"/>
  <c r="L40" i="22"/>
  <c r="O40" i="22"/>
  <c r="M40" i="22"/>
  <c r="N154" i="22"/>
  <c r="O154" i="22"/>
  <c r="L154" i="22"/>
  <c r="M154" i="22"/>
  <c r="N78" i="22"/>
  <c r="O78" i="22"/>
  <c r="L78" i="22"/>
  <c r="M78" i="22"/>
  <c r="CA44" i="18"/>
  <c r="H135" i="22"/>
  <c r="BZ11" i="18"/>
  <c r="BZ15" i="18" s="1"/>
  <c r="BZ29" i="18" s="1"/>
  <c r="CG2" i="18"/>
  <c r="CA2" i="18"/>
  <c r="N9" i="5"/>
  <c r="N13" i="5" s="1"/>
  <c r="N67" i="5"/>
  <c r="O74" i="5"/>
  <c r="U79" i="22" l="1"/>
  <c r="U155" i="22"/>
  <c r="CA11" i="18"/>
  <c r="CA33" i="18" s="1"/>
  <c r="H21" i="22"/>
  <c r="J21" i="22" s="1"/>
  <c r="P117" i="22"/>
  <c r="V117" i="22" s="1"/>
  <c r="P173" i="22"/>
  <c r="V173" i="22" s="1"/>
  <c r="U173" i="22"/>
  <c r="P59" i="22"/>
  <c r="V59" i="22" s="1"/>
  <c r="U59" i="22"/>
  <c r="U97" i="22"/>
  <c r="P97" i="22"/>
  <c r="V97" i="22" s="1"/>
  <c r="U117" i="22"/>
  <c r="CG11" i="18"/>
  <c r="H22" i="22"/>
  <c r="P40" i="22"/>
  <c r="V40" i="22" s="1"/>
  <c r="P116" i="22"/>
  <c r="V116" i="22" s="1"/>
  <c r="U116" i="22"/>
  <c r="P78" i="22"/>
  <c r="V78" i="22" s="1"/>
  <c r="U78" i="22"/>
  <c r="P41" i="22"/>
  <c r="V41" i="22" s="1"/>
  <c r="P60" i="22"/>
  <c r="V60" i="22" s="1"/>
  <c r="U98" i="22"/>
  <c r="P98" i="22"/>
  <c r="V98" i="22" s="1"/>
  <c r="P154" i="22"/>
  <c r="V154" i="22" s="1"/>
  <c r="U154" i="22"/>
  <c r="P79" i="22"/>
  <c r="V79" i="22" s="1"/>
  <c r="N174" i="22"/>
  <c r="L174" i="22"/>
  <c r="O174" i="22"/>
  <c r="M174" i="22"/>
  <c r="U60" i="22"/>
  <c r="P155" i="22"/>
  <c r="V155" i="22" s="1"/>
  <c r="J135" i="22"/>
  <c r="O84" i="5"/>
  <c r="O79" i="5"/>
  <c r="O9" i="5"/>
  <c r="O13" i="5" s="1"/>
  <c r="O67" i="5"/>
  <c r="B69" i="40"/>
  <c r="F69" i="40" s="1"/>
  <c r="A81" i="35"/>
  <c r="E80" i="35"/>
  <c r="D80" i="35" s="1"/>
  <c r="C80" i="35"/>
  <c r="A80" i="35"/>
  <c r="E79" i="35"/>
  <c r="D79" i="35" s="1"/>
  <c r="C79" i="35"/>
  <c r="A79" i="35"/>
  <c r="E78" i="35"/>
  <c r="D78" i="35" s="1"/>
  <c r="C78" i="35"/>
  <c r="A78" i="35"/>
  <c r="H77" i="35"/>
  <c r="A77" i="35"/>
  <c r="Z70" i="35"/>
  <c r="Y70" i="35"/>
  <c r="H76" i="35"/>
  <c r="A76" i="35"/>
  <c r="H75" i="35"/>
  <c r="A75" i="35"/>
  <c r="AB68" i="35"/>
  <c r="H74" i="35"/>
  <c r="E74" i="35"/>
  <c r="D74" i="35" s="1"/>
  <c r="C74" i="35"/>
  <c r="A74" i="35"/>
  <c r="AN67" i="35"/>
  <c r="AB67" i="35"/>
  <c r="H73" i="35"/>
  <c r="E73" i="35"/>
  <c r="D73" i="35" s="1"/>
  <c r="C73" i="35"/>
  <c r="A73" i="35"/>
  <c r="AN66" i="35"/>
  <c r="AB66" i="35"/>
  <c r="H72" i="35"/>
  <c r="E72" i="35"/>
  <c r="C72" i="35"/>
  <c r="A72" i="35"/>
  <c r="AN65" i="35"/>
  <c r="AB65" i="35"/>
  <c r="H71" i="35"/>
  <c r="A71" i="35"/>
  <c r="AE64" i="35"/>
  <c r="AE70" i="35" s="1"/>
  <c r="AB64" i="35"/>
  <c r="H70" i="35"/>
  <c r="A70" i="35"/>
  <c r="AN63" i="35"/>
  <c r="AB63" i="35"/>
  <c r="H69" i="35"/>
  <c r="E69" i="35"/>
  <c r="D69" i="35" s="1"/>
  <c r="C69" i="35"/>
  <c r="A69" i="35"/>
  <c r="AN62" i="35"/>
  <c r="AB62" i="35"/>
  <c r="AN61" i="35"/>
  <c r="AB61" i="35"/>
  <c r="AN60" i="35"/>
  <c r="AB60" i="35"/>
  <c r="AN59" i="35"/>
  <c r="AB59" i="35"/>
  <c r="AN58" i="35"/>
  <c r="AB58" i="35"/>
  <c r="AN57" i="35"/>
  <c r="AB57" i="35"/>
  <c r="AN56" i="35"/>
  <c r="AB56" i="35"/>
  <c r="AN55" i="35"/>
  <c r="AB55" i="35"/>
  <c r="AN54" i="35"/>
  <c r="AB54" i="35"/>
  <c r="AN53" i="35"/>
  <c r="AB53" i="35"/>
  <c r="AN52" i="35"/>
  <c r="AB52" i="35"/>
  <c r="C75" i="35"/>
  <c r="AN51" i="35"/>
  <c r="AB51" i="35"/>
  <c r="AN50" i="35"/>
  <c r="AB50" i="35"/>
  <c r="AN49" i="35"/>
  <c r="AB49" i="35"/>
  <c r="AN48" i="35"/>
  <c r="AB48" i="35"/>
  <c r="AN47" i="35"/>
  <c r="AB47" i="35"/>
  <c r="AN45" i="35"/>
  <c r="AB45" i="35"/>
  <c r="AE43" i="35"/>
  <c r="Y43" i="35"/>
  <c r="AC41" i="35"/>
  <c r="V41" i="35"/>
  <c r="H41" i="35"/>
  <c r="AE40" i="35"/>
  <c r="E81" i="35"/>
  <c r="D81" i="35" s="1"/>
  <c r="L39" i="35"/>
  <c r="L38" i="35"/>
  <c r="L37" i="35"/>
  <c r="AJ36" i="35"/>
  <c r="AJ35" i="35"/>
  <c r="AJ34" i="35"/>
  <c r="AJ33" i="35"/>
  <c r="L33" i="35"/>
  <c r="AJ32" i="35"/>
  <c r="L32" i="35"/>
  <c r="AJ31" i="35"/>
  <c r="L31" i="35"/>
  <c r="AJ30" i="35"/>
  <c r="AJ29" i="35"/>
  <c r="AJ28" i="35"/>
  <c r="L28" i="35"/>
  <c r="Z20" i="35"/>
  <c r="AO18" i="35"/>
  <c r="AH18" i="35"/>
  <c r="B18" i="35"/>
  <c r="AA18" i="35" s="1"/>
  <c r="AC18" i="35" s="1"/>
  <c r="AH16" i="35"/>
  <c r="C16" i="35"/>
  <c r="B16" i="35"/>
  <c r="AA16" i="35" s="1"/>
  <c r="AC16" i="35" s="1"/>
  <c r="AF10" i="35"/>
  <c r="AH10" i="35" s="1"/>
  <c r="AH12" i="35" s="1"/>
  <c r="AH7" i="35"/>
  <c r="AF6" i="35"/>
  <c r="AF8" i="35" s="1"/>
  <c r="D63" i="35" l="1"/>
  <c r="D64" i="35" s="1"/>
  <c r="U40" i="22"/>
  <c r="CG15" i="18"/>
  <c r="CG29" i="18" s="1"/>
  <c r="CG40" i="18"/>
  <c r="CG55" i="18" s="1"/>
  <c r="CG41" i="18"/>
  <c r="CG56" i="18" s="1"/>
  <c r="CG39" i="18"/>
  <c r="CG54" i="18" s="1"/>
  <c r="CG36" i="18"/>
  <c r="CG51" i="18" s="1"/>
  <c r="CG34" i="18"/>
  <c r="CG49" i="18" s="1"/>
  <c r="CG35" i="18"/>
  <c r="CG50" i="18" s="1"/>
  <c r="CG37" i="18"/>
  <c r="CG52" i="18" s="1"/>
  <c r="CG38" i="18"/>
  <c r="CG53" i="18" s="1"/>
  <c r="H192" i="22"/>
  <c r="J192" i="22" s="1"/>
  <c r="M192" i="22" s="1"/>
  <c r="U41" i="22"/>
  <c r="J22" i="22"/>
  <c r="H193" i="22"/>
  <c r="J193" i="22" s="1"/>
  <c r="L21" i="22"/>
  <c r="M21" i="22"/>
  <c r="N21" i="22"/>
  <c r="O21" i="22"/>
  <c r="P174" i="22"/>
  <c r="V174" i="22" s="1"/>
  <c r="U174" i="22"/>
  <c r="M135" i="22"/>
  <c r="N135" i="22"/>
  <c r="O135" i="22"/>
  <c r="L135" i="22"/>
  <c r="CM59" i="18"/>
  <c r="B30" i="40" s="1"/>
  <c r="P46" i="36"/>
  <c r="C30" i="40" s="1"/>
  <c r="G30" i="40" s="1"/>
  <c r="CA48" i="18"/>
  <c r="P5" i="5"/>
  <c r="P13" i="5" s="1"/>
  <c r="CG30" i="18"/>
  <c r="CG33" i="18"/>
  <c r="CA15" i="18"/>
  <c r="CA29" i="18" s="1"/>
  <c r="CA35" i="18"/>
  <c r="CA36" i="18"/>
  <c r="CA40" i="18"/>
  <c r="CA34" i="18"/>
  <c r="CA38" i="18"/>
  <c r="CA37" i="18"/>
  <c r="CA39" i="18"/>
  <c r="E59" i="35"/>
  <c r="J73" i="35"/>
  <c r="N8" i="5"/>
  <c r="N12" i="5" s="1"/>
  <c r="Y42" i="35"/>
  <c r="E60" i="35"/>
  <c r="E58" i="35"/>
  <c r="Y72" i="35"/>
  <c r="Y74" i="35" s="1"/>
  <c r="AO16" i="35"/>
  <c r="E56" i="35"/>
  <c r="E57" i="35"/>
  <c r="E45" i="35"/>
  <c r="E48" i="35"/>
  <c r="AE72" i="35"/>
  <c r="E54" i="35"/>
  <c r="AN64" i="35"/>
  <c r="AN70" i="35" s="1"/>
  <c r="E41" i="35"/>
  <c r="E52" i="35"/>
  <c r="E53" i="35"/>
  <c r="E47" i="35"/>
  <c r="E49" i="35"/>
  <c r="D72" i="35"/>
  <c r="L40" i="35"/>
  <c r="C81" i="35"/>
  <c r="C71" i="35"/>
  <c r="E76" i="35"/>
  <c r="D76" i="35" s="1"/>
  <c r="J74" i="35"/>
  <c r="E50" i="35"/>
  <c r="J69" i="35"/>
  <c r="AH6" i="35"/>
  <c r="AH8" i="35" s="1"/>
  <c r="AH14" i="35" s="1"/>
  <c r="AH20" i="35" s="1"/>
  <c r="AJ41" i="35"/>
  <c r="AF12" i="35"/>
  <c r="AF14" i="35" s="1"/>
  <c r="AF20" i="35" s="1"/>
  <c r="AL43" i="35"/>
  <c r="L30" i="35"/>
  <c r="E63" i="35" l="1"/>
  <c r="L192" i="22"/>
  <c r="CG42" i="18"/>
  <c r="CG48" i="18"/>
  <c r="CG57" i="18" s="1"/>
  <c r="O192" i="22"/>
  <c r="N192" i="22"/>
  <c r="P192" i="22" s="1"/>
  <c r="S192" i="22" s="1"/>
  <c r="P21" i="22"/>
  <c r="U21" i="22" s="1"/>
  <c r="N193" i="22"/>
  <c r="O193" i="22"/>
  <c r="M193" i="22"/>
  <c r="L193" i="22"/>
  <c r="L22" i="22"/>
  <c r="O22" i="22"/>
  <c r="M22" i="22"/>
  <c r="N22" i="22"/>
  <c r="U135" i="22"/>
  <c r="P135" i="22"/>
  <c r="V135" i="22" s="1"/>
  <c r="F34" i="40"/>
  <c r="CA49" i="18"/>
  <c r="CA52" i="18"/>
  <c r="CA55" i="18"/>
  <c r="F33" i="40"/>
  <c r="CA54" i="18"/>
  <c r="F35" i="40"/>
  <c r="I35" i="40" s="1"/>
  <c r="CA53" i="18"/>
  <c r="CA51" i="18"/>
  <c r="F30" i="40"/>
  <c r="CA50" i="18"/>
  <c r="C6" i="37"/>
  <c r="C8" i="37" s="1"/>
  <c r="C14" i="37" s="1"/>
  <c r="C20" i="37" s="1"/>
  <c r="AQ84" i="37" s="1"/>
  <c r="C6" i="41"/>
  <c r="C8" i="41" s="1"/>
  <c r="C14" i="41" s="1"/>
  <c r="C20" i="41" s="1"/>
  <c r="C21" i="41" s="1"/>
  <c r="CA42" i="18"/>
  <c r="I55" i="40" s="1"/>
  <c r="O66" i="5"/>
  <c r="O8" i="5"/>
  <c r="O12" i="5" s="1"/>
  <c r="B61" i="40"/>
  <c r="F61" i="40" s="1"/>
  <c r="N48" i="17"/>
  <c r="N41" i="17"/>
  <c r="N39" i="17"/>
  <c r="N45" i="17"/>
  <c r="N42" i="17"/>
  <c r="N38" i="17"/>
  <c r="N36" i="17"/>
  <c r="N43" i="17"/>
  <c r="N46" i="17"/>
  <c r="N47" i="17"/>
  <c r="N40" i="17"/>
  <c r="N37" i="17"/>
  <c r="D6" i="35"/>
  <c r="D8" i="35" s="1"/>
  <c r="D14" i="35" s="1"/>
  <c r="D20" i="35" s="1"/>
  <c r="N68" i="5"/>
  <c r="N88" i="5" s="1"/>
  <c r="N93" i="5"/>
  <c r="L36" i="35"/>
  <c r="AE74" i="35"/>
  <c r="C77" i="35"/>
  <c r="J72" i="35"/>
  <c r="E70" i="35"/>
  <c r="D70" i="35" s="1"/>
  <c r="F41" i="35"/>
  <c r="C76" i="35"/>
  <c r="L35" i="35"/>
  <c r="L34" i="35"/>
  <c r="E75" i="35"/>
  <c r="D75" i="35" s="1"/>
  <c r="AE42" i="35"/>
  <c r="E77" i="35"/>
  <c r="D77" i="35" s="1"/>
  <c r="C70" i="35"/>
  <c r="L29" i="35"/>
  <c r="D41" i="35"/>
  <c r="J76" i="35"/>
  <c r="E71" i="35"/>
  <c r="D71" i="35" s="1"/>
  <c r="U192" i="22" l="1"/>
  <c r="CA57" i="18"/>
  <c r="B42" i="41"/>
  <c r="B44" i="43"/>
  <c r="V21" i="22"/>
  <c r="P193" i="22"/>
  <c r="S193" i="22" s="1"/>
  <c r="U193" i="22"/>
  <c r="P22" i="22"/>
  <c r="V22" i="22" s="1"/>
  <c r="V192" i="22"/>
  <c r="P36" i="36"/>
  <c r="P38" i="36" s="1"/>
  <c r="CA64" i="18"/>
  <c r="CA68" i="18" s="1"/>
  <c r="CG64" i="18"/>
  <c r="CG68" i="18" s="1"/>
  <c r="P25" i="5"/>
  <c r="D6" i="43" s="1"/>
  <c r="C21" i="37"/>
  <c r="C22" i="37" s="1"/>
  <c r="C22" i="41"/>
  <c r="D71" i="40"/>
  <c r="H71" i="40" s="1"/>
  <c r="D69" i="40"/>
  <c r="H69" i="40" s="1"/>
  <c r="B40" i="37"/>
  <c r="F50" i="40"/>
  <c r="F49" i="40"/>
  <c r="F48" i="40"/>
  <c r="F46" i="40"/>
  <c r="F47" i="40"/>
  <c r="F45" i="40"/>
  <c r="F44" i="40"/>
  <c r="B62" i="40"/>
  <c r="F62" i="40" s="1"/>
  <c r="B63" i="40"/>
  <c r="F63" i="40" s="1"/>
  <c r="B67" i="40"/>
  <c r="F67" i="40" s="1"/>
  <c r="B64" i="40"/>
  <c r="F64" i="40" s="1"/>
  <c r="B66" i="40"/>
  <c r="B65" i="40"/>
  <c r="F65" i="40" s="1"/>
  <c r="O68" i="5"/>
  <c r="O88" i="5" s="1"/>
  <c r="D6" i="37"/>
  <c r="B68" i="40"/>
  <c r="F68" i="40" s="1"/>
  <c r="Q72" i="35"/>
  <c r="Q74" i="35" s="1"/>
  <c r="D21" i="35"/>
  <c r="D22" i="35" s="1"/>
  <c r="N49" i="17"/>
  <c r="J71" i="35"/>
  <c r="C82" i="35"/>
  <c r="J77" i="35"/>
  <c r="E82" i="35"/>
  <c r="L41" i="35"/>
  <c r="J75" i="35"/>
  <c r="J70" i="35"/>
  <c r="D82" i="35"/>
  <c r="M47" i="34"/>
  <c r="L47" i="34"/>
  <c r="K47" i="34"/>
  <c r="J47" i="34"/>
  <c r="I47" i="34"/>
  <c r="H47" i="34"/>
  <c r="G47" i="34"/>
  <c r="F47" i="34"/>
  <c r="E47" i="34"/>
  <c r="D44" i="34"/>
  <c r="C44" i="34"/>
  <c r="D39" i="34"/>
  <c r="C39" i="34"/>
  <c r="D38" i="34"/>
  <c r="C38" i="34"/>
  <c r="D34" i="34"/>
  <c r="C34" i="34"/>
  <c r="L33" i="34"/>
  <c r="L34" i="34" s="1"/>
  <c r="K33" i="34"/>
  <c r="K34" i="34" s="1"/>
  <c r="J33" i="34"/>
  <c r="J34" i="34" s="1"/>
  <c r="I33" i="34"/>
  <c r="I34" i="34" s="1"/>
  <c r="H33" i="34"/>
  <c r="H34" i="34" s="1"/>
  <c r="G33" i="34"/>
  <c r="G34" i="34" s="1"/>
  <c r="F33" i="34"/>
  <c r="F34" i="34" s="1"/>
  <c r="E33" i="34"/>
  <c r="E34" i="34" s="1"/>
  <c r="M32" i="34"/>
  <c r="M34" i="34" s="1"/>
  <c r="L23" i="34"/>
  <c r="K23" i="34"/>
  <c r="J23" i="34"/>
  <c r="I23" i="34"/>
  <c r="H23" i="34"/>
  <c r="G23" i="34"/>
  <c r="F23" i="34"/>
  <c r="E23" i="34"/>
  <c r="D23" i="34"/>
  <c r="C23" i="34"/>
  <c r="M8" i="34"/>
  <c r="M23" i="34" s="1"/>
  <c r="D14" i="43" l="1"/>
  <c r="F6" i="43"/>
  <c r="U22" i="22"/>
  <c r="V193" i="22"/>
  <c r="P41" i="36"/>
  <c r="C25" i="40" s="1"/>
  <c r="G25" i="40" s="1"/>
  <c r="P39" i="36"/>
  <c r="C23" i="40" s="1"/>
  <c r="G23" i="40" s="1"/>
  <c r="P44" i="36"/>
  <c r="C28" i="40" s="1"/>
  <c r="G28" i="40" s="1"/>
  <c r="P45" i="36"/>
  <c r="C29" i="40" s="1"/>
  <c r="G29" i="40" s="1"/>
  <c r="P42" i="36"/>
  <c r="C26" i="40" s="1"/>
  <c r="G26" i="40" s="1"/>
  <c r="P40" i="36"/>
  <c r="C24" i="40" s="1"/>
  <c r="G24" i="40" s="1"/>
  <c r="G35" i="34"/>
  <c r="G50" i="34" s="1"/>
  <c r="F35" i="34"/>
  <c r="F50" i="34" s="1"/>
  <c r="P47" i="36"/>
  <c r="C32" i="40" s="1"/>
  <c r="G32" i="40" s="1"/>
  <c r="E35" i="34"/>
  <c r="E50" i="34" s="1"/>
  <c r="P43" i="36"/>
  <c r="C27" i="40" s="1"/>
  <c r="G27" i="40" s="1"/>
  <c r="C22" i="40"/>
  <c r="CM66" i="18"/>
  <c r="P50" i="36"/>
  <c r="P33" i="5"/>
  <c r="K35" i="34"/>
  <c r="K50" i="34" s="1"/>
  <c r="D53" i="40"/>
  <c r="H53" i="40" s="1"/>
  <c r="I53" i="40" s="1"/>
  <c r="C35" i="34"/>
  <c r="L35" i="34"/>
  <c r="L50" i="34" s="1"/>
  <c r="J35" i="34"/>
  <c r="J50" i="34" s="1"/>
  <c r="C47" i="34"/>
  <c r="D35" i="34"/>
  <c r="M35" i="34"/>
  <c r="M50" i="34" s="1"/>
  <c r="F66" i="40"/>
  <c r="B74" i="40"/>
  <c r="G74" i="40"/>
  <c r="J82" i="35"/>
  <c r="D47" i="34"/>
  <c r="H35" i="34"/>
  <c r="H50" i="34" s="1"/>
  <c r="I35" i="34"/>
  <c r="I50" i="34" s="1"/>
  <c r="F14" i="43" l="1"/>
  <c r="P35" i="5"/>
  <c r="Q35" i="5"/>
  <c r="C50" i="34"/>
  <c r="D50" i="34"/>
  <c r="P48" i="36"/>
  <c r="P52" i="36" s="1"/>
  <c r="E6" i="41"/>
  <c r="AV2" i="19"/>
  <c r="G22" i="40"/>
  <c r="G36" i="40" s="1"/>
  <c r="C36" i="40"/>
  <c r="P34" i="5"/>
  <c r="D51" i="40"/>
  <c r="H51" i="40" s="1"/>
  <c r="I51" i="40" s="1"/>
  <c r="B38" i="37"/>
  <c r="F74" i="40"/>
  <c r="F43" i="40"/>
  <c r="F56" i="40" s="1"/>
  <c r="B56" i="40"/>
  <c r="B57" i="40" s="1"/>
  <c r="C56" i="40"/>
  <c r="AU39" i="33"/>
  <c r="AU40" i="33"/>
  <c r="AU41" i="33"/>
  <c r="AU42" i="33"/>
  <c r="AU43" i="33"/>
  <c r="AU44" i="33"/>
  <c r="AU45" i="33"/>
  <c r="AU46" i="33"/>
  <c r="AU47" i="33"/>
  <c r="AU48" i="33"/>
  <c r="AU38" i="33"/>
  <c r="AU24" i="33"/>
  <c r="AU25" i="33"/>
  <c r="AU26" i="33"/>
  <c r="AU27" i="33"/>
  <c r="AU28" i="33"/>
  <c r="AU29" i="33"/>
  <c r="AU30" i="33"/>
  <c r="AU31" i="33"/>
  <c r="AU32" i="33"/>
  <c r="AU33" i="33"/>
  <c r="AU23" i="33"/>
  <c r="AR54" i="33"/>
  <c r="AR55" i="33"/>
  <c r="AR56" i="33"/>
  <c r="AR57" i="33"/>
  <c r="AR58" i="33"/>
  <c r="AR59" i="33"/>
  <c r="AR60" i="33"/>
  <c r="AR61" i="33"/>
  <c r="AR62" i="33"/>
  <c r="AR63" i="33"/>
  <c r="AR53" i="33"/>
  <c r="AR39" i="33"/>
  <c r="AR40" i="33"/>
  <c r="AR41" i="33"/>
  <c r="AR42" i="33"/>
  <c r="AR43" i="33"/>
  <c r="AR44" i="33"/>
  <c r="AR45" i="33"/>
  <c r="AR46" i="33"/>
  <c r="AR47" i="33"/>
  <c r="AR48" i="33"/>
  <c r="AR38" i="33"/>
  <c r="AR24" i="33"/>
  <c r="AR25" i="33"/>
  <c r="AR26" i="33"/>
  <c r="AR27" i="33"/>
  <c r="AR28" i="33"/>
  <c r="AR29" i="33"/>
  <c r="AR30" i="33"/>
  <c r="AR31" i="33"/>
  <c r="AR32" i="33"/>
  <c r="AR33" i="33"/>
  <c r="AR23" i="33"/>
  <c r="AN54" i="33"/>
  <c r="AN55" i="33"/>
  <c r="AN56" i="33"/>
  <c r="AN57" i="33"/>
  <c r="AN58" i="33"/>
  <c r="AN59" i="33"/>
  <c r="AN60" i="33"/>
  <c r="AN61" i="33"/>
  <c r="AN62" i="33"/>
  <c r="AN63" i="33"/>
  <c r="AN53" i="33"/>
  <c r="AN39" i="33"/>
  <c r="AN40" i="33"/>
  <c r="AN41" i="33"/>
  <c r="AN42" i="33"/>
  <c r="AN43" i="33"/>
  <c r="AN44" i="33"/>
  <c r="AN45" i="33"/>
  <c r="AN46" i="33"/>
  <c r="AN47" i="33"/>
  <c r="AN48" i="33"/>
  <c r="AN38" i="33"/>
  <c r="AN24" i="33"/>
  <c r="AN25" i="33"/>
  <c r="AN26" i="33"/>
  <c r="AN27" i="33"/>
  <c r="AN28" i="33"/>
  <c r="AN29" i="33"/>
  <c r="AN30" i="33"/>
  <c r="AN31" i="33"/>
  <c r="AN32" i="33"/>
  <c r="AN33" i="33"/>
  <c r="AN23" i="33"/>
  <c r="AN4" i="33"/>
  <c r="AN5" i="33"/>
  <c r="AN6" i="33"/>
  <c r="AN7" i="33"/>
  <c r="AN8" i="33"/>
  <c r="AN9" i="33"/>
  <c r="AN10" i="33"/>
  <c r="AN11" i="33"/>
  <c r="AN12" i="33"/>
  <c r="AN13" i="33"/>
  <c r="AN3" i="33"/>
  <c r="C69" i="43" l="1"/>
  <c r="F6" i="41"/>
  <c r="AV15" i="19"/>
  <c r="D30" i="40" s="1"/>
  <c r="H30" i="40" s="1"/>
  <c r="AV17" i="19"/>
  <c r="D33" i="40" s="1"/>
  <c r="B36" i="37"/>
  <c r="BA13" i="33"/>
  <c r="C68" i="41" l="1"/>
  <c r="E68" i="43"/>
  <c r="E69" i="43" s="1"/>
  <c r="I30" i="40"/>
  <c r="H33" i="40"/>
  <c r="I33" i="40" s="1"/>
  <c r="AZ13" i="33"/>
  <c r="B50" i="23"/>
  <c r="C50" i="23"/>
  <c r="D50" i="23"/>
  <c r="E50" i="23"/>
  <c r="F50" i="23"/>
  <c r="F52" i="23" s="1"/>
  <c r="G50" i="23"/>
  <c r="E70" i="43" l="1"/>
  <c r="L35" i="43"/>
  <c r="L45" i="43" s="1"/>
  <c r="L46" i="43" s="1"/>
  <c r="D45" i="43"/>
  <c r="C79" i="43"/>
  <c r="C89" i="43" s="1"/>
  <c r="C80" i="41"/>
  <c r="C87" i="41" s="1"/>
  <c r="L36" i="41"/>
  <c r="L43" i="41" s="1"/>
  <c r="D43" i="41"/>
  <c r="B40" i="41"/>
  <c r="B37" i="41"/>
  <c r="V18" i="19"/>
  <c r="AI18" i="19" s="1"/>
  <c r="V15" i="19"/>
  <c r="AI15" i="19" s="1"/>
  <c r="V11" i="19"/>
  <c r="AI11" i="19" s="1"/>
  <c r="AJ11" i="19" s="1"/>
  <c r="AT11" i="19" s="1"/>
  <c r="V13" i="19"/>
  <c r="AI13" i="19" s="1"/>
  <c r="AJ13" i="19" s="1"/>
  <c r="V7" i="19"/>
  <c r="V8" i="19"/>
  <c r="AI8" i="19" s="1"/>
  <c r="AJ8" i="19" s="1"/>
  <c r="AT8" i="19" s="1"/>
  <c r="V16" i="19"/>
  <c r="AI16" i="19" s="1"/>
  <c r="AJ16" i="19" s="1"/>
  <c r="AT16" i="19" s="1"/>
  <c r="V9" i="19"/>
  <c r="AI9" i="19" s="1"/>
  <c r="AJ9" i="19" s="1"/>
  <c r="AT9" i="19" s="1"/>
  <c r="V14" i="19"/>
  <c r="AI14" i="19" s="1"/>
  <c r="AJ14" i="19" s="1"/>
  <c r="V17" i="19"/>
  <c r="AI17" i="19" s="1"/>
  <c r="V12" i="19"/>
  <c r="AI12" i="19" s="1"/>
  <c r="AJ12" i="19" s="1"/>
  <c r="AT12" i="19" s="1"/>
  <c r="U17" i="19"/>
  <c r="U9" i="19"/>
  <c r="U18" i="19"/>
  <c r="U15" i="19"/>
  <c r="U12" i="19"/>
  <c r="U14" i="19"/>
  <c r="U13" i="19"/>
  <c r="U8" i="19"/>
  <c r="U7" i="19"/>
  <c r="U11" i="19"/>
  <c r="U16" i="19"/>
  <c r="T14" i="19"/>
  <c r="T12" i="19"/>
  <c r="T17" i="19"/>
  <c r="T18" i="19"/>
  <c r="T9" i="19"/>
  <c r="T11" i="19"/>
  <c r="T16" i="19"/>
  <c r="T8" i="19"/>
  <c r="T15" i="19"/>
  <c r="V10" i="19"/>
  <c r="AI10" i="19" s="1"/>
  <c r="T7" i="19"/>
  <c r="AG11" i="19" l="1"/>
  <c r="AH11" i="19" s="1"/>
  <c r="AG16" i="19"/>
  <c r="AH16" i="19" s="1"/>
  <c r="AS16" i="19" s="1"/>
  <c r="AT13" i="19"/>
  <c r="AT14" i="19"/>
  <c r="AG13" i="19"/>
  <c r="AH13" i="19" s="1"/>
  <c r="AG15" i="19"/>
  <c r="D47" i="40"/>
  <c r="H47" i="40" s="1"/>
  <c r="I47" i="40" s="1"/>
  <c r="D48" i="40"/>
  <c r="H48" i="40" s="1"/>
  <c r="I48" i="40" s="1"/>
  <c r="D45" i="40"/>
  <c r="H45" i="40" s="1"/>
  <c r="I45" i="40" s="1"/>
  <c r="D44" i="40"/>
  <c r="H44" i="40" s="1"/>
  <c r="I44" i="40" s="1"/>
  <c r="D52" i="40"/>
  <c r="H52" i="40" s="1"/>
  <c r="I52" i="40" s="1"/>
  <c r="D50" i="40"/>
  <c r="H50" i="40" s="1"/>
  <c r="I50" i="40" s="1"/>
  <c r="D49" i="40"/>
  <c r="H49" i="40" s="1"/>
  <c r="I49" i="40" s="1"/>
  <c r="AI7" i="19"/>
  <c r="V19" i="19"/>
  <c r="AG7" i="19"/>
  <c r="AH7" i="19" s="1"/>
  <c r="AS7" i="19" s="1"/>
  <c r="AG8" i="19"/>
  <c r="AH8" i="19" s="1"/>
  <c r="AG17" i="19"/>
  <c r="AJ10" i="19"/>
  <c r="AT10" i="19" s="1"/>
  <c r="AJ18" i="19"/>
  <c r="AT18" i="19" s="1"/>
  <c r="AG18" i="19"/>
  <c r="AE14" i="19"/>
  <c r="AC14" i="19"/>
  <c r="AN14" i="19" s="1"/>
  <c r="AV14" i="19" s="1"/>
  <c r="D29" i="40" s="1"/>
  <c r="H29" i="40" s="1"/>
  <c r="AC12" i="19"/>
  <c r="AN12" i="19" s="1"/>
  <c r="AV12" i="19" s="1"/>
  <c r="D27" i="40" s="1"/>
  <c r="H27" i="40" s="1"/>
  <c r="AE12" i="19"/>
  <c r="AC15" i="19"/>
  <c r="AE15" i="19"/>
  <c r="AC16" i="19"/>
  <c r="AN16" i="19" s="1"/>
  <c r="AV16" i="19" s="1"/>
  <c r="D32" i="40" s="1"/>
  <c r="H32" i="40" s="1"/>
  <c r="I32" i="40" s="1"/>
  <c r="AE16" i="19"/>
  <c r="AC11" i="19"/>
  <c r="AN11" i="19" s="1"/>
  <c r="AV11" i="19" s="1"/>
  <c r="D26" i="40" s="1"/>
  <c r="H26" i="40" s="1"/>
  <c r="AE11" i="19"/>
  <c r="AC7" i="19"/>
  <c r="AE7" i="19"/>
  <c r="AG14" i="19"/>
  <c r="AH14" i="19" s="1"/>
  <c r="AE8" i="19"/>
  <c r="AC8" i="19"/>
  <c r="AN8" i="19" s="1"/>
  <c r="AV8" i="19" s="1"/>
  <c r="D23" i="40" s="1"/>
  <c r="H23" i="40" s="1"/>
  <c r="AG12" i="19"/>
  <c r="AH12" i="19" s="1"/>
  <c r="AS12" i="19" s="1"/>
  <c r="AE9" i="19"/>
  <c r="AC9" i="19"/>
  <c r="AN9" i="19" s="1"/>
  <c r="AV9" i="19" s="1"/>
  <c r="D24" i="40" s="1"/>
  <c r="H24" i="40" s="1"/>
  <c r="AC18" i="19"/>
  <c r="AE18" i="19"/>
  <c r="AC17" i="19"/>
  <c r="AE17" i="19"/>
  <c r="AG9" i="19"/>
  <c r="AH9" i="19" s="1"/>
  <c r="T13" i="19"/>
  <c r="U10" i="19"/>
  <c r="AG10" i="19" s="1"/>
  <c r="T10" i="19"/>
  <c r="L22" i="17"/>
  <c r="L23" i="17"/>
  <c r="L24" i="17"/>
  <c r="L25" i="17"/>
  <c r="L26" i="17"/>
  <c r="L27" i="17"/>
  <c r="L28" i="17"/>
  <c r="L29" i="17"/>
  <c r="L30" i="17"/>
  <c r="B39" i="41" l="1"/>
  <c r="D63" i="40"/>
  <c r="H63" i="40" s="1"/>
  <c r="AS9" i="19"/>
  <c r="D62" i="40"/>
  <c r="H62" i="40" s="1"/>
  <c r="AS8" i="19"/>
  <c r="D65" i="40"/>
  <c r="H65" i="40" s="1"/>
  <c r="AS11" i="19"/>
  <c r="D68" i="40"/>
  <c r="H68" i="40" s="1"/>
  <c r="AS14" i="19"/>
  <c r="D67" i="40"/>
  <c r="H67" i="40" s="1"/>
  <c r="AS13" i="19"/>
  <c r="AE10" i="19"/>
  <c r="AN18" i="19"/>
  <c r="AV18" i="19" s="1"/>
  <c r="D34" i="40" s="1"/>
  <c r="H34" i="40" s="1"/>
  <c r="I34" i="40" s="1"/>
  <c r="AN7" i="19"/>
  <c r="U19" i="19"/>
  <c r="B37" i="37"/>
  <c r="D70" i="40"/>
  <c r="H70" i="40" s="1"/>
  <c r="I70" i="40" s="1"/>
  <c r="B37" i="35" s="1"/>
  <c r="D54" i="40"/>
  <c r="H54" i="40" s="1"/>
  <c r="I54" i="40" s="1"/>
  <c r="D66" i="40"/>
  <c r="H66" i="40" s="1"/>
  <c r="I66" i="40" s="1"/>
  <c r="B33" i="35" s="1"/>
  <c r="D46" i="40"/>
  <c r="H46" i="40" s="1"/>
  <c r="I46" i="40" s="1"/>
  <c r="B29" i="37"/>
  <c r="B33" i="37"/>
  <c r="B30" i="37"/>
  <c r="B34" i="37"/>
  <c r="B32" i="37"/>
  <c r="B35" i="37"/>
  <c r="AG19" i="19"/>
  <c r="AJ7" i="19"/>
  <c r="AT7" i="19" s="1"/>
  <c r="AI19" i="19"/>
  <c r="T19" i="19"/>
  <c r="AC13" i="19"/>
  <c r="AE13" i="19"/>
  <c r="AF13" i="19" s="1"/>
  <c r="AR13" i="19" s="1"/>
  <c r="AH18" i="19"/>
  <c r="AS18" i="19" s="1"/>
  <c r="AH10" i="19"/>
  <c r="L31" i="17"/>
  <c r="AF16" i="19"/>
  <c r="AR16" i="19" s="1"/>
  <c r="AD16" i="19"/>
  <c r="AF8" i="19"/>
  <c r="AR8" i="19" s="1"/>
  <c r="AD8" i="19"/>
  <c r="AD14" i="19"/>
  <c r="AF14" i="19"/>
  <c r="AR14" i="19" s="1"/>
  <c r="AF9" i="19"/>
  <c r="AR9" i="19" s="1"/>
  <c r="AD9" i="19"/>
  <c r="AF7" i="19"/>
  <c r="AR7" i="19" s="1"/>
  <c r="AD7" i="19"/>
  <c r="AC10" i="19"/>
  <c r="AN10" i="19" s="1"/>
  <c r="AV10" i="19" s="1"/>
  <c r="D25" i="40" s="1"/>
  <c r="H25" i="40" s="1"/>
  <c r="C16" i="32"/>
  <c r="D61" i="40" l="1"/>
  <c r="AT19" i="19"/>
  <c r="AV7" i="19"/>
  <c r="D22" i="40" s="1"/>
  <c r="B41" i="41"/>
  <c r="B16" i="37"/>
  <c r="B16" i="41"/>
  <c r="D64" i="40"/>
  <c r="H64" i="40" s="1"/>
  <c r="I64" i="40" s="1"/>
  <c r="B31" i="35" s="1"/>
  <c r="AS10" i="19"/>
  <c r="AD13" i="19"/>
  <c r="AN13" i="19"/>
  <c r="AN19" i="19" s="1"/>
  <c r="B39" i="37"/>
  <c r="H61" i="40"/>
  <c r="D72" i="40"/>
  <c r="H72" i="40" s="1"/>
  <c r="I72" i="40" s="1"/>
  <c r="B39" i="35" s="1"/>
  <c r="B31" i="37"/>
  <c r="AC19" i="19"/>
  <c r="AJ19" i="19"/>
  <c r="AE19" i="19"/>
  <c r="AH19" i="19"/>
  <c r="I69" i="40"/>
  <c r="B36" i="35" s="1"/>
  <c r="I63" i="40"/>
  <c r="B30" i="35" s="1"/>
  <c r="I65" i="40"/>
  <c r="B32" i="35" s="1"/>
  <c r="I68" i="40"/>
  <c r="B35" i="35" s="1"/>
  <c r="I62" i="40"/>
  <c r="B29" i="35" s="1"/>
  <c r="I67" i="40"/>
  <c r="B34" i="35" s="1"/>
  <c r="AF18" i="19"/>
  <c r="AR18" i="19" s="1"/>
  <c r="AD18" i="19"/>
  <c r="AF10" i="19"/>
  <c r="AR10" i="19" s="1"/>
  <c r="AD10" i="19"/>
  <c r="AD11" i="19"/>
  <c r="AF11" i="19"/>
  <c r="AR11" i="19" s="1"/>
  <c r="H40" i="32"/>
  <c r="H41" i="32" s="1"/>
  <c r="F40" i="32"/>
  <c r="E74" i="32" s="1"/>
  <c r="D74" i="32" s="1"/>
  <c r="AR56" i="21"/>
  <c r="E36" i="32" s="1"/>
  <c r="AR44" i="21"/>
  <c r="A74" i="32"/>
  <c r="E73" i="32"/>
  <c r="D73" i="32" s="1"/>
  <c r="C73" i="32"/>
  <c r="A73" i="32"/>
  <c r="E72" i="32"/>
  <c r="D72" i="32" s="1"/>
  <c r="C72" i="32"/>
  <c r="A72" i="32"/>
  <c r="E71" i="32"/>
  <c r="D71" i="32" s="1"/>
  <c r="C71" i="32"/>
  <c r="A71" i="32"/>
  <c r="H70" i="32"/>
  <c r="A70" i="32"/>
  <c r="V69" i="32"/>
  <c r="U69" i="32"/>
  <c r="H69" i="32"/>
  <c r="A69" i="32"/>
  <c r="H68" i="32"/>
  <c r="A68" i="32"/>
  <c r="X67" i="32"/>
  <c r="H67" i="32"/>
  <c r="E67" i="32"/>
  <c r="C67" i="32"/>
  <c r="A67" i="32"/>
  <c r="AJ66" i="32"/>
  <c r="X66" i="32"/>
  <c r="H66" i="32"/>
  <c r="E66" i="32"/>
  <c r="C66" i="32"/>
  <c r="A66" i="32"/>
  <c r="AJ65" i="32"/>
  <c r="X65" i="32"/>
  <c r="H65" i="32"/>
  <c r="E65" i="32"/>
  <c r="C65" i="32"/>
  <c r="A65" i="32"/>
  <c r="AJ64" i="32"/>
  <c r="X64" i="32"/>
  <c r="H64" i="32"/>
  <c r="A64" i="32"/>
  <c r="AA63" i="32"/>
  <c r="AA69" i="32" s="1"/>
  <c r="X63" i="32"/>
  <c r="H63" i="32"/>
  <c r="A63" i="32"/>
  <c r="AJ62" i="32"/>
  <c r="X62" i="32"/>
  <c r="H62" i="32"/>
  <c r="E62" i="32"/>
  <c r="C62" i="32"/>
  <c r="A62" i="32"/>
  <c r="AJ61" i="32"/>
  <c r="X61" i="32"/>
  <c r="AJ60" i="32"/>
  <c r="X60" i="32"/>
  <c r="AJ59" i="32"/>
  <c r="X59" i="32"/>
  <c r="AJ58" i="32"/>
  <c r="X58" i="32"/>
  <c r="AJ57" i="32"/>
  <c r="X57" i="32"/>
  <c r="G57" i="32"/>
  <c r="D40" i="32" s="1"/>
  <c r="C74" i="32" s="1"/>
  <c r="AJ56" i="32"/>
  <c r="X56" i="32"/>
  <c r="H56" i="32"/>
  <c r="G56" i="32"/>
  <c r="D56" i="32"/>
  <c r="C56" i="32"/>
  <c r="AJ55" i="32"/>
  <c r="X55" i="32"/>
  <c r="H55" i="32"/>
  <c r="G55" i="32"/>
  <c r="D55" i="32"/>
  <c r="C55" i="32"/>
  <c r="AJ54" i="32"/>
  <c r="X54" i="32"/>
  <c r="H54" i="32"/>
  <c r="G54" i="32"/>
  <c r="D54" i="32"/>
  <c r="C54" i="32"/>
  <c r="AJ53" i="32"/>
  <c r="X53" i="32"/>
  <c r="H53" i="32"/>
  <c r="G53" i="32"/>
  <c r="D53" i="32"/>
  <c r="C53" i="32"/>
  <c r="AJ52" i="32"/>
  <c r="X52" i="32"/>
  <c r="H52" i="32"/>
  <c r="G52" i="32"/>
  <c r="D52" i="32"/>
  <c r="C52" i="32"/>
  <c r="AJ51" i="32"/>
  <c r="X51" i="32"/>
  <c r="H51" i="32"/>
  <c r="F34" i="32" s="1"/>
  <c r="G51" i="32"/>
  <c r="D34" i="32" s="1"/>
  <c r="D51" i="32"/>
  <c r="C51" i="32"/>
  <c r="AJ50" i="32"/>
  <c r="X50" i="32"/>
  <c r="H50" i="32"/>
  <c r="F30" i="32" s="1"/>
  <c r="G50" i="32"/>
  <c r="D30" i="32" s="1"/>
  <c r="C64" i="32" s="1"/>
  <c r="D50" i="32"/>
  <c r="C50" i="32"/>
  <c r="AJ49" i="32"/>
  <c r="X49" i="32"/>
  <c r="H49" i="32"/>
  <c r="G49" i="32"/>
  <c r="D49" i="32"/>
  <c r="C49" i="32"/>
  <c r="AJ48" i="32"/>
  <c r="X48" i="32"/>
  <c r="H48" i="32"/>
  <c r="G48" i="32"/>
  <c r="D48" i="32"/>
  <c r="C48" i="32"/>
  <c r="AJ47" i="32"/>
  <c r="X47" i="32"/>
  <c r="H47" i="32"/>
  <c r="G47" i="32"/>
  <c r="D47" i="32"/>
  <c r="C47" i="32"/>
  <c r="AJ46" i="32"/>
  <c r="X46" i="32"/>
  <c r="H46" i="32"/>
  <c r="G46" i="32"/>
  <c r="D46" i="32"/>
  <c r="C46" i="32"/>
  <c r="AJ45" i="32"/>
  <c r="X45" i="32"/>
  <c r="H45" i="32"/>
  <c r="G45" i="32"/>
  <c r="D45" i="32"/>
  <c r="C45" i="32"/>
  <c r="H44" i="32"/>
  <c r="G44" i="32"/>
  <c r="D44" i="32"/>
  <c r="C44" i="32"/>
  <c r="AA43" i="32"/>
  <c r="U43" i="32"/>
  <c r="AA41" i="32"/>
  <c r="U41" i="32"/>
  <c r="AC40" i="32"/>
  <c r="L39" i="32"/>
  <c r="L38" i="32"/>
  <c r="L37" i="32"/>
  <c r="AH36" i="32"/>
  <c r="AH35" i="32"/>
  <c r="AH34" i="32"/>
  <c r="AH33" i="32"/>
  <c r="L33" i="32"/>
  <c r="AH32" i="32"/>
  <c r="L32" i="32"/>
  <c r="AH31" i="32"/>
  <c r="L31" i="32"/>
  <c r="AH30" i="32"/>
  <c r="AH29" i="32"/>
  <c r="AH28" i="32"/>
  <c r="L28" i="32"/>
  <c r="U20" i="32"/>
  <c r="AJ18" i="32"/>
  <c r="AC18" i="32"/>
  <c r="B18" i="32"/>
  <c r="V18" i="32" s="1"/>
  <c r="X18" i="32" s="1"/>
  <c r="AC16" i="32"/>
  <c r="B16" i="32"/>
  <c r="AJ16" i="32" s="1"/>
  <c r="AA10" i="32"/>
  <c r="AC10" i="32" s="1"/>
  <c r="AC12" i="32" s="1"/>
  <c r="AC7" i="32"/>
  <c r="AA6" i="32"/>
  <c r="AA8" i="32" s="1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L44" i="17"/>
  <c r="L34" i="17"/>
  <c r="L42" i="17" s="1"/>
  <c r="AV13" i="19" l="1"/>
  <c r="AV19" i="19" s="1"/>
  <c r="H22" i="40"/>
  <c r="AM19" i="19"/>
  <c r="I53" i="2"/>
  <c r="I54" i="2"/>
  <c r="I48" i="2"/>
  <c r="I52" i="2"/>
  <c r="H58" i="2"/>
  <c r="D74" i="40"/>
  <c r="F36" i="32"/>
  <c r="E70" i="32" s="1"/>
  <c r="I51" i="2"/>
  <c r="H58" i="32"/>
  <c r="AF19" i="19"/>
  <c r="D43" i="40"/>
  <c r="H43" i="40" s="1"/>
  <c r="H56" i="40" s="1"/>
  <c r="AD19" i="19"/>
  <c r="C58" i="32"/>
  <c r="I49" i="2"/>
  <c r="I50" i="2"/>
  <c r="E50" i="32"/>
  <c r="E56" i="32"/>
  <c r="G58" i="2"/>
  <c r="D35" i="32"/>
  <c r="D36" i="32"/>
  <c r="I46" i="2"/>
  <c r="I47" i="2"/>
  <c r="C13" i="20"/>
  <c r="C11" i="20"/>
  <c r="L40" i="17"/>
  <c r="L39" i="17"/>
  <c r="L41" i="17"/>
  <c r="I71" i="40"/>
  <c r="B38" i="35" s="1"/>
  <c r="G58" i="32"/>
  <c r="E47" i="32"/>
  <c r="E53" i="32"/>
  <c r="I55" i="2"/>
  <c r="I44" i="2"/>
  <c r="I56" i="2"/>
  <c r="L45" i="17"/>
  <c r="I45" i="2"/>
  <c r="D58" i="32"/>
  <c r="F35" i="32"/>
  <c r="E69" i="32" s="1"/>
  <c r="AH43" i="32"/>
  <c r="D29" i="32"/>
  <c r="U71" i="32"/>
  <c r="U73" i="32" s="1"/>
  <c r="U42" i="32"/>
  <c r="F29" i="32"/>
  <c r="E49" i="32"/>
  <c r="E55" i="32"/>
  <c r="I45" i="32"/>
  <c r="I47" i="32"/>
  <c r="I49" i="32"/>
  <c r="I51" i="32"/>
  <c r="I53" i="32"/>
  <c r="I55" i="32"/>
  <c r="E46" i="32"/>
  <c r="E48" i="32"/>
  <c r="E52" i="32"/>
  <c r="I46" i="32"/>
  <c r="I48" i="32"/>
  <c r="I50" i="32"/>
  <c r="I52" i="32"/>
  <c r="I54" i="32"/>
  <c r="I56" i="32"/>
  <c r="AA71" i="32"/>
  <c r="L37" i="17"/>
  <c r="L36" i="17"/>
  <c r="L38" i="17"/>
  <c r="L48" i="17"/>
  <c r="L46" i="17"/>
  <c r="L47" i="17"/>
  <c r="L43" i="17"/>
  <c r="L40" i="32"/>
  <c r="L30" i="32"/>
  <c r="E64" i="32"/>
  <c r="E44" i="32"/>
  <c r="E68" i="32"/>
  <c r="C68" i="32"/>
  <c r="L34" i="32"/>
  <c r="AA12" i="32"/>
  <c r="AA14" i="32" s="1"/>
  <c r="AA20" i="32" s="1"/>
  <c r="AH41" i="32"/>
  <c r="E45" i="32"/>
  <c r="E51" i="32"/>
  <c r="E54" i="32"/>
  <c r="I44" i="32"/>
  <c r="AC6" i="32"/>
  <c r="AC8" i="32" s="1"/>
  <c r="AC14" i="32" s="1"/>
  <c r="AC20" i="32" s="1"/>
  <c r="V16" i="32"/>
  <c r="X16" i="32" s="1"/>
  <c r="AJ63" i="32"/>
  <c r="AJ69" i="32" s="1"/>
  <c r="AP12" i="21"/>
  <c r="AQ12" i="21" s="1"/>
  <c r="AP9" i="21"/>
  <c r="AP8" i="21"/>
  <c r="AP7" i="21"/>
  <c r="AP6" i="21"/>
  <c r="AP5" i="21"/>
  <c r="AP4" i="21"/>
  <c r="AP3" i="21"/>
  <c r="AP2" i="21"/>
  <c r="AR26" i="21"/>
  <c r="AQ26" i="21"/>
  <c r="AO26" i="21"/>
  <c r="D28" i="40" l="1"/>
  <c r="D70" i="32"/>
  <c r="J70" i="32" s="1"/>
  <c r="AA73" i="32"/>
  <c r="L36" i="32"/>
  <c r="D56" i="40"/>
  <c r="C70" i="32"/>
  <c r="C12" i="20"/>
  <c r="G12" i="20" s="1"/>
  <c r="C15" i="20"/>
  <c r="G15" i="20" s="1"/>
  <c r="C7" i="20"/>
  <c r="G7" i="20" s="1"/>
  <c r="C10" i="20"/>
  <c r="G10" i="20" s="1"/>
  <c r="C5" i="20"/>
  <c r="G5" i="20" s="1"/>
  <c r="C6" i="20"/>
  <c r="G6" i="20" s="1"/>
  <c r="C9" i="20"/>
  <c r="G9" i="20" s="1"/>
  <c r="C8" i="20"/>
  <c r="G8" i="20" s="1"/>
  <c r="C14" i="20"/>
  <c r="G14" i="20" s="1"/>
  <c r="C16" i="20"/>
  <c r="G16" i="20" s="1"/>
  <c r="C17" i="20"/>
  <c r="G17" i="20" s="1"/>
  <c r="H74" i="40"/>
  <c r="I61" i="40"/>
  <c r="B28" i="35" s="1"/>
  <c r="I58" i="2"/>
  <c r="L49" i="17"/>
  <c r="E58" i="32"/>
  <c r="I58" i="32"/>
  <c r="AA42" i="32"/>
  <c r="L35" i="32"/>
  <c r="C69" i="32"/>
  <c r="L29" i="32"/>
  <c r="C63" i="32"/>
  <c r="D41" i="32"/>
  <c r="F41" i="32"/>
  <c r="E63" i="32"/>
  <c r="E75" i="32" s="1"/>
  <c r="AP10" i="21"/>
  <c r="AR12" i="21"/>
  <c r="I134" i="22" s="1"/>
  <c r="F13" i="20"/>
  <c r="F14" i="20"/>
  <c r="F16" i="20"/>
  <c r="F17" i="20"/>
  <c r="H16" i="20"/>
  <c r="H14" i="20"/>
  <c r="G13" i="20"/>
  <c r="G11" i="20"/>
  <c r="H10" i="20"/>
  <c r="H28" i="40" l="1"/>
  <c r="H36" i="40" s="1"/>
  <c r="D36" i="40"/>
  <c r="I43" i="40"/>
  <c r="I74" i="40"/>
  <c r="F70" i="32"/>
  <c r="G70" i="32" s="1"/>
  <c r="I70" i="32" s="1"/>
  <c r="F76" i="37"/>
  <c r="G76" i="37" s="1"/>
  <c r="I76" i="37" s="1"/>
  <c r="F77" i="35"/>
  <c r="G77" i="35" s="1"/>
  <c r="I77" i="35" s="1"/>
  <c r="C18" i="20"/>
  <c r="AQ10" i="21"/>
  <c r="AQ5" i="21" s="1"/>
  <c r="L41" i="32"/>
  <c r="C75" i="32"/>
  <c r="I14" i="20"/>
  <c r="I16" i="20"/>
  <c r="AR42" i="21"/>
  <c r="AP14" i="21"/>
  <c r="G18" i="20"/>
  <c r="BR24" i="18"/>
  <c r="CQ24" i="18" s="1"/>
  <c r="BR23" i="18"/>
  <c r="BR22" i="18"/>
  <c r="BR21" i="18"/>
  <c r="BR20" i="18"/>
  <c r="CQ20" i="18" s="1"/>
  <c r="BR19" i="18"/>
  <c r="BR18" i="18"/>
  <c r="BR13" i="18"/>
  <c r="BR9" i="18"/>
  <c r="BR8" i="18"/>
  <c r="BR7" i="18"/>
  <c r="BR6" i="18"/>
  <c r="BR5" i="18"/>
  <c r="BR3" i="18"/>
  <c r="BR2" i="18"/>
  <c r="BQ19" i="18"/>
  <c r="BQ20" i="18"/>
  <c r="BQ21" i="18"/>
  <c r="BQ22" i="18"/>
  <c r="BQ23" i="18"/>
  <c r="BQ24" i="18"/>
  <c r="BQ4" i="18"/>
  <c r="BQ18" i="18"/>
  <c r="BQ13" i="18"/>
  <c r="BQ8" i="18"/>
  <c r="BQ9" i="18"/>
  <c r="BQ3" i="18"/>
  <c r="BQ5" i="18"/>
  <c r="BQ6" i="18"/>
  <c r="BQ7" i="18"/>
  <c r="BQ2" i="18"/>
  <c r="Z23" i="23"/>
  <c r="BU27" i="18"/>
  <c r="BT27" i="18"/>
  <c r="BS17" i="18"/>
  <c r="AQ6" i="21" l="1"/>
  <c r="AQ4" i="21"/>
  <c r="AQ9" i="21"/>
  <c r="AQ2" i="21"/>
  <c r="AQ8" i="21"/>
  <c r="AQ7" i="21"/>
  <c r="AQ3" i="21"/>
  <c r="CQ22" i="18"/>
  <c r="CQ19" i="18"/>
  <c r="CQ21" i="18"/>
  <c r="CQ23" i="18"/>
  <c r="BS22" i="18"/>
  <c r="BS20" i="18"/>
  <c r="BQ11" i="18"/>
  <c r="BQ15" i="18" s="1"/>
  <c r="BS21" i="18"/>
  <c r="BS23" i="18"/>
  <c r="BS19" i="18"/>
  <c r="BS24" i="18"/>
  <c r="BS18" i="18"/>
  <c r="I56" i="40"/>
  <c r="B28" i="37"/>
  <c r="BS2" i="18"/>
  <c r="B39" i="32"/>
  <c r="B37" i="32"/>
  <c r="AQ14" i="21"/>
  <c r="AQ28" i="21" s="1"/>
  <c r="BS3" i="18"/>
  <c r="BS8" i="18"/>
  <c r="BS5" i="18"/>
  <c r="BR4" i="18"/>
  <c r="AA23" i="23"/>
  <c r="AA25" i="23" s="1"/>
  <c r="AA26" i="23" s="1"/>
  <c r="BS7" i="18"/>
  <c r="AP26" i="21"/>
  <c r="BS6" i="18"/>
  <c r="BS13" i="18"/>
  <c r="BT13" i="18" s="1"/>
  <c r="BR27" i="18"/>
  <c r="BS9" i="18"/>
  <c r="BQ27" i="18"/>
  <c r="AP28" i="21" l="1"/>
  <c r="AR8" i="21"/>
  <c r="I153" i="22" s="1"/>
  <c r="AR2" i="21"/>
  <c r="I20" i="22" s="1"/>
  <c r="AR4" i="21"/>
  <c r="AR5" i="21"/>
  <c r="I77" i="22" s="1"/>
  <c r="AR9" i="21"/>
  <c r="I172" i="22" s="1"/>
  <c r="AR6" i="21"/>
  <c r="I96" i="22" s="1"/>
  <c r="AR3" i="21"/>
  <c r="I39" i="22" s="1"/>
  <c r="AR7" i="21"/>
  <c r="I115" i="22" s="1"/>
  <c r="CP27" i="18"/>
  <c r="CP29" i="18" s="1"/>
  <c r="CQ27" i="18"/>
  <c r="BR11" i="18"/>
  <c r="BR15" i="18" s="1"/>
  <c r="BR29" i="18" s="1"/>
  <c r="B41" i="37"/>
  <c r="F68" i="32"/>
  <c r="F74" i="37"/>
  <c r="G74" i="37" s="1"/>
  <c r="I74" i="37" s="1"/>
  <c r="F75" i="35"/>
  <c r="G75" i="35" s="1"/>
  <c r="I75" i="35" s="1"/>
  <c r="BS4" i="18"/>
  <c r="BU13" i="18"/>
  <c r="BQ29" i="18"/>
  <c r="C37" i="37" l="1"/>
  <c r="F65" i="32"/>
  <c r="F69" i="37"/>
  <c r="G69" i="37" s="1"/>
  <c r="I69" i="37" s="1"/>
  <c r="F76" i="35"/>
  <c r="G76" i="35" s="1"/>
  <c r="I76" i="35" s="1"/>
  <c r="F73" i="35"/>
  <c r="G73" i="35" s="1"/>
  <c r="I73" i="35" s="1"/>
  <c r="F72" i="37"/>
  <c r="G72" i="37" s="1"/>
  <c r="I72" i="37" s="1"/>
  <c r="F70" i="35"/>
  <c r="G70" i="35" s="1"/>
  <c r="I70" i="35" s="1"/>
  <c r="F67" i="32"/>
  <c r="F63" i="32"/>
  <c r="F75" i="37"/>
  <c r="G75" i="37" s="1"/>
  <c r="I75" i="37" s="1"/>
  <c r="F69" i="32"/>
  <c r="F72" i="35"/>
  <c r="G72" i="35" s="1"/>
  <c r="I72" i="35" s="1"/>
  <c r="F69" i="35"/>
  <c r="G69" i="35" s="1"/>
  <c r="I69" i="35" s="1"/>
  <c r="F71" i="37"/>
  <c r="G71" i="37" s="1"/>
  <c r="I71" i="37" s="1"/>
  <c r="F66" i="32"/>
  <c r="I58" i="22"/>
  <c r="I191" i="22" s="1"/>
  <c r="F64" i="32"/>
  <c r="F70" i="37"/>
  <c r="G70" i="37" s="1"/>
  <c r="I70" i="37" s="1"/>
  <c r="F71" i="35"/>
  <c r="G71" i="35" s="1"/>
  <c r="I71" i="35" s="1"/>
  <c r="F68" i="37"/>
  <c r="G68" i="37" s="1"/>
  <c r="I68" i="37" s="1"/>
  <c r="F62" i="32"/>
  <c r="F74" i="35"/>
  <c r="G74" i="35" s="1"/>
  <c r="I74" i="35" s="1"/>
  <c r="AR10" i="21"/>
  <c r="AR14" i="21" s="1"/>
  <c r="AR28" i="21" s="1"/>
  <c r="K58" i="6" s="1"/>
  <c r="K59" i="6" s="1"/>
  <c r="M51" i="23" s="1"/>
  <c r="F73" i="37"/>
  <c r="G73" i="37" s="1"/>
  <c r="I73" i="37" s="1"/>
  <c r="M50" i="23"/>
  <c r="CQ29" i="18"/>
  <c r="BU44" i="18"/>
  <c r="H134" i="22"/>
  <c r="J134" i="22" s="1"/>
  <c r="BS11" i="18"/>
  <c r="BS15" i="18" s="1"/>
  <c r="G37" i="37"/>
  <c r="C31" i="37"/>
  <c r="C38" i="37"/>
  <c r="C39" i="37"/>
  <c r="C35" i="37"/>
  <c r="C36" i="37"/>
  <c r="C40" i="37"/>
  <c r="C30" i="37"/>
  <c r="C34" i="37"/>
  <c r="C33" i="37"/>
  <c r="C28" i="37"/>
  <c r="C32" i="37"/>
  <c r="C29" i="37"/>
  <c r="I37" i="37" l="1"/>
  <c r="J37" i="37" s="1"/>
  <c r="M37" i="37" s="1"/>
  <c r="B77" i="37"/>
  <c r="AR38" i="21"/>
  <c r="AR52" i="21" s="1"/>
  <c r="E34" i="32" s="1"/>
  <c r="D68" i="32" s="1"/>
  <c r="G68" i="32" s="1"/>
  <c r="I68" i="32" s="1"/>
  <c r="AR39" i="21"/>
  <c r="AR53" i="21" s="1"/>
  <c r="E35" i="32" s="1"/>
  <c r="D69" i="32" s="1"/>
  <c r="G69" i="32" s="1"/>
  <c r="I69" i="32" s="1"/>
  <c r="AR34" i="21"/>
  <c r="AR48" i="21" s="1"/>
  <c r="E30" i="32" s="1"/>
  <c r="D64" i="32" s="1"/>
  <c r="J64" i="32" s="1"/>
  <c r="AR32" i="21"/>
  <c r="AR46" i="21" s="1"/>
  <c r="E28" i="32" s="1"/>
  <c r="D62" i="32" s="1"/>
  <c r="AR35" i="21"/>
  <c r="AR49" i="21" s="1"/>
  <c r="E31" i="32" s="1"/>
  <c r="D65" i="32" s="1"/>
  <c r="G65" i="32" s="1"/>
  <c r="I65" i="32" s="1"/>
  <c r="AR36" i="21"/>
  <c r="AR50" i="21" s="1"/>
  <c r="E32" i="32" s="1"/>
  <c r="D66" i="32" s="1"/>
  <c r="G66" i="32" s="1"/>
  <c r="I66" i="32" s="1"/>
  <c r="AR33" i="21"/>
  <c r="AR47" i="21" s="1"/>
  <c r="E29" i="32" s="1"/>
  <c r="D63" i="32" s="1"/>
  <c r="J63" i="32" s="1"/>
  <c r="AR37" i="21"/>
  <c r="AR51" i="21" s="1"/>
  <c r="E33" i="32" s="1"/>
  <c r="D67" i="32" s="1"/>
  <c r="G67" i="32" s="1"/>
  <c r="I67" i="32" s="1"/>
  <c r="M52" i="23"/>
  <c r="CR11" i="18"/>
  <c r="CR15" i="18" s="1"/>
  <c r="CR29" i="18" s="1"/>
  <c r="CS10" i="18"/>
  <c r="N134" i="22"/>
  <c r="L134" i="22"/>
  <c r="M134" i="22"/>
  <c r="O134" i="22"/>
  <c r="G33" i="37"/>
  <c r="G32" i="37"/>
  <c r="G38" i="37"/>
  <c r="B78" i="37" s="1"/>
  <c r="G28" i="37"/>
  <c r="B68" i="37" s="1"/>
  <c r="G34" i="37"/>
  <c r="B74" i="37" s="1"/>
  <c r="G30" i="37"/>
  <c r="B70" i="37" s="1"/>
  <c r="G40" i="37"/>
  <c r="G35" i="37"/>
  <c r="G39" i="37"/>
  <c r="B79" i="37" s="1"/>
  <c r="G31" i="37"/>
  <c r="G36" i="37"/>
  <c r="B76" i="37" s="1"/>
  <c r="G29" i="37"/>
  <c r="C41" i="37"/>
  <c r="J68" i="32"/>
  <c r="J69" i="32"/>
  <c r="F25" i="21"/>
  <c r="J25" i="21"/>
  <c r="N25" i="21"/>
  <c r="R25" i="21"/>
  <c r="V25" i="21"/>
  <c r="Z25" i="21"/>
  <c r="AD25" i="21"/>
  <c r="AL25" i="21"/>
  <c r="R12" i="21"/>
  <c r="S12" i="21" s="1"/>
  <c r="V12" i="21"/>
  <c r="W12" i="21" s="1"/>
  <c r="Z12" i="21"/>
  <c r="AA12" i="21" s="1"/>
  <c r="AD12" i="21"/>
  <c r="AE12" i="21" s="1"/>
  <c r="AH12" i="21"/>
  <c r="AI12" i="21" s="1"/>
  <c r="I33" i="37" l="1"/>
  <c r="J33" i="37" s="1"/>
  <c r="M33" i="37" s="1"/>
  <c r="O33" i="37" s="1"/>
  <c r="P33" i="37" s="1"/>
  <c r="R33" i="37" s="1"/>
  <c r="B73" i="37"/>
  <c r="I29" i="37"/>
  <c r="J29" i="37" s="1"/>
  <c r="M29" i="37" s="1"/>
  <c r="O29" i="37" s="1"/>
  <c r="P29" i="37" s="1"/>
  <c r="S29" i="37" s="1"/>
  <c r="B69" i="37"/>
  <c r="I35" i="37"/>
  <c r="J35" i="37" s="1"/>
  <c r="M35" i="37" s="1"/>
  <c r="O35" i="37" s="1"/>
  <c r="P35" i="37" s="1"/>
  <c r="Z35" i="37" s="1"/>
  <c r="B75" i="37"/>
  <c r="T37" i="37"/>
  <c r="I40" i="37"/>
  <c r="J40" i="37" s="1"/>
  <c r="M40" i="37" s="1"/>
  <c r="B80" i="37"/>
  <c r="I31" i="37"/>
  <c r="J31" i="37" s="1"/>
  <c r="B71" i="37"/>
  <c r="I32" i="37"/>
  <c r="J32" i="37" s="1"/>
  <c r="M32" i="37" s="1"/>
  <c r="O32" i="37" s="1"/>
  <c r="P32" i="37" s="1"/>
  <c r="L72" i="37" s="1"/>
  <c r="B72" i="37"/>
  <c r="AR54" i="21"/>
  <c r="AR58" i="21" s="1"/>
  <c r="G63" i="32"/>
  <c r="I63" i="32" s="1"/>
  <c r="AR40" i="21"/>
  <c r="J65" i="32"/>
  <c r="G64" i="32"/>
  <c r="I64" i="32" s="1"/>
  <c r="J66" i="32"/>
  <c r="J67" i="32"/>
  <c r="E41" i="32"/>
  <c r="CS11" i="18"/>
  <c r="CS41" i="18" s="1"/>
  <c r="CS56" i="18" s="1"/>
  <c r="P134" i="22"/>
  <c r="V134" i="22" s="1"/>
  <c r="U134" i="22"/>
  <c r="AE33" i="37"/>
  <c r="AL33" i="37" s="1"/>
  <c r="AK33" i="37" s="1"/>
  <c r="I39" i="37"/>
  <c r="J39" i="37" s="1"/>
  <c r="T39" i="37" s="1"/>
  <c r="I36" i="37"/>
  <c r="J36" i="37" s="1"/>
  <c r="M36" i="37" s="1"/>
  <c r="O36" i="37" s="1"/>
  <c r="P36" i="37" s="1"/>
  <c r="G41" i="37"/>
  <c r="I34" i="37"/>
  <c r="I30" i="37"/>
  <c r="J30" i="37" s="1"/>
  <c r="M30" i="37" s="1"/>
  <c r="O30" i="37" s="1"/>
  <c r="P30" i="37" s="1"/>
  <c r="I28" i="37"/>
  <c r="J28" i="37" s="1"/>
  <c r="I38" i="37"/>
  <c r="J38" i="37" s="1"/>
  <c r="Z33" i="37"/>
  <c r="L73" i="37"/>
  <c r="G62" i="32"/>
  <c r="I62" i="32" s="1"/>
  <c r="J62" i="32"/>
  <c r="D75" i="32"/>
  <c r="AL12" i="21"/>
  <c r="AM12" i="21" s="1"/>
  <c r="K26" i="18"/>
  <c r="I13" i="18"/>
  <c r="J13" i="18"/>
  <c r="AS4" i="18"/>
  <c r="AT13" i="18"/>
  <c r="AS13" i="18"/>
  <c r="AH4" i="18"/>
  <c r="AG5" i="18"/>
  <c r="AG4" i="18"/>
  <c r="I19" i="18"/>
  <c r="J19" i="18"/>
  <c r="I20" i="18"/>
  <c r="J20" i="18"/>
  <c r="I21" i="18"/>
  <c r="J21" i="18"/>
  <c r="I22" i="18"/>
  <c r="J22" i="18"/>
  <c r="I23" i="18"/>
  <c r="J23" i="18"/>
  <c r="I24" i="18"/>
  <c r="J24" i="18"/>
  <c r="J18" i="18"/>
  <c r="I18" i="18"/>
  <c r="J4" i="18"/>
  <c r="I4" i="18"/>
  <c r="I3" i="18"/>
  <c r="J3" i="18"/>
  <c r="I5" i="18"/>
  <c r="J5" i="18"/>
  <c r="I6" i="18"/>
  <c r="J6" i="18"/>
  <c r="I7" i="18"/>
  <c r="J7" i="18"/>
  <c r="I8" i="18"/>
  <c r="J8" i="18"/>
  <c r="I9" i="18"/>
  <c r="J9" i="18"/>
  <c r="J2" i="18"/>
  <c r="I2" i="18"/>
  <c r="Q26" i="18"/>
  <c r="S33" i="37" l="1"/>
  <c r="T33" i="37"/>
  <c r="T35" i="37"/>
  <c r="S35" i="37"/>
  <c r="R35" i="37"/>
  <c r="L75" i="37"/>
  <c r="AE35" i="37"/>
  <c r="AL35" i="37" s="1"/>
  <c r="AK35" i="37" s="1"/>
  <c r="T40" i="37"/>
  <c r="R32" i="37"/>
  <c r="AE32" i="37"/>
  <c r="AL32" i="37" s="1"/>
  <c r="AK32" i="37" s="1"/>
  <c r="S32" i="37"/>
  <c r="Z32" i="37"/>
  <c r="T32" i="37"/>
  <c r="B13" i="40"/>
  <c r="F13" i="40" s="1"/>
  <c r="I13" i="40" s="1"/>
  <c r="B40" i="43" s="1"/>
  <c r="J75" i="32"/>
  <c r="CS15" i="18"/>
  <c r="CS29" i="18" s="1"/>
  <c r="CS34" i="18"/>
  <c r="CS49" i="18" s="1"/>
  <c r="B5" i="40" s="1"/>
  <c r="F5" i="40" s="1"/>
  <c r="I5" i="40" s="1"/>
  <c r="B32" i="43" s="1"/>
  <c r="CS33" i="18"/>
  <c r="CS48" i="18" s="1"/>
  <c r="B4" i="40" s="1"/>
  <c r="CS35" i="18"/>
  <c r="CS50" i="18" s="1"/>
  <c r="B6" i="40" s="1"/>
  <c r="F6" i="40" s="1"/>
  <c r="I6" i="40" s="1"/>
  <c r="CS40" i="18"/>
  <c r="CS55" i="18" s="1"/>
  <c r="B11" i="40" s="1"/>
  <c r="F11" i="40" s="1"/>
  <c r="I11" i="40" s="1"/>
  <c r="B38" i="43" s="1"/>
  <c r="CS39" i="18"/>
  <c r="CS54" i="18" s="1"/>
  <c r="B10" i="40" s="1"/>
  <c r="F10" i="40" s="1"/>
  <c r="I10" i="40" s="1"/>
  <c r="B37" i="43" s="1"/>
  <c r="CS38" i="18"/>
  <c r="CS53" i="18" s="1"/>
  <c r="B9" i="40" s="1"/>
  <c r="F9" i="40" s="1"/>
  <c r="I9" i="40" s="1"/>
  <c r="B36" i="43" s="1"/>
  <c r="CS37" i="18"/>
  <c r="CS52" i="18" s="1"/>
  <c r="B8" i="40" s="1"/>
  <c r="F8" i="40" s="1"/>
  <c r="I8" i="40" s="1"/>
  <c r="B35" i="43" s="1"/>
  <c r="CS36" i="18"/>
  <c r="CS51" i="18" s="1"/>
  <c r="B7" i="40" s="1"/>
  <c r="F7" i="40" s="1"/>
  <c r="I7" i="40" s="1"/>
  <c r="B34" i="43" s="1"/>
  <c r="J11" i="18"/>
  <c r="I11" i="18"/>
  <c r="AD33" i="37"/>
  <c r="B81" i="37"/>
  <c r="B82" i="37" s="1"/>
  <c r="B83" i="37" s="1"/>
  <c r="S30" i="37"/>
  <c r="R30" i="37"/>
  <c r="AE29" i="37"/>
  <c r="R29" i="37"/>
  <c r="Z29" i="37"/>
  <c r="L69" i="37"/>
  <c r="T36" i="37"/>
  <c r="R36" i="37"/>
  <c r="T29" i="37"/>
  <c r="Z30" i="37"/>
  <c r="M39" i="37"/>
  <c r="L76" i="37"/>
  <c r="T30" i="37"/>
  <c r="I41" i="37"/>
  <c r="T38" i="37"/>
  <c r="M38" i="37"/>
  <c r="M28" i="37"/>
  <c r="O28" i="37" s="1"/>
  <c r="AE30" i="37"/>
  <c r="AD30" i="37" s="1"/>
  <c r="M31" i="37"/>
  <c r="O31" i="37" s="1"/>
  <c r="P31" i="37" s="1"/>
  <c r="J34" i="37"/>
  <c r="M34" i="37" s="1"/>
  <c r="O34" i="37" s="1"/>
  <c r="P34" i="37" s="1"/>
  <c r="L70" i="37"/>
  <c r="AE36" i="37"/>
  <c r="AL36" i="37" s="1"/>
  <c r="AK36" i="37" s="1"/>
  <c r="Z36" i="37"/>
  <c r="S36" i="37"/>
  <c r="AD35" i="37"/>
  <c r="O19" i="18"/>
  <c r="P19" i="18"/>
  <c r="O20" i="18"/>
  <c r="P20" i="18"/>
  <c r="O21" i="18"/>
  <c r="P21" i="18"/>
  <c r="O22" i="18"/>
  <c r="P22" i="18"/>
  <c r="O23" i="18"/>
  <c r="P23" i="18"/>
  <c r="O24" i="18"/>
  <c r="P24" i="18"/>
  <c r="P18" i="18"/>
  <c r="O18" i="18"/>
  <c r="P13" i="18"/>
  <c r="O13" i="18"/>
  <c r="P9" i="18"/>
  <c r="P8" i="18"/>
  <c r="P7" i="18"/>
  <c r="P6" i="18"/>
  <c r="P5" i="18"/>
  <c r="P4" i="18"/>
  <c r="P3" i="18"/>
  <c r="P2" i="18"/>
  <c r="O9" i="18"/>
  <c r="O8" i="18"/>
  <c r="O7" i="18"/>
  <c r="O6" i="18"/>
  <c r="O5" i="18"/>
  <c r="O4" i="18"/>
  <c r="O3" i="18"/>
  <c r="O2" i="18"/>
  <c r="AC26" i="18"/>
  <c r="AB4" i="18"/>
  <c r="W26" i="18"/>
  <c r="V4" i="18"/>
  <c r="U4" i="18"/>
  <c r="U19" i="18"/>
  <c r="V19" i="18"/>
  <c r="U20" i="18"/>
  <c r="V20" i="18"/>
  <c r="U21" i="18"/>
  <c r="V21" i="18"/>
  <c r="U22" i="18"/>
  <c r="V22" i="18"/>
  <c r="U23" i="18"/>
  <c r="V23" i="18"/>
  <c r="U24" i="18"/>
  <c r="V24" i="18"/>
  <c r="V18" i="18"/>
  <c r="U18" i="18"/>
  <c r="V13" i="18"/>
  <c r="U13" i="18"/>
  <c r="U3" i="18"/>
  <c r="V3" i="18"/>
  <c r="U5" i="18"/>
  <c r="V5" i="18"/>
  <c r="U6" i="18"/>
  <c r="V6" i="18"/>
  <c r="U7" i="18"/>
  <c r="V7" i="18"/>
  <c r="U8" i="18"/>
  <c r="V8" i="18"/>
  <c r="U9" i="18"/>
  <c r="V9" i="18"/>
  <c r="U2" i="18"/>
  <c r="V2" i="18"/>
  <c r="AA13" i="18"/>
  <c r="AA9" i="18"/>
  <c r="AA8" i="18"/>
  <c r="AA7" i="18"/>
  <c r="AA6" i="18"/>
  <c r="AA5" i="18"/>
  <c r="AA4" i="18"/>
  <c r="AA3" i="18"/>
  <c r="AA2" i="18"/>
  <c r="AA19" i="18"/>
  <c r="AA20" i="18"/>
  <c r="AA21" i="18"/>
  <c r="AA22" i="18"/>
  <c r="AA23" i="18"/>
  <c r="AA24" i="18"/>
  <c r="AA18" i="18"/>
  <c r="AB19" i="18"/>
  <c r="AB20" i="18"/>
  <c r="AB21" i="18"/>
  <c r="AB22" i="18"/>
  <c r="AB23" i="18"/>
  <c r="AB24" i="18"/>
  <c r="AB18" i="18"/>
  <c r="AB13" i="18"/>
  <c r="AB3" i="18"/>
  <c r="AB5" i="18"/>
  <c r="AB6" i="18"/>
  <c r="AB7" i="18"/>
  <c r="AB8" i="18"/>
  <c r="AB9" i="18"/>
  <c r="AB2" i="18"/>
  <c r="AG19" i="18"/>
  <c r="AG20" i="18"/>
  <c r="AG21" i="18"/>
  <c r="AG22" i="18"/>
  <c r="AG23" i="18"/>
  <c r="AG24" i="18"/>
  <c r="AG18" i="18"/>
  <c r="AG13" i="18"/>
  <c r="AG3" i="18"/>
  <c r="AG6" i="18"/>
  <c r="AG7" i="18"/>
  <c r="AG8" i="18"/>
  <c r="AG9" i="18"/>
  <c r="AG2" i="18"/>
  <c r="AH19" i="18"/>
  <c r="AH20" i="18"/>
  <c r="AH21" i="18"/>
  <c r="AH22" i="18"/>
  <c r="AH23" i="18"/>
  <c r="AH24" i="18"/>
  <c r="AH18" i="18"/>
  <c r="AH13" i="18"/>
  <c r="AH3" i="18"/>
  <c r="AH5" i="18"/>
  <c r="AH6" i="18"/>
  <c r="AH7" i="18"/>
  <c r="AH8" i="18"/>
  <c r="AH9" i="18"/>
  <c r="AH2" i="18"/>
  <c r="AM4" i="18"/>
  <c r="AM19" i="18"/>
  <c r="AM20" i="18"/>
  <c r="AM21" i="18"/>
  <c r="AM22" i="18"/>
  <c r="AM23" i="18"/>
  <c r="AM24" i="18"/>
  <c r="AM18" i="18"/>
  <c r="AM13" i="18"/>
  <c r="AM3" i="18"/>
  <c r="AM5" i="18"/>
  <c r="AM6" i="18"/>
  <c r="AM7" i="18"/>
  <c r="AM8" i="18"/>
  <c r="AM9" i="18"/>
  <c r="AM2" i="18"/>
  <c r="AN4" i="18"/>
  <c r="AN19" i="18"/>
  <c r="AN20" i="18"/>
  <c r="AN21" i="18"/>
  <c r="AN22" i="18"/>
  <c r="AN23" i="18"/>
  <c r="AN24" i="18"/>
  <c r="AN18" i="18"/>
  <c r="AN13" i="18"/>
  <c r="AN3" i="18"/>
  <c r="AN5" i="18"/>
  <c r="AN6" i="18"/>
  <c r="AN7" i="18"/>
  <c r="AN8" i="18"/>
  <c r="AN9" i="18"/>
  <c r="AN2" i="18"/>
  <c r="AS19" i="18"/>
  <c r="AS20" i="18"/>
  <c r="AS21" i="18"/>
  <c r="AS22" i="18"/>
  <c r="AS23" i="18"/>
  <c r="AS24" i="18"/>
  <c r="AS18" i="18"/>
  <c r="AS3" i="18"/>
  <c r="AS5" i="18"/>
  <c r="AS6" i="18"/>
  <c r="AS7" i="18"/>
  <c r="AS8" i="18"/>
  <c r="AS9" i="18"/>
  <c r="AS2" i="18"/>
  <c r="AT4" i="18"/>
  <c r="AT19" i="18"/>
  <c r="AT20" i="18"/>
  <c r="AT21" i="18"/>
  <c r="AT22" i="18"/>
  <c r="AT23" i="18"/>
  <c r="AT24" i="18"/>
  <c r="AT18" i="18"/>
  <c r="AT3" i="18"/>
  <c r="AT5" i="18"/>
  <c r="AT6" i="18"/>
  <c r="AT7" i="18"/>
  <c r="AT8" i="18"/>
  <c r="AT9" i="18"/>
  <c r="AT2" i="18"/>
  <c r="AY4" i="18"/>
  <c r="AY13" i="18"/>
  <c r="AY3" i="18"/>
  <c r="AY5" i="18"/>
  <c r="AY6" i="18"/>
  <c r="AY7" i="18"/>
  <c r="AY8" i="18"/>
  <c r="AY9" i="18"/>
  <c r="AY2" i="18"/>
  <c r="AY19" i="18"/>
  <c r="AY20" i="18"/>
  <c r="AY21" i="18"/>
  <c r="AY22" i="18"/>
  <c r="AY23" i="18"/>
  <c r="AY24" i="18"/>
  <c r="AY18" i="18"/>
  <c r="AZ13" i="18"/>
  <c r="AZ4" i="18"/>
  <c r="AZ6" i="18"/>
  <c r="AZ7" i="18"/>
  <c r="AZ8" i="18"/>
  <c r="AZ9" i="18"/>
  <c r="AZ5" i="18"/>
  <c r="AZ3" i="18"/>
  <c r="AZ2" i="18"/>
  <c r="AZ19" i="18"/>
  <c r="AZ20" i="18"/>
  <c r="AZ21" i="18"/>
  <c r="AZ22" i="18"/>
  <c r="AZ23" i="18"/>
  <c r="AZ24" i="18"/>
  <c r="AZ18" i="18"/>
  <c r="BE4" i="18"/>
  <c r="BF4" i="18"/>
  <c r="BF19" i="18"/>
  <c r="BF20" i="18"/>
  <c r="BF21" i="18"/>
  <c r="BF22" i="18"/>
  <c r="BF23" i="18"/>
  <c r="BF24" i="18"/>
  <c r="BF18" i="18"/>
  <c r="BE19" i="18"/>
  <c r="BE20" i="18"/>
  <c r="BE21" i="18"/>
  <c r="BE22" i="18"/>
  <c r="BE23" i="18"/>
  <c r="BE24" i="18"/>
  <c r="BE18" i="18"/>
  <c r="AL4" i="21"/>
  <c r="AH4" i="21"/>
  <c r="AD4" i="21"/>
  <c r="Z4" i="21"/>
  <c r="V4" i="21"/>
  <c r="R4" i="21"/>
  <c r="N4" i="21"/>
  <c r="J4" i="21"/>
  <c r="F4" i="21"/>
  <c r="B4" i="21"/>
  <c r="AD32" i="37" l="1"/>
  <c r="F4" i="40"/>
  <c r="B18" i="40"/>
  <c r="B33" i="43"/>
  <c r="F15" i="20"/>
  <c r="CS57" i="18"/>
  <c r="CS64" i="18" s="1"/>
  <c r="CS68" i="18" s="1"/>
  <c r="CS42" i="18"/>
  <c r="AG11" i="18"/>
  <c r="AN11" i="18"/>
  <c r="AY11" i="18"/>
  <c r="AS11" i="18"/>
  <c r="AB11" i="18"/>
  <c r="AA11" i="18"/>
  <c r="P11" i="18"/>
  <c r="AM11" i="18"/>
  <c r="AZ11" i="18"/>
  <c r="AT11" i="18"/>
  <c r="O11" i="18"/>
  <c r="AH11" i="18"/>
  <c r="V11" i="18"/>
  <c r="U11" i="18"/>
  <c r="BG22" i="18"/>
  <c r="AU20" i="18"/>
  <c r="BG20" i="18"/>
  <c r="BG21" i="18"/>
  <c r="BG24" i="18"/>
  <c r="BG23" i="18"/>
  <c r="AU19" i="18"/>
  <c r="AO18" i="18"/>
  <c r="BG18" i="18"/>
  <c r="BG19" i="18"/>
  <c r="AO24" i="18"/>
  <c r="T31" i="37"/>
  <c r="R31" i="37"/>
  <c r="AL29" i="37"/>
  <c r="AK29" i="37" s="1"/>
  <c r="AD29" i="37"/>
  <c r="M41" i="37"/>
  <c r="AL30" i="37"/>
  <c r="AK30" i="37" s="1"/>
  <c r="L71" i="37"/>
  <c r="Z31" i="37"/>
  <c r="AE31" i="37"/>
  <c r="S31" i="37"/>
  <c r="AD36" i="37"/>
  <c r="T34" i="37"/>
  <c r="R34" i="37"/>
  <c r="S34" i="37"/>
  <c r="Z34" i="37"/>
  <c r="L74" i="37"/>
  <c r="AE34" i="37"/>
  <c r="J41" i="37"/>
  <c r="BA24" i="18"/>
  <c r="AO21" i="18"/>
  <c r="AO23" i="18"/>
  <c r="BA22" i="18"/>
  <c r="AU24" i="18"/>
  <c r="AO19" i="18"/>
  <c r="AU18" i="18"/>
  <c r="BA21" i="18"/>
  <c r="AU23" i="18"/>
  <c r="BA23" i="18"/>
  <c r="BA20" i="18"/>
  <c r="AU22" i="18"/>
  <c r="BA18" i="18"/>
  <c r="AO22" i="18"/>
  <c r="AO20" i="18"/>
  <c r="BA19" i="18"/>
  <c r="AU21" i="18"/>
  <c r="O41" i="37"/>
  <c r="P28" i="37"/>
  <c r="BL4" i="18"/>
  <c r="BK4" i="18"/>
  <c r="D4" i="18"/>
  <c r="D11" i="18" s="1"/>
  <c r="C4" i="18"/>
  <c r="C11" i="18" s="1"/>
  <c r="X81" i="5"/>
  <c r="I4" i="40" l="1"/>
  <c r="F18" i="40"/>
  <c r="Q41" i="37"/>
  <c r="AL31" i="37"/>
  <c r="AK31" i="37" s="1"/>
  <c r="AD31" i="37"/>
  <c r="AD34" i="37"/>
  <c r="AL34" i="37"/>
  <c r="AK34" i="37" s="1"/>
  <c r="P41" i="37"/>
  <c r="Z28" i="37"/>
  <c r="Z41" i="37" s="1"/>
  <c r="AB79" i="37" s="1"/>
  <c r="AB80" i="37" s="1"/>
  <c r="AB82" i="37" s="1"/>
  <c r="AB84" i="37" s="1"/>
  <c r="AE28" i="37"/>
  <c r="S28" i="37"/>
  <c r="R28" i="37"/>
  <c r="R41" i="37" s="1"/>
  <c r="L68" i="37"/>
  <c r="L81" i="37" s="1"/>
  <c r="T28" i="37"/>
  <c r="T41" i="37" s="1"/>
  <c r="B11" i="41"/>
  <c r="B18" i="6"/>
  <c r="C18" i="6"/>
  <c r="D18" i="6"/>
  <c r="E18" i="6"/>
  <c r="F18" i="6"/>
  <c r="G18" i="6"/>
  <c r="H18" i="6"/>
  <c r="I18" i="6"/>
  <c r="J18" i="6"/>
  <c r="K18" i="6"/>
  <c r="C92" i="5"/>
  <c r="M67" i="5"/>
  <c r="M9" i="5"/>
  <c r="M8" i="5"/>
  <c r="B31" i="43" l="1"/>
  <c r="I18" i="40"/>
  <c r="AR41" i="37"/>
  <c r="B11" i="37"/>
  <c r="C11" i="35"/>
  <c r="C11" i="32"/>
  <c r="C11" i="2"/>
  <c r="B7" i="35"/>
  <c r="B7" i="32"/>
  <c r="X76" i="5"/>
  <c r="BS27" i="18"/>
  <c r="AD28" i="37"/>
  <c r="AD41" i="37" s="1"/>
  <c r="AE41" i="37"/>
  <c r="AG42" i="37" s="1"/>
  <c r="AL28" i="37"/>
  <c r="AG43" i="37"/>
  <c r="V65" i="5"/>
  <c r="M12" i="5"/>
  <c r="M13" i="5"/>
  <c r="M66" i="5"/>
  <c r="B6" i="41"/>
  <c r="H70" i="2"/>
  <c r="E65" i="2"/>
  <c r="E66" i="2"/>
  <c r="E67" i="2"/>
  <c r="E71" i="2"/>
  <c r="D71" i="2" s="1"/>
  <c r="E72" i="2"/>
  <c r="E73" i="2"/>
  <c r="D73" i="2" s="1"/>
  <c r="E74" i="2"/>
  <c r="D74" i="2" s="1"/>
  <c r="E62" i="2"/>
  <c r="C65" i="2"/>
  <c r="C66" i="2"/>
  <c r="C67" i="2"/>
  <c r="C71" i="2"/>
  <c r="C72" i="2"/>
  <c r="C73" i="2"/>
  <c r="C74" i="2"/>
  <c r="C62" i="2"/>
  <c r="M71" i="2"/>
  <c r="M72" i="2"/>
  <c r="M73" i="2"/>
  <c r="A63" i="2"/>
  <c r="A64" i="2"/>
  <c r="A65" i="2"/>
  <c r="A66" i="2"/>
  <c r="A67" i="2"/>
  <c r="A68" i="2"/>
  <c r="A69" i="2"/>
  <c r="A70" i="2"/>
  <c r="A71" i="2"/>
  <c r="A72" i="2"/>
  <c r="A73" i="2"/>
  <c r="A74" i="2"/>
  <c r="A62" i="2"/>
  <c r="BS29" i="18" l="1"/>
  <c r="BT10" i="18"/>
  <c r="BT8" i="18"/>
  <c r="BT3" i="18"/>
  <c r="BT2" i="18"/>
  <c r="BT5" i="18"/>
  <c r="BT6" i="18"/>
  <c r="BT7" i="18"/>
  <c r="BT9" i="18"/>
  <c r="BT4" i="18"/>
  <c r="V7" i="32"/>
  <c r="X7" i="32" s="1"/>
  <c r="AJ7" i="32"/>
  <c r="AO7" i="35"/>
  <c r="AA7" i="35"/>
  <c r="AC7" i="35" s="1"/>
  <c r="B6" i="37"/>
  <c r="C6" i="35"/>
  <c r="C6" i="32"/>
  <c r="C6" i="2"/>
  <c r="AL41" i="37"/>
  <c r="AK28" i="37"/>
  <c r="AN43" i="37"/>
  <c r="M68" i="5"/>
  <c r="M88" i="5" s="1"/>
  <c r="D72" i="2"/>
  <c r="W65" i="5" l="1"/>
  <c r="X65" i="5" s="1"/>
  <c r="AK41" i="37"/>
  <c r="AN42" i="37"/>
  <c r="AN82" i="37"/>
  <c r="AN84" i="37" s="1"/>
  <c r="H63" i="2"/>
  <c r="H64" i="2"/>
  <c r="H65" i="2"/>
  <c r="H66" i="2"/>
  <c r="H67" i="2"/>
  <c r="H68" i="2"/>
  <c r="H69" i="2"/>
  <c r="H62" i="2"/>
  <c r="AS19" i="19" l="1"/>
  <c r="D9" i="20"/>
  <c r="H9" i="20" s="1"/>
  <c r="D8" i="20"/>
  <c r="D12" i="20"/>
  <c r="D6" i="20"/>
  <c r="D13" i="20"/>
  <c r="H13" i="20" s="1"/>
  <c r="I13" i="20" s="1"/>
  <c r="B36" i="32" s="1"/>
  <c r="D7" i="20"/>
  <c r="D11" i="20"/>
  <c r="H11" i="20" s="1"/>
  <c r="D5" i="20"/>
  <c r="D15" i="20"/>
  <c r="H15" i="20" s="1"/>
  <c r="I15" i="20" s="1"/>
  <c r="B38" i="32" s="1"/>
  <c r="AJ65" i="2"/>
  <c r="AJ62" i="2"/>
  <c r="AJ57" i="2"/>
  <c r="AJ58" i="2"/>
  <c r="AJ59" i="2"/>
  <c r="AJ56" i="2"/>
  <c r="AJ53" i="2"/>
  <c r="AJ52" i="2"/>
  <c r="AJ47" i="2"/>
  <c r="AJ48" i="2"/>
  <c r="AJ49" i="2"/>
  <c r="AJ50" i="2"/>
  <c r="AJ51" i="2"/>
  <c r="AJ46" i="2"/>
  <c r="AJ66" i="2"/>
  <c r="AJ64" i="2"/>
  <c r="AJ61" i="2"/>
  <c r="AJ60" i="2"/>
  <c r="AJ55" i="2"/>
  <c r="AJ54" i="2"/>
  <c r="AJ45" i="2"/>
  <c r="AJ18" i="2" l="1"/>
  <c r="AC18" i="2"/>
  <c r="AC16" i="2"/>
  <c r="AC7" i="2"/>
  <c r="AA10" i="2"/>
  <c r="AA12" i="2" s="1"/>
  <c r="AA6" i="2"/>
  <c r="AA8" i="2" s="1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45" i="2"/>
  <c r="U69" i="2"/>
  <c r="U41" i="2"/>
  <c r="V69" i="2"/>
  <c r="U43" i="2"/>
  <c r="U71" i="2" l="1"/>
  <c r="AC6" i="2"/>
  <c r="AC8" i="2" s="1"/>
  <c r="AC10" i="2"/>
  <c r="AC12" i="2" s="1"/>
  <c r="AA14" i="2"/>
  <c r="AA20" i="2" s="1"/>
  <c r="AH29" i="2"/>
  <c r="AH30" i="2"/>
  <c r="AH31" i="2"/>
  <c r="AH32" i="2"/>
  <c r="AH33" i="2"/>
  <c r="AH34" i="2"/>
  <c r="AH35" i="2"/>
  <c r="AH36" i="2"/>
  <c r="AH28" i="2"/>
  <c r="AH43" i="2" l="1"/>
  <c r="AC14" i="2"/>
  <c r="AC20" i="2" s="1"/>
  <c r="AH41" i="2"/>
  <c r="AC40" i="2"/>
  <c r="AA43" i="2"/>
  <c r="AA63" i="2"/>
  <c r="AJ63" i="2" l="1"/>
  <c r="AJ69" i="2" s="1"/>
  <c r="AA69" i="2"/>
  <c r="U20" i="2"/>
  <c r="U42" i="2" s="1"/>
  <c r="U73" i="2" l="1"/>
  <c r="AA41" i="2"/>
  <c r="AA42" i="2" s="1"/>
  <c r="AA71" i="2" l="1"/>
  <c r="AA73" i="2" s="1"/>
  <c r="B18" i="2"/>
  <c r="V18" i="2" l="1"/>
  <c r="X18" i="2" s="1"/>
  <c r="AH128" i="22" l="1"/>
  <c r="AH129" i="22"/>
  <c r="AH130" i="22"/>
  <c r="AH131" i="22"/>
  <c r="AH132" i="22"/>
  <c r="AH133" i="22"/>
  <c r="AH127" i="22"/>
  <c r="AE125" i="22"/>
  <c r="AE126" i="22"/>
  <c r="AE127" i="22"/>
  <c r="AE128" i="22"/>
  <c r="AE129" i="22"/>
  <c r="AE130" i="22"/>
  <c r="AE131" i="22"/>
  <c r="AE132" i="22"/>
  <c r="AE133" i="22"/>
  <c r="AE124" i="22"/>
  <c r="AI133" i="22" l="1"/>
  <c r="AI127" i="22"/>
  <c r="AI132" i="22"/>
  <c r="AI131" i="22"/>
  <c r="AI130" i="22"/>
  <c r="AI129" i="22"/>
  <c r="AI128" i="22"/>
  <c r="R29" i="22"/>
  <c r="R48" i="22" s="1"/>
  <c r="R67" i="22" s="1"/>
  <c r="R86" i="22" s="1"/>
  <c r="R105" i="22" s="1"/>
  <c r="R124" i="22" s="1"/>
  <c r="R143" i="22" s="1"/>
  <c r="R162" i="22" s="1"/>
  <c r="R181" i="22" s="1"/>
  <c r="R30" i="22"/>
  <c r="R49" i="22" s="1"/>
  <c r="R68" i="22" s="1"/>
  <c r="R87" i="22" s="1"/>
  <c r="R106" i="22" s="1"/>
  <c r="R125" i="22" s="1"/>
  <c r="R144" i="22" s="1"/>
  <c r="R163" i="22" s="1"/>
  <c r="R182" i="22" s="1"/>
  <c r="R31" i="22"/>
  <c r="R50" i="22" s="1"/>
  <c r="R69" i="22" s="1"/>
  <c r="R88" i="22" s="1"/>
  <c r="R107" i="22" s="1"/>
  <c r="R126" i="22" s="1"/>
  <c r="R145" i="22" s="1"/>
  <c r="R164" i="22" s="1"/>
  <c r="R183" i="22" s="1"/>
  <c r="R32" i="22"/>
  <c r="R51" i="22" s="1"/>
  <c r="R70" i="22" s="1"/>
  <c r="R89" i="22" s="1"/>
  <c r="R108" i="22" s="1"/>
  <c r="R127" i="22" s="1"/>
  <c r="R146" i="22" s="1"/>
  <c r="R165" i="22" s="1"/>
  <c r="R184" i="22" s="1"/>
  <c r="R33" i="22"/>
  <c r="R52" i="22" s="1"/>
  <c r="R71" i="22" s="1"/>
  <c r="R90" i="22" s="1"/>
  <c r="R109" i="22" s="1"/>
  <c r="R128" i="22" s="1"/>
  <c r="R147" i="22" s="1"/>
  <c r="R166" i="22" s="1"/>
  <c r="R185" i="22" s="1"/>
  <c r="R34" i="22"/>
  <c r="R53" i="22" s="1"/>
  <c r="R72" i="22" s="1"/>
  <c r="R91" i="22" s="1"/>
  <c r="R110" i="22" s="1"/>
  <c r="R129" i="22" s="1"/>
  <c r="R148" i="22" s="1"/>
  <c r="R167" i="22" s="1"/>
  <c r="R186" i="22" s="1"/>
  <c r="R35" i="22"/>
  <c r="R54" i="22" s="1"/>
  <c r="R73" i="22" s="1"/>
  <c r="R92" i="22" s="1"/>
  <c r="R111" i="22" s="1"/>
  <c r="R130" i="22" s="1"/>
  <c r="R149" i="22" s="1"/>
  <c r="R168" i="22" s="1"/>
  <c r="R187" i="22" s="1"/>
  <c r="R36" i="22"/>
  <c r="R55" i="22" s="1"/>
  <c r="R74" i="22" s="1"/>
  <c r="R93" i="22" s="1"/>
  <c r="R112" i="22" s="1"/>
  <c r="R131" i="22" s="1"/>
  <c r="R150" i="22" s="1"/>
  <c r="R169" i="22" s="1"/>
  <c r="R188" i="22" s="1"/>
  <c r="R37" i="22"/>
  <c r="R56" i="22" s="1"/>
  <c r="R75" i="22" s="1"/>
  <c r="R94" i="22" s="1"/>
  <c r="R113" i="22" s="1"/>
  <c r="R132" i="22" s="1"/>
  <c r="R151" i="22" s="1"/>
  <c r="R170" i="22" s="1"/>
  <c r="R189" i="22" s="1"/>
  <c r="R38" i="22"/>
  <c r="R57" i="22" s="1"/>
  <c r="R76" i="22" s="1"/>
  <c r="R95" i="22" s="1"/>
  <c r="R114" i="22" s="1"/>
  <c r="R133" i="22" s="1"/>
  <c r="R152" i="22" s="1"/>
  <c r="R171" i="22" s="1"/>
  <c r="R190" i="22" s="1"/>
  <c r="R28" i="22"/>
  <c r="R47" i="22" s="1"/>
  <c r="R66" i="22" s="1"/>
  <c r="R85" i="22" s="1"/>
  <c r="R104" i="22" s="1"/>
  <c r="R123" i="22" s="1"/>
  <c r="R142" i="22" s="1"/>
  <c r="R161" i="22" s="1"/>
  <c r="R180" i="22" s="1"/>
  <c r="K63" i="6" l="1"/>
  <c r="K62" i="6"/>
  <c r="I8" i="7"/>
  <c r="I10" i="7" s="1"/>
  <c r="K28" i="6"/>
  <c r="K74" i="6"/>
  <c r="K73" i="6"/>
  <c r="K9" i="6"/>
  <c r="K8" i="6"/>
  <c r="K5" i="6"/>
  <c r="K4" i="6"/>
  <c r="K13" i="6" l="1"/>
  <c r="K30" i="6"/>
  <c r="K12" i="6"/>
  <c r="B10" i="41" l="1"/>
  <c r="B12" i="41" s="1"/>
  <c r="K75" i="6"/>
  <c r="B10" i="37"/>
  <c r="B12" i="37" s="1"/>
  <c r="C10" i="35"/>
  <c r="C12" i="35" s="1"/>
  <c r="C10" i="32"/>
  <c r="C12" i="32" s="1"/>
  <c r="C10" i="2"/>
  <c r="K53" i="6"/>
  <c r="K64" i="6"/>
  <c r="L9" i="5" l="1"/>
  <c r="C12" i="2" l="1"/>
  <c r="J25" i="26" l="1"/>
  <c r="J26" i="26" s="1"/>
  <c r="I14" i="26"/>
  <c r="E14" i="26"/>
  <c r="B13" i="26"/>
  <c r="C13" i="26" s="1"/>
  <c r="B12" i="26"/>
  <c r="C12" i="26" s="1"/>
  <c r="C11" i="26"/>
  <c r="D11" i="26" s="1"/>
  <c r="F11" i="26" s="1"/>
  <c r="H11" i="26" s="1"/>
  <c r="J11" i="26" s="1"/>
  <c r="B10" i="26"/>
  <c r="C10" i="26" s="1"/>
  <c r="B9" i="26"/>
  <c r="C9" i="26" s="1"/>
  <c r="D9" i="26" s="1"/>
  <c r="C8" i="26"/>
  <c r="B7" i="26"/>
  <c r="C7" i="26" s="1"/>
  <c r="D7" i="26" s="1"/>
  <c r="B6" i="26"/>
  <c r="C5" i="26"/>
  <c r="B14" i="26" l="1"/>
  <c r="D12" i="26"/>
  <c r="F12" i="26" s="1"/>
  <c r="H12" i="26" s="1"/>
  <c r="J12" i="26" s="1"/>
  <c r="D13" i="26"/>
  <c r="F13" i="26" s="1"/>
  <c r="H13" i="26" s="1"/>
  <c r="J13" i="26" s="1"/>
  <c r="D10" i="26"/>
  <c r="F10" i="26" s="1"/>
  <c r="H10" i="26" s="1"/>
  <c r="J10" i="26" s="1"/>
  <c r="D8" i="26"/>
  <c r="F8" i="26" s="1"/>
  <c r="H8" i="26" s="1"/>
  <c r="J8" i="26" s="1"/>
  <c r="F9" i="26"/>
  <c r="H9" i="26" s="1"/>
  <c r="J9" i="26" s="1"/>
  <c r="F7" i="26"/>
  <c r="H7" i="26" s="1"/>
  <c r="J7" i="26" s="1"/>
  <c r="C6" i="26"/>
  <c r="D6" i="26" s="1"/>
  <c r="D5" i="26"/>
  <c r="D14" i="26" l="1"/>
  <c r="C14" i="26"/>
  <c r="F6" i="26"/>
  <c r="H6" i="26" s="1"/>
  <c r="J6" i="26" s="1"/>
  <c r="F5" i="26"/>
  <c r="H5" i="26" l="1"/>
  <c r="F14" i="26"/>
  <c r="J5" i="26" l="1"/>
  <c r="J14" i="26" s="1"/>
  <c r="J17" i="26" s="1"/>
  <c r="J21" i="26" s="1"/>
  <c r="J28" i="26" s="1"/>
  <c r="H14" i="26"/>
  <c r="F36" i="20" l="1"/>
  <c r="G36" i="20"/>
  <c r="E21" i="19"/>
  <c r="E22" i="19"/>
  <c r="E23" i="19"/>
  <c r="E24" i="19"/>
  <c r="E29" i="19"/>
  <c r="E30" i="19"/>
  <c r="E31" i="19"/>
  <c r="E32" i="19"/>
  <c r="E33" i="19"/>
  <c r="E34" i="19"/>
  <c r="E35" i="19"/>
  <c r="E36" i="19"/>
  <c r="E37" i="19"/>
  <c r="E38" i="19"/>
  <c r="E39" i="19"/>
  <c r="E41" i="19"/>
  <c r="E42" i="19"/>
  <c r="E20" i="19"/>
  <c r="D40" i="19"/>
  <c r="B16" i="19" s="1"/>
  <c r="D26" i="19"/>
  <c r="B11" i="19" s="1"/>
  <c r="D27" i="19"/>
  <c r="B10" i="19" s="1"/>
  <c r="D25" i="19"/>
  <c r="D28" i="19"/>
  <c r="B7" i="19" s="1"/>
  <c r="B43" i="19"/>
  <c r="E43" i="19" l="1"/>
  <c r="B15" i="19" s="1"/>
  <c r="D43" i="19"/>
  <c r="B9" i="19"/>
  <c r="B17" i="19" l="1"/>
  <c r="C13" i="19" s="1"/>
  <c r="I180" i="22"/>
  <c r="C10" i="19" l="1"/>
  <c r="C16" i="19"/>
  <c r="C15" i="19"/>
  <c r="C9" i="19"/>
  <c r="C12" i="19"/>
  <c r="C11" i="19"/>
  <c r="C8" i="19"/>
  <c r="C14" i="19"/>
  <c r="C7" i="19"/>
  <c r="H12" i="20"/>
  <c r="H7" i="20"/>
  <c r="H6" i="20"/>
  <c r="H17" i="20"/>
  <c r="I17" i="20" s="1"/>
  <c r="D44" i="21"/>
  <c r="C17" i="19" l="1"/>
  <c r="B40" i="32"/>
  <c r="H5" i="20"/>
  <c r="E161" i="22"/>
  <c r="E162" i="22"/>
  <c r="F162" i="22" s="1"/>
  <c r="E163" i="22"/>
  <c r="F163" i="22" s="1"/>
  <c r="E164" i="22"/>
  <c r="F164" i="22" s="1"/>
  <c r="E165" i="22"/>
  <c r="F165" i="22" s="1"/>
  <c r="E166" i="22"/>
  <c r="F166" i="22" s="1"/>
  <c r="E167" i="22"/>
  <c r="F167" i="22" s="1"/>
  <c r="E142" i="22"/>
  <c r="E143" i="22"/>
  <c r="E144" i="22"/>
  <c r="E145" i="22"/>
  <c r="F145" i="22" s="1"/>
  <c r="E146" i="22"/>
  <c r="F146" i="22" s="1"/>
  <c r="E147" i="22"/>
  <c r="E123" i="22"/>
  <c r="E124" i="22"/>
  <c r="E125" i="22"/>
  <c r="E126" i="22"/>
  <c r="F126" i="22" s="1"/>
  <c r="E127" i="22"/>
  <c r="F127" i="22" s="1"/>
  <c r="AJ127" i="22" s="1"/>
  <c r="E128" i="22"/>
  <c r="E104" i="22"/>
  <c r="E105" i="22"/>
  <c r="E106" i="22"/>
  <c r="E107" i="22"/>
  <c r="F107" i="22" s="1"/>
  <c r="E85" i="22"/>
  <c r="E86" i="22"/>
  <c r="E87" i="22"/>
  <c r="E88" i="22"/>
  <c r="F88" i="22" s="1"/>
  <c r="E89" i="22"/>
  <c r="F89" i="22" s="1"/>
  <c r="E66" i="22"/>
  <c r="E67" i="22"/>
  <c r="E68" i="22"/>
  <c r="E9" i="22"/>
  <c r="E10" i="22"/>
  <c r="E11" i="22"/>
  <c r="E12" i="22"/>
  <c r="F12" i="22" s="1"/>
  <c r="E13" i="22"/>
  <c r="F13" i="22" s="1"/>
  <c r="E47" i="22"/>
  <c r="E48" i="22"/>
  <c r="E49" i="22"/>
  <c r="E50" i="22"/>
  <c r="F50" i="22" s="1"/>
  <c r="E51" i="22"/>
  <c r="F51" i="22" s="1"/>
  <c r="E52" i="22"/>
  <c r="E53" i="22"/>
  <c r="E28" i="22"/>
  <c r="E29" i="22"/>
  <c r="E30" i="22"/>
  <c r="F143" i="22" l="1"/>
  <c r="F48" i="22"/>
  <c r="F128" i="22"/>
  <c r="AJ128" i="22" s="1"/>
  <c r="F30" i="22"/>
  <c r="F86" i="22"/>
  <c r="F124" i="22"/>
  <c r="F125" i="22"/>
  <c r="F29" i="22"/>
  <c r="F11" i="22"/>
  <c r="F85" i="22"/>
  <c r="F123" i="22"/>
  <c r="F66" i="22"/>
  <c r="F87" i="22"/>
  <c r="F10" i="22"/>
  <c r="F49" i="22"/>
  <c r="F9" i="22"/>
  <c r="F147" i="22"/>
  <c r="F142" i="22"/>
  <c r="F161" i="22"/>
  <c r="F53" i="22"/>
  <c r="F68" i="22"/>
  <c r="F105" i="22"/>
  <c r="F47" i="22"/>
  <c r="F28" i="22"/>
  <c r="F52" i="22"/>
  <c r="F106" i="22"/>
  <c r="F67" i="22"/>
  <c r="F104" i="22"/>
  <c r="F144" i="22"/>
  <c r="B23" i="23"/>
  <c r="C23" i="23"/>
  <c r="H8" i="20" l="1"/>
  <c r="D18" i="20"/>
  <c r="B180" i="22"/>
  <c r="AR3" i="33" s="1"/>
  <c r="AU3" i="33" s="1"/>
  <c r="C180" i="22"/>
  <c r="D180" i="22"/>
  <c r="E180" i="22"/>
  <c r="B20" i="6"/>
  <c r="H44" i="21" s="1"/>
  <c r="C20" i="6"/>
  <c r="B21" i="6"/>
  <c r="B5" i="6" s="1"/>
  <c r="C21" i="6"/>
  <c r="C28" i="6"/>
  <c r="B28" i="6"/>
  <c r="C9" i="6"/>
  <c r="B9" i="6"/>
  <c r="C8" i="6"/>
  <c r="B8" i="6"/>
  <c r="C23" i="6" l="1"/>
  <c r="C30" i="6" s="1"/>
  <c r="B63" i="6"/>
  <c r="H18" i="20"/>
  <c r="C4" i="6"/>
  <c r="C12" i="6" s="1"/>
  <c r="L44" i="21"/>
  <c r="B4" i="6"/>
  <c r="B12" i="6" s="1"/>
  <c r="C63" i="6"/>
  <c r="L56" i="21"/>
  <c r="F180" i="22"/>
  <c r="C53" i="34" s="1"/>
  <c r="C55" i="34" s="1"/>
  <c r="B23" i="6"/>
  <c r="B30" i="6" s="1"/>
  <c r="C5" i="6"/>
  <c r="C13" i="6" s="1"/>
  <c r="C74" i="6"/>
  <c r="B13" i="6"/>
  <c r="B73" i="6"/>
  <c r="C62" i="6"/>
  <c r="B74" i="6"/>
  <c r="C73" i="6"/>
  <c r="B62" i="6"/>
  <c r="C23" i="5"/>
  <c r="C46" i="36" s="1"/>
  <c r="D23" i="5"/>
  <c r="E23" i="5"/>
  <c r="C22" i="5"/>
  <c r="C36" i="36" s="1"/>
  <c r="C47" i="36" s="1"/>
  <c r="D22" i="5"/>
  <c r="E22" i="5"/>
  <c r="F22" i="5"/>
  <c r="F23" i="5"/>
  <c r="C83" i="5"/>
  <c r="C82" i="5"/>
  <c r="C84" i="5"/>
  <c r="C64" i="5"/>
  <c r="E9" i="5"/>
  <c r="D9" i="5"/>
  <c r="C9" i="5"/>
  <c r="E8" i="5"/>
  <c r="D8" i="5"/>
  <c r="C8" i="5"/>
  <c r="E46" i="36" l="1"/>
  <c r="E78" i="5"/>
  <c r="D46" i="36"/>
  <c r="D78" i="5"/>
  <c r="F46" i="36"/>
  <c r="F78" i="5"/>
  <c r="F36" i="36"/>
  <c r="F77" i="5"/>
  <c r="D36" i="36"/>
  <c r="D77" i="5"/>
  <c r="E36" i="36"/>
  <c r="E77" i="5"/>
  <c r="E25" i="5"/>
  <c r="F25" i="5"/>
  <c r="D25" i="5"/>
  <c r="E34" i="17"/>
  <c r="E41" i="17" s="1"/>
  <c r="D34" i="17"/>
  <c r="D47" i="17" s="1"/>
  <c r="C34" i="17"/>
  <c r="C45" i="17" s="1"/>
  <c r="C44" i="36"/>
  <c r="C43" i="36"/>
  <c r="C39" i="36"/>
  <c r="C42" i="36"/>
  <c r="C38" i="36"/>
  <c r="C40" i="36"/>
  <c r="C45" i="36"/>
  <c r="C41" i="36"/>
  <c r="E44" i="17"/>
  <c r="E66" i="5"/>
  <c r="D67" i="5"/>
  <c r="C44" i="17"/>
  <c r="C5" i="5"/>
  <c r="C13" i="5" s="1"/>
  <c r="B44" i="17"/>
  <c r="E4" i="5"/>
  <c r="E12" i="5" s="1"/>
  <c r="C66" i="5"/>
  <c r="B34" i="17"/>
  <c r="E67" i="5"/>
  <c r="D44" i="17"/>
  <c r="B53" i="6"/>
  <c r="B64" i="6"/>
  <c r="B75" i="6"/>
  <c r="C64" i="6"/>
  <c r="C53" i="6"/>
  <c r="C75" i="6"/>
  <c r="D5" i="5"/>
  <c r="D13" i="5" s="1"/>
  <c r="E5" i="5"/>
  <c r="E13" i="5" s="1"/>
  <c r="C77" i="5"/>
  <c r="D66" i="5"/>
  <c r="C78" i="5"/>
  <c r="C4" i="5"/>
  <c r="C12" i="5" s="1"/>
  <c r="D4" i="5"/>
  <c r="D12" i="5" s="1"/>
  <c r="C67" i="5"/>
  <c r="C25" i="5"/>
  <c r="F47" i="36" l="1"/>
  <c r="F40" i="36"/>
  <c r="F39" i="36"/>
  <c r="F42" i="36"/>
  <c r="F38" i="36"/>
  <c r="F45" i="36"/>
  <c r="F41" i="36"/>
  <c r="F43" i="36"/>
  <c r="F44" i="36"/>
  <c r="F33" i="5"/>
  <c r="F50" i="36"/>
  <c r="E33" i="5"/>
  <c r="E68" i="5" s="1"/>
  <c r="E88" i="5" s="1"/>
  <c r="E50" i="36"/>
  <c r="D33" i="5"/>
  <c r="D68" i="5" s="1"/>
  <c r="D88" i="5" s="1"/>
  <c r="D50" i="36"/>
  <c r="C33" i="5"/>
  <c r="C34" i="5" s="1"/>
  <c r="C50" i="36"/>
  <c r="E47" i="36"/>
  <c r="E44" i="36"/>
  <c r="E38" i="36"/>
  <c r="E41" i="36"/>
  <c r="E45" i="36"/>
  <c r="E39" i="36"/>
  <c r="E42" i="36"/>
  <c r="E43" i="36"/>
  <c r="E40" i="36"/>
  <c r="D47" i="36"/>
  <c r="D38" i="36"/>
  <c r="D41" i="36"/>
  <c r="D45" i="36"/>
  <c r="D39" i="36"/>
  <c r="D42" i="36"/>
  <c r="D43" i="36"/>
  <c r="D40" i="36"/>
  <c r="D44" i="36"/>
  <c r="E47" i="17"/>
  <c r="E48" i="17"/>
  <c r="E45" i="17"/>
  <c r="C41" i="17"/>
  <c r="C47" i="17"/>
  <c r="C48" i="36"/>
  <c r="C52" i="36" s="1"/>
  <c r="D48" i="17"/>
  <c r="D45" i="17"/>
  <c r="C48" i="17"/>
  <c r="D41" i="17"/>
  <c r="B48" i="17"/>
  <c r="B47" i="17"/>
  <c r="B41" i="17"/>
  <c r="B45" i="17"/>
  <c r="E171" i="22"/>
  <c r="E149" i="22"/>
  <c r="D57" i="5" l="1"/>
  <c r="D93" i="5" s="1"/>
  <c r="C79" i="5"/>
  <c r="C91" i="5"/>
  <c r="C57" i="5"/>
  <c r="C93" i="5" s="1"/>
  <c r="E57" i="5"/>
  <c r="E93" i="5" s="1"/>
  <c r="C68" i="5"/>
  <c r="C88" i="5" s="1"/>
  <c r="D34" i="5"/>
  <c r="D35" i="5"/>
  <c r="D79" i="5"/>
  <c r="D91" i="5"/>
  <c r="F48" i="36"/>
  <c r="F52" i="36" s="1"/>
  <c r="D48" i="36"/>
  <c r="D52" i="36" s="1"/>
  <c r="E48" i="36"/>
  <c r="E52" i="36" s="1"/>
  <c r="E34" i="5"/>
  <c r="E35" i="5"/>
  <c r="E79" i="5"/>
  <c r="E91" i="5"/>
  <c r="F34" i="5"/>
  <c r="F35" i="5"/>
  <c r="F79" i="5"/>
  <c r="F91" i="5"/>
  <c r="G35" i="5"/>
  <c r="F149" i="22"/>
  <c r="F171" i="22"/>
  <c r="E169" i="22"/>
  <c r="E170" i="22"/>
  <c r="E151" i="22"/>
  <c r="E168" i="22"/>
  <c r="E110" i="22"/>
  <c r="E114" i="22"/>
  <c r="E131" i="22"/>
  <c r="E148" i="22"/>
  <c r="E152" i="22"/>
  <c r="E150" i="22"/>
  <c r="E132" i="22"/>
  <c r="E129" i="22"/>
  <c r="E133" i="22"/>
  <c r="E75" i="22"/>
  <c r="E92" i="22"/>
  <c r="E109" i="22"/>
  <c r="E113" i="22"/>
  <c r="E130" i="22"/>
  <c r="E56" i="22"/>
  <c r="E90" i="22"/>
  <c r="E94" i="22"/>
  <c r="E111" i="22"/>
  <c r="E72" i="22"/>
  <c r="E70" i="22"/>
  <c r="F70" i="22" s="1"/>
  <c r="E91" i="22"/>
  <c r="E112" i="22"/>
  <c r="E108" i="22"/>
  <c r="F108" i="22" s="1"/>
  <c r="E37" i="22"/>
  <c r="C181" i="22"/>
  <c r="E34" i="22"/>
  <c r="E38" i="22"/>
  <c r="E55" i="22"/>
  <c r="E95" i="22"/>
  <c r="E69" i="22"/>
  <c r="F69" i="22" s="1"/>
  <c r="E73" i="22"/>
  <c r="E93" i="22"/>
  <c r="C188" i="22"/>
  <c r="C187" i="22"/>
  <c r="E74" i="22"/>
  <c r="E18" i="22"/>
  <c r="F18" i="22" s="1"/>
  <c r="E71" i="22"/>
  <c r="E14" i="22"/>
  <c r="E76" i="22"/>
  <c r="C186" i="22"/>
  <c r="E57" i="22"/>
  <c r="E17" i="22"/>
  <c r="F17" i="22" s="1"/>
  <c r="E54" i="22"/>
  <c r="C190" i="22"/>
  <c r="E31" i="22"/>
  <c r="F31" i="22" s="1"/>
  <c r="E35" i="22"/>
  <c r="C184" i="22"/>
  <c r="C183" i="22"/>
  <c r="E36" i="22"/>
  <c r="E32" i="22"/>
  <c r="F32" i="22" s="1"/>
  <c r="E15" i="22"/>
  <c r="F15" i="22" s="1"/>
  <c r="C185" i="22"/>
  <c r="E16" i="22"/>
  <c r="F16" i="22" s="1"/>
  <c r="C189" i="22"/>
  <c r="E19" i="22"/>
  <c r="C182" i="22"/>
  <c r="E33" i="22"/>
  <c r="V35" i="2" l="1"/>
  <c r="AF35" i="2" s="1"/>
  <c r="AG35" i="2" s="1"/>
  <c r="X35" i="37"/>
  <c r="X35" i="35"/>
  <c r="AH35" i="35" s="1"/>
  <c r="AI35" i="35" s="1"/>
  <c r="V35" i="32"/>
  <c r="AF35" i="32" s="1"/>
  <c r="AG35" i="32" s="1"/>
  <c r="F56" i="22"/>
  <c r="F130" i="22"/>
  <c r="AJ130" i="22" s="1"/>
  <c r="F113" i="22"/>
  <c r="F151" i="22"/>
  <c r="F38" i="22"/>
  <c r="F34" i="22"/>
  <c r="F74" i="22"/>
  <c r="F131" i="22"/>
  <c r="AJ131" i="22" s="1"/>
  <c r="F71" i="22"/>
  <c r="F109" i="22"/>
  <c r="F33" i="22"/>
  <c r="F169" i="22"/>
  <c r="F90" i="22"/>
  <c r="F76" i="22"/>
  <c r="F14" i="22"/>
  <c r="F114" i="22"/>
  <c r="F92" i="22"/>
  <c r="F129" i="22"/>
  <c r="AJ129" i="22" s="1"/>
  <c r="F148" i="22"/>
  <c r="F36" i="22"/>
  <c r="F110" i="22"/>
  <c r="F112" i="22"/>
  <c r="F75" i="22"/>
  <c r="F91" i="22"/>
  <c r="F133" i="22"/>
  <c r="F54" i="22"/>
  <c r="F72" i="22"/>
  <c r="F132" i="22"/>
  <c r="AJ132" i="22" s="1"/>
  <c r="F55" i="22"/>
  <c r="F37" i="22"/>
  <c r="F35" i="22"/>
  <c r="F170" i="22"/>
  <c r="F19" i="22"/>
  <c r="F111" i="22"/>
  <c r="F150" i="22"/>
  <c r="F168" i="22"/>
  <c r="F93" i="22"/>
  <c r="F73" i="22"/>
  <c r="F57" i="22"/>
  <c r="F95" i="22"/>
  <c r="F94" i="22"/>
  <c r="F152" i="22"/>
  <c r="E187" i="22"/>
  <c r="F187" i="22" s="1"/>
  <c r="J53" i="34" s="1"/>
  <c r="J55" i="34" s="1"/>
  <c r="E182" i="22"/>
  <c r="E183" i="22"/>
  <c r="F183" i="22" s="1"/>
  <c r="F53" i="34" s="1"/>
  <c r="F55" i="34" s="1"/>
  <c r="E184" i="22"/>
  <c r="F184" i="22" s="1"/>
  <c r="G53" i="34" s="1"/>
  <c r="G55" i="34" s="1"/>
  <c r="E188" i="22"/>
  <c r="F188" i="22" s="1"/>
  <c r="K53" i="34" s="1"/>
  <c r="K55" i="34" s="1"/>
  <c r="E186" i="22"/>
  <c r="F186" i="22" s="1"/>
  <c r="I53" i="34" s="1"/>
  <c r="I55" i="34" s="1"/>
  <c r="E185" i="22"/>
  <c r="I13" i="10"/>
  <c r="H12" i="10"/>
  <c r="D12" i="10"/>
  <c r="H11" i="10"/>
  <c r="D11" i="10"/>
  <c r="H10" i="10"/>
  <c r="D10" i="10"/>
  <c r="H9" i="10"/>
  <c r="D9" i="10"/>
  <c r="H8" i="10"/>
  <c r="D8" i="10"/>
  <c r="H7" i="10"/>
  <c r="D7" i="10"/>
  <c r="H6" i="10"/>
  <c r="D6" i="10"/>
  <c r="H5" i="10"/>
  <c r="D5" i="10"/>
  <c r="H4" i="10"/>
  <c r="D4" i="10"/>
  <c r="J10" i="10" l="1"/>
  <c r="J11" i="10"/>
  <c r="J6" i="10"/>
  <c r="J4" i="10"/>
  <c r="R4" i="10" s="1"/>
  <c r="J9" i="10"/>
  <c r="J7" i="10"/>
  <c r="V31" i="2"/>
  <c r="AF31" i="2" s="1"/>
  <c r="AG31" i="2" s="1"/>
  <c r="X31" i="37"/>
  <c r="X31" i="35"/>
  <c r="AH31" i="35" s="1"/>
  <c r="AI31" i="35" s="1"/>
  <c r="V31" i="32"/>
  <c r="AF31" i="32" s="1"/>
  <c r="AG31" i="32" s="1"/>
  <c r="X36" i="37"/>
  <c r="X36" i="35"/>
  <c r="AH36" i="35" s="1"/>
  <c r="AI36" i="35" s="1"/>
  <c r="V36" i="32"/>
  <c r="AF36" i="32" s="1"/>
  <c r="AG36" i="32" s="1"/>
  <c r="AJ133" i="22"/>
  <c r="AJ139" i="22" s="1"/>
  <c r="V29" i="2"/>
  <c r="AF29" i="2" s="1"/>
  <c r="AG29" i="2" s="1"/>
  <c r="X29" i="37"/>
  <c r="X29" i="35"/>
  <c r="AH29" i="35" s="1"/>
  <c r="AI29" i="35" s="1"/>
  <c r="V29" i="32"/>
  <c r="AF29" i="32" s="1"/>
  <c r="AG29" i="32" s="1"/>
  <c r="V32" i="2"/>
  <c r="AF32" i="2" s="1"/>
  <c r="AG32" i="2" s="1"/>
  <c r="X32" i="37"/>
  <c r="X32" i="35"/>
  <c r="V32" i="32"/>
  <c r="AF32" i="32" s="1"/>
  <c r="AG32" i="32" s="1"/>
  <c r="V33" i="2"/>
  <c r="AF33" i="2" s="1"/>
  <c r="AG33" i="2" s="1"/>
  <c r="X33" i="37"/>
  <c r="X33" i="35"/>
  <c r="AH33" i="35" s="1"/>
  <c r="AI33" i="35" s="1"/>
  <c r="V33" i="32"/>
  <c r="AF33" i="32" s="1"/>
  <c r="AG33" i="32" s="1"/>
  <c r="AH35" i="37"/>
  <c r="AI35" i="37" s="1"/>
  <c r="AM35" i="37" s="1"/>
  <c r="Y35" i="37"/>
  <c r="J5" i="10"/>
  <c r="V34" i="2"/>
  <c r="AF34" i="2" s="1"/>
  <c r="AG34" i="2" s="1"/>
  <c r="X34" i="37"/>
  <c r="X34" i="35"/>
  <c r="V34" i="32"/>
  <c r="AF34" i="32" s="1"/>
  <c r="AG34" i="32" s="1"/>
  <c r="V30" i="2"/>
  <c r="AF30" i="2" s="1"/>
  <c r="AG30" i="2" s="1"/>
  <c r="X30" i="37"/>
  <c r="X30" i="35"/>
  <c r="AH30" i="35" s="1"/>
  <c r="AI30" i="35" s="1"/>
  <c r="V30" i="32"/>
  <c r="AF30" i="32" s="1"/>
  <c r="AG30" i="32" s="1"/>
  <c r="V28" i="2"/>
  <c r="AF28" i="2" s="1"/>
  <c r="X28" i="37"/>
  <c r="X28" i="35"/>
  <c r="V28" i="32"/>
  <c r="V36" i="2"/>
  <c r="AF36" i="2" s="1"/>
  <c r="AG36" i="2" s="1"/>
  <c r="J12" i="10"/>
  <c r="J8" i="10"/>
  <c r="F182" i="22"/>
  <c r="E53" i="34" s="1"/>
  <c r="E55" i="34" s="1"/>
  <c r="F185" i="22"/>
  <c r="H53" i="34" s="1"/>
  <c r="H55" i="34" s="1"/>
  <c r="D5" i="30" l="1"/>
  <c r="AH29" i="37"/>
  <c r="AI29" i="37" s="1"/>
  <c r="AM29" i="37" s="1"/>
  <c r="Y29" i="37"/>
  <c r="AH28" i="37"/>
  <c r="X41" i="37"/>
  <c r="Z43" i="37"/>
  <c r="Y28" i="37"/>
  <c r="AH32" i="35"/>
  <c r="AI32" i="35" s="1"/>
  <c r="AH34" i="35"/>
  <c r="AI34" i="35" s="1"/>
  <c r="AH32" i="37"/>
  <c r="AI32" i="37" s="1"/>
  <c r="AM32" i="37" s="1"/>
  <c r="Y32" i="37"/>
  <c r="AF28" i="32"/>
  <c r="V43" i="32"/>
  <c r="V41" i="32"/>
  <c r="V71" i="32" s="1"/>
  <c r="AH36" i="37"/>
  <c r="AI36" i="37" s="1"/>
  <c r="AM36" i="37" s="1"/>
  <c r="Y36" i="37"/>
  <c r="Z43" i="35"/>
  <c r="AH28" i="35"/>
  <c r="X41" i="35"/>
  <c r="Z72" i="35" s="1"/>
  <c r="AH34" i="37"/>
  <c r="AI34" i="37" s="1"/>
  <c r="AM34" i="37" s="1"/>
  <c r="Y34" i="37"/>
  <c r="AH31" i="37"/>
  <c r="AI31" i="37" s="1"/>
  <c r="AM31" i="37" s="1"/>
  <c r="Y31" i="37"/>
  <c r="AH30" i="37"/>
  <c r="AI30" i="37" s="1"/>
  <c r="AM30" i="37" s="1"/>
  <c r="Y30" i="37"/>
  <c r="AH33" i="37"/>
  <c r="AI33" i="37" s="1"/>
  <c r="AM33" i="37" s="1"/>
  <c r="Y33" i="37"/>
  <c r="AG28" i="2"/>
  <c r="AG41" i="2" s="1"/>
  <c r="AF43" i="2"/>
  <c r="V43" i="2"/>
  <c r="AF41" i="2"/>
  <c r="R5" i="10"/>
  <c r="R6" i="10"/>
  <c r="R9" i="10"/>
  <c r="R10" i="10"/>
  <c r="R11" i="10"/>
  <c r="R12" i="10"/>
  <c r="AI28" i="35" l="1"/>
  <c r="AI41" i="35" s="1"/>
  <c r="AH41" i="35"/>
  <c r="AJ43" i="35"/>
  <c r="AG28" i="32"/>
  <c r="AG41" i="32" s="1"/>
  <c r="AF43" i="32"/>
  <c r="AF41" i="32"/>
  <c r="AI28" i="37"/>
  <c r="AH41" i="37"/>
  <c r="AJ43" i="37"/>
  <c r="Y41" i="37"/>
  <c r="Z82" i="37"/>
  <c r="Z84" i="37" s="1"/>
  <c r="Z42" i="37"/>
  <c r="L5" i="10"/>
  <c r="L6" i="10"/>
  <c r="L9" i="10"/>
  <c r="L10" i="10"/>
  <c r="L11" i="10"/>
  <c r="L12" i="10"/>
  <c r="L4" i="10"/>
  <c r="AI41" i="37" l="1"/>
  <c r="AM28" i="37"/>
  <c r="AM41" i="37" s="1"/>
  <c r="E189" i="22"/>
  <c r="F189" i="22" s="1"/>
  <c r="L53" i="34" s="1"/>
  <c r="L55" i="34" s="1"/>
  <c r="B13" i="10" l="1"/>
  <c r="C11" i="10"/>
  <c r="C10" i="10"/>
  <c r="C9" i="10"/>
  <c r="C8" i="10"/>
  <c r="C7" i="10"/>
  <c r="C5" i="10"/>
  <c r="C4" i="10"/>
  <c r="G13" i="10" l="1"/>
  <c r="E13" i="10"/>
  <c r="N13" i="10"/>
  <c r="AH3" i="21"/>
  <c r="AH5" i="21"/>
  <c r="AH6" i="21"/>
  <c r="AH7" i="21"/>
  <c r="AH8" i="21"/>
  <c r="AH9" i="21"/>
  <c r="AH2" i="21"/>
  <c r="BF2" i="18"/>
  <c r="BF3" i="18"/>
  <c r="BF5" i="18"/>
  <c r="BF6" i="18"/>
  <c r="BF7" i="18"/>
  <c r="BF8" i="18"/>
  <c r="BF9" i="18"/>
  <c r="BE3" i="18"/>
  <c r="BE5" i="18"/>
  <c r="BE6" i="18"/>
  <c r="BE7" i="18"/>
  <c r="BE8" i="18"/>
  <c r="BE9" i="18"/>
  <c r="BL13" i="18"/>
  <c r="BK13" i="18"/>
  <c r="BL2" i="18"/>
  <c r="BL3" i="18"/>
  <c r="BL5" i="18"/>
  <c r="BL6" i="18"/>
  <c r="BL7" i="18"/>
  <c r="BL8" i="18"/>
  <c r="BL9" i="18"/>
  <c r="BK3" i="18"/>
  <c r="BK5" i="18"/>
  <c r="BK6" i="18"/>
  <c r="BK7" i="18"/>
  <c r="BK8" i="18"/>
  <c r="BK9" i="18"/>
  <c r="BK2" i="18"/>
  <c r="BF13" i="18"/>
  <c r="BE13" i="18"/>
  <c r="BE2" i="18"/>
  <c r="B17" i="21"/>
  <c r="B18" i="21"/>
  <c r="B19" i="21"/>
  <c r="B20" i="21"/>
  <c r="B21" i="21"/>
  <c r="B22" i="21"/>
  <c r="B23" i="21"/>
  <c r="B12" i="21"/>
  <c r="F12" i="21"/>
  <c r="G12" i="21" s="1"/>
  <c r="B3" i="21"/>
  <c r="B5" i="21"/>
  <c r="B6" i="21"/>
  <c r="B7" i="21"/>
  <c r="B8" i="21"/>
  <c r="B9" i="21"/>
  <c r="B2" i="21"/>
  <c r="F17" i="21"/>
  <c r="F18" i="21"/>
  <c r="F19" i="21"/>
  <c r="F20" i="21"/>
  <c r="F21" i="21"/>
  <c r="F22" i="21"/>
  <c r="F23" i="21"/>
  <c r="F3" i="21"/>
  <c r="F5" i="21"/>
  <c r="F6" i="21"/>
  <c r="F7" i="21"/>
  <c r="F8" i="21"/>
  <c r="F9" i="21"/>
  <c r="F2" i="21"/>
  <c r="J17" i="21"/>
  <c r="J18" i="21"/>
  <c r="J19" i="21"/>
  <c r="J20" i="21"/>
  <c r="J21" i="21"/>
  <c r="J22" i="21"/>
  <c r="J23" i="21"/>
  <c r="J12" i="21"/>
  <c r="K12" i="21" s="1"/>
  <c r="J3" i="21"/>
  <c r="J5" i="21"/>
  <c r="J6" i="21"/>
  <c r="J7" i="21"/>
  <c r="J8" i="21"/>
  <c r="J9" i="21"/>
  <c r="J2" i="21"/>
  <c r="N17" i="21"/>
  <c r="N18" i="21"/>
  <c r="N19" i="21"/>
  <c r="N20" i="21"/>
  <c r="N21" i="21"/>
  <c r="N22" i="21"/>
  <c r="N23" i="21"/>
  <c r="N12" i="21"/>
  <c r="O12" i="21" s="1"/>
  <c r="N3" i="21"/>
  <c r="N5" i="21"/>
  <c r="N6" i="21"/>
  <c r="N7" i="21"/>
  <c r="N8" i="21"/>
  <c r="N9" i="21"/>
  <c r="N2" i="21"/>
  <c r="R3" i="21"/>
  <c r="R5" i="21"/>
  <c r="R6" i="21"/>
  <c r="R7" i="21"/>
  <c r="R8" i="21"/>
  <c r="R9" i="21"/>
  <c r="R2" i="21"/>
  <c r="R17" i="21"/>
  <c r="R18" i="21"/>
  <c r="R19" i="21"/>
  <c r="R20" i="21"/>
  <c r="R21" i="21"/>
  <c r="R22" i="21"/>
  <c r="R23" i="21"/>
  <c r="BE11" i="18" l="1"/>
  <c r="BK11" i="18"/>
  <c r="BL11" i="18"/>
  <c r="BF11" i="18"/>
  <c r="V17" i="21"/>
  <c r="V18" i="21"/>
  <c r="V19" i="21"/>
  <c r="V20" i="21"/>
  <c r="V21" i="21"/>
  <c r="V22" i="21"/>
  <c r="V23" i="21"/>
  <c r="V3" i="21"/>
  <c r="V5" i="21"/>
  <c r="V6" i="21"/>
  <c r="V7" i="21"/>
  <c r="V8" i="21"/>
  <c r="V9" i="21"/>
  <c r="V2" i="21"/>
  <c r="Z17" i="21"/>
  <c r="Z18" i="21"/>
  <c r="Z19" i="21"/>
  <c r="Z20" i="21"/>
  <c r="Z21" i="21"/>
  <c r="Z22" i="21"/>
  <c r="Z23" i="21"/>
  <c r="Z3" i="21"/>
  <c r="Z5" i="21"/>
  <c r="Z6" i="21"/>
  <c r="Z7" i="21"/>
  <c r="Z8" i="21"/>
  <c r="Z9" i="21"/>
  <c r="Z2" i="21"/>
  <c r="AD17" i="21"/>
  <c r="AD18" i="21"/>
  <c r="AD19" i="21"/>
  <c r="AD20" i="21"/>
  <c r="AD21" i="21"/>
  <c r="AD22" i="21"/>
  <c r="AD23" i="21"/>
  <c r="AD3" i="21"/>
  <c r="AD5" i="21"/>
  <c r="AD6" i="21"/>
  <c r="AD7" i="21"/>
  <c r="AD8" i="21"/>
  <c r="AD9" i="21"/>
  <c r="AD2" i="21"/>
  <c r="AH17" i="21"/>
  <c r="AH18" i="21"/>
  <c r="AH19" i="21"/>
  <c r="AH20" i="21"/>
  <c r="AH21" i="21"/>
  <c r="AH22" i="21"/>
  <c r="AH23" i="21"/>
  <c r="AL17" i="21" l="1"/>
  <c r="AL18" i="21"/>
  <c r="AL19" i="21"/>
  <c r="AL20" i="21"/>
  <c r="AL21" i="21"/>
  <c r="AL22" i="21"/>
  <c r="AL23" i="21"/>
  <c r="AL3" i="21"/>
  <c r="AL5" i="21"/>
  <c r="AL6" i="21"/>
  <c r="AL7" i="21"/>
  <c r="AL8" i="21"/>
  <c r="AL9" i="21"/>
  <c r="AL2" i="21"/>
  <c r="BL18" i="18"/>
  <c r="BL19" i="18"/>
  <c r="BL20" i="18"/>
  <c r="BL21" i="18"/>
  <c r="BL22" i="18"/>
  <c r="BL23" i="18"/>
  <c r="BL24" i="18"/>
  <c r="BK18" i="18"/>
  <c r="BK19" i="18"/>
  <c r="BK20" i="18"/>
  <c r="BK21" i="18"/>
  <c r="BK22" i="18"/>
  <c r="BK23" i="18"/>
  <c r="BK24" i="18"/>
  <c r="G23" i="23"/>
  <c r="H23" i="23"/>
  <c r="J23" i="23"/>
  <c r="K23" i="23"/>
  <c r="L23" i="23"/>
  <c r="M23" i="23"/>
  <c r="N23" i="23"/>
  <c r="O23" i="23"/>
  <c r="O25" i="23" s="1"/>
  <c r="O26" i="23" s="1"/>
  <c r="P23" i="23"/>
  <c r="Q23" i="23"/>
  <c r="Q25" i="23" s="1"/>
  <c r="Q26" i="23" s="1"/>
  <c r="R23" i="23"/>
  <c r="S23" i="23"/>
  <c r="T23" i="23"/>
  <c r="U23" i="23"/>
  <c r="V23" i="23"/>
  <c r="W23" i="23"/>
  <c r="X23" i="23"/>
  <c r="Y23" i="23"/>
  <c r="Y25" i="23" s="1"/>
  <c r="Y26" i="23" s="1"/>
  <c r="I23" i="23"/>
  <c r="F23" i="23"/>
  <c r="E23" i="23"/>
  <c r="D23" i="23"/>
  <c r="S25" i="23" l="1"/>
  <c r="S26" i="23" s="1"/>
  <c r="U25" i="23"/>
  <c r="U26" i="23" s="1"/>
  <c r="W25" i="23"/>
  <c r="W26" i="23" s="1"/>
  <c r="CK23" i="18"/>
  <c r="CK22" i="18"/>
  <c r="CK21" i="18"/>
  <c r="CK24" i="18"/>
  <c r="CK20" i="18"/>
  <c r="BM22" i="18"/>
  <c r="BM21" i="18"/>
  <c r="BM19" i="18"/>
  <c r="BM23" i="18"/>
  <c r="BM20" i="18"/>
  <c r="BM24" i="18"/>
  <c r="BM18" i="18"/>
  <c r="B190" i="22"/>
  <c r="AR13" i="33" s="1"/>
  <c r="AU13" i="33" s="1"/>
  <c r="D189" i="22"/>
  <c r="B189" i="22"/>
  <c r="AR12" i="33" s="1"/>
  <c r="AU12" i="33" s="1"/>
  <c r="B188" i="22"/>
  <c r="AR11" i="33" s="1"/>
  <c r="AU11" i="33" s="1"/>
  <c r="B187" i="22"/>
  <c r="AR10" i="33" s="1"/>
  <c r="AU10" i="33" s="1"/>
  <c r="B186" i="22"/>
  <c r="AR9" i="33" s="1"/>
  <c r="AU9" i="33" s="1"/>
  <c r="B185" i="22"/>
  <c r="AR8" i="33" s="1"/>
  <c r="AU8" i="33" s="1"/>
  <c r="B184" i="22"/>
  <c r="AR7" i="33" s="1"/>
  <c r="AU7" i="33" s="1"/>
  <c r="B183" i="22"/>
  <c r="AR6" i="33" s="1"/>
  <c r="AU6" i="33" s="1"/>
  <c r="B182" i="22"/>
  <c r="AR5" i="33" s="1"/>
  <c r="AU5" i="33" s="1"/>
  <c r="CJ27" i="18" l="1"/>
  <c r="CJ29" i="18" s="1"/>
  <c r="CK19" i="18"/>
  <c r="CK27" i="18" s="1"/>
  <c r="D182" i="22"/>
  <c r="D184" i="22"/>
  <c r="D183" i="22"/>
  <c r="CM10" i="18" l="1"/>
  <c r="CL11" i="18"/>
  <c r="CM5" i="18"/>
  <c r="H80" i="22" s="1"/>
  <c r="J80" i="22" s="1"/>
  <c r="CM7" i="18"/>
  <c r="H118" i="22" s="1"/>
  <c r="CM3" i="18"/>
  <c r="H42" i="22" s="1"/>
  <c r="J42" i="22" s="1"/>
  <c r="CM4" i="18"/>
  <c r="H61" i="22" s="1"/>
  <c r="J61" i="22" s="1"/>
  <c r="CM6" i="18"/>
  <c r="H99" i="22" s="1"/>
  <c r="J99" i="22" s="1"/>
  <c r="CK29" i="18"/>
  <c r="CM2" i="18"/>
  <c r="H23" i="22" s="1"/>
  <c r="J23" i="22" s="1"/>
  <c r="Z26" i="21"/>
  <c r="M42" i="22" l="1"/>
  <c r="L42" i="22"/>
  <c r="N42" i="22"/>
  <c r="O42" i="22"/>
  <c r="L23" i="22"/>
  <c r="M23" i="22"/>
  <c r="O23" i="22"/>
  <c r="N23" i="22"/>
  <c r="L99" i="22"/>
  <c r="O99" i="22"/>
  <c r="N99" i="22"/>
  <c r="M99" i="22"/>
  <c r="M61" i="22"/>
  <c r="L61" i="22"/>
  <c r="N61" i="22"/>
  <c r="O61" i="22"/>
  <c r="J118" i="22"/>
  <c r="H194" i="22"/>
  <c r="J194" i="22" s="1"/>
  <c r="N80" i="22"/>
  <c r="O80" i="22"/>
  <c r="M80" i="22"/>
  <c r="L80" i="22"/>
  <c r="CM11" i="18"/>
  <c r="CL15" i="18"/>
  <c r="CL29" i="18" s="1"/>
  <c r="B16" i="2"/>
  <c r="P99" i="22" l="1"/>
  <c r="V99" i="22" s="1"/>
  <c r="P80" i="22"/>
  <c r="V80" i="22" s="1"/>
  <c r="U80" i="22"/>
  <c r="P23" i="22"/>
  <c r="V23" i="22" s="1"/>
  <c r="U23" i="22"/>
  <c r="U99" i="22"/>
  <c r="N194" i="22"/>
  <c r="O194" i="22"/>
  <c r="L194" i="22"/>
  <c r="M194" i="22"/>
  <c r="N118" i="22"/>
  <c r="L118" i="22"/>
  <c r="M118" i="22"/>
  <c r="O118" i="22"/>
  <c r="P61" i="22"/>
  <c r="P42" i="22"/>
  <c r="V42" i="22" s="1"/>
  <c r="U42" i="22"/>
  <c r="CM41" i="18"/>
  <c r="CM56" i="18" s="1"/>
  <c r="B31" i="40" s="1"/>
  <c r="F31" i="40" s="1"/>
  <c r="I31" i="40" s="1"/>
  <c r="Q71" i="5"/>
  <c r="Q77" i="5" s="1"/>
  <c r="P63" i="5"/>
  <c r="CM15" i="18"/>
  <c r="CM29" i="18" s="1"/>
  <c r="CM36" i="18"/>
  <c r="CM38" i="18"/>
  <c r="CM35" i="18"/>
  <c r="CM40" i="18"/>
  <c r="CM37" i="18"/>
  <c r="CM39" i="18"/>
  <c r="CM34" i="18"/>
  <c r="CM33" i="18"/>
  <c r="V16" i="2"/>
  <c r="X16" i="2" s="1"/>
  <c r="AJ16" i="2"/>
  <c r="H40" i="2"/>
  <c r="L31" i="2"/>
  <c r="L32" i="2"/>
  <c r="L33" i="2"/>
  <c r="L37" i="2"/>
  <c r="L38" i="2"/>
  <c r="L39" i="2"/>
  <c r="L40" i="2"/>
  <c r="L28" i="2"/>
  <c r="D45" i="2"/>
  <c r="D51" i="2"/>
  <c r="F34" i="2" s="1"/>
  <c r="E68" i="2" s="1"/>
  <c r="D54" i="2"/>
  <c r="D55" i="2"/>
  <c r="D50" i="2"/>
  <c r="F30" i="2" s="1"/>
  <c r="E64" i="2" s="1"/>
  <c r="D52" i="2"/>
  <c r="D53" i="2"/>
  <c r="D46" i="2"/>
  <c r="D47" i="2"/>
  <c r="D44" i="2"/>
  <c r="D48" i="2"/>
  <c r="D49" i="2"/>
  <c r="D56" i="2"/>
  <c r="AG26" i="23" l="1"/>
  <c r="P68" i="5"/>
  <c r="P88" i="5" s="1"/>
  <c r="U194" i="22"/>
  <c r="P194" i="22"/>
  <c r="S194" i="22" s="1"/>
  <c r="Q82" i="5"/>
  <c r="Q74" i="5"/>
  <c r="Q79" i="5" s="1"/>
  <c r="P118" i="22"/>
  <c r="V118" i="22" s="1"/>
  <c r="U118" i="22"/>
  <c r="B38" i="41"/>
  <c r="CM50" i="18"/>
  <c r="B24" i="40" s="1"/>
  <c r="F24" i="40" s="1"/>
  <c r="I24" i="40" s="1"/>
  <c r="CM53" i="18"/>
  <c r="B27" i="40" s="1"/>
  <c r="F27" i="40" s="1"/>
  <c r="I27" i="40" s="1"/>
  <c r="CM51" i="18"/>
  <c r="B25" i="40" s="1"/>
  <c r="F25" i="40" s="1"/>
  <c r="I25" i="40" s="1"/>
  <c r="CM42" i="18"/>
  <c r="CM48" i="18"/>
  <c r="CM55" i="18"/>
  <c r="B29" i="40" s="1"/>
  <c r="F29" i="40" s="1"/>
  <c r="I29" i="40" s="1"/>
  <c r="CM49" i="18"/>
  <c r="B23" i="40" s="1"/>
  <c r="F23" i="40" s="1"/>
  <c r="I23" i="40" s="1"/>
  <c r="CM54" i="18"/>
  <c r="B28" i="40" s="1"/>
  <c r="F28" i="40" s="1"/>
  <c r="I28" i="40" s="1"/>
  <c r="P64" i="5"/>
  <c r="L8" i="7"/>
  <c r="L10" i="7" s="1"/>
  <c r="CM52" i="18"/>
  <c r="B26" i="40" s="1"/>
  <c r="F26" i="40" s="1"/>
  <c r="I26" i="40" s="1"/>
  <c r="P74" i="5"/>
  <c r="P79" i="5" s="1"/>
  <c r="D58" i="2"/>
  <c r="F35" i="2"/>
  <c r="E69" i="2" s="1"/>
  <c r="F36" i="2"/>
  <c r="E70" i="2" s="1"/>
  <c r="F29" i="2"/>
  <c r="E63" i="2" s="1"/>
  <c r="V194" i="22" l="1"/>
  <c r="L12" i="7"/>
  <c r="M12" i="7"/>
  <c r="B22" i="40"/>
  <c r="F22" i="40" s="1"/>
  <c r="F36" i="40" s="1"/>
  <c r="CM57" i="18"/>
  <c r="CM64" i="18" s="1"/>
  <c r="CM68" i="18" s="1"/>
  <c r="Q84" i="5"/>
  <c r="B32" i="41"/>
  <c r="B30" i="41"/>
  <c r="B31" i="41"/>
  <c r="B35" i="41"/>
  <c r="B36" i="41"/>
  <c r="B34" i="41"/>
  <c r="B33" i="41"/>
  <c r="E75" i="2"/>
  <c r="F41" i="2"/>
  <c r="I22" i="40" l="1"/>
  <c r="I36" i="40" s="1"/>
  <c r="B36" i="40"/>
  <c r="B45" i="43"/>
  <c r="C31" i="43" s="1"/>
  <c r="AN26" i="21"/>
  <c r="AM26" i="21"/>
  <c r="AK26" i="21"/>
  <c r="AJ26" i="21"/>
  <c r="AI26" i="21"/>
  <c r="AG26" i="21"/>
  <c r="AF26" i="21"/>
  <c r="AE26" i="21"/>
  <c r="AC26" i="21"/>
  <c r="AB26" i="21"/>
  <c r="AA26" i="21"/>
  <c r="Y26" i="21"/>
  <c r="X26" i="21"/>
  <c r="W26" i="21"/>
  <c r="U26" i="21"/>
  <c r="T26" i="21"/>
  <c r="S26" i="21"/>
  <c r="Q26" i="21"/>
  <c r="P26" i="21"/>
  <c r="O26" i="21"/>
  <c r="M26" i="21"/>
  <c r="L26" i="21"/>
  <c r="K26" i="21"/>
  <c r="I26" i="21"/>
  <c r="H26" i="21"/>
  <c r="G26" i="21"/>
  <c r="E26" i="21"/>
  <c r="D26" i="21"/>
  <c r="C26" i="21"/>
  <c r="AN12" i="21"/>
  <c r="I133" i="22" s="1"/>
  <c r="AJ12" i="21"/>
  <c r="I132" i="22" s="1"/>
  <c r="AF12" i="21"/>
  <c r="I131" i="22" s="1"/>
  <c r="AB12" i="21"/>
  <c r="I130" i="22" s="1"/>
  <c r="X12" i="21"/>
  <c r="I129" i="22" s="1"/>
  <c r="T12" i="21"/>
  <c r="I128" i="22" s="1"/>
  <c r="P12" i="21"/>
  <c r="I127" i="22" s="1"/>
  <c r="L12" i="21"/>
  <c r="I126" i="22" s="1"/>
  <c r="H12" i="21"/>
  <c r="I125" i="22" s="1"/>
  <c r="D12" i="21"/>
  <c r="I124" i="22" s="1"/>
  <c r="C45" i="2"/>
  <c r="E45" i="2" s="1"/>
  <c r="C51" i="2"/>
  <c r="C54" i="2"/>
  <c r="E54" i="2" s="1"/>
  <c r="C55" i="2"/>
  <c r="E55" i="2" s="1"/>
  <c r="C50" i="2"/>
  <c r="C52" i="2"/>
  <c r="C53" i="2"/>
  <c r="E53" i="2" s="1"/>
  <c r="C46" i="2"/>
  <c r="E46" i="2" s="1"/>
  <c r="C47" i="2"/>
  <c r="E47" i="2" s="1"/>
  <c r="C44" i="2"/>
  <c r="C48" i="2"/>
  <c r="E48" i="2" s="1"/>
  <c r="C49" i="2"/>
  <c r="E49" i="2" s="1"/>
  <c r="C56" i="2"/>
  <c r="E56" i="2" s="1"/>
  <c r="H29" i="20"/>
  <c r="H33" i="20"/>
  <c r="H34" i="20"/>
  <c r="H35" i="20"/>
  <c r="F33" i="20"/>
  <c r="F34" i="20"/>
  <c r="F35" i="20"/>
  <c r="J30" i="17"/>
  <c r="B14" i="17"/>
  <c r="B18" i="17" s="1"/>
  <c r="C14" i="17"/>
  <c r="C18" i="17" s="1"/>
  <c r="D14" i="17"/>
  <c r="D18" i="17" s="1"/>
  <c r="E14" i="17"/>
  <c r="E18" i="17" s="1"/>
  <c r="F14" i="17"/>
  <c r="F18" i="17" s="1"/>
  <c r="G14" i="17"/>
  <c r="G18" i="17" s="1"/>
  <c r="H14" i="17"/>
  <c r="H18" i="17" s="1"/>
  <c r="I14" i="17"/>
  <c r="I18" i="17" s="1"/>
  <c r="J18" i="17"/>
  <c r="K23" i="17"/>
  <c r="B29" i="41" l="1"/>
  <c r="B43" i="41" s="1"/>
  <c r="C38" i="43"/>
  <c r="G38" i="43" s="1"/>
  <c r="B82" i="43" s="1"/>
  <c r="C36" i="43"/>
  <c r="G36" i="43" s="1"/>
  <c r="B80" i="43" s="1"/>
  <c r="C32" i="43"/>
  <c r="G32" i="43" s="1"/>
  <c r="I32" i="43" s="1"/>
  <c r="J32" i="43" s="1"/>
  <c r="M32" i="43" s="1"/>
  <c r="O32" i="43" s="1"/>
  <c r="C35" i="43"/>
  <c r="G35" i="43" s="1"/>
  <c r="I35" i="43" s="1"/>
  <c r="J35" i="43" s="1"/>
  <c r="M35" i="43" s="1"/>
  <c r="O35" i="43" s="1"/>
  <c r="C33" i="43"/>
  <c r="G33" i="43" s="1"/>
  <c r="B77" i="43" s="1"/>
  <c r="C37" i="43"/>
  <c r="G37" i="43" s="1"/>
  <c r="G31" i="43"/>
  <c r="C34" i="43"/>
  <c r="G34" i="43" s="1"/>
  <c r="C44" i="43"/>
  <c r="G44" i="43" s="1"/>
  <c r="B46" i="43"/>
  <c r="C39" i="43"/>
  <c r="G39" i="43" s="1"/>
  <c r="C42" i="43"/>
  <c r="G42" i="43" s="1"/>
  <c r="C41" i="43"/>
  <c r="G41" i="43" s="1"/>
  <c r="C43" i="43"/>
  <c r="G43" i="43" s="1"/>
  <c r="C40" i="43"/>
  <c r="G40" i="43" s="1"/>
  <c r="I30" i="17"/>
  <c r="C58" i="2"/>
  <c r="H30" i="17"/>
  <c r="C29" i="17"/>
  <c r="J26" i="17"/>
  <c r="H25" i="17"/>
  <c r="H26" i="17"/>
  <c r="I26" i="17"/>
  <c r="E24" i="17"/>
  <c r="E36" i="17" s="1"/>
  <c r="D30" i="17"/>
  <c r="D43" i="17" s="1"/>
  <c r="C24" i="17"/>
  <c r="C36" i="17" s="1"/>
  <c r="C25" i="17"/>
  <c r="C38" i="17" s="1"/>
  <c r="D24" i="17"/>
  <c r="D36" i="17" s="1"/>
  <c r="C30" i="17"/>
  <c r="C43" i="17" s="1"/>
  <c r="D26" i="17"/>
  <c r="D37" i="17" s="1"/>
  <c r="D29" i="17"/>
  <c r="H29" i="17"/>
  <c r="E28" i="17"/>
  <c r="G26" i="17"/>
  <c r="F25" i="17"/>
  <c r="E22" i="17"/>
  <c r="E39" i="17" s="1"/>
  <c r="G30" i="17"/>
  <c r="G29" i="17"/>
  <c r="D28" i="17"/>
  <c r="F26" i="17"/>
  <c r="E25" i="17"/>
  <c r="E38" i="17" s="1"/>
  <c r="J22" i="17"/>
  <c r="D22" i="17"/>
  <c r="D39" i="17" s="1"/>
  <c r="G22" i="17"/>
  <c r="G25" i="17"/>
  <c r="F22" i="17"/>
  <c r="F30" i="17"/>
  <c r="F29" i="17"/>
  <c r="C28" i="17"/>
  <c r="E26" i="17"/>
  <c r="E37" i="17" s="1"/>
  <c r="D25" i="17"/>
  <c r="D38" i="17" s="1"/>
  <c r="I22" i="17"/>
  <c r="E30" i="17"/>
  <c r="E43" i="17" s="1"/>
  <c r="E29" i="17"/>
  <c r="H22" i="17"/>
  <c r="B24" i="17"/>
  <c r="B36" i="17" s="1"/>
  <c r="J27" i="17"/>
  <c r="B29" i="17"/>
  <c r="B25" i="17"/>
  <c r="B38" i="17" s="1"/>
  <c r="H23" i="17"/>
  <c r="B28" i="17"/>
  <c r="G27" i="17"/>
  <c r="J24" i="17"/>
  <c r="F27" i="17"/>
  <c r="I24" i="17"/>
  <c r="F23" i="17"/>
  <c r="C22" i="17"/>
  <c r="C39" i="17" s="1"/>
  <c r="B27" i="17"/>
  <c r="B40" i="17" s="1"/>
  <c r="I27" i="17"/>
  <c r="H27" i="17"/>
  <c r="E27" i="17"/>
  <c r="E40" i="17" s="1"/>
  <c r="B26" i="17"/>
  <c r="B37" i="17" s="1"/>
  <c r="H24" i="17"/>
  <c r="E23" i="17"/>
  <c r="E42" i="17" s="1"/>
  <c r="B22" i="17"/>
  <c r="B39" i="17" s="1"/>
  <c r="I23" i="17"/>
  <c r="I28" i="17"/>
  <c r="C26" i="17"/>
  <c r="C37" i="17" s="1"/>
  <c r="B30" i="17"/>
  <c r="B43" i="17" s="1"/>
  <c r="H28" i="17"/>
  <c r="J29" i="17"/>
  <c r="G28" i="17"/>
  <c r="D27" i="17"/>
  <c r="D40" i="17" s="1"/>
  <c r="J25" i="17"/>
  <c r="G24" i="17"/>
  <c r="D23" i="17"/>
  <c r="D42" i="17" s="1"/>
  <c r="B23" i="17"/>
  <c r="B42" i="17" s="1"/>
  <c r="J23" i="17"/>
  <c r="J28" i="17"/>
  <c r="G23" i="17"/>
  <c r="I29" i="17"/>
  <c r="F28" i="17"/>
  <c r="C27" i="17"/>
  <c r="C40" i="17" s="1"/>
  <c r="I25" i="17"/>
  <c r="F24" i="17"/>
  <c r="C23" i="17"/>
  <c r="C42" i="17" s="1"/>
  <c r="X42" i="21"/>
  <c r="AB42" i="21"/>
  <c r="D35" i="2"/>
  <c r="C69" i="2" s="1"/>
  <c r="E44" i="2"/>
  <c r="D29" i="2"/>
  <c r="C63" i="2" s="1"/>
  <c r="D30" i="2"/>
  <c r="C64" i="2" s="1"/>
  <c r="E50" i="2"/>
  <c r="D34" i="2"/>
  <c r="C68" i="2" s="1"/>
  <c r="E51" i="2"/>
  <c r="E52" i="2"/>
  <c r="V10" i="21"/>
  <c r="B10" i="21"/>
  <c r="B14" i="21" s="1"/>
  <c r="F26" i="21"/>
  <c r="B26" i="21"/>
  <c r="J26" i="21"/>
  <c r="N26" i="21"/>
  <c r="J10" i="21"/>
  <c r="R26" i="21"/>
  <c r="V26" i="21"/>
  <c r="AH26" i="21"/>
  <c r="AI10" i="21" s="1"/>
  <c r="AL26" i="21"/>
  <c r="AD26" i="21"/>
  <c r="F10" i="21"/>
  <c r="AH10" i="21"/>
  <c r="N10" i="21"/>
  <c r="AL10" i="21"/>
  <c r="AF42" i="21"/>
  <c r="R10" i="21"/>
  <c r="AD10" i="21"/>
  <c r="H42" i="21"/>
  <c r="AN42" i="21"/>
  <c r="AJ42" i="21"/>
  <c r="L42" i="21"/>
  <c r="Z10" i="21"/>
  <c r="P42" i="21"/>
  <c r="T42" i="21"/>
  <c r="D36" i="2"/>
  <c r="C70" i="2" s="1"/>
  <c r="K29" i="17"/>
  <c r="K27" i="17"/>
  <c r="K26" i="17"/>
  <c r="K25" i="17"/>
  <c r="K24" i="17"/>
  <c r="K30" i="17"/>
  <c r="K28" i="17"/>
  <c r="B76" i="43" l="1"/>
  <c r="AI4" i="21"/>
  <c r="AI9" i="21"/>
  <c r="AI2" i="21"/>
  <c r="AI8" i="21"/>
  <c r="AI6" i="21"/>
  <c r="AI3" i="21"/>
  <c r="AI7" i="21"/>
  <c r="AI5" i="21"/>
  <c r="AJ5" i="21" s="1"/>
  <c r="I75" i="22" s="1"/>
  <c r="P32" i="43"/>
  <c r="S32" i="43" s="1"/>
  <c r="P35" i="43"/>
  <c r="R35" i="43" s="1"/>
  <c r="I33" i="43"/>
  <c r="J33" i="43" s="1"/>
  <c r="M33" i="43" s="1"/>
  <c r="O33" i="43" s="1"/>
  <c r="B79" i="43"/>
  <c r="I36" i="43"/>
  <c r="J36" i="43" s="1"/>
  <c r="M36" i="43" s="1"/>
  <c r="O36" i="43" s="1"/>
  <c r="I38" i="43"/>
  <c r="J38" i="43" s="1"/>
  <c r="B81" i="43"/>
  <c r="I37" i="43"/>
  <c r="J37" i="43" s="1"/>
  <c r="M37" i="43" s="1"/>
  <c r="O37" i="43" s="1"/>
  <c r="I41" i="43"/>
  <c r="J41" i="43" s="1"/>
  <c r="B85" i="43"/>
  <c r="I42" i="43"/>
  <c r="J42" i="43" s="1"/>
  <c r="B86" i="43"/>
  <c r="B83" i="43"/>
  <c r="I39" i="43"/>
  <c r="J39" i="43" s="1"/>
  <c r="M39" i="43" s="1"/>
  <c r="O39" i="43" s="1"/>
  <c r="P39" i="43" s="1"/>
  <c r="B78" i="43"/>
  <c r="I34" i="43"/>
  <c r="J34" i="43" s="1"/>
  <c r="C45" i="43"/>
  <c r="I40" i="43"/>
  <c r="J40" i="43" s="1"/>
  <c r="B84" i="43"/>
  <c r="I44" i="43"/>
  <c r="J44" i="43" s="1"/>
  <c r="B88" i="43"/>
  <c r="G45" i="43"/>
  <c r="G46" i="43" s="1"/>
  <c r="B75" i="43"/>
  <c r="I31" i="43"/>
  <c r="J31" i="43" s="1"/>
  <c r="B87" i="43"/>
  <c r="I43" i="43"/>
  <c r="J43" i="43" s="1"/>
  <c r="C46" i="17"/>
  <c r="C49" i="17" s="1"/>
  <c r="C29" i="41"/>
  <c r="G29" i="41" s="1"/>
  <c r="B73" i="41" s="1"/>
  <c r="C38" i="41"/>
  <c r="G38" i="41" s="1"/>
  <c r="C41" i="41"/>
  <c r="G41" i="41" s="1"/>
  <c r="B85" i="41" s="1"/>
  <c r="B44" i="41"/>
  <c r="C37" i="41"/>
  <c r="G37" i="41" s="1"/>
  <c r="B81" i="41" s="1"/>
  <c r="C42" i="41"/>
  <c r="G42" i="41" s="1"/>
  <c r="B86" i="41" s="1"/>
  <c r="C39" i="41"/>
  <c r="G39" i="41" s="1"/>
  <c r="B83" i="41" s="1"/>
  <c r="C40" i="41"/>
  <c r="G40" i="41" s="1"/>
  <c r="B84" i="41" s="1"/>
  <c r="C35" i="41"/>
  <c r="G35" i="41" s="1"/>
  <c r="B79" i="41" s="1"/>
  <c r="C30" i="41"/>
  <c r="G30" i="41" s="1"/>
  <c r="B74" i="41" s="1"/>
  <c r="C32" i="41"/>
  <c r="G32" i="41" s="1"/>
  <c r="B76" i="41" s="1"/>
  <c r="C34" i="41"/>
  <c r="G34" i="41" s="1"/>
  <c r="B78" i="41" s="1"/>
  <c r="C36" i="41"/>
  <c r="G36" i="41" s="1"/>
  <c r="B80" i="41" s="1"/>
  <c r="C31" i="41"/>
  <c r="G31" i="41" s="1"/>
  <c r="B75" i="41" s="1"/>
  <c r="C33" i="41"/>
  <c r="G33" i="41" s="1"/>
  <c r="B77" i="41" s="1"/>
  <c r="E58" i="2"/>
  <c r="N14" i="21"/>
  <c r="N28" i="21" s="1"/>
  <c r="O10" i="21"/>
  <c r="O9" i="21" s="1"/>
  <c r="P9" i="21" s="1"/>
  <c r="I165" i="22" s="1"/>
  <c r="J14" i="21"/>
  <c r="J28" i="21" s="1"/>
  <c r="K10" i="21"/>
  <c r="K8" i="21" s="1"/>
  <c r="L8" i="21" s="1"/>
  <c r="I145" i="22" s="1"/>
  <c r="G10" i="21"/>
  <c r="G7" i="21" s="1"/>
  <c r="AD14" i="21"/>
  <c r="AD28" i="21" s="1"/>
  <c r="AE10" i="21"/>
  <c r="R14" i="21"/>
  <c r="R28" i="21" s="1"/>
  <c r="S10" i="21"/>
  <c r="S4" i="21" s="1"/>
  <c r="T4" i="21" s="1"/>
  <c r="I52" i="22" s="1"/>
  <c r="W10" i="21"/>
  <c r="W6" i="21" s="1"/>
  <c r="X6" i="21" s="1"/>
  <c r="I91" i="22" s="1"/>
  <c r="Z14" i="21"/>
  <c r="Z28" i="21" s="1"/>
  <c r="AA10" i="21"/>
  <c r="AA5" i="21" s="1"/>
  <c r="AB5" i="21" s="1"/>
  <c r="I73" i="22" s="1"/>
  <c r="AL14" i="21"/>
  <c r="AL28" i="21" s="1"/>
  <c r="AM10" i="21"/>
  <c r="AM8" i="21" s="1"/>
  <c r="AN8" i="21" s="1"/>
  <c r="D46" i="17"/>
  <c r="D49" i="17" s="1"/>
  <c r="B46" i="17"/>
  <c r="B49" i="17" s="1"/>
  <c r="C75" i="2"/>
  <c r="L30" i="2"/>
  <c r="L35" i="2"/>
  <c r="L29" i="2"/>
  <c r="L36" i="2"/>
  <c r="L34" i="2"/>
  <c r="E46" i="17"/>
  <c r="E49" i="17" s="1"/>
  <c r="AJ3" i="21"/>
  <c r="I37" i="22" s="1"/>
  <c r="V14" i="21"/>
  <c r="V28" i="21" s="1"/>
  <c r="B28" i="21"/>
  <c r="AJ7" i="21"/>
  <c r="I113" i="22" s="1"/>
  <c r="AJ6" i="21"/>
  <c r="I94" i="22" s="1"/>
  <c r="C7" i="21"/>
  <c r="D7" i="21" s="1"/>
  <c r="I105" i="22" s="1"/>
  <c r="AJ9" i="21"/>
  <c r="I170" i="22" s="1"/>
  <c r="C3" i="21"/>
  <c r="D3" i="21" s="1"/>
  <c r="I29" i="22" s="1"/>
  <c r="C5" i="21"/>
  <c r="D5" i="21" s="1"/>
  <c r="I67" i="22" s="1"/>
  <c r="C2" i="21"/>
  <c r="D2" i="21" s="1"/>
  <c r="I10" i="22" s="1"/>
  <c r="C6" i="21"/>
  <c r="D6" i="21" s="1"/>
  <c r="I86" i="22" s="1"/>
  <c r="C9" i="21"/>
  <c r="D9" i="21" s="1"/>
  <c r="I162" i="22" s="1"/>
  <c r="C8" i="21"/>
  <c r="D8" i="21" s="1"/>
  <c r="I143" i="22" s="1"/>
  <c r="C4" i="21"/>
  <c r="D4" i="21" s="1"/>
  <c r="I48" i="22" s="1"/>
  <c r="AH14" i="21"/>
  <c r="AH28" i="21" s="1"/>
  <c r="AJ8" i="21"/>
  <c r="I151" i="22" s="1"/>
  <c r="F14" i="21"/>
  <c r="F28" i="21" s="1"/>
  <c r="AJ4" i="21"/>
  <c r="I56" i="22" s="1"/>
  <c r="BD27" i="18"/>
  <c r="BC27" i="18"/>
  <c r="BB27" i="18"/>
  <c r="AZ27" i="18"/>
  <c r="AY27" i="18"/>
  <c r="AX27" i="18"/>
  <c r="AW27" i="18"/>
  <c r="AV27" i="18"/>
  <c r="AT27" i="18"/>
  <c r="AS27" i="18"/>
  <c r="AR27" i="18"/>
  <c r="AQ27" i="18"/>
  <c r="AP27" i="18"/>
  <c r="AN27" i="18"/>
  <c r="AM27" i="18"/>
  <c r="AL27" i="18"/>
  <c r="AK27" i="18"/>
  <c r="AJ27" i="18"/>
  <c r="AH27" i="18"/>
  <c r="AG27" i="18"/>
  <c r="AF27" i="18"/>
  <c r="AE27" i="18"/>
  <c r="AD27" i="18"/>
  <c r="AB27" i="18"/>
  <c r="AA27" i="18"/>
  <c r="Z27" i="18"/>
  <c r="Y27" i="18"/>
  <c r="X27" i="18"/>
  <c r="V27" i="18"/>
  <c r="U27" i="18"/>
  <c r="T27" i="18"/>
  <c r="S27" i="18"/>
  <c r="R27" i="18"/>
  <c r="P27" i="18"/>
  <c r="O27" i="18"/>
  <c r="N27" i="18"/>
  <c r="M27" i="18"/>
  <c r="L27" i="18"/>
  <c r="J27" i="18"/>
  <c r="I27" i="18"/>
  <c r="H27" i="18"/>
  <c r="G27" i="18"/>
  <c r="F27" i="18"/>
  <c r="D27" i="18"/>
  <c r="C27" i="18"/>
  <c r="BI27" i="18"/>
  <c r="BH27" i="18"/>
  <c r="BF27" i="18"/>
  <c r="BE27" i="18"/>
  <c r="BO27" i="18"/>
  <c r="BN27" i="18"/>
  <c r="BL27" i="18"/>
  <c r="BK27" i="18"/>
  <c r="T32" i="43" l="1"/>
  <c r="L76" i="43"/>
  <c r="S35" i="43"/>
  <c r="T35" i="43"/>
  <c r="L79" i="43"/>
  <c r="P36" i="43"/>
  <c r="T36" i="43" s="1"/>
  <c r="P33" i="43"/>
  <c r="R33" i="43" s="1"/>
  <c r="P37" i="43"/>
  <c r="S37" i="43" s="1"/>
  <c r="R32" i="43"/>
  <c r="M38" i="43"/>
  <c r="O38" i="43" s="1"/>
  <c r="P38" i="43" s="1"/>
  <c r="T39" i="43"/>
  <c r="R39" i="43"/>
  <c r="S39" i="43"/>
  <c r="L83" i="43"/>
  <c r="M40" i="43"/>
  <c r="O40" i="43" s="1"/>
  <c r="M43" i="43"/>
  <c r="T43" i="43"/>
  <c r="M31" i="43"/>
  <c r="J45" i="43"/>
  <c r="T44" i="43"/>
  <c r="M44" i="43"/>
  <c r="M34" i="43"/>
  <c r="O34" i="43" s="1"/>
  <c r="T42" i="43"/>
  <c r="M42" i="43"/>
  <c r="B89" i="43"/>
  <c r="B91" i="43" s="1"/>
  <c r="I45" i="43"/>
  <c r="T41" i="43"/>
  <c r="M41" i="43"/>
  <c r="I38" i="41"/>
  <c r="J38" i="41" s="1"/>
  <c r="M38" i="41" s="1"/>
  <c r="O38" i="41" s="1"/>
  <c r="P38" i="41" s="1"/>
  <c r="B82" i="41"/>
  <c r="B87" i="41" s="1"/>
  <c r="O5" i="21"/>
  <c r="P5" i="21" s="1"/>
  <c r="I70" i="22" s="1"/>
  <c r="O2" i="21"/>
  <c r="P2" i="21" s="1"/>
  <c r="I13" i="22" s="1"/>
  <c r="O6" i="21"/>
  <c r="P6" i="21" s="1"/>
  <c r="I89" i="22" s="1"/>
  <c r="I33" i="41"/>
  <c r="J33" i="41" s="1"/>
  <c r="I39" i="41"/>
  <c r="J39" i="41" s="1"/>
  <c r="I31" i="41"/>
  <c r="J31" i="41" s="1"/>
  <c r="I42" i="41"/>
  <c r="J42" i="41" s="1"/>
  <c r="I36" i="41"/>
  <c r="J36" i="41" s="1"/>
  <c r="I37" i="41"/>
  <c r="J37" i="41" s="1"/>
  <c r="I40" i="41"/>
  <c r="J40" i="41" s="1"/>
  <c r="I34" i="41"/>
  <c r="J34" i="41" s="1"/>
  <c r="I32" i="41"/>
  <c r="J32" i="41" s="1"/>
  <c r="M32" i="41" s="1"/>
  <c r="O32" i="41" s="1"/>
  <c r="P32" i="41" s="1"/>
  <c r="L76" i="41" s="1"/>
  <c r="I41" i="41"/>
  <c r="J41" i="41" s="1"/>
  <c r="I30" i="41"/>
  <c r="J30" i="41" s="1"/>
  <c r="C43" i="41"/>
  <c r="I35" i="41"/>
  <c r="J35" i="41" s="1"/>
  <c r="M35" i="41" s="1"/>
  <c r="O35" i="41" s="1"/>
  <c r="P35" i="41" s="1"/>
  <c r="L79" i="41" s="1"/>
  <c r="G43" i="41"/>
  <c r="G44" i="41" s="1"/>
  <c r="I29" i="41"/>
  <c r="J29" i="41" s="1"/>
  <c r="O8" i="21"/>
  <c r="P8" i="21" s="1"/>
  <c r="I146" i="22" s="1"/>
  <c r="O7" i="21"/>
  <c r="P7" i="21" s="1"/>
  <c r="I108" i="22" s="1"/>
  <c r="O3" i="21"/>
  <c r="P3" i="21" s="1"/>
  <c r="I32" i="22" s="1"/>
  <c r="K3" i="21"/>
  <c r="L3" i="21" s="1"/>
  <c r="I31" i="22" s="1"/>
  <c r="K5" i="21"/>
  <c r="L5" i="21" s="1"/>
  <c r="I69" i="22" s="1"/>
  <c r="K9" i="21"/>
  <c r="L9" i="21" s="1"/>
  <c r="I164" i="22" s="1"/>
  <c r="AM9" i="21"/>
  <c r="AN9" i="21" s="1"/>
  <c r="F69" i="2" s="1"/>
  <c r="AA9" i="21"/>
  <c r="AB9" i="21" s="1"/>
  <c r="I168" i="22" s="1"/>
  <c r="AA4" i="21"/>
  <c r="AB4" i="21" s="1"/>
  <c r="I54" i="22" s="1"/>
  <c r="S9" i="21"/>
  <c r="T9" i="21" s="1"/>
  <c r="I166" i="22" s="1"/>
  <c r="S7" i="21"/>
  <c r="T7" i="21" s="1"/>
  <c r="I109" i="22" s="1"/>
  <c r="W3" i="21"/>
  <c r="X3" i="21" s="1"/>
  <c r="I34" i="22" s="1"/>
  <c r="AM2" i="21"/>
  <c r="AN2" i="21" s="1"/>
  <c r="I19" i="22" s="1"/>
  <c r="AA6" i="21"/>
  <c r="AB6" i="21" s="1"/>
  <c r="I92" i="22" s="1"/>
  <c r="W5" i="21"/>
  <c r="X5" i="21" s="1"/>
  <c r="I72" i="22" s="1"/>
  <c r="AA2" i="21"/>
  <c r="AB2" i="21" s="1"/>
  <c r="I16" i="22" s="1"/>
  <c r="W2" i="21"/>
  <c r="X2" i="21" s="1"/>
  <c r="I15" i="22" s="1"/>
  <c r="S8" i="21"/>
  <c r="T8" i="21" s="1"/>
  <c r="I147" i="22" s="1"/>
  <c r="AA7" i="21"/>
  <c r="AB7" i="21" s="1"/>
  <c r="I111" i="22" s="1"/>
  <c r="W7" i="21"/>
  <c r="X7" i="21" s="1"/>
  <c r="I110" i="22" s="1"/>
  <c r="AA8" i="21"/>
  <c r="AB8" i="21" s="1"/>
  <c r="I149" i="22" s="1"/>
  <c r="W8" i="21"/>
  <c r="X8" i="21" s="1"/>
  <c r="I148" i="22" s="1"/>
  <c r="W9" i="21"/>
  <c r="X9" i="21" s="1"/>
  <c r="I167" i="22" s="1"/>
  <c r="K6" i="21"/>
  <c r="L6" i="21" s="1"/>
  <c r="I88" i="22" s="1"/>
  <c r="W4" i="21"/>
  <c r="X4" i="21" s="1"/>
  <c r="I53" i="22" s="1"/>
  <c r="K4" i="21"/>
  <c r="L4" i="21" s="1"/>
  <c r="I50" i="22" s="1"/>
  <c r="AA3" i="21"/>
  <c r="AB3" i="21" s="1"/>
  <c r="I35" i="22" s="1"/>
  <c r="S6" i="21"/>
  <c r="T6" i="21" s="1"/>
  <c r="I90" i="22" s="1"/>
  <c r="G8" i="21"/>
  <c r="H8" i="21" s="1"/>
  <c r="I144" i="22" s="1"/>
  <c r="AM7" i="21"/>
  <c r="AN7" i="21" s="1"/>
  <c r="F67" i="2" s="1"/>
  <c r="G9" i="21"/>
  <c r="H9" i="21" s="1"/>
  <c r="I163" i="22" s="1"/>
  <c r="AM4" i="21"/>
  <c r="AN4" i="21" s="1"/>
  <c r="I57" i="22" s="1"/>
  <c r="G4" i="21"/>
  <c r="H4" i="21" s="1"/>
  <c r="I49" i="22" s="1"/>
  <c r="AM6" i="21"/>
  <c r="AN6" i="21" s="1"/>
  <c r="I95" i="22" s="1"/>
  <c r="S3" i="21"/>
  <c r="T3" i="21" s="1"/>
  <c r="I33" i="22" s="1"/>
  <c r="G3" i="21"/>
  <c r="H3" i="21" s="1"/>
  <c r="I30" i="22" s="1"/>
  <c r="AM3" i="21"/>
  <c r="AN3" i="21" s="1"/>
  <c r="I38" i="22" s="1"/>
  <c r="S2" i="21"/>
  <c r="T2" i="21" s="1"/>
  <c r="I14" i="22" s="1"/>
  <c r="G5" i="21"/>
  <c r="H5" i="21" s="1"/>
  <c r="I68" i="22" s="1"/>
  <c r="K7" i="21"/>
  <c r="L7" i="21" s="1"/>
  <c r="I107" i="22" s="1"/>
  <c r="O4" i="21"/>
  <c r="P4" i="21" s="1"/>
  <c r="I51" i="22" s="1"/>
  <c r="AM5" i="21"/>
  <c r="AN5" i="21" s="1"/>
  <c r="I76" i="22" s="1"/>
  <c r="S5" i="21"/>
  <c r="T5" i="21" s="1"/>
  <c r="I71" i="22" s="1"/>
  <c r="G6" i="21"/>
  <c r="H6" i="21" s="1"/>
  <c r="I87" i="22" s="1"/>
  <c r="K2" i="21"/>
  <c r="L2" i="21" s="1"/>
  <c r="I12" i="22" s="1"/>
  <c r="H7" i="21"/>
  <c r="I106" i="22" s="1"/>
  <c r="I152" i="22"/>
  <c r="F68" i="2"/>
  <c r="I181" i="22"/>
  <c r="AA14" i="21"/>
  <c r="AA28" i="21" s="1"/>
  <c r="W14" i="21"/>
  <c r="W28" i="21" s="1"/>
  <c r="K14" i="21"/>
  <c r="K28" i="21" s="1"/>
  <c r="C10" i="21"/>
  <c r="C14" i="21" s="1"/>
  <c r="C28" i="21" s="1"/>
  <c r="O14" i="21"/>
  <c r="O28" i="21" s="1"/>
  <c r="S14" i="21"/>
  <c r="S28" i="21" s="1"/>
  <c r="AM14" i="21"/>
  <c r="AM28" i="21" s="1"/>
  <c r="D10" i="21"/>
  <c r="BL15" i="18"/>
  <c r="BK15" i="18"/>
  <c r="BF15" i="18"/>
  <c r="BE15" i="18"/>
  <c r="AZ15" i="18"/>
  <c r="AY15" i="18"/>
  <c r="AT15" i="18"/>
  <c r="AS15" i="18"/>
  <c r="AN15" i="18"/>
  <c r="AM15" i="18"/>
  <c r="AH15" i="18"/>
  <c r="AG15" i="18"/>
  <c r="AB15" i="18"/>
  <c r="AA15" i="18"/>
  <c r="V15" i="18"/>
  <c r="U15" i="18"/>
  <c r="P15" i="18"/>
  <c r="O15" i="18"/>
  <c r="J15" i="18"/>
  <c r="I15" i="18"/>
  <c r="D15" i="18"/>
  <c r="C15" i="18"/>
  <c r="BM9" i="18"/>
  <c r="BM8" i="18"/>
  <c r="BM13" i="18"/>
  <c r="BN13" i="18" s="1"/>
  <c r="BM7" i="18"/>
  <c r="BM17" i="18"/>
  <c r="BM6" i="18"/>
  <c r="BM5" i="18"/>
  <c r="BM4" i="18"/>
  <c r="BM3" i="18"/>
  <c r="BM2" i="18"/>
  <c r="BG9" i="18"/>
  <c r="BG8" i="18"/>
  <c r="BG13" i="18"/>
  <c r="BH13" i="18" s="1"/>
  <c r="BG7" i="18"/>
  <c r="BG17" i="18"/>
  <c r="BG6" i="18"/>
  <c r="BG5" i="18"/>
  <c r="BG4" i="18"/>
  <c r="BG3" i="18"/>
  <c r="BG2" i="18"/>
  <c r="BA9" i="18"/>
  <c r="BA8" i="18"/>
  <c r="BA13" i="18"/>
  <c r="BB13" i="18" s="1"/>
  <c r="BA7" i="18"/>
  <c r="BA17" i="18"/>
  <c r="BA6" i="18"/>
  <c r="BA5" i="18"/>
  <c r="BA4" i="18"/>
  <c r="BA3" i="18"/>
  <c r="BA2" i="18"/>
  <c r="AU9" i="18"/>
  <c r="AU8" i="18"/>
  <c r="AU13" i="18"/>
  <c r="AV13" i="18" s="1"/>
  <c r="AU7" i="18"/>
  <c r="AU17" i="18"/>
  <c r="AU6" i="18"/>
  <c r="AU5" i="18"/>
  <c r="AU4" i="18"/>
  <c r="AU3" i="18"/>
  <c r="AU2" i="18"/>
  <c r="AO9" i="18"/>
  <c r="AO8" i="18"/>
  <c r="AO13" i="18"/>
  <c r="AP13" i="18" s="1"/>
  <c r="AO7" i="18"/>
  <c r="AO17" i="18"/>
  <c r="AO6" i="18"/>
  <c r="AO5" i="18"/>
  <c r="AO4" i="18"/>
  <c r="AO3" i="18"/>
  <c r="AO2" i="18"/>
  <c r="AI9" i="18"/>
  <c r="AI8" i="18"/>
  <c r="AI24" i="18"/>
  <c r="AI23" i="18"/>
  <c r="AI22" i="18"/>
  <c r="AI21" i="18"/>
  <c r="AI13" i="18"/>
  <c r="AJ13" i="18" s="1"/>
  <c r="AI20" i="18"/>
  <c r="AI19" i="18"/>
  <c r="AI7" i="18"/>
  <c r="AI18" i="18"/>
  <c r="AI17" i="18"/>
  <c r="AI6" i="18"/>
  <c r="AI5" i="18"/>
  <c r="AI4" i="18"/>
  <c r="AI3" i="18"/>
  <c r="AI2" i="18"/>
  <c r="AC9" i="18"/>
  <c r="AC8" i="18"/>
  <c r="AC24" i="18"/>
  <c r="AC23" i="18"/>
  <c r="AC22" i="18"/>
  <c r="AC21" i="18"/>
  <c r="AC13" i="18"/>
  <c r="AD13" i="18" s="1"/>
  <c r="AC20" i="18"/>
  <c r="AC19" i="18"/>
  <c r="AC7" i="18"/>
  <c r="AC18" i="18"/>
  <c r="AC17" i="18"/>
  <c r="AC6" i="18"/>
  <c r="AC5" i="18"/>
  <c r="AC4" i="18"/>
  <c r="AC3" i="18"/>
  <c r="AC2" i="18"/>
  <c r="W9" i="18"/>
  <c r="W8" i="18"/>
  <c r="W24" i="18"/>
  <c r="W23" i="18"/>
  <c r="W22" i="18"/>
  <c r="W21" i="18"/>
  <c r="W13" i="18"/>
  <c r="X13" i="18" s="1"/>
  <c r="W20" i="18"/>
  <c r="W19" i="18"/>
  <c r="W7" i="18"/>
  <c r="W18" i="18"/>
  <c r="W17" i="18"/>
  <c r="W6" i="18"/>
  <c r="W5" i="18"/>
  <c r="W4" i="18"/>
  <c r="W3" i="18"/>
  <c r="W2" i="18"/>
  <c r="Q9" i="18"/>
  <c r="Q8" i="18"/>
  <c r="Q24" i="18"/>
  <c r="Q23" i="18"/>
  <c r="Q22" i="18"/>
  <c r="Q21" i="18"/>
  <c r="Q13" i="18"/>
  <c r="R13" i="18" s="1"/>
  <c r="Q20" i="18"/>
  <c r="Q19" i="18"/>
  <c r="Q7" i="18"/>
  <c r="Q18" i="18"/>
  <c r="Q17" i="18"/>
  <c r="Q6" i="18"/>
  <c r="Q5" i="18"/>
  <c r="Q4" i="18"/>
  <c r="Q3" i="18"/>
  <c r="Q2" i="18"/>
  <c r="K9" i="18"/>
  <c r="K8" i="18"/>
  <c r="K24" i="18"/>
  <c r="K23" i="18"/>
  <c r="K22" i="18"/>
  <c r="K21" i="18"/>
  <c r="K13" i="18"/>
  <c r="L13" i="18" s="1"/>
  <c r="K20" i="18"/>
  <c r="K19" i="18"/>
  <c r="K7" i="18"/>
  <c r="K18" i="18"/>
  <c r="K17" i="18"/>
  <c r="K6" i="18"/>
  <c r="K5" i="18"/>
  <c r="K4" i="18"/>
  <c r="K3" i="18"/>
  <c r="K2" i="18"/>
  <c r="E3" i="18"/>
  <c r="E4" i="18"/>
  <c r="E5" i="18"/>
  <c r="E6" i="18"/>
  <c r="E17" i="18"/>
  <c r="E18" i="18"/>
  <c r="E7" i="18"/>
  <c r="E19" i="18"/>
  <c r="E20" i="18"/>
  <c r="E13" i="18"/>
  <c r="E21" i="18"/>
  <c r="E22" i="18"/>
  <c r="E23" i="18"/>
  <c r="E24" i="18"/>
  <c r="E8" i="18"/>
  <c r="E9" i="18"/>
  <c r="E2" i="18"/>
  <c r="T33" i="43" l="1"/>
  <c r="L77" i="43"/>
  <c r="S36" i="43"/>
  <c r="S33" i="43"/>
  <c r="R36" i="43"/>
  <c r="T40" i="43"/>
  <c r="T37" i="43"/>
  <c r="R37" i="43"/>
  <c r="L81" i="43"/>
  <c r="P34" i="43"/>
  <c r="T34" i="43" s="1"/>
  <c r="L80" i="43"/>
  <c r="R38" i="43"/>
  <c r="S38" i="43"/>
  <c r="L82" i="43"/>
  <c r="T38" i="43"/>
  <c r="B92" i="43"/>
  <c r="B93" i="43" s="1"/>
  <c r="O31" i="43"/>
  <c r="P31" i="43" s="1"/>
  <c r="M45" i="43"/>
  <c r="M36" i="41"/>
  <c r="O36" i="41" s="1"/>
  <c r="P36" i="41" s="1"/>
  <c r="L80" i="41" s="1"/>
  <c r="J22" i="41"/>
  <c r="R22" i="41" s="1"/>
  <c r="R38" i="41"/>
  <c r="L82" i="41"/>
  <c r="E11" i="18"/>
  <c r="E15" i="18" s="1"/>
  <c r="Q11" i="18"/>
  <c r="T38" i="41"/>
  <c r="AC11" i="18"/>
  <c r="BM11" i="18"/>
  <c r="BG11" i="18"/>
  <c r="AI11" i="18"/>
  <c r="BA11" i="18"/>
  <c r="AU11" i="18"/>
  <c r="W11" i="18"/>
  <c r="AO11" i="18"/>
  <c r="K11" i="18"/>
  <c r="T35" i="41"/>
  <c r="S35" i="41"/>
  <c r="R35" i="41"/>
  <c r="M42" i="41"/>
  <c r="T42" i="41"/>
  <c r="M34" i="41"/>
  <c r="O34" i="41" s="1"/>
  <c r="P34" i="41" s="1"/>
  <c r="J43" i="41"/>
  <c r="M29" i="41"/>
  <c r="M30" i="41"/>
  <c r="O30" i="41" s="1"/>
  <c r="P30" i="41" s="1"/>
  <c r="M31" i="41"/>
  <c r="O31" i="41" s="1"/>
  <c r="P31" i="41" s="1"/>
  <c r="M40" i="41"/>
  <c r="T40" i="41"/>
  <c r="I43" i="41"/>
  <c r="B89" i="41"/>
  <c r="M41" i="41"/>
  <c r="T41" i="41"/>
  <c r="M37" i="41"/>
  <c r="O37" i="41" s="1"/>
  <c r="P37" i="41" s="1"/>
  <c r="T39" i="41"/>
  <c r="M39" i="41"/>
  <c r="T32" i="41"/>
  <c r="S32" i="41"/>
  <c r="R32" i="41"/>
  <c r="M33" i="41"/>
  <c r="O33" i="41" s="1"/>
  <c r="P33" i="41" s="1"/>
  <c r="F64" i="2"/>
  <c r="I171" i="22"/>
  <c r="I184" i="22"/>
  <c r="I114" i="22"/>
  <c r="I186" i="22"/>
  <c r="F65" i="2"/>
  <c r="I183" i="22"/>
  <c r="L10" i="21"/>
  <c r="L32" i="21" s="1"/>
  <c r="L46" i="21" s="1"/>
  <c r="X10" i="21"/>
  <c r="X35" i="21" s="1"/>
  <c r="I187" i="22"/>
  <c r="F66" i="2"/>
  <c r="F63" i="2"/>
  <c r="AN10" i="21"/>
  <c r="AN39" i="21" s="1"/>
  <c r="I185" i="22"/>
  <c r="F62" i="2"/>
  <c r="AB10" i="21"/>
  <c r="AB32" i="21" s="1"/>
  <c r="D14" i="21"/>
  <c r="D28" i="21" s="1"/>
  <c r="P10" i="21"/>
  <c r="P32" i="21" s="1"/>
  <c r="T10" i="21"/>
  <c r="AO27" i="18"/>
  <c r="BA27" i="18"/>
  <c r="BM27" i="18"/>
  <c r="Q27" i="18"/>
  <c r="AC27" i="18"/>
  <c r="K27" i="18"/>
  <c r="L7" i="18" s="1"/>
  <c r="W27" i="18"/>
  <c r="E27" i="18"/>
  <c r="AI27" i="18"/>
  <c r="BG27" i="18"/>
  <c r="AH29" i="18"/>
  <c r="AN29" i="18"/>
  <c r="AG29" i="18"/>
  <c r="AY29" i="18"/>
  <c r="AM29" i="18"/>
  <c r="O29" i="18"/>
  <c r="P29" i="18"/>
  <c r="AZ29" i="18"/>
  <c r="U29" i="18"/>
  <c r="BE29" i="18"/>
  <c r="D29" i="18"/>
  <c r="BK29" i="18"/>
  <c r="V29" i="18"/>
  <c r="AS29" i="18"/>
  <c r="AA29" i="18"/>
  <c r="I29" i="18"/>
  <c r="BF29" i="18"/>
  <c r="BL29" i="18"/>
  <c r="AT29" i="18"/>
  <c r="J29" i="18"/>
  <c r="AB29" i="18"/>
  <c r="C29" i="18"/>
  <c r="L84" i="43" l="1"/>
  <c r="R40" i="43"/>
  <c r="R34" i="43"/>
  <c r="S34" i="43"/>
  <c r="L78" i="43"/>
  <c r="O45" i="43"/>
  <c r="R36" i="41"/>
  <c r="S36" i="41"/>
  <c r="R5" i="18"/>
  <c r="T36" i="41"/>
  <c r="AD3" i="18"/>
  <c r="T31" i="41"/>
  <c r="L75" i="41"/>
  <c r="T34" i="41"/>
  <c r="L78" i="41"/>
  <c r="T33" i="41"/>
  <c r="L77" i="41"/>
  <c r="T30" i="41"/>
  <c r="L74" i="41"/>
  <c r="T37" i="41"/>
  <c r="L81" i="41"/>
  <c r="B90" i="41"/>
  <c r="B91" i="41" s="1"/>
  <c r="BN7" i="18"/>
  <c r="R3" i="18"/>
  <c r="AP6" i="18"/>
  <c r="AJ3" i="18"/>
  <c r="X3" i="18"/>
  <c r="AP5" i="18"/>
  <c r="R4" i="18"/>
  <c r="AJ8" i="18"/>
  <c r="BH6" i="18"/>
  <c r="AD8" i="18"/>
  <c r="AJ6" i="18"/>
  <c r="L8" i="18"/>
  <c r="I190" i="22"/>
  <c r="AP2" i="18"/>
  <c r="BB5" i="18"/>
  <c r="AJ2" i="18"/>
  <c r="AJ7" i="18"/>
  <c r="X8" i="18"/>
  <c r="BB2" i="18"/>
  <c r="R8" i="18"/>
  <c r="BB7" i="18"/>
  <c r="BB8" i="18"/>
  <c r="X4" i="18"/>
  <c r="R9" i="18"/>
  <c r="AD9" i="18"/>
  <c r="AD4" i="18"/>
  <c r="X7" i="18"/>
  <c r="R7" i="18"/>
  <c r="AP9" i="18"/>
  <c r="L3" i="18"/>
  <c r="AD2" i="18"/>
  <c r="R6" i="18"/>
  <c r="R2" i="18"/>
  <c r="L9" i="18"/>
  <c r="AP3" i="18"/>
  <c r="BH7" i="18"/>
  <c r="L6" i="18"/>
  <c r="X5" i="18"/>
  <c r="BB9" i="18"/>
  <c r="L2" i="18"/>
  <c r="AP4" i="18"/>
  <c r="AJ4" i="18"/>
  <c r="AD7" i="18"/>
  <c r="BB4" i="18"/>
  <c r="BB3" i="18"/>
  <c r="AD5" i="18"/>
  <c r="AJ5" i="18"/>
  <c r="BB6" i="18"/>
  <c r="X10" i="18"/>
  <c r="X2" i="18"/>
  <c r="L5" i="18"/>
  <c r="X6" i="18"/>
  <c r="AD6" i="18"/>
  <c r="AP8" i="18"/>
  <c r="AJ9" i="18"/>
  <c r="L4" i="18"/>
  <c r="AP7" i="18"/>
  <c r="X9" i="18"/>
  <c r="BH3" i="18"/>
  <c r="BH4" i="18"/>
  <c r="BN9" i="18"/>
  <c r="BN8" i="18"/>
  <c r="BN4" i="18"/>
  <c r="BH2" i="18"/>
  <c r="BN5" i="18"/>
  <c r="BH10" i="18"/>
  <c r="BN3" i="18"/>
  <c r="BH5" i="18"/>
  <c r="BN10" i="18"/>
  <c r="BH8" i="18"/>
  <c r="BN2" i="18"/>
  <c r="BN6" i="18"/>
  <c r="BH9" i="18"/>
  <c r="R30" i="41"/>
  <c r="S30" i="41"/>
  <c r="O29" i="41"/>
  <c r="M43" i="41"/>
  <c r="S33" i="41"/>
  <c r="R33" i="41"/>
  <c r="R34" i="41"/>
  <c r="S34" i="41"/>
  <c r="R37" i="41"/>
  <c r="S37" i="41"/>
  <c r="S31" i="41"/>
  <c r="R31" i="41"/>
  <c r="AB34" i="21"/>
  <c r="L36" i="21"/>
  <c r="L50" i="21" s="1"/>
  <c r="L39" i="21"/>
  <c r="L53" i="21" s="1"/>
  <c r="L38" i="21"/>
  <c r="L52" i="21" s="1"/>
  <c r="L37" i="21"/>
  <c r="L51" i="21" s="1"/>
  <c r="L34" i="21"/>
  <c r="L48" i="21" s="1"/>
  <c r="L33" i="21"/>
  <c r="L47" i="21" s="1"/>
  <c r="X33" i="21"/>
  <c r="X39" i="21"/>
  <c r="X36" i="21"/>
  <c r="AN37" i="21"/>
  <c r="AN35" i="21"/>
  <c r="AN32" i="21"/>
  <c r="AN34" i="21"/>
  <c r="X34" i="21"/>
  <c r="X14" i="21"/>
  <c r="X28" i="21" s="1"/>
  <c r="F58" i="6" s="1"/>
  <c r="F59" i="6" s="1"/>
  <c r="X37" i="21"/>
  <c r="F2" i="18"/>
  <c r="AN36" i="21"/>
  <c r="AN33" i="21"/>
  <c r="AN38" i="21"/>
  <c r="AN14" i="21"/>
  <c r="AN28" i="21" s="1"/>
  <c r="J58" i="6" s="1"/>
  <c r="J59" i="6" s="1"/>
  <c r="X38" i="21"/>
  <c r="L14" i="21"/>
  <c r="L28" i="21" s="1"/>
  <c r="X32" i="21"/>
  <c r="L35" i="21"/>
  <c r="L49" i="21" s="1"/>
  <c r="AB33" i="21"/>
  <c r="AB37" i="21"/>
  <c r="AB35" i="21"/>
  <c r="BG15" i="18"/>
  <c r="BG29" i="18" s="1"/>
  <c r="BA15" i="18"/>
  <c r="BA29" i="18" s="1"/>
  <c r="AO15" i="18"/>
  <c r="AO29" i="18" s="1"/>
  <c r="AB14" i="21"/>
  <c r="AB28" i="21" s="1"/>
  <c r="G58" i="6" s="1"/>
  <c r="G59" i="6" s="1"/>
  <c r="AU15" i="18"/>
  <c r="AI15" i="18"/>
  <c r="AI29" i="18" s="1"/>
  <c r="K15" i="18"/>
  <c r="K29" i="18" s="1"/>
  <c r="Q15" i="18"/>
  <c r="Q29" i="18" s="1"/>
  <c r="W15" i="18"/>
  <c r="W29" i="18" s="1"/>
  <c r="AC15" i="18"/>
  <c r="AC29" i="18" s="1"/>
  <c r="AB39" i="21"/>
  <c r="AB38" i="21"/>
  <c r="AB36" i="21"/>
  <c r="T14" i="21"/>
  <c r="T28" i="21" s="1"/>
  <c r="E58" i="6" s="1"/>
  <c r="E59" i="6" s="1"/>
  <c r="G51" i="23" s="1"/>
  <c r="G52" i="23" s="1"/>
  <c r="T35" i="21"/>
  <c r="T34" i="21"/>
  <c r="T38" i="21"/>
  <c r="T33" i="21"/>
  <c r="T39" i="21"/>
  <c r="T37" i="21"/>
  <c r="T36" i="21"/>
  <c r="T32" i="21"/>
  <c r="D42" i="21"/>
  <c r="D37" i="21"/>
  <c r="D38" i="21"/>
  <c r="D33" i="21"/>
  <c r="D36" i="21"/>
  <c r="D35" i="21"/>
  <c r="D39" i="21"/>
  <c r="D34" i="21"/>
  <c r="D32" i="21"/>
  <c r="D40" i="21"/>
  <c r="P14" i="21"/>
  <c r="P28" i="21" s="1"/>
  <c r="P36" i="21"/>
  <c r="P34" i="21"/>
  <c r="P37" i="21"/>
  <c r="P39" i="21"/>
  <c r="P38" i="21"/>
  <c r="P33" i="21"/>
  <c r="P35" i="21"/>
  <c r="BM15" i="18"/>
  <c r="BM29" i="18" s="1"/>
  <c r="F5" i="18"/>
  <c r="F6" i="18"/>
  <c r="G6" i="18" s="1"/>
  <c r="H85" i="22" s="1"/>
  <c r="J85" i="22" s="1"/>
  <c r="AM38" i="33" s="1"/>
  <c r="F4" i="18"/>
  <c r="G4" i="18" s="1"/>
  <c r="H47" i="22" s="1"/>
  <c r="J47" i="22" s="1"/>
  <c r="AQ23" i="33" s="1"/>
  <c r="F9" i="18"/>
  <c r="G9" i="18" s="1"/>
  <c r="H161" i="22" s="1"/>
  <c r="F7" i="18"/>
  <c r="G7" i="18" s="1"/>
  <c r="H104" i="22" s="1"/>
  <c r="J104" i="22" s="1"/>
  <c r="AQ38" i="33" s="1"/>
  <c r="F3" i="18"/>
  <c r="G3" i="18" s="1"/>
  <c r="H28" i="22" s="1"/>
  <c r="J28" i="22" s="1"/>
  <c r="AT23" i="33" s="1"/>
  <c r="F8" i="18"/>
  <c r="G8" i="18" s="1"/>
  <c r="H142" i="22" s="1"/>
  <c r="J142" i="22" s="1"/>
  <c r="AT38" i="33" s="1"/>
  <c r="BC13" i="18"/>
  <c r="AQ13" i="18"/>
  <c r="AK13" i="18"/>
  <c r="E29" i="18"/>
  <c r="G13" i="18"/>
  <c r="H123" i="22" s="1"/>
  <c r="J123" i="22" s="1"/>
  <c r="AQ53" i="33" s="1"/>
  <c r="H50" i="23" l="1"/>
  <c r="H51" i="23"/>
  <c r="I50" i="23"/>
  <c r="I51" i="23"/>
  <c r="L50" i="23"/>
  <c r="L51" i="23"/>
  <c r="S31" i="43"/>
  <c r="P45" i="43"/>
  <c r="J92" i="43" s="1"/>
  <c r="R31" i="43"/>
  <c r="R45" i="43" s="1"/>
  <c r="L75" i="43"/>
  <c r="L89" i="43" s="1"/>
  <c r="J91" i="43" s="1"/>
  <c r="T31" i="43"/>
  <c r="T45" i="43" s="1"/>
  <c r="X11" i="18"/>
  <c r="F11" i="18"/>
  <c r="P29" i="41"/>
  <c r="L73" i="41" s="1"/>
  <c r="O43" i="41"/>
  <c r="L54" i="21"/>
  <c r="L58" i="21" s="1"/>
  <c r="AN40" i="21"/>
  <c r="X40" i="21"/>
  <c r="L40" i="21"/>
  <c r="N85" i="22"/>
  <c r="M85" i="22"/>
  <c r="L85" i="22"/>
  <c r="AA3" i="33" s="1"/>
  <c r="O85" i="22"/>
  <c r="N104" i="22"/>
  <c r="M104" i="22"/>
  <c r="L104" i="22"/>
  <c r="O104" i="22"/>
  <c r="N47" i="22"/>
  <c r="M47" i="22"/>
  <c r="L47" i="22"/>
  <c r="AE3" i="33" s="1"/>
  <c r="O47" i="22"/>
  <c r="J161" i="22"/>
  <c r="AM53" i="33" s="1"/>
  <c r="N142" i="22"/>
  <c r="M142" i="22"/>
  <c r="L142" i="22"/>
  <c r="AC3" i="33" s="1"/>
  <c r="O142" i="22"/>
  <c r="N123" i="22"/>
  <c r="M123" i="22"/>
  <c r="L123" i="22"/>
  <c r="Y3" i="33" s="1"/>
  <c r="O123" i="22"/>
  <c r="L28" i="22"/>
  <c r="AF3" i="33" s="1"/>
  <c r="N28" i="22"/>
  <c r="M28" i="22"/>
  <c r="O28" i="22"/>
  <c r="AK44" i="18"/>
  <c r="H128" i="22"/>
  <c r="J128" i="22" s="1"/>
  <c r="AQ58" i="33" s="1"/>
  <c r="AQ44" i="18"/>
  <c r="H129" i="22"/>
  <c r="BC44" i="18"/>
  <c r="H131" i="22"/>
  <c r="AB40" i="21"/>
  <c r="P40" i="21"/>
  <c r="T40" i="21"/>
  <c r="BI13" i="18"/>
  <c r="AW13" i="18"/>
  <c r="AE13" i="18"/>
  <c r="Y13" i="18"/>
  <c r="S13" i="18"/>
  <c r="M13" i="18"/>
  <c r="G5" i="18"/>
  <c r="H66" i="22" s="1"/>
  <c r="J66" i="22" s="1"/>
  <c r="AM3" i="33" s="1"/>
  <c r="F15" i="18"/>
  <c r="F29" i="18" s="1"/>
  <c r="G2" i="18"/>
  <c r="J93" i="43" l="1"/>
  <c r="L52" i="23"/>
  <c r="I52" i="23"/>
  <c r="H52" i="23"/>
  <c r="H9" i="22"/>
  <c r="J9" i="22" s="1"/>
  <c r="AM23" i="33" s="1"/>
  <c r="G11" i="18"/>
  <c r="L87" i="41"/>
  <c r="J89" i="41" s="1"/>
  <c r="R29" i="41"/>
  <c r="R43" i="41" s="1"/>
  <c r="P43" i="41"/>
  <c r="J90" i="41" s="1"/>
  <c r="S29" i="41"/>
  <c r="T29" i="41"/>
  <c r="T43" i="41" s="1"/>
  <c r="P104" i="22"/>
  <c r="V104" i="22" s="1"/>
  <c r="U104" i="22"/>
  <c r="U142" i="22"/>
  <c r="P47" i="22"/>
  <c r="U123" i="22"/>
  <c r="H180" i="22"/>
  <c r="J180" i="22" s="1"/>
  <c r="U85" i="22"/>
  <c r="P123" i="22"/>
  <c r="P85" i="22"/>
  <c r="M161" i="22"/>
  <c r="N161" i="22"/>
  <c r="L161" i="22"/>
  <c r="AG3" i="33" s="1"/>
  <c r="O161" i="22"/>
  <c r="M44" i="18"/>
  <c r="H124" i="22"/>
  <c r="U47" i="22"/>
  <c r="S44" i="18"/>
  <c r="H125" i="22"/>
  <c r="P28" i="22"/>
  <c r="P142" i="22"/>
  <c r="O9" i="22"/>
  <c r="N66" i="22"/>
  <c r="L66" i="22"/>
  <c r="AD3" i="33" s="1"/>
  <c r="M66" i="22"/>
  <c r="O66" i="22"/>
  <c r="AE44" i="18"/>
  <c r="H127" i="22"/>
  <c r="M128" i="22"/>
  <c r="L128" i="22"/>
  <c r="N128" i="22"/>
  <c r="O128" i="22"/>
  <c r="Y44" i="18"/>
  <c r="H126" i="22"/>
  <c r="J131" i="22"/>
  <c r="AQ61" i="33" s="1"/>
  <c r="AW44" i="18"/>
  <c r="H130" i="22"/>
  <c r="BI44" i="18"/>
  <c r="H132" i="22"/>
  <c r="J132" i="22" s="1"/>
  <c r="AQ62" i="33" s="1"/>
  <c r="J129" i="22"/>
  <c r="AQ59" i="33" s="1"/>
  <c r="L9" i="22" l="1"/>
  <c r="Z3" i="33" s="1"/>
  <c r="M9" i="22"/>
  <c r="N9" i="22"/>
  <c r="J91" i="41"/>
  <c r="S85" i="22"/>
  <c r="F2" i="29" s="1"/>
  <c r="F3" i="33"/>
  <c r="S28" i="22"/>
  <c r="C2" i="29" s="1"/>
  <c r="C3" i="33"/>
  <c r="V85" i="22"/>
  <c r="S123" i="22"/>
  <c r="H2" i="29" s="1"/>
  <c r="H3" i="33"/>
  <c r="S104" i="22"/>
  <c r="G2" i="29" s="1"/>
  <c r="G3" i="33"/>
  <c r="S47" i="22"/>
  <c r="D2" i="29" s="1"/>
  <c r="D3" i="33"/>
  <c r="S142" i="22"/>
  <c r="I2" i="29" s="1"/>
  <c r="I3" i="33"/>
  <c r="V47" i="22"/>
  <c r="N180" i="22"/>
  <c r="AQ3" i="33"/>
  <c r="AT3" i="33" s="1"/>
  <c r="U128" i="22"/>
  <c r="L180" i="22"/>
  <c r="O180" i="22"/>
  <c r="M180" i="22"/>
  <c r="V142" i="22"/>
  <c r="P161" i="22"/>
  <c r="V123" i="22"/>
  <c r="U161" i="22"/>
  <c r="P66" i="22"/>
  <c r="V66" i="22" s="1"/>
  <c r="U28" i="22"/>
  <c r="J124" i="22"/>
  <c r="AQ54" i="33" s="1"/>
  <c r="P9" i="22"/>
  <c r="J125" i="22"/>
  <c r="AQ55" i="33" s="1"/>
  <c r="P128" i="22"/>
  <c r="H8" i="33" s="1"/>
  <c r="V28" i="22"/>
  <c r="J127" i="22"/>
  <c r="AQ57" i="33" s="1"/>
  <c r="J126" i="22"/>
  <c r="AQ56" i="33" s="1"/>
  <c r="U66" i="22"/>
  <c r="O129" i="22"/>
  <c r="N129" i="22"/>
  <c r="L129" i="22"/>
  <c r="M129" i="22"/>
  <c r="J130" i="22"/>
  <c r="AQ60" i="33" s="1"/>
  <c r="N132" i="22"/>
  <c r="M132" i="22"/>
  <c r="L132" i="22"/>
  <c r="O132" i="22"/>
  <c r="L131" i="22"/>
  <c r="N131" i="22"/>
  <c r="M131" i="22"/>
  <c r="O131" i="22"/>
  <c r="G15" i="18"/>
  <c r="G29" i="18" s="1"/>
  <c r="G42" i="18" s="1"/>
  <c r="S8" i="33" l="1"/>
  <c r="S161" i="22"/>
  <c r="J2" i="29" s="1"/>
  <c r="J3" i="33"/>
  <c r="P180" i="22"/>
  <c r="K3" i="33" s="1"/>
  <c r="AB3" i="33"/>
  <c r="S66" i="22"/>
  <c r="E2" i="29" s="1"/>
  <c r="B11" i="30" s="1"/>
  <c r="E3" i="33"/>
  <c r="V161" i="22"/>
  <c r="U9" i="22"/>
  <c r="B3" i="33"/>
  <c r="P132" i="22"/>
  <c r="H12" i="33" s="1"/>
  <c r="S12" i="33" s="1"/>
  <c r="P129" i="22"/>
  <c r="H9" i="33" s="1"/>
  <c r="S9" i="33" s="1"/>
  <c r="U180" i="22"/>
  <c r="V128" i="22"/>
  <c r="S128" i="22"/>
  <c r="H7" i="29" s="1"/>
  <c r="U131" i="22"/>
  <c r="M125" i="22"/>
  <c r="L125" i="22"/>
  <c r="N125" i="22"/>
  <c r="O125" i="22"/>
  <c r="O126" i="22"/>
  <c r="N126" i="22"/>
  <c r="M126" i="22"/>
  <c r="L126" i="22"/>
  <c r="L127" i="22"/>
  <c r="M127" i="22"/>
  <c r="O127" i="22"/>
  <c r="N127" i="22"/>
  <c r="V9" i="22"/>
  <c r="S9" i="22"/>
  <c r="M124" i="22"/>
  <c r="L124" i="22"/>
  <c r="N124" i="22"/>
  <c r="O124" i="22"/>
  <c r="U132" i="22"/>
  <c r="P131" i="22"/>
  <c r="H11" i="33" s="1"/>
  <c r="S11" i="33" s="1"/>
  <c r="M130" i="22"/>
  <c r="L130" i="22"/>
  <c r="O130" i="22"/>
  <c r="N130" i="22"/>
  <c r="U129" i="22"/>
  <c r="G39" i="18"/>
  <c r="G37" i="18"/>
  <c r="G40" i="18"/>
  <c r="G38" i="18"/>
  <c r="G44" i="18"/>
  <c r="G34" i="18"/>
  <c r="G35" i="18"/>
  <c r="G33" i="18"/>
  <c r="G36" i="18"/>
  <c r="V180" i="22" l="1"/>
  <c r="S180" i="22"/>
  <c r="K2" i="29" s="1"/>
  <c r="S132" i="22"/>
  <c r="H11" i="29" s="1"/>
  <c r="V132" i="22"/>
  <c r="V129" i="22"/>
  <c r="S129" i="22"/>
  <c r="H8" i="29" s="1"/>
  <c r="U124" i="22"/>
  <c r="B2" i="29"/>
  <c r="V131" i="22"/>
  <c r="S131" i="22"/>
  <c r="H10" i="29" s="1"/>
  <c r="P125" i="22"/>
  <c r="U127" i="22"/>
  <c r="P127" i="22"/>
  <c r="H7" i="33" s="1"/>
  <c r="S7" i="33" s="1"/>
  <c r="P124" i="22"/>
  <c r="P126" i="22"/>
  <c r="U126" i="22"/>
  <c r="U125" i="22"/>
  <c r="U130" i="22"/>
  <c r="P130" i="22"/>
  <c r="H10" i="33" s="1"/>
  <c r="S10" i="33" s="1"/>
  <c r="G63" i="6"/>
  <c r="J28" i="6"/>
  <c r="I28" i="6"/>
  <c r="H28" i="6"/>
  <c r="G28" i="6"/>
  <c r="F28" i="6"/>
  <c r="E28" i="6"/>
  <c r="D28" i="6"/>
  <c r="J5" i="6"/>
  <c r="I5" i="6"/>
  <c r="F63" i="6"/>
  <c r="D21" i="6"/>
  <c r="G4" i="6"/>
  <c r="E4" i="6"/>
  <c r="D20" i="6"/>
  <c r="J9" i="6"/>
  <c r="I9" i="6"/>
  <c r="H9" i="6"/>
  <c r="G9" i="6"/>
  <c r="F9" i="6"/>
  <c r="E9" i="6"/>
  <c r="D9" i="6"/>
  <c r="J8" i="6"/>
  <c r="I8" i="6"/>
  <c r="H8" i="6"/>
  <c r="G8" i="6"/>
  <c r="F8" i="6"/>
  <c r="E8" i="6"/>
  <c r="D8" i="6"/>
  <c r="H5" i="6"/>
  <c r="E5" i="6"/>
  <c r="F67" i="5"/>
  <c r="V64" i="5"/>
  <c r="B7" i="2"/>
  <c r="H5" i="5"/>
  <c r="K66" i="5"/>
  <c r="G4" i="5"/>
  <c r="K9" i="5"/>
  <c r="J9" i="5"/>
  <c r="I9" i="5"/>
  <c r="H9" i="5"/>
  <c r="G9" i="5"/>
  <c r="F9" i="5"/>
  <c r="K8" i="5"/>
  <c r="J8" i="5"/>
  <c r="I8" i="5"/>
  <c r="H8" i="5"/>
  <c r="G8" i="5"/>
  <c r="F8" i="5"/>
  <c r="F5" i="5"/>
  <c r="F4" i="5"/>
  <c r="D4" i="6" l="1"/>
  <c r="D23" i="6"/>
  <c r="D30" i="6" s="1"/>
  <c r="B11" i="35"/>
  <c r="B11" i="32"/>
  <c r="I13" i="6"/>
  <c r="S126" i="22"/>
  <c r="H5" i="29" s="1"/>
  <c r="H6" i="33"/>
  <c r="S6" i="33" s="1"/>
  <c r="S124" i="22"/>
  <c r="H3" i="29" s="1"/>
  <c r="H4" i="33"/>
  <c r="S4" i="33" s="1"/>
  <c r="S125" i="22"/>
  <c r="H4" i="29" s="1"/>
  <c r="H5" i="33"/>
  <c r="S5" i="33" s="1"/>
  <c r="H13" i="5"/>
  <c r="V68" i="5"/>
  <c r="L8" i="5"/>
  <c r="L12" i="5" s="1"/>
  <c r="L66" i="5"/>
  <c r="E13" i="6"/>
  <c r="D12" i="6"/>
  <c r="G67" i="5"/>
  <c r="H44" i="17"/>
  <c r="G5" i="5"/>
  <c r="G13" i="5" s="1"/>
  <c r="D8" i="7"/>
  <c r="D10" i="7" s="1"/>
  <c r="G44" i="17"/>
  <c r="G12" i="5"/>
  <c r="AJ7" i="2"/>
  <c r="V7" i="2"/>
  <c r="X7" i="2" s="1"/>
  <c r="H13" i="6"/>
  <c r="V127" i="22"/>
  <c r="S127" i="22"/>
  <c r="H6" i="29" s="1"/>
  <c r="V130" i="22"/>
  <c r="S130" i="22"/>
  <c r="H9" i="29" s="1"/>
  <c r="E8" i="7"/>
  <c r="E10" i="7" s="1"/>
  <c r="J63" i="6"/>
  <c r="V124" i="22"/>
  <c r="I67" i="5"/>
  <c r="F12" i="5"/>
  <c r="I5" i="5"/>
  <c r="I13" i="5" s="1"/>
  <c r="V125" i="22"/>
  <c r="J5" i="5"/>
  <c r="J13" i="5" s="1"/>
  <c r="H67" i="5"/>
  <c r="E12" i="6"/>
  <c r="C8" i="7"/>
  <c r="C10" i="7" s="1"/>
  <c r="V126" i="22"/>
  <c r="G66" i="5"/>
  <c r="F34" i="17"/>
  <c r="I4" i="5"/>
  <c r="I12" i="5" s="1"/>
  <c r="H34" i="17"/>
  <c r="L13" i="5"/>
  <c r="F44" i="17"/>
  <c r="K34" i="17"/>
  <c r="H4" i="5"/>
  <c r="H12" i="5" s="1"/>
  <c r="G34" i="17"/>
  <c r="H8" i="7"/>
  <c r="H10" i="7" s="1"/>
  <c r="K12" i="7" s="1"/>
  <c r="J67" i="5"/>
  <c r="I44" i="17"/>
  <c r="L67" i="5"/>
  <c r="K44" i="17"/>
  <c r="I34" i="17"/>
  <c r="K4" i="5"/>
  <c r="K12" i="5" s="1"/>
  <c r="J34" i="17"/>
  <c r="K67" i="5"/>
  <c r="J44" i="17"/>
  <c r="B11" i="2"/>
  <c r="H73" i="6"/>
  <c r="AF44" i="21"/>
  <c r="H62" i="6"/>
  <c r="I30" i="6"/>
  <c r="I75" i="6" s="1"/>
  <c r="AJ44" i="21"/>
  <c r="F5" i="6"/>
  <c r="F13" i="6" s="1"/>
  <c r="X56" i="21"/>
  <c r="E74" i="6"/>
  <c r="T56" i="21"/>
  <c r="J30" i="6"/>
  <c r="AN44" i="21"/>
  <c r="J13" i="6"/>
  <c r="G5" i="6"/>
  <c r="G13" i="6" s="1"/>
  <c r="AB56" i="21"/>
  <c r="H63" i="6"/>
  <c r="AF56" i="21"/>
  <c r="D62" i="6"/>
  <c r="P44" i="21"/>
  <c r="I63" i="6"/>
  <c r="AJ56" i="21"/>
  <c r="G12" i="6"/>
  <c r="E30" i="6"/>
  <c r="E53" i="6" s="1"/>
  <c r="T44" i="21"/>
  <c r="J74" i="6"/>
  <c r="AN56" i="21"/>
  <c r="E36" i="2" s="1"/>
  <c r="D70" i="2" s="1"/>
  <c r="E62" i="6"/>
  <c r="D74" i="6"/>
  <c r="P56" i="21"/>
  <c r="H4" i="6"/>
  <c r="H12" i="6" s="1"/>
  <c r="F4" i="6"/>
  <c r="F12" i="6" s="1"/>
  <c r="X44" i="21"/>
  <c r="G30" i="6"/>
  <c r="F62" i="6"/>
  <c r="D5" i="6"/>
  <c r="D13" i="6" s="1"/>
  <c r="G73" i="6"/>
  <c r="AB44" i="21"/>
  <c r="H30" i="6"/>
  <c r="G62" i="6"/>
  <c r="F13" i="5"/>
  <c r="K22" i="17"/>
  <c r="G74" i="6"/>
  <c r="H74" i="6"/>
  <c r="D73" i="6"/>
  <c r="I74" i="6"/>
  <c r="F74" i="6"/>
  <c r="I4" i="6"/>
  <c r="I12" i="6" s="1"/>
  <c r="J4" i="6"/>
  <c r="J12" i="6" s="1"/>
  <c r="I62" i="6"/>
  <c r="J62" i="6"/>
  <c r="F73" i="6"/>
  <c r="I73" i="6"/>
  <c r="E73" i="6"/>
  <c r="D63" i="6"/>
  <c r="F30" i="6"/>
  <c r="E63" i="6"/>
  <c r="J73" i="6"/>
  <c r="H66" i="5"/>
  <c r="I66" i="5"/>
  <c r="J66" i="5"/>
  <c r="K5" i="5"/>
  <c r="K13" i="5" s="1"/>
  <c r="J4" i="5"/>
  <c r="J12" i="5" s="1"/>
  <c r="S138" i="22" l="1"/>
  <c r="AJ11" i="32"/>
  <c r="V11" i="32"/>
  <c r="X11" i="32" s="1"/>
  <c r="AO11" i="35"/>
  <c r="AA11" i="35"/>
  <c r="AC11" i="35" s="1"/>
  <c r="I53" i="6"/>
  <c r="B10" i="2"/>
  <c r="AJ10" i="2" s="1"/>
  <c r="B10" i="35"/>
  <c r="B10" i="32"/>
  <c r="G32" i="20"/>
  <c r="F32" i="20"/>
  <c r="B6" i="35"/>
  <c r="B6" i="32"/>
  <c r="G68" i="5"/>
  <c r="G88" i="5" s="1"/>
  <c r="F57" i="5"/>
  <c r="F93" i="5" s="1"/>
  <c r="J70" i="2"/>
  <c r="G70" i="2"/>
  <c r="I70" i="2" s="1"/>
  <c r="AJ11" i="2"/>
  <c r="V11" i="2"/>
  <c r="X11" i="2" s="1"/>
  <c r="B6" i="2"/>
  <c r="D3" i="19" s="1"/>
  <c r="J57" i="5"/>
  <c r="J93" i="5" s="1"/>
  <c r="G57" i="5"/>
  <c r="G93" i="5" s="1"/>
  <c r="J64" i="6"/>
  <c r="E64" i="6"/>
  <c r="J75" i="6"/>
  <c r="E75" i="6"/>
  <c r="H57" i="5"/>
  <c r="H93" i="5" s="1"/>
  <c r="H68" i="5"/>
  <c r="H88" i="5" s="1"/>
  <c r="G40" i="17"/>
  <c r="G43" i="17"/>
  <c r="G37" i="17"/>
  <c r="G36" i="17"/>
  <c r="G45" i="17"/>
  <c r="G38" i="17"/>
  <c r="G47" i="17"/>
  <c r="G41" i="17"/>
  <c r="G48" i="17"/>
  <c r="G46" i="17"/>
  <c r="G39" i="17"/>
  <c r="G42" i="17"/>
  <c r="H42" i="17"/>
  <c r="H36" i="17"/>
  <c r="H43" i="17"/>
  <c r="H37" i="17"/>
  <c r="H47" i="17"/>
  <c r="H40" i="17"/>
  <c r="H41" i="17"/>
  <c r="H45" i="17"/>
  <c r="H38" i="17"/>
  <c r="H48" i="17"/>
  <c r="H46" i="17"/>
  <c r="H39" i="17"/>
  <c r="I42" i="17"/>
  <c r="I36" i="17"/>
  <c r="I41" i="17"/>
  <c r="I43" i="17"/>
  <c r="I37" i="17"/>
  <c r="I39" i="17"/>
  <c r="I45" i="17"/>
  <c r="I38" i="17"/>
  <c r="I46" i="17"/>
  <c r="I48" i="17"/>
  <c r="I47" i="17"/>
  <c r="I40" i="17"/>
  <c r="K45" i="17"/>
  <c r="K39" i="17"/>
  <c r="K41" i="17"/>
  <c r="K47" i="17"/>
  <c r="K38" i="17"/>
  <c r="K42" i="17"/>
  <c r="K36" i="17"/>
  <c r="K48" i="17"/>
  <c r="K43" i="17"/>
  <c r="K37" i="17"/>
  <c r="K46" i="17"/>
  <c r="K40" i="17"/>
  <c r="J41" i="17"/>
  <c r="J39" i="17"/>
  <c r="J42" i="17"/>
  <c r="J36" i="17"/>
  <c r="J48" i="17"/>
  <c r="J43" i="17"/>
  <c r="J37" i="17"/>
  <c r="J46" i="17"/>
  <c r="J47" i="17"/>
  <c r="J40" i="17"/>
  <c r="J45" i="17"/>
  <c r="J38" i="17"/>
  <c r="F43" i="17"/>
  <c r="F37" i="17"/>
  <c r="F36" i="17"/>
  <c r="F45" i="17"/>
  <c r="F38" i="17"/>
  <c r="F48" i="17"/>
  <c r="F46" i="17"/>
  <c r="F39" i="17"/>
  <c r="F41" i="17"/>
  <c r="F47" i="17"/>
  <c r="F40" i="17"/>
  <c r="F42" i="17"/>
  <c r="G64" i="6"/>
  <c r="G53" i="6"/>
  <c r="G75" i="6"/>
  <c r="H75" i="6"/>
  <c r="H53" i="6"/>
  <c r="X47" i="21"/>
  <c r="X53" i="21"/>
  <c r="X52" i="21"/>
  <c r="X48" i="21"/>
  <c r="X46" i="21"/>
  <c r="X51" i="21"/>
  <c r="X50" i="21"/>
  <c r="X49" i="21"/>
  <c r="P53" i="21"/>
  <c r="P51" i="21"/>
  <c r="P50" i="21"/>
  <c r="P49" i="21"/>
  <c r="P48" i="21"/>
  <c r="P47" i="21"/>
  <c r="P46" i="21"/>
  <c r="P52" i="21"/>
  <c r="AB53" i="21"/>
  <c r="AB52" i="21"/>
  <c r="AB51" i="21"/>
  <c r="AB50" i="21"/>
  <c r="AB49" i="21"/>
  <c r="AB48" i="21"/>
  <c r="AB47" i="21"/>
  <c r="AB46" i="21"/>
  <c r="T51" i="21"/>
  <c r="T49" i="21"/>
  <c r="T48" i="21"/>
  <c r="T52" i="21"/>
  <c r="T47" i="21"/>
  <c r="T46" i="21"/>
  <c r="T50" i="21"/>
  <c r="T53" i="21"/>
  <c r="AN47" i="21"/>
  <c r="E29" i="2" s="1"/>
  <c r="D63" i="2" s="1"/>
  <c r="G63" i="2" s="1"/>
  <c r="AN48" i="21"/>
  <c r="E30" i="2" s="1"/>
  <c r="D64" i="2" s="1"/>
  <c r="G64" i="2" s="1"/>
  <c r="AN49" i="21"/>
  <c r="E31" i="2" s="1"/>
  <c r="D65" i="2" s="1"/>
  <c r="G65" i="2" s="1"/>
  <c r="AN50" i="21"/>
  <c r="E32" i="2" s="1"/>
  <c r="D66" i="2" s="1"/>
  <c r="G66" i="2" s="1"/>
  <c r="AN51" i="21"/>
  <c r="E33" i="2" s="1"/>
  <c r="D67" i="2" s="1"/>
  <c r="G67" i="2" s="1"/>
  <c r="AN52" i="21"/>
  <c r="E34" i="2" s="1"/>
  <c r="D68" i="2" s="1"/>
  <c r="G68" i="2" s="1"/>
  <c r="AN53" i="21"/>
  <c r="E35" i="2" s="1"/>
  <c r="D69" i="2" s="1"/>
  <c r="G69" i="2" s="1"/>
  <c r="AN46" i="21"/>
  <c r="J53" i="6"/>
  <c r="B31" i="17"/>
  <c r="G31" i="17"/>
  <c r="F31" i="17"/>
  <c r="E31" i="17"/>
  <c r="D31" i="17"/>
  <c r="H31" i="17"/>
  <c r="K31" i="17"/>
  <c r="C31" i="17"/>
  <c r="I31" i="17"/>
  <c r="J31" i="17"/>
  <c r="D53" i="6"/>
  <c r="D75" i="6"/>
  <c r="D64" i="6"/>
  <c r="F75" i="6"/>
  <c r="F64" i="6"/>
  <c r="F53" i="6"/>
  <c r="K68" i="5"/>
  <c r="K88" i="5" s="1"/>
  <c r="K57" i="5"/>
  <c r="K93" i="5" s="1"/>
  <c r="I68" i="5"/>
  <c r="I88" i="5" s="1"/>
  <c r="I57" i="5"/>
  <c r="I93" i="5" s="1"/>
  <c r="L68" i="5"/>
  <c r="L88" i="5" s="1"/>
  <c r="L57" i="5"/>
  <c r="L93" i="5" s="1"/>
  <c r="J68" i="5"/>
  <c r="J88" i="5" s="1"/>
  <c r="B12" i="2" l="1"/>
  <c r="V10" i="2"/>
  <c r="X10" i="2" s="1"/>
  <c r="X12" i="2" s="1"/>
  <c r="B12" i="32"/>
  <c r="AJ10" i="32"/>
  <c r="AJ12" i="32" s="1"/>
  <c r="V10" i="32"/>
  <c r="AA10" i="35"/>
  <c r="AO10" i="35"/>
  <c r="AO12" i="35" s="1"/>
  <c r="B12" i="35"/>
  <c r="W64" i="5"/>
  <c r="AB64" i="5" s="1"/>
  <c r="G33" i="20"/>
  <c r="I33" i="20" s="1"/>
  <c r="B37" i="2" s="1"/>
  <c r="G25" i="20"/>
  <c r="G30" i="20"/>
  <c r="G26" i="20"/>
  <c r="B8" i="32"/>
  <c r="AJ6" i="32"/>
  <c r="AJ8" i="32" s="1"/>
  <c r="V6" i="32"/>
  <c r="G28" i="20"/>
  <c r="G35" i="20"/>
  <c r="I35" i="20" s="1"/>
  <c r="B39" i="2" s="1"/>
  <c r="G29" i="20"/>
  <c r="AO6" i="35"/>
  <c r="AO8" i="35" s="1"/>
  <c r="AA6" i="35"/>
  <c r="B8" i="35"/>
  <c r="G34" i="20"/>
  <c r="I34" i="20" s="1"/>
  <c r="B38" i="2" s="1"/>
  <c r="G31" i="20"/>
  <c r="G27" i="20"/>
  <c r="B8" i="2"/>
  <c r="AJ12" i="2"/>
  <c r="I69" i="2"/>
  <c r="J69" i="2"/>
  <c r="I68" i="2"/>
  <c r="J68" i="2"/>
  <c r="I63" i="2"/>
  <c r="J63" i="2"/>
  <c r="I67" i="2"/>
  <c r="J67" i="2"/>
  <c r="I65" i="2"/>
  <c r="J65" i="2"/>
  <c r="I66" i="2"/>
  <c r="J66" i="2"/>
  <c r="I64" i="2"/>
  <c r="J64" i="2"/>
  <c r="AJ6" i="2"/>
  <c r="AJ8" i="2" s="1"/>
  <c r="V6" i="2"/>
  <c r="F49" i="17"/>
  <c r="I49" i="17"/>
  <c r="H49" i="17"/>
  <c r="G49" i="17"/>
  <c r="K49" i="17"/>
  <c r="J49" i="17"/>
  <c r="D7" i="19"/>
  <c r="D11" i="19"/>
  <c r="D8" i="19"/>
  <c r="D10" i="19"/>
  <c r="D16" i="19"/>
  <c r="D12" i="19"/>
  <c r="D9" i="19"/>
  <c r="D15" i="19"/>
  <c r="D13" i="19"/>
  <c r="D14" i="19"/>
  <c r="X54" i="21"/>
  <c r="X58" i="21" s="1"/>
  <c r="E28" i="2"/>
  <c r="D62" i="2" s="1"/>
  <c r="D75" i="2" s="1"/>
  <c r="AN54" i="21"/>
  <c r="AN58" i="21" s="1"/>
  <c r="P54" i="21"/>
  <c r="P58" i="21" s="1"/>
  <c r="T54" i="21"/>
  <c r="T58" i="21" s="1"/>
  <c r="AB54" i="21"/>
  <c r="AB58" i="21" s="1"/>
  <c r="F13" i="10"/>
  <c r="C12" i="10"/>
  <c r="C13" i="10" s="1"/>
  <c r="H13" i="10"/>
  <c r="V12" i="2" l="1"/>
  <c r="B14" i="2"/>
  <c r="AJ14" i="2"/>
  <c r="AJ20" i="2" s="1"/>
  <c r="B14" i="32"/>
  <c r="B20" i="32" s="1"/>
  <c r="B21" i="32" s="1"/>
  <c r="B22" i="32" s="1"/>
  <c r="AJ14" i="32"/>
  <c r="AJ20" i="32" s="1"/>
  <c r="AR19" i="19"/>
  <c r="AB65" i="5"/>
  <c r="AB66" i="5" s="1"/>
  <c r="X64" i="5"/>
  <c r="X72" i="5" s="1"/>
  <c r="X78" i="5" s="1"/>
  <c r="X83" i="5" s="1"/>
  <c r="X84" i="5" s="1"/>
  <c r="W70" i="5"/>
  <c r="V12" i="32"/>
  <c r="X10" i="32"/>
  <c r="X12" i="32" s="1"/>
  <c r="AO14" i="35"/>
  <c r="AO20" i="35" s="1"/>
  <c r="B14" i="35"/>
  <c r="B20" i="35" s="1"/>
  <c r="B21" i="35" s="1"/>
  <c r="B22" i="35" s="1"/>
  <c r="AC10" i="35"/>
  <c r="AC12" i="35" s="1"/>
  <c r="AA12" i="35"/>
  <c r="D31" i="20"/>
  <c r="H31" i="20" s="1"/>
  <c r="D25" i="20"/>
  <c r="H25" i="20" s="1"/>
  <c r="AC6" i="35"/>
  <c r="AC8" i="35" s="1"/>
  <c r="AA8" i="35"/>
  <c r="D32" i="20"/>
  <c r="H32" i="20" s="1"/>
  <c r="I32" i="20" s="1"/>
  <c r="B36" i="2" s="1"/>
  <c r="D36" i="20"/>
  <c r="H36" i="20" s="1"/>
  <c r="I36" i="20" s="1"/>
  <c r="B40" i="2" s="1"/>
  <c r="D26" i="20"/>
  <c r="H26" i="20" s="1"/>
  <c r="D24" i="20"/>
  <c r="H24" i="20" s="1"/>
  <c r="D30" i="20"/>
  <c r="H30" i="20" s="1"/>
  <c r="X6" i="32"/>
  <c r="X8" i="32" s="1"/>
  <c r="V8" i="32"/>
  <c r="D27" i="20"/>
  <c r="H27" i="20" s="1"/>
  <c r="D28" i="20"/>
  <c r="H28" i="20" s="1"/>
  <c r="J62" i="2"/>
  <c r="G62" i="2"/>
  <c r="I62" i="2" s="1"/>
  <c r="V8" i="2"/>
  <c r="X6" i="2"/>
  <c r="X8" i="2" s="1"/>
  <c r="X14" i="2" s="1"/>
  <c r="X20" i="2" s="1"/>
  <c r="D17" i="19"/>
  <c r="C37" i="20"/>
  <c r="G24" i="20"/>
  <c r="G37" i="20" s="1"/>
  <c r="O10" i="10"/>
  <c r="D13" i="10"/>
  <c r="G14" i="10" s="1"/>
  <c r="R8" i="10"/>
  <c r="V14" i="2" l="1"/>
  <c r="V20" i="2" s="1"/>
  <c r="V14" i="32"/>
  <c r="V20" i="32" s="1"/>
  <c r="V42" i="32" s="1"/>
  <c r="X66" i="5"/>
  <c r="AB67" i="5" s="1"/>
  <c r="AC65" i="5" s="1"/>
  <c r="AD65" i="5" s="1"/>
  <c r="X68" i="5" s="1"/>
  <c r="X14" i="32"/>
  <c r="X20" i="32" s="1"/>
  <c r="AA14" i="35"/>
  <c r="AA20" i="35" s="1"/>
  <c r="Z42" i="35" s="1"/>
  <c r="AC14" i="35"/>
  <c r="AC20" i="35" s="1"/>
  <c r="J75" i="2"/>
  <c r="H37" i="20"/>
  <c r="D37" i="20"/>
  <c r="L7" i="10"/>
  <c r="R7" i="10"/>
  <c r="R13" i="10" s="1"/>
  <c r="P10" i="10"/>
  <c r="O9" i="10"/>
  <c r="O12" i="10"/>
  <c r="P12" i="10" s="1"/>
  <c r="O11" i="10"/>
  <c r="O8" i="10"/>
  <c r="L8" i="10"/>
  <c r="O7" i="10"/>
  <c r="O6" i="10"/>
  <c r="O5" i="10"/>
  <c r="O4" i="10"/>
  <c r="J13" i="10"/>
  <c r="V73" i="32" l="1"/>
  <c r="Z74" i="35"/>
  <c r="AC64" i="5"/>
  <c r="AD64" i="5" s="1"/>
  <c r="P9" i="10"/>
  <c r="L13" i="10"/>
  <c r="P7" i="10"/>
  <c r="E190" i="22"/>
  <c r="P6" i="10"/>
  <c r="P11" i="10"/>
  <c r="K13" i="10"/>
  <c r="P5" i="10"/>
  <c r="P8" i="10"/>
  <c r="P4" i="10"/>
  <c r="O13" i="10"/>
  <c r="D190" i="22"/>
  <c r="D41" i="2"/>
  <c r="X70" i="5" l="1"/>
  <c r="AD66" i="5"/>
  <c r="F190" i="22"/>
  <c r="M53" i="34" s="1"/>
  <c r="M55" i="34" s="1"/>
  <c r="P13" i="10"/>
  <c r="V41" i="2"/>
  <c r="V71" i="2" s="1"/>
  <c r="V73" i="2" l="1"/>
  <c r="V42" i="2"/>
  <c r="H41" i="2"/>
  <c r="L41" i="2" l="1"/>
  <c r="E41" i="2" l="1"/>
  <c r="B20" i="2"/>
  <c r="B21" i="2" l="1"/>
  <c r="B22" i="2" l="1"/>
  <c r="BO13" i="18"/>
  <c r="H133" i="22" s="1"/>
  <c r="J133" i="22" s="1"/>
  <c r="AQ63" i="33" s="1"/>
  <c r="N133" i="22" l="1"/>
  <c r="M133" i="22"/>
  <c r="L133" i="22"/>
  <c r="Y4" i="33" s="1"/>
  <c r="AF8" i="33" s="1"/>
  <c r="O133" i="22"/>
  <c r="BO44" i="18"/>
  <c r="P133" i="22" l="1"/>
  <c r="H13" i="33" s="1"/>
  <c r="U133" i="22"/>
  <c r="S13" i="33" l="1"/>
  <c r="V133" i="22"/>
  <c r="S133" i="22"/>
  <c r="H12" i="29" s="1"/>
  <c r="M74" i="2" l="1"/>
  <c r="AU27" i="18" l="1"/>
  <c r="AV6" i="18" l="1"/>
  <c r="AV4" i="18"/>
  <c r="AV2" i="18"/>
  <c r="AV8" i="18"/>
  <c r="AV5" i="18"/>
  <c r="AV9" i="18"/>
  <c r="AV3" i="18"/>
  <c r="AV7" i="18"/>
  <c r="AU29" i="18"/>
  <c r="D186" i="22" l="1"/>
  <c r="D187" i="22"/>
  <c r="D185" i="22"/>
  <c r="D188" i="22" l="1"/>
  <c r="D181" i="22" l="1"/>
  <c r="B181" i="22" l="1"/>
  <c r="AR4" i="33" l="1"/>
  <c r="AU4" i="33" s="1"/>
  <c r="E181" i="22"/>
  <c r="F181" i="22" l="1"/>
  <c r="D53" i="34" s="1"/>
  <c r="D55" i="34" s="1"/>
  <c r="AI14" i="21" l="1"/>
  <c r="AI28" i="21" s="1"/>
  <c r="AJ2" i="21"/>
  <c r="AJ10" i="21" s="1"/>
  <c r="AJ39" i="21" l="1"/>
  <c r="AJ53" i="21" s="1"/>
  <c r="AJ33" i="21"/>
  <c r="AJ47" i="21" s="1"/>
  <c r="AJ34" i="21"/>
  <c r="AJ48" i="21" s="1"/>
  <c r="AJ38" i="21"/>
  <c r="AJ52" i="21" s="1"/>
  <c r="AJ35" i="21"/>
  <c r="AJ49" i="21" s="1"/>
  <c r="AJ14" i="21"/>
  <c r="AJ28" i="21" s="1"/>
  <c r="I59" i="6" s="1"/>
  <c r="K51" i="23" s="1"/>
  <c r="AJ37" i="21"/>
  <c r="AJ51" i="21" s="1"/>
  <c r="AJ36" i="21"/>
  <c r="AJ50" i="21" s="1"/>
  <c r="AJ32" i="21"/>
  <c r="I18" i="22"/>
  <c r="K50" i="23" l="1"/>
  <c r="K52" i="23" s="1"/>
  <c r="G8" i="7"/>
  <c r="G10" i="7" s="1"/>
  <c r="J12" i="7" s="1"/>
  <c r="I64" i="6"/>
  <c r="AJ40" i="21"/>
  <c r="AJ46" i="21"/>
  <c r="I189" i="22"/>
  <c r="AJ54" i="21" l="1"/>
  <c r="AJ58" i="21" s="1"/>
  <c r="AE14" i="21" l="1"/>
  <c r="AE28" i="21" s="1"/>
  <c r="AE5" i="21"/>
  <c r="AF5" i="21" s="1"/>
  <c r="AE7" i="21"/>
  <c r="AF7" i="21" s="1"/>
  <c r="AE3" i="21"/>
  <c r="AF3" i="21" s="1"/>
  <c r="I36" i="22" s="1"/>
  <c r="AE4" i="21"/>
  <c r="AF4" i="21" s="1"/>
  <c r="AE9" i="21"/>
  <c r="AF9" i="21" s="1"/>
  <c r="I169" i="22" s="1"/>
  <c r="AE6" i="21"/>
  <c r="AF6" i="21" s="1"/>
  <c r="AE2" i="21"/>
  <c r="AF2" i="21" s="1"/>
  <c r="AE8" i="21"/>
  <c r="AF8" i="21" s="1"/>
  <c r="I150" i="22" s="1"/>
  <c r="I93" i="22" l="1"/>
  <c r="AF10" i="21"/>
  <c r="AF14" i="21" s="1"/>
  <c r="AF28" i="21" s="1"/>
  <c r="H58" i="6" s="1"/>
  <c r="H59" i="6" s="1"/>
  <c r="J51" i="23" s="1"/>
  <c r="I17" i="22"/>
  <c r="I112" i="22"/>
  <c r="I55" i="22"/>
  <c r="I74" i="22"/>
  <c r="J50" i="23" l="1"/>
  <c r="J52" i="23" s="1"/>
  <c r="F8" i="7"/>
  <c r="F10" i="7" s="1"/>
  <c r="H64" i="6"/>
  <c r="AF32" i="21"/>
  <c r="AF46" i="21" s="1"/>
  <c r="I188" i="22"/>
  <c r="AF39" i="21"/>
  <c r="AF53" i="21" s="1"/>
  <c r="AF35" i="21"/>
  <c r="AF49" i="21" s="1"/>
  <c r="AF37" i="21"/>
  <c r="AF51" i="21" s="1"/>
  <c r="AF38" i="21"/>
  <c r="AF52" i="21" s="1"/>
  <c r="AF36" i="21"/>
  <c r="AF50" i="21" s="1"/>
  <c r="AF34" i="21"/>
  <c r="AF48" i="21" s="1"/>
  <c r="AF33" i="21"/>
  <c r="AF47" i="21" s="1"/>
  <c r="G12" i="7" l="1"/>
  <c r="H12" i="7"/>
  <c r="I12" i="7"/>
  <c r="F12" i="7"/>
  <c r="AF40" i="21"/>
  <c r="AF54" i="21"/>
  <c r="AF58" i="21" s="1"/>
  <c r="G14" i="21" l="1"/>
  <c r="G28" i="21" s="1"/>
  <c r="G2" i="21"/>
  <c r="H2" i="21" s="1"/>
  <c r="H10" i="21" s="1"/>
  <c r="I11" i="22" l="1"/>
  <c r="H14" i="21"/>
  <c r="H28" i="21" s="1"/>
  <c r="H33" i="21"/>
  <c r="H47" i="21" s="1"/>
  <c r="H38" i="21"/>
  <c r="H52" i="21" s="1"/>
  <c r="H32" i="21"/>
  <c r="H46" i="21" s="1"/>
  <c r="H34" i="21"/>
  <c r="H48" i="21" s="1"/>
  <c r="H39" i="21"/>
  <c r="H53" i="21" s="1"/>
  <c r="H35" i="21"/>
  <c r="H49" i="21" s="1"/>
  <c r="H36" i="21"/>
  <c r="H50" i="21" s="1"/>
  <c r="H37" i="21"/>
  <c r="H51" i="21" s="1"/>
  <c r="I182" i="22" l="1"/>
  <c r="H40" i="21"/>
  <c r="H54" i="21"/>
  <c r="H58" i="21" s="1"/>
  <c r="F66" i="5" l="1"/>
  <c r="F68" i="5"/>
  <c r="F88" i="5" s="1"/>
  <c r="B8" i="7"/>
  <c r="B10" i="7" s="1"/>
  <c r="E12" i="7" s="1"/>
  <c r="M93" i="5" l="1"/>
  <c r="B7" i="37"/>
  <c r="B8" i="37" s="1"/>
  <c r="B14" i="37" s="1"/>
  <c r="B20" i="37" s="1"/>
  <c r="B21" i="37" s="1"/>
  <c r="B22" i="37" s="1"/>
  <c r="C7" i="35"/>
  <c r="C8" i="35" s="1"/>
  <c r="C14" i="35" s="1"/>
  <c r="C20" i="35" s="1"/>
  <c r="C21" i="35" s="1"/>
  <c r="C22" i="35" s="1"/>
  <c r="C7" i="32"/>
  <c r="C8" i="32" s="1"/>
  <c r="C14" i="32" s="1"/>
  <c r="C20" i="32" s="1"/>
  <c r="B7" i="41"/>
  <c r="B8" i="41" s="1"/>
  <c r="B14" i="41" s="1"/>
  <c r="B20" i="41" s="1"/>
  <c r="B21" i="41" s="1"/>
  <c r="B22" i="41" s="1"/>
  <c r="C7" i="2"/>
  <c r="C8" i="2" s="1"/>
  <c r="C14" i="2" s="1"/>
  <c r="C20" i="2" s="1"/>
  <c r="C21" i="2" s="1"/>
  <c r="C22" i="2" s="1"/>
  <c r="C21" i="32" l="1"/>
  <c r="C22" i="32" s="1"/>
  <c r="B41" i="35" l="1"/>
  <c r="C32" i="35" s="1"/>
  <c r="G32" i="35" s="1"/>
  <c r="C34" i="35" l="1"/>
  <c r="G34" i="35" s="1"/>
  <c r="I34" i="35" s="1"/>
  <c r="C33" i="35"/>
  <c r="G33" i="35" s="1"/>
  <c r="I33" i="35" s="1"/>
  <c r="J33" i="35" s="1"/>
  <c r="M33" i="35" s="1"/>
  <c r="O33" i="35" s="1"/>
  <c r="P33" i="35" s="1"/>
  <c r="T33" i="35" s="1"/>
  <c r="C35" i="35"/>
  <c r="G35" i="35" s="1"/>
  <c r="I35" i="35" s="1"/>
  <c r="J35" i="35" s="1"/>
  <c r="C29" i="35"/>
  <c r="G29" i="35" s="1"/>
  <c r="B70" i="35" s="1"/>
  <c r="C31" i="35"/>
  <c r="G31" i="35" s="1"/>
  <c r="I31" i="35" s="1"/>
  <c r="J31" i="35" s="1"/>
  <c r="M31" i="35" s="1"/>
  <c r="O31" i="35" s="1"/>
  <c r="P31" i="35" s="1"/>
  <c r="T31" i="35" s="1"/>
  <c r="C36" i="35"/>
  <c r="G36" i="35" s="1"/>
  <c r="I36" i="35" s="1"/>
  <c r="J36" i="35" s="1"/>
  <c r="C38" i="35"/>
  <c r="G38" i="35" s="1"/>
  <c r="I38" i="35" s="1"/>
  <c r="C28" i="35"/>
  <c r="C40" i="35"/>
  <c r="G40" i="35" s="1"/>
  <c r="B81" i="35" s="1"/>
  <c r="C39" i="35"/>
  <c r="G39" i="35" s="1"/>
  <c r="I39" i="35" s="1"/>
  <c r="C37" i="35"/>
  <c r="G37" i="35" s="1"/>
  <c r="B78" i="35" s="1"/>
  <c r="C30" i="35"/>
  <c r="G30" i="35" s="1"/>
  <c r="I32" i="35"/>
  <c r="J32" i="35" s="1"/>
  <c r="B73" i="35"/>
  <c r="B74" i="35" l="1"/>
  <c r="J34" i="35"/>
  <c r="M34" i="35" s="1"/>
  <c r="O34" i="35" s="1"/>
  <c r="P34" i="35" s="1"/>
  <c r="B75" i="35"/>
  <c r="B77" i="35"/>
  <c r="B72" i="35"/>
  <c r="B76" i="35"/>
  <c r="I29" i="35"/>
  <c r="J29" i="35" s="1"/>
  <c r="M29" i="35" s="1"/>
  <c r="O29" i="35" s="1"/>
  <c r="P29" i="35" s="1"/>
  <c r="T29" i="35" s="1"/>
  <c r="J38" i="35"/>
  <c r="M38" i="35" s="1"/>
  <c r="B79" i="35"/>
  <c r="C41" i="35"/>
  <c r="J39" i="35"/>
  <c r="B80" i="35"/>
  <c r="I30" i="35"/>
  <c r="J30" i="35" s="1"/>
  <c r="M30" i="35" s="1"/>
  <c r="O30" i="35" s="1"/>
  <c r="P30" i="35" s="1"/>
  <c r="T30" i="35" s="1"/>
  <c r="B71" i="35"/>
  <c r="G28" i="35"/>
  <c r="I28" i="35" s="1"/>
  <c r="I37" i="35"/>
  <c r="J37" i="35" s="1"/>
  <c r="T37" i="35" s="1"/>
  <c r="I40" i="35"/>
  <c r="J40" i="35" s="1"/>
  <c r="T40" i="35" s="1"/>
  <c r="M36" i="35"/>
  <c r="O36" i="35" s="1"/>
  <c r="P36" i="35" s="1"/>
  <c r="T36" i="35" s="1"/>
  <c r="S33" i="35"/>
  <c r="Y33" i="35"/>
  <c r="Z33" i="35"/>
  <c r="L74" i="35"/>
  <c r="AE33" i="35"/>
  <c r="R33" i="35"/>
  <c r="M32" i="35"/>
  <c r="O32" i="35" s="1"/>
  <c r="P32" i="35" s="1"/>
  <c r="M35" i="35"/>
  <c r="O35" i="35" s="1"/>
  <c r="P35" i="35" s="1"/>
  <c r="T35" i="35" s="1"/>
  <c r="AE31" i="35"/>
  <c r="L72" i="35"/>
  <c r="R31" i="35"/>
  <c r="S31" i="35"/>
  <c r="Y31" i="35"/>
  <c r="Z31" i="35"/>
  <c r="T38" i="35" l="1"/>
  <c r="R30" i="35"/>
  <c r="Z30" i="35"/>
  <c r="AE30" i="35"/>
  <c r="AD30" i="35" s="1"/>
  <c r="B69" i="35"/>
  <c r="B82" i="35" s="1"/>
  <c r="L71" i="35"/>
  <c r="G41" i="35"/>
  <c r="S30" i="35"/>
  <c r="M37" i="35"/>
  <c r="M40" i="35"/>
  <c r="Y30" i="35"/>
  <c r="I41" i="35"/>
  <c r="T39" i="35"/>
  <c r="M39" i="35"/>
  <c r="J28" i="35"/>
  <c r="M28" i="35" s="1"/>
  <c r="Y32" i="35"/>
  <c r="AE32" i="35"/>
  <c r="S32" i="35"/>
  <c r="R32" i="35"/>
  <c r="L73" i="35"/>
  <c r="Z32" i="35"/>
  <c r="Y34" i="35"/>
  <c r="R34" i="35"/>
  <c r="Z34" i="35"/>
  <c r="S34" i="35"/>
  <c r="AE34" i="35"/>
  <c r="L75" i="35"/>
  <c r="AE29" i="35"/>
  <c r="L70" i="35"/>
  <c r="Z29" i="35"/>
  <c r="Y29" i="35"/>
  <c r="S29" i="35"/>
  <c r="R29" i="35"/>
  <c r="L76" i="35"/>
  <c r="Z35" i="35"/>
  <c r="R35" i="35"/>
  <c r="Y35" i="35"/>
  <c r="AE35" i="35"/>
  <c r="S35" i="35"/>
  <c r="T34" i="35"/>
  <c r="T32" i="35"/>
  <c r="AD33" i="35"/>
  <c r="AL33" i="35"/>
  <c r="AK33" i="35" s="1"/>
  <c r="AM33" i="35" s="1"/>
  <c r="AD31" i="35"/>
  <c r="AL31" i="35"/>
  <c r="AK31" i="35" s="1"/>
  <c r="AM31" i="35" s="1"/>
  <c r="S36" i="35"/>
  <c r="L77" i="35"/>
  <c r="Y36" i="35"/>
  <c r="AE36" i="35"/>
  <c r="Z36" i="35"/>
  <c r="R36" i="35"/>
  <c r="AL30" i="35" l="1"/>
  <c r="AK30" i="35" s="1"/>
  <c r="AM30" i="35" s="1"/>
  <c r="J41" i="35"/>
  <c r="AD34" i="35"/>
  <c r="AL34" i="35"/>
  <c r="AK34" i="35" s="1"/>
  <c r="AM34" i="35" s="1"/>
  <c r="AD36" i="35"/>
  <c r="AL36" i="35"/>
  <c r="AK36" i="35" s="1"/>
  <c r="AM36" i="35" s="1"/>
  <c r="AL29" i="35"/>
  <c r="AK29" i="35" s="1"/>
  <c r="AM29" i="35" s="1"/>
  <c r="AD29" i="35"/>
  <c r="M41" i="35"/>
  <c r="O28" i="35"/>
  <c r="AL32" i="35"/>
  <c r="AK32" i="35" s="1"/>
  <c r="AM32" i="35" s="1"/>
  <c r="AD32" i="35"/>
  <c r="AD35" i="35"/>
  <c r="AL35" i="35"/>
  <c r="AK35" i="35" s="1"/>
  <c r="AM35" i="35" s="1"/>
  <c r="P28" i="35" l="1"/>
  <c r="O41" i="35"/>
  <c r="S28" i="35" l="1"/>
  <c r="Y28" i="35"/>
  <c r="Y41" i="35" s="1"/>
  <c r="AE28" i="35"/>
  <c r="R28" i="35"/>
  <c r="R41" i="35" s="1"/>
  <c r="Z28" i="35"/>
  <c r="Z41" i="35" s="1"/>
  <c r="AB69" i="35" s="1"/>
  <c r="AB70" i="35" s="1"/>
  <c r="AB72" i="35" s="1"/>
  <c r="AB74" i="35" s="1"/>
  <c r="P41" i="35"/>
  <c r="R42" i="35" s="1"/>
  <c r="L69" i="35"/>
  <c r="L82" i="35" s="1"/>
  <c r="T28" i="35"/>
  <c r="T41" i="35" s="1"/>
  <c r="AL28" i="35" l="1"/>
  <c r="AG43" i="35"/>
  <c r="AE41" i="35"/>
  <c r="AG42" i="35" s="1"/>
  <c r="AD28" i="35"/>
  <c r="AD41" i="35" s="1"/>
  <c r="AL41" i="35" l="1"/>
  <c r="AK28" i="35"/>
  <c r="AN43" i="35"/>
  <c r="AK41" i="35" l="1"/>
  <c r="AM28" i="35"/>
  <c r="AM41" i="35" s="1"/>
  <c r="AN72" i="35"/>
  <c r="AN74" i="35" s="1"/>
  <c r="AN42" i="35"/>
  <c r="BO2" i="18" l="1"/>
  <c r="H19" i="22" l="1"/>
  <c r="J19" i="22" s="1"/>
  <c r="O19" i="22" l="1"/>
  <c r="M19" i="22"/>
  <c r="N19" i="22"/>
  <c r="L19" i="22"/>
  <c r="Z4" i="33" s="1"/>
  <c r="AA8" i="33" s="1"/>
  <c r="AM33" i="33"/>
  <c r="P19" i="22" l="1"/>
  <c r="V19" i="22" s="1"/>
  <c r="BO9" i="18"/>
  <c r="H171" i="22" s="1"/>
  <c r="J171" i="22" s="1"/>
  <c r="BO8" i="18"/>
  <c r="H152" i="22" s="1"/>
  <c r="J152" i="22" s="1"/>
  <c r="BO6" i="18"/>
  <c r="H95" i="22" s="1"/>
  <c r="J95" i="22" s="1"/>
  <c r="BO7" i="18"/>
  <c r="H114" i="22" s="1"/>
  <c r="J114" i="22" s="1"/>
  <c r="BO3" i="18"/>
  <c r="BO5" i="18"/>
  <c r="C5" i="30" s="1"/>
  <c r="G11" i="30" s="1"/>
  <c r="U19" i="22" l="1"/>
  <c r="B13" i="33"/>
  <c r="M13" i="33" s="1"/>
  <c r="S19" i="22"/>
  <c r="B12" i="29" s="1"/>
  <c r="H76" i="22"/>
  <c r="J76" i="22" s="1"/>
  <c r="AM13" i="33" s="1"/>
  <c r="O171" i="22"/>
  <c r="AM63" i="33"/>
  <c r="M171" i="22"/>
  <c r="L171" i="22"/>
  <c r="N171" i="22"/>
  <c r="N95" i="22"/>
  <c r="M95" i="22"/>
  <c r="AM48" i="33"/>
  <c r="O95" i="22"/>
  <c r="L95" i="22"/>
  <c r="L152" i="22"/>
  <c r="AT48" i="33"/>
  <c r="O152" i="22"/>
  <c r="M152" i="22"/>
  <c r="N152" i="22"/>
  <c r="L76" i="22"/>
  <c r="H38" i="22"/>
  <c r="J38" i="22" s="1"/>
  <c r="Q11" i="30"/>
  <c r="M114" i="22"/>
  <c r="O114" i="22"/>
  <c r="AQ48" i="33"/>
  <c r="N114" i="22"/>
  <c r="L114" i="22"/>
  <c r="M76" i="22" l="1"/>
  <c r="O76" i="22"/>
  <c r="U76" i="22" s="1"/>
  <c r="N76" i="22"/>
  <c r="P76" i="22" s="1"/>
  <c r="V76" i="22" s="1"/>
  <c r="O38" i="22"/>
  <c r="M38" i="22"/>
  <c r="AT33" i="33"/>
  <c r="N38" i="22"/>
  <c r="L38" i="22"/>
  <c r="AD4" i="33"/>
  <c r="AG8" i="33" s="1"/>
  <c r="AC4" i="33"/>
  <c r="AD8" i="33" s="1"/>
  <c r="U152" i="22"/>
  <c r="P152" i="22"/>
  <c r="V152" i="22" s="1"/>
  <c r="U114" i="22"/>
  <c r="P114" i="22"/>
  <c r="V114" i="22" s="1"/>
  <c r="U95" i="22"/>
  <c r="AA4" i="33"/>
  <c r="AC8" i="33" s="1"/>
  <c r="P95" i="22"/>
  <c r="V95" i="22" s="1"/>
  <c r="P171" i="22"/>
  <c r="AG4" i="33"/>
  <c r="Y8" i="33" s="1"/>
  <c r="U171" i="22"/>
  <c r="J13" i="33" l="1"/>
  <c r="U13" i="33" s="1"/>
  <c r="S171" i="22"/>
  <c r="J12" i="29" s="1"/>
  <c r="AF4" i="33"/>
  <c r="Z8" i="33" s="1"/>
  <c r="AG10" i="33" s="1"/>
  <c r="P38" i="22"/>
  <c r="V38" i="22" s="1"/>
  <c r="S114" i="22"/>
  <c r="G12" i="29" s="1"/>
  <c r="G13" i="33"/>
  <c r="R13" i="33" s="1"/>
  <c r="S152" i="22"/>
  <c r="I12" i="29" s="1"/>
  <c r="I13" i="33"/>
  <c r="T13" i="33" s="1"/>
  <c r="E13" i="33"/>
  <c r="P13" i="33" s="1"/>
  <c r="S76" i="22"/>
  <c r="E12" i="29" s="1"/>
  <c r="B21" i="30" s="1"/>
  <c r="G21" i="30" s="1"/>
  <c r="V171" i="22"/>
  <c r="S95" i="22"/>
  <c r="F12" i="29" s="1"/>
  <c r="F13" i="33"/>
  <c r="Q13" i="33" s="1"/>
  <c r="AG11" i="33"/>
  <c r="AG9" i="33"/>
  <c r="Q21" i="30" l="1"/>
  <c r="C13" i="33"/>
  <c r="N13" i="33" s="1"/>
  <c r="S38" i="22"/>
  <c r="C12" i="29" s="1"/>
  <c r="U38" i="22"/>
  <c r="BU2" i="18" l="1"/>
  <c r="H20" i="22" s="1"/>
  <c r="J20" i="22" s="1"/>
  <c r="BU9" i="18"/>
  <c r="H172" i="22" s="1"/>
  <c r="BU4" i="18"/>
  <c r="H58" i="22" s="1"/>
  <c r="J58" i="22" s="1"/>
  <c r="BU8" i="18"/>
  <c r="H153" i="22" s="1"/>
  <c r="J153" i="22" s="1"/>
  <c r="BU5" i="18"/>
  <c r="H77" i="22" s="1"/>
  <c r="J77" i="22" s="1"/>
  <c r="BU3" i="18"/>
  <c r="H39" i="22" s="1"/>
  <c r="J39" i="22" s="1"/>
  <c r="BU7" i="18"/>
  <c r="H115" i="22" s="1"/>
  <c r="J115" i="22" s="1"/>
  <c r="BT11" i="18"/>
  <c r="BT15" i="18" s="1"/>
  <c r="BT29" i="18" s="1"/>
  <c r="BU6" i="18"/>
  <c r="H96" i="22" s="1"/>
  <c r="J96" i="22" s="1"/>
  <c r="N115" i="22" l="1"/>
  <c r="L115" i="22"/>
  <c r="O115" i="22"/>
  <c r="M115" i="22"/>
  <c r="M96" i="22"/>
  <c r="L96" i="22"/>
  <c r="N96" i="22"/>
  <c r="O96" i="22"/>
  <c r="L39" i="22"/>
  <c r="O39" i="22"/>
  <c r="M39" i="22"/>
  <c r="N39" i="22"/>
  <c r="H191" i="22"/>
  <c r="J191" i="22" s="1"/>
  <c r="J172" i="22"/>
  <c r="N77" i="22"/>
  <c r="M77" i="22"/>
  <c r="L77" i="22"/>
  <c r="O77" i="22"/>
  <c r="L153" i="22"/>
  <c r="M153" i="22"/>
  <c r="O153" i="22"/>
  <c r="N153" i="22"/>
  <c r="L58" i="22"/>
  <c r="O58" i="22"/>
  <c r="N58" i="22"/>
  <c r="M58" i="22"/>
  <c r="L20" i="22"/>
  <c r="N20" i="22"/>
  <c r="M20" i="22"/>
  <c r="O20" i="22"/>
  <c r="BU11" i="18"/>
  <c r="BU40" i="18" s="1"/>
  <c r="BU55" i="18" s="1"/>
  <c r="F12" i="20" s="1"/>
  <c r="I12" i="20" s="1"/>
  <c r="B35" i="32" s="1"/>
  <c r="P39" i="22" l="1"/>
  <c r="V39" i="22" s="1"/>
  <c r="P20" i="22"/>
  <c r="V20" i="22" s="1"/>
  <c r="P96" i="22"/>
  <c r="V96" i="22" s="1"/>
  <c r="U96" i="22"/>
  <c r="P77" i="22"/>
  <c r="V77" i="22" s="1"/>
  <c r="U77" i="22"/>
  <c r="N172" i="22"/>
  <c r="O172" i="22"/>
  <c r="M172" i="22"/>
  <c r="L172" i="22"/>
  <c r="P115" i="22"/>
  <c r="V115" i="22" s="1"/>
  <c r="U115" i="22"/>
  <c r="U58" i="22"/>
  <c r="P58" i="22"/>
  <c r="V58" i="22" s="1"/>
  <c r="U153" i="22"/>
  <c r="P153" i="22"/>
  <c r="V153" i="22" s="1"/>
  <c r="N191" i="22"/>
  <c r="M191" i="22"/>
  <c r="L191" i="22"/>
  <c r="O191" i="22"/>
  <c r="BU37" i="18"/>
  <c r="BU52" i="18" s="1"/>
  <c r="F9" i="20" s="1"/>
  <c r="I9" i="20" s="1"/>
  <c r="B32" i="32" s="1"/>
  <c r="BU39" i="18"/>
  <c r="BU54" i="18" s="1"/>
  <c r="F11" i="20" s="1"/>
  <c r="I11" i="20" s="1"/>
  <c r="B34" i="32" s="1"/>
  <c r="BU38" i="18"/>
  <c r="BU53" i="18" s="1"/>
  <c r="F10" i="20" s="1"/>
  <c r="I10" i="20" s="1"/>
  <c r="B33" i="32" s="1"/>
  <c r="BU36" i="18"/>
  <c r="BU51" i="18" s="1"/>
  <c r="F8" i="20" s="1"/>
  <c r="I8" i="20" s="1"/>
  <c r="B31" i="32" s="1"/>
  <c r="BU33" i="18"/>
  <c r="BU15" i="18"/>
  <c r="BU29" i="18" s="1"/>
  <c r="BU35" i="18"/>
  <c r="BU50" i="18" s="1"/>
  <c r="F7" i="20" s="1"/>
  <c r="I7" i="20" s="1"/>
  <c r="B30" i="32" s="1"/>
  <c r="BU34" i="18"/>
  <c r="BU49" i="18" s="1"/>
  <c r="F6" i="20" s="1"/>
  <c r="I6" i="20" s="1"/>
  <c r="B29" i="32" s="1"/>
  <c r="U20" i="22" l="1"/>
  <c r="U39" i="22"/>
  <c r="P191" i="22"/>
  <c r="S191" i="22" s="1"/>
  <c r="U191" i="22"/>
  <c r="U172" i="22"/>
  <c r="P172" i="22"/>
  <c r="V172" i="22" s="1"/>
  <c r="BU42" i="18"/>
  <c r="BU48" i="18"/>
  <c r="V191" i="22" l="1"/>
  <c r="BU57" i="18"/>
  <c r="BU64" i="18" s="1"/>
  <c r="BU68" i="18" s="1"/>
  <c r="B18" i="20"/>
  <c r="F5" i="20" l="1"/>
  <c r="F18" i="20" l="1"/>
  <c r="I5" i="20"/>
  <c r="B28" i="32" l="1"/>
  <c r="I18" i="20"/>
  <c r="B41" i="32" l="1"/>
  <c r="C37" i="32" l="1"/>
  <c r="G37" i="32" s="1"/>
  <c r="C39" i="32"/>
  <c r="G39" i="32" s="1"/>
  <c r="C40" i="32"/>
  <c r="G40" i="32" s="1"/>
  <c r="C38" i="32"/>
  <c r="G38" i="32" s="1"/>
  <c r="C36" i="32"/>
  <c r="G36" i="32" s="1"/>
  <c r="C35" i="32"/>
  <c r="G35" i="32" s="1"/>
  <c r="C32" i="32"/>
  <c r="G32" i="32" s="1"/>
  <c r="C29" i="32"/>
  <c r="G29" i="32" s="1"/>
  <c r="C34" i="32"/>
  <c r="G34" i="32" s="1"/>
  <c r="C31" i="32"/>
  <c r="G31" i="32" s="1"/>
  <c r="C30" i="32"/>
  <c r="G30" i="32" s="1"/>
  <c r="C33" i="32"/>
  <c r="G33" i="32" s="1"/>
  <c r="C28" i="32"/>
  <c r="B64" i="32" l="1"/>
  <c r="I30" i="32"/>
  <c r="J30" i="32" s="1"/>
  <c r="B65" i="32"/>
  <c r="I31" i="32"/>
  <c r="J31" i="32" s="1"/>
  <c r="I32" i="32"/>
  <c r="J32" i="32" s="1"/>
  <c r="B66" i="32"/>
  <c r="I39" i="32"/>
  <c r="J39" i="32" s="1"/>
  <c r="B73" i="32"/>
  <c r="B67" i="32"/>
  <c r="I33" i="32"/>
  <c r="J33" i="32" s="1"/>
  <c r="B68" i="32"/>
  <c r="I34" i="32"/>
  <c r="J34" i="32" s="1"/>
  <c r="I29" i="32"/>
  <c r="J29" i="32" s="1"/>
  <c r="B63" i="32"/>
  <c r="I35" i="32"/>
  <c r="J35" i="32" s="1"/>
  <c r="B69" i="32"/>
  <c r="B70" i="32"/>
  <c r="I36" i="32"/>
  <c r="J36" i="32" s="1"/>
  <c r="B72" i="32"/>
  <c r="I38" i="32"/>
  <c r="J38" i="32" s="1"/>
  <c r="I40" i="32"/>
  <c r="J40" i="32" s="1"/>
  <c r="B74" i="32"/>
  <c r="C41" i="32"/>
  <c r="G28" i="32"/>
  <c r="B71" i="32"/>
  <c r="I37" i="32"/>
  <c r="J37" i="32" s="1"/>
  <c r="M40" i="32" l="1"/>
  <c r="R40" i="32"/>
  <c r="R38" i="32"/>
  <c r="M38" i="32"/>
  <c r="M32" i="32"/>
  <c r="O32" i="32" s="1"/>
  <c r="P32" i="32" s="1"/>
  <c r="M30" i="32"/>
  <c r="O30" i="32" s="1"/>
  <c r="P30" i="32" s="1"/>
  <c r="M33" i="32"/>
  <c r="O33" i="32" s="1"/>
  <c r="P33" i="32" s="1"/>
  <c r="M35" i="32"/>
  <c r="O35" i="32" s="1"/>
  <c r="P35" i="32" s="1"/>
  <c r="R35" i="32" s="1"/>
  <c r="M31" i="32"/>
  <c r="O31" i="32" s="1"/>
  <c r="P31" i="32" s="1"/>
  <c r="M29" i="32"/>
  <c r="O29" i="32" s="1"/>
  <c r="P29" i="32" s="1"/>
  <c r="R29" i="32" s="1"/>
  <c r="M34" i="32"/>
  <c r="O34" i="32" s="1"/>
  <c r="P34" i="32" s="1"/>
  <c r="R34" i="32" s="1"/>
  <c r="R37" i="32"/>
  <c r="M37" i="32"/>
  <c r="G41" i="32"/>
  <c r="I28" i="32"/>
  <c r="I41" i="32" s="1"/>
  <c r="B62" i="32"/>
  <c r="B75" i="32" s="1"/>
  <c r="M39" i="32"/>
  <c r="R39" i="32"/>
  <c r="M36" i="32"/>
  <c r="O36" i="32" s="1"/>
  <c r="P36" i="32" s="1"/>
  <c r="R36" i="32" s="1"/>
  <c r="J28" i="32" l="1"/>
  <c r="J41" i="32" s="1"/>
  <c r="Q30" i="32"/>
  <c r="L64" i="32"/>
  <c r="W30" i="32"/>
  <c r="X30" i="32"/>
  <c r="AC30" i="32"/>
  <c r="R30" i="32"/>
  <c r="Q32" i="32"/>
  <c r="L66" i="32"/>
  <c r="X32" i="32"/>
  <c r="W32" i="32"/>
  <c r="AC32" i="32"/>
  <c r="W29" i="32"/>
  <c r="L63" i="32"/>
  <c r="X29" i="32"/>
  <c r="Q29" i="32"/>
  <c r="AC29" i="32"/>
  <c r="L69" i="32"/>
  <c r="Q35" i="32"/>
  <c r="W35" i="32"/>
  <c r="X35" i="32"/>
  <c r="AC35" i="32"/>
  <c r="L67" i="32"/>
  <c r="W33" i="32"/>
  <c r="Q33" i="32"/>
  <c r="X33" i="32"/>
  <c r="AC33" i="32"/>
  <c r="R33" i="32"/>
  <c r="L68" i="32"/>
  <c r="X34" i="32"/>
  <c r="AC34" i="32"/>
  <c r="Q34" i="32"/>
  <c r="W34" i="32"/>
  <c r="R32" i="32"/>
  <c r="L70" i="32"/>
  <c r="W36" i="32"/>
  <c r="AC36" i="32"/>
  <c r="X36" i="32"/>
  <c r="Q36" i="32"/>
  <c r="L65" i="32"/>
  <c r="X31" i="32"/>
  <c r="Q31" i="32"/>
  <c r="W31" i="32"/>
  <c r="AC31" i="32"/>
  <c r="R31" i="32"/>
  <c r="M28" i="32" l="1"/>
  <c r="M41" i="32" s="1"/>
  <c r="AB35" i="32"/>
  <c r="AJ35" i="32"/>
  <c r="AI35" i="32" s="1"/>
  <c r="AK35" i="32" s="1"/>
  <c r="AJ34" i="32"/>
  <c r="AI34" i="32" s="1"/>
  <c r="AK34" i="32" s="1"/>
  <c r="AB34" i="32"/>
  <c r="AB31" i="32"/>
  <c r="AJ31" i="32"/>
  <c r="AI31" i="32" s="1"/>
  <c r="AK31" i="32" s="1"/>
  <c r="AJ29" i="32"/>
  <c r="AI29" i="32" s="1"/>
  <c r="AK29" i="32" s="1"/>
  <c r="AB29" i="32"/>
  <c r="AB33" i="32"/>
  <c r="AJ33" i="32"/>
  <c r="AI33" i="32" s="1"/>
  <c r="AK33" i="32" s="1"/>
  <c r="AB30" i="32"/>
  <c r="AJ30" i="32"/>
  <c r="AI30" i="32" s="1"/>
  <c r="AK30" i="32" s="1"/>
  <c r="AJ32" i="32"/>
  <c r="AI32" i="32" s="1"/>
  <c r="AK32" i="32" s="1"/>
  <c r="AB32" i="32"/>
  <c r="AB36" i="32"/>
  <c r="AJ36" i="32"/>
  <c r="AI36" i="32" s="1"/>
  <c r="AK36" i="32" s="1"/>
  <c r="O28" i="32" l="1"/>
  <c r="P28" i="32" s="1"/>
  <c r="O41" i="32" l="1"/>
  <c r="AC28" i="32"/>
  <c r="Q28" i="32"/>
  <c r="W28" i="32"/>
  <c r="W41" i="32" s="1"/>
  <c r="X28" i="32"/>
  <c r="X41" i="32" s="1"/>
  <c r="X68" i="32" s="1"/>
  <c r="X69" i="32" s="1"/>
  <c r="X71" i="32" s="1"/>
  <c r="X73" i="32" s="1"/>
  <c r="L62" i="32"/>
  <c r="L75" i="32" s="1"/>
  <c r="P41" i="32"/>
  <c r="P42" i="32" s="1"/>
  <c r="R28" i="32"/>
  <c r="R41" i="32" s="1"/>
  <c r="AJ28" i="32" l="1"/>
  <c r="AC43" i="32"/>
  <c r="AB28" i="32"/>
  <c r="AB41" i="32" s="1"/>
  <c r="AC41" i="32"/>
  <c r="AC42" i="32" s="1"/>
  <c r="AJ41" i="32" l="1"/>
  <c r="AJ43" i="32"/>
  <c r="AI28" i="32"/>
  <c r="AI41" i="32" l="1"/>
  <c r="AK28" i="32"/>
  <c r="AK41" i="32" s="1"/>
  <c r="AJ71" i="32"/>
  <c r="AJ73" i="32" s="1"/>
  <c r="AJ42" i="32"/>
  <c r="BN11" i="18"/>
  <c r="BN15" i="18" s="1"/>
  <c r="BN29" i="18" s="1"/>
  <c r="BO4" i="18"/>
  <c r="H57" i="22" s="1"/>
  <c r="BO11" i="18" l="1"/>
  <c r="BO15" i="18" s="1"/>
  <c r="BO29" i="18" s="1"/>
  <c r="J57" i="22"/>
  <c r="H190" i="22"/>
  <c r="J190" i="22" s="1"/>
  <c r="BO36" i="18" l="1"/>
  <c r="F27" i="20" s="1"/>
  <c r="I27" i="20" s="1"/>
  <c r="B31" i="2" s="1"/>
  <c r="BO37" i="18"/>
  <c r="F28" i="20" s="1"/>
  <c r="I28" i="20" s="1"/>
  <c r="B32" i="2" s="1"/>
  <c r="BO34" i="18"/>
  <c r="F25" i="20" s="1"/>
  <c r="I25" i="20" s="1"/>
  <c r="B29" i="2" s="1"/>
  <c r="BO33" i="18"/>
  <c r="BO38" i="18"/>
  <c r="F29" i="20" s="1"/>
  <c r="I29" i="20" s="1"/>
  <c r="B33" i="2" s="1"/>
  <c r="BO40" i="18"/>
  <c r="F31" i="20" s="1"/>
  <c r="I31" i="20" s="1"/>
  <c r="B35" i="2" s="1"/>
  <c r="BO35" i="18"/>
  <c r="F26" i="20" s="1"/>
  <c r="I26" i="20" s="1"/>
  <c r="B30" i="2" s="1"/>
  <c r="BO39" i="18"/>
  <c r="F30" i="20" s="1"/>
  <c r="I30" i="20" s="1"/>
  <c r="B34" i="2" s="1"/>
  <c r="AQ33" i="33"/>
  <c r="O57" i="22"/>
  <c r="M57" i="22"/>
  <c r="N57" i="22"/>
  <c r="L57" i="22"/>
  <c r="M190" i="22"/>
  <c r="AQ13" i="33"/>
  <c r="AT13" i="33" s="1"/>
  <c r="N190" i="22"/>
  <c r="O190" i="22"/>
  <c r="L190" i="22"/>
  <c r="U57" i="22" l="1"/>
  <c r="BO42" i="18"/>
  <c r="P190" i="22"/>
  <c r="V190" i="22" s="1"/>
  <c r="U190" i="22"/>
  <c r="AB4" i="33"/>
  <c r="AE8" i="33" s="1"/>
  <c r="BO57" i="18"/>
  <c r="BO64" i="18" s="1"/>
  <c r="BO68" i="18" s="1"/>
  <c r="AE4" i="33"/>
  <c r="AB8" i="33" s="1"/>
  <c r="P57" i="22"/>
  <c r="V57" i="22" s="1"/>
  <c r="D13" i="33" l="1"/>
  <c r="O13" i="33" s="1"/>
  <c r="S57" i="22"/>
  <c r="D12" i="29" s="1"/>
  <c r="B37" i="20"/>
  <c r="F24" i="20"/>
  <c r="S190" i="22"/>
  <c r="K12" i="29" s="1"/>
  <c r="K13" i="33"/>
  <c r="V13" i="33" s="1"/>
  <c r="F37" i="20" l="1"/>
  <c r="I24" i="20"/>
  <c r="I37" i="20" l="1"/>
  <c r="B28" i="2"/>
  <c r="B41" i="2" l="1"/>
  <c r="C38" i="2" l="1"/>
  <c r="G38" i="2" s="1"/>
  <c r="C37" i="2"/>
  <c r="G37" i="2" s="1"/>
  <c r="C39" i="2"/>
  <c r="G39" i="2" s="1"/>
  <c r="C40" i="2"/>
  <c r="G40" i="2" s="1"/>
  <c r="C36" i="2"/>
  <c r="G36" i="2" s="1"/>
  <c r="C34" i="2"/>
  <c r="G34" i="2" s="1"/>
  <c r="C29" i="2"/>
  <c r="G29" i="2" s="1"/>
  <c r="C33" i="2"/>
  <c r="G33" i="2" s="1"/>
  <c r="C32" i="2"/>
  <c r="G32" i="2" s="1"/>
  <c r="C31" i="2"/>
  <c r="G31" i="2" s="1"/>
  <c r="C35" i="2"/>
  <c r="G35" i="2" s="1"/>
  <c r="C30" i="2"/>
  <c r="G30" i="2" s="1"/>
  <c r="C28" i="2"/>
  <c r="I32" i="2" l="1"/>
  <c r="J32" i="2" s="1"/>
  <c r="B66" i="2"/>
  <c r="I30" i="2"/>
  <c r="J30" i="2" s="1"/>
  <c r="B64" i="2"/>
  <c r="B65" i="2"/>
  <c r="I31" i="2"/>
  <c r="J31" i="2" s="1"/>
  <c r="I29" i="2"/>
  <c r="J29" i="2" s="1"/>
  <c r="B63" i="2"/>
  <c r="B71" i="2"/>
  <c r="I37" i="2"/>
  <c r="J37" i="2" s="1"/>
  <c r="I35" i="2"/>
  <c r="J35" i="2" s="1"/>
  <c r="B69" i="2"/>
  <c r="B67" i="2"/>
  <c r="I33" i="2"/>
  <c r="J33" i="2" s="1"/>
  <c r="I34" i="2"/>
  <c r="J34" i="2" s="1"/>
  <c r="B68" i="2"/>
  <c r="I36" i="2"/>
  <c r="J36" i="2" s="1"/>
  <c r="B70" i="2"/>
  <c r="B74" i="2"/>
  <c r="I40" i="2"/>
  <c r="J40" i="2" s="1"/>
  <c r="I39" i="2"/>
  <c r="J39" i="2" s="1"/>
  <c r="B73" i="2"/>
  <c r="G28" i="2"/>
  <c r="C41" i="2"/>
  <c r="I38" i="2"/>
  <c r="J38" i="2" s="1"/>
  <c r="B72" i="2"/>
  <c r="B5" i="30" l="1"/>
  <c r="M31" i="2"/>
  <c r="O31" i="2" s="1"/>
  <c r="P31" i="2" s="1"/>
  <c r="R37" i="2"/>
  <c r="M37" i="2"/>
  <c r="M34" i="2"/>
  <c r="O34" i="2" s="1"/>
  <c r="P34" i="2" s="1"/>
  <c r="M38" i="2"/>
  <c r="R38" i="2"/>
  <c r="R40" i="2"/>
  <c r="M40" i="2"/>
  <c r="G41" i="2"/>
  <c r="I28" i="2"/>
  <c r="I41" i="2" s="1"/>
  <c r="B62" i="2"/>
  <c r="B75" i="2" s="1"/>
  <c r="M33" i="2"/>
  <c r="O33" i="2" s="1"/>
  <c r="P33" i="2" s="1"/>
  <c r="R33" i="2" s="1"/>
  <c r="R39" i="2"/>
  <c r="M39" i="2"/>
  <c r="M35" i="2"/>
  <c r="O35" i="2" s="1"/>
  <c r="P35" i="2" s="1"/>
  <c r="R35" i="2" s="1"/>
  <c r="M30" i="2"/>
  <c r="O30" i="2" s="1"/>
  <c r="P30" i="2" s="1"/>
  <c r="M36" i="2"/>
  <c r="O36" i="2" s="1"/>
  <c r="P36" i="2" s="1"/>
  <c r="R36" i="2" s="1"/>
  <c r="M32" i="2"/>
  <c r="O32" i="2" s="1"/>
  <c r="P32" i="2" s="1"/>
  <c r="R32" i="2" s="1"/>
  <c r="M29" i="2"/>
  <c r="O29" i="2" s="1"/>
  <c r="P29" i="2" s="1"/>
  <c r="R29" i="2" s="1"/>
  <c r="J28" i="2" l="1"/>
  <c r="J41" i="2" s="1"/>
  <c r="X34" i="2"/>
  <c r="Q34" i="2"/>
  <c r="W34" i="2"/>
  <c r="L68" i="2"/>
  <c r="M68" i="2" s="1"/>
  <c r="AC34" i="2"/>
  <c r="L64" i="2"/>
  <c r="M64" i="2" s="1"/>
  <c r="Q30" i="2"/>
  <c r="W30" i="2"/>
  <c r="X30" i="2"/>
  <c r="AC30" i="2"/>
  <c r="R30" i="2"/>
  <c r="R34" i="2"/>
  <c r="W31" i="2"/>
  <c r="L65" i="2"/>
  <c r="M65" i="2" s="1"/>
  <c r="Q31" i="2"/>
  <c r="X31" i="2"/>
  <c r="AC31" i="2"/>
  <c r="L21" i="30"/>
  <c r="L11" i="30"/>
  <c r="W35" i="2"/>
  <c r="Q35" i="2"/>
  <c r="X35" i="2"/>
  <c r="L69" i="2"/>
  <c r="M69" i="2" s="1"/>
  <c r="AC35" i="2"/>
  <c r="W29" i="2"/>
  <c r="X29" i="2"/>
  <c r="Q29" i="2"/>
  <c r="AC29" i="2"/>
  <c r="L63" i="2"/>
  <c r="M63" i="2" s="1"/>
  <c r="Q33" i="2"/>
  <c r="W33" i="2"/>
  <c r="X33" i="2"/>
  <c r="L67" i="2"/>
  <c r="M67" i="2" s="1"/>
  <c r="AC33" i="2"/>
  <c r="AC32" i="2"/>
  <c r="W32" i="2"/>
  <c r="Q32" i="2"/>
  <c r="X32" i="2"/>
  <c r="L66" i="2"/>
  <c r="M66" i="2" s="1"/>
  <c r="W36" i="2"/>
  <c r="Q36" i="2"/>
  <c r="X36" i="2"/>
  <c r="L70" i="2"/>
  <c r="M70" i="2" s="1"/>
  <c r="AC36" i="2"/>
  <c r="R31" i="2"/>
  <c r="M28" i="2" l="1"/>
  <c r="M41" i="2" s="1"/>
  <c r="AB36" i="2"/>
  <c r="AJ36" i="2"/>
  <c r="AI36" i="2" s="1"/>
  <c r="AK36" i="2" s="1"/>
  <c r="AB30" i="2"/>
  <c r="AJ30" i="2"/>
  <c r="AI30" i="2" s="1"/>
  <c r="AK30" i="2" s="1"/>
  <c r="AB35" i="2"/>
  <c r="AJ35" i="2"/>
  <c r="AI35" i="2" s="1"/>
  <c r="AK35" i="2" s="1"/>
  <c r="AB31" i="2"/>
  <c r="AJ31" i="2"/>
  <c r="AI31" i="2" s="1"/>
  <c r="AK31" i="2" s="1"/>
  <c r="AB33" i="2"/>
  <c r="AJ33" i="2"/>
  <c r="AI33" i="2" s="1"/>
  <c r="AK33" i="2" s="1"/>
  <c r="AB34" i="2"/>
  <c r="AJ34" i="2"/>
  <c r="AI34" i="2" s="1"/>
  <c r="AK34" i="2" s="1"/>
  <c r="AJ29" i="2"/>
  <c r="AI29" i="2" s="1"/>
  <c r="AK29" i="2" s="1"/>
  <c r="AB29" i="2"/>
  <c r="AB32" i="2"/>
  <c r="AJ32" i="2"/>
  <c r="AI32" i="2" s="1"/>
  <c r="AK32" i="2" s="1"/>
  <c r="O28" i="2" l="1"/>
  <c r="O41" i="2" s="1"/>
  <c r="P28" i="2" l="1"/>
  <c r="W28" i="2" s="1"/>
  <c r="W41" i="2" s="1"/>
  <c r="Q28" i="2" l="1"/>
  <c r="R28" i="2"/>
  <c r="R41" i="2" s="1"/>
  <c r="AC28" i="2"/>
  <c r="AC41" i="2" s="1"/>
  <c r="AC42" i="2" s="1"/>
  <c r="P41" i="2"/>
  <c r="P42" i="2" s="1"/>
  <c r="L62" i="2"/>
  <c r="L75" i="2" s="1"/>
  <c r="X28" i="2"/>
  <c r="X41" i="2" s="1"/>
  <c r="X68" i="2" s="1"/>
  <c r="X69" i="2" s="1"/>
  <c r="X71" i="2" s="1"/>
  <c r="X73" i="2" s="1"/>
  <c r="AC43" i="2"/>
  <c r="M62" i="2"/>
  <c r="AB28" i="2" l="1"/>
  <c r="AB41" i="2" s="1"/>
  <c r="AJ28" i="2"/>
  <c r="AI28" i="2" s="1"/>
  <c r="AJ41" i="2"/>
  <c r="AJ43" i="2"/>
  <c r="AI41" i="2" l="1"/>
  <c r="AK28" i="2"/>
  <c r="AK41" i="2" s="1"/>
  <c r="AJ42" i="2"/>
  <c r="AJ71" i="2"/>
  <c r="AJ73" i="2" s="1"/>
  <c r="BI2" i="18"/>
  <c r="H18" i="22" s="1"/>
  <c r="J18" i="22" s="1"/>
  <c r="AM32" i="33" l="1"/>
  <c r="N18" i="22"/>
  <c r="M18" i="22"/>
  <c r="O18" i="22"/>
  <c r="L18" i="22"/>
  <c r="P18" i="22" l="1"/>
  <c r="V18" i="22" s="1"/>
  <c r="B12" i="33" l="1"/>
  <c r="M12" i="33" s="1"/>
  <c r="S18" i="22"/>
  <c r="B11" i="29" s="1"/>
  <c r="U18" i="22"/>
  <c r="BI4" i="18"/>
  <c r="H56" i="22" s="1"/>
  <c r="J56" i="22" s="1"/>
  <c r="BI6" i="18"/>
  <c r="BI5" i="18"/>
  <c r="H75" i="22" s="1"/>
  <c r="J75" i="22" s="1"/>
  <c r="BI7" i="18"/>
  <c r="BI3" i="18"/>
  <c r="BI9" i="18"/>
  <c r="H170" i="22" s="1"/>
  <c r="J170" i="22" s="1"/>
  <c r="BH11" i="18"/>
  <c r="BH15" i="18" s="1"/>
  <c r="BH29" i="18" s="1"/>
  <c r="BI8" i="18"/>
  <c r="H151" i="22" s="1"/>
  <c r="J151" i="22" s="1"/>
  <c r="L151" i="22" s="1"/>
  <c r="BI11" i="18" l="1"/>
  <c r="BI15" i="18" s="1"/>
  <c r="BI29" i="18" s="1"/>
  <c r="N75" i="22"/>
  <c r="AM12" i="33"/>
  <c r="M75" i="22"/>
  <c r="O75" i="22"/>
  <c r="L75" i="22"/>
  <c r="M170" i="22"/>
  <c r="N170" i="22"/>
  <c r="AM62" i="33"/>
  <c r="O170" i="22"/>
  <c r="L170" i="22"/>
  <c r="H94" i="22"/>
  <c r="J94" i="22" s="1"/>
  <c r="L56" i="22"/>
  <c r="O56" i="22"/>
  <c r="AQ32" i="33"/>
  <c r="N56" i="22"/>
  <c r="M56" i="22"/>
  <c r="H113" i="22"/>
  <c r="J113" i="22" s="1"/>
  <c r="AT47" i="33"/>
  <c r="N151" i="22"/>
  <c r="M151" i="22"/>
  <c r="O151" i="22"/>
  <c r="U151" i="22" s="1"/>
  <c r="H37" i="22"/>
  <c r="J37" i="22" s="1"/>
  <c r="BI37" i="18" l="1"/>
  <c r="BI35" i="18"/>
  <c r="BI36" i="18"/>
  <c r="BI40" i="18"/>
  <c r="BI39" i="18"/>
  <c r="BI34" i="18"/>
  <c r="BI33" i="18"/>
  <c r="BI38" i="18"/>
  <c r="AT32" i="33"/>
  <c r="M37" i="22"/>
  <c r="O37" i="22"/>
  <c r="N37" i="22"/>
  <c r="L37" i="22"/>
  <c r="U75" i="22"/>
  <c r="P75" i="22"/>
  <c r="V75" i="22" s="1"/>
  <c r="U56" i="22"/>
  <c r="P56" i="22"/>
  <c r="H189" i="22"/>
  <c r="J189" i="22" s="1"/>
  <c r="O113" i="22"/>
  <c r="AQ47" i="33"/>
  <c r="N113" i="22"/>
  <c r="M113" i="22"/>
  <c r="L113" i="22"/>
  <c r="U170" i="22"/>
  <c r="P170" i="22"/>
  <c r="V170" i="22" s="1"/>
  <c r="O94" i="22"/>
  <c r="L94" i="22"/>
  <c r="N94" i="22"/>
  <c r="AM47" i="33"/>
  <c r="M94" i="22"/>
  <c r="P151" i="22"/>
  <c r="BI57" i="18" l="1"/>
  <c r="BI64" i="18" s="1"/>
  <c r="BI68" i="18" s="1"/>
  <c r="BI42" i="18"/>
  <c r="L189" i="22"/>
  <c r="O189" i="22"/>
  <c r="N189" i="22"/>
  <c r="M189" i="22"/>
  <c r="AQ12" i="33"/>
  <c r="AT12" i="33" s="1"/>
  <c r="E12" i="33"/>
  <c r="P12" i="33" s="1"/>
  <c r="S75" i="22"/>
  <c r="E11" i="29" s="1"/>
  <c r="B20" i="30" s="1"/>
  <c r="G20" i="30" s="1"/>
  <c r="I12" i="33"/>
  <c r="T12" i="33" s="1"/>
  <c r="S151" i="22"/>
  <c r="I11" i="29" s="1"/>
  <c r="P37" i="22"/>
  <c r="U37" i="22" s="1"/>
  <c r="S56" i="22"/>
  <c r="D11" i="29" s="1"/>
  <c r="D12" i="33"/>
  <c r="O12" i="33" s="1"/>
  <c r="V151" i="22"/>
  <c r="V56" i="22"/>
  <c r="S170" i="22"/>
  <c r="J11" i="29" s="1"/>
  <c r="J12" i="33"/>
  <c r="U12" i="33" s="1"/>
  <c r="U113" i="22"/>
  <c r="P113" i="22"/>
  <c r="V113" i="22" s="1"/>
  <c r="P94" i="22"/>
  <c r="U94" i="22"/>
  <c r="V37" i="22" l="1"/>
  <c r="G12" i="33"/>
  <c r="R12" i="33" s="1"/>
  <c r="S113" i="22"/>
  <c r="G11" i="29" s="1"/>
  <c r="S94" i="22"/>
  <c r="F11" i="29" s="1"/>
  <c r="F12" i="33"/>
  <c r="Q12" i="33" s="1"/>
  <c r="V94" i="22"/>
  <c r="S37" i="22"/>
  <c r="C11" i="29" s="1"/>
  <c r="C12" i="33"/>
  <c r="N12" i="33" s="1"/>
  <c r="Q20" i="30"/>
  <c r="L20" i="30"/>
  <c r="P189" i="22"/>
  <c r="V189" i="22" s="1"/>
  <c r="U189" i="22"/>
  <c r="S189" i="22" l="1"/>
  <c r="K11" i="29" s="1"/>
  <c r="K12" i="33"/>
  <c r="V12" i="33" s="1"/>
  <c r="Y2" i="18"/>
  <c r="H12" i="22" s="1"/>
  <c r="J12" i="22" s="1"/>
  <c r="AM26" i="33" l="1"/>
  <c r="O12" i="22"/>
  <c r="M12" i="22"/>
  <c r="L12" i="22"/>
  <c r="N12" i="22"/>
  <c r="P12" i="22" l="1"/>
  <c r="B6" i="33" l="1"/>
  <c r="M6" i="33" s="1"/>
  <c r="S12" i="22"/>
  <c r="B5" i="29" s="1"/>
  <c r="U12" i="22"/>
  <c r="V12" i="22"/>
  <c r="Y4" i="18"/>
  <c r="Y6" i="18"/>
  <c r="H88" i="22" s="1"/>
  <c r="J88" i="22" s="1"/>
  <c r="Y8" i="18"/>
  <c r="H145" i="22" s="1"/>
  <c r="J145" i="22" s="1"/>
  <c r="Y3" i="18"/>
  <c r="H31" i="22" s="1"/>
  <c r="J31" i="22" s="1"/>
  <c r="Y7" i="18"/>
  <c r="Y9" i="18"/>
  <c r="H164" i="22" s="1"/>
  <c r="J164" i="22" s="1"/>
  <c r="X15" i="18"/>
  <c r="X29" i="18" s="1"/>
  <c r="Y5" i="18"/>
  <c r="L31" i="22" l="1"/>
  <c r="O31" i="22"/>
  <c r="AT26" i="33"/>
  <c r="N31" i="22"/>
  <c r="M31" i="22"/>
  <c r="N145" i="22"/>
  <c r="M145" i="22"/>
  <c r="O145" i="22"/>
  <c r="AT41" i="33"/>
  <c r="L145" i="22"/>
  <c r="M164" i="22"/>
  <c r="O164" i="22"/>
  <c r="AM56" i="33"/>
  <c r="N164" i="22"/>
  <c r="H107" i="22"/>
  <c r="J107" i="22" s="1"/>
  <c r="Y11" i="18"/>
  <c r="O88" i="22"/>
  <c r="N88" i="22"/>
  <c r="M88" i="22"/>
  <c r="L88" i="22"/>
  <c r="AM41" i="33"/>
  <c r="H69" i="22"/>
  <c r="J69" i="22" s="1"/>
  <c r="L164" i="22"/>
  <c r="H50" i="22"/>
  <c r="J50" i="22" s="1"/>
  <c r="Y33" i="18" l="1"/>
  <c r="Y15" i="18"/>
  <c r="Y29" i="18" s="1"/>
  <c r="N50" i="22"/>
  <c r="L50" i="22"/>
  <c r="AQ26" i="33"/>
  <c r="O50" i="22"/>
  <c r="M50" i="22"/>
  <c r="U164" i="22"/>
  <c r="P164" i="22"/>
  <c r="V164" i="22" s="1"/>
  <c r="U145" i="22"/>
  <c r="P145" i="22"/>
  <c r="V145" i="22" s="1"/>
  <c r="Y34" i="18"/>
  <c r="M69" i="22"/>
  <c r="AM6" i="33"/>
  <c r="O69" i="22"/>
  <c r="N69" i="22"/>
  <c r="L69" i="22"/>
  <c r="Y35" i="18"/>
  <c r="Y37" i="18"/>
  <c r="L107" i="22"/>
  <c r="AQ41" i="33"/>
  <c r="O107" i="22"/>
  <c r="M107" i="22"/>
  <c r="N107" i="22"/>
  <c r="Y40" i="18"/>
  <c r="H183" i="22"/>
  <c r="J183" i="22" s="1"/>
  <c r="Y38" i="18"/>
  <c r="Y36" i="18"/>
  <c r="Y39" i="18"/>
  <c r="U88" i="22"/>
  <c r="P88" i="22"/>
  <c r="P31" i="22"/>
  <c r="V31" i="22" s="1"/>
  <c r="U31" i="22" l="1"/>
  <c r="S88" i="22"/>
  <c r="F5" i="29" s="1"/>
  <c r="F6" i="33"/>
  <c r="Q6" i="33" s="1"/>
  <c r="I6" i="33"/>
  <c r="T6" i="33" s="1"/>
  <c r="S145" i="22"/>
  <c r="I5" i="29" s="1"/>
  <c r="J6" i="33"/>
  <c r="U6" i="33" s="1"/>
  <c r="S164" i="22"/>
  <c r="J5" i="29" s="1"/>
  <c r="O183" i="22"/>
  <c r="N183" i="22"/>
  <c r="AQ6" i="33"/>
  <c r="AT6" i="33" s="1"/>
  <c r="M183" i="22"/>
  <c r="L183" i="22"/>
  <c r="U50" i="22"/>
  <c r="P50" i="22"/>
  <c r="V50" i="22" s="1"/>
  <c r="P107" i="22"/>
  <c r="V107" i="22" s="1"/>
  <c r="U107" i="22"/>
  <c r="U69" i="22"/>
  <c r="P69" i="22"/>
  <c r="V69" i="22" s="1"/>
  <c r="V88" i="22"/>
  <c r="C6" i="33"/>
  <c r="N6" i="33" s="1"/>
  <c r="S31" i="22"/>
  <c r="C5" i="29" s="1"/>
  <c r="Y42" i="18"/>
  <c r="P183" i="22" l="1"/>
  <c r="V183" i="22" s="1"/>
  <c r="U183" i="22"/>
  <c r="S69" i="22"/>
  <c r="E5" i="29" s="1"/>
  <c r="B14" i="30" s="1"/>
  <c r="E6" i="33"/>
  <c r="P6" i="33" s="1"/>
  <c r="S107" i="22"/>
  <c r="G5" i="29" s="1"/>
  <c r="G6" i="33"/>
  <c r="R6" i="33" s="1"/>
  <c r="D6" i="33"/>
  <c r="O6" i="33" s="1"/>
  <c r="S50" i="22"/>
  <c r="D5" i="29" s="1"/>
  <c r="G14" i="30" l="1"/>
  <c r="S183" i="22"/>
  <c r="K5" i="29" s="1"/>
  <c r="K6" i="33"/>
  <c r="V6" i="33" s="1"/>
  <c r="L14" i="30" l="1"/>
  <c r="Q14" i="30"/>
  <c r="M2" i="18"/>
  <c r="H10" i="22" s="1"/>
  <c r="J10" i="22" s="1"/>
  <c r="N10" i="22" s="1"/>
  <c r="M10" i="22" l="1"/>
  <c r="AM24" i="33"/>
  <c r="O10" i="22"/>
  <c r="L10" i="22"/>
  <c r="P10" i="22" l="1"/>
  <c r="S10" i="22" l="1"/>
  <c r="B4" i="33"/>
  <c r="M4" i="33" s="1"/>
  <c r="V10" i="22"/>
  <c r="U10" i="22"/>
  <c r="B3" i="29" l="1"/>
  <c r="M6" i="18"/>
  <c r="H86" i="22" s="1"/>
  <c r="J86" i="22" s="1"/>
  <c r="M7" i="18"/>
  <c r="H105" i="22" s="1"/>
  <c r="J105" i="22" s="1"/>
  <c r="M9" i="18"/>
  <c r="M8" i="18"/>
  <c r="M3" i="18"/>
  <c r="H29" i="22" s="1"/>
  <c r="J29" i="22" s="1"/>
  <c r="L29" i="22" s="1"/>
  <c r="M5" i="18"/>
  <c r="L11" i="18"/>
  <c r="L15" i="18" s="1"/>
  <c r="L29" i="18" s="1"/>
  <c r="M4" i="18"/>
  <c r="H48" i="22" s="1"/>
  <c r="J48" i="22" s="1"/>
  <c r="AQ24" i="33" l="1"/>
  <c r="O48" i="22"/>
  <c r="M48" i="22"/>
  <c r="N48" i="22"/>
  <c r="L48" i="22"/>
  <c r="M11" i="18"/>
  <c r="M39" i="18" s="1"/>
  <c r="L105" i="22"/>
  <c r="M105" i="22"/>
  <c r="O105" i="22"/>
  <c r="AQ39" i="33"/>
  <c r="N105" i="22"/>
  <c r="M86" i="22"/>
  <c r="N86" i="22"/>
  <c r="L86" i="22"/>
  <c r="AM39" i="33"/>
  <c r="O86" i="22"/>
  <c r="M29" i="22"/>
  <c r="O29" i="22"/>
  <c r="N29" i="22"/>
  <c r="AT24" i="33"/>
  <c r="H67" i="22"/>
  <c r="J67" i="22" s="1"/>
  <c r="H143" i="22"/>
  <c r="J143" i="22" s="1"/>
  <c r="H162" i="22"/>
  <c r="M36" i="18" l="1"/>
  <c r="M35" i="18"/>
  <c r="P105" i="22"/>
  <c r="V105" i="22" s="1"/>
  <c r="U105" i="22"/>
  <c r="M37" i="18"/>
  <c r="M38" i="18"/>
  <c r="M34" i="18"/>
  <c r="M15" i="18"/>
  <c r="M29" i="18" s="1"/>
  <c r="M33" i="18"/>
  <c r="H181" i="22"/>
  <c r="J181" i="22" s="1"/>
  <c r="J162" i="22"/>
  <c r="U48" i="22"/>
  <c r="P48" i="22"/>
  <c r="V48" i="22" s="1"/>
  <c r="N67" i="22"/>
  <c r="AM4" i="33"/>
  <c r="M67" i="22"/>
  <c r="O67" i="22"/>
  <c r="L67" i="22"/>
  <c r="U86" i="22"/>
  <c r="P86" i="22"/>
  <c r="L143" i="22"/>
  <c r="M143" i="22"/>
  <c r="O143" i="22"/>
  <c r="AT39" i="33"/>
  <c r="N143" i="22"/>
  <c r="P29" i="22"/>
  <c r="V29" i="22" s="1"/>
  <c r="M40" i="18"/>
  <c r="M42" i="18" l="1"/>
  <c r="N181" i="22"/>
  <c r="L181" i="22"/>
  <c r="M181" i="22"/>
  <c r="O181" i="22"/>
  <c r="AQ4" i="33"/>
  <c r="AT4" i="33" s="1"/>
  <c r="N162" i="22"/>
  <c r="L162" i="22"/>
  <c r="O162" i="22"/>
  <c r="AM54" i="33"/>
  <c r="M162" i="22"/>
  <c r="P143" i="22"/>
  <c r="U143" i="22"/>
  <c r="S86" i="22"/>
  <c r="F4" i="33"/>
  <c r="Q4" i="33" s="1"/>
  <c r="U67" i="22"/>
  <c r="P67" i="22"/>
  <c r="V67" i="22" s="1"/>
  <c r="V86" i="22"/>
  <c r="S29" i="22"/>
  <c r="C4" i="33"/>
  <c r="N4" i="33" s="1"/>
  <c r="U29" i="22"/>
  <c r="S48" i="22"/>
  <c r="D4" i="33"/>
  <c r="O4" i="33" s="1"/>
  <c r="G4" i="33"/>
  <c r="R4" i="33" s="1"/>
  <c r="S105" i="22"/>
  <c r="I4" i="33" l="1"/>
  <c r="T4" i="33" s="1"/>
  <c r="S143" i="22"/>
  <c r="P162" i="22"/>
  <c r="V162" i="22" s="1"/>
  <c r="U162" i="22"/>
  <c r="E4" i="33"/>
  <c r="P4" i="33" s="1"/>
  <c r="S67" i="22"/>
  <c r="D3" i="29"/>
  <c r="G3" i="29"/>
  <c r="F3" i="29"/>
  <c r="U181" i="22"/>
  <c r="P181" i="22"/>
  <c r="V181" i="22" s="1"/>
  <c r="V143" i="22"/>
  <c r="C3" i="29"/>
  <c r="E3" i="29" l="1"/>
  <c r="B12" i="30" s="1"/>
  <c r="I3" i="29"/>
  <c r="S162" i="22"/>
  <c r="J4" i="33"/>
  <c r="U4" i="33" s="1"/>
  <c r="S181" i="22"/>
  <c r="K4" i="33"/>
  <c r="V4" i="33" s="1"/>
  <c r="K3" i="29" l="1"/>
  <c r="J3" i="29"/>
  <c r="G12" i="30"/>
  <c r="Q12" i="30" l="1"/>
  <c r="L12" i="30"/>
  <c r="S2" i="18"/>
  <c r="H11" i="22" s="1"/>
  <c r="J11" i="22" s="1"/>
  <c r="M11" i="22" l="1"/>
  <c r="N11" i="22"/>
  <c r="O11" i="22"/>
  <c r="L11" i="22"/>
  <c r="AM25" i="33"/>
  <c r="P11" i="22" l="1"/>
  <c r="U11" i="22" s="1"/>
  <c r="V11" i="22" l="1"/>
  <c r="S11" i="22"/>
  <c r="B5" i="33"/>
  <c r="M5" i="33" s="1"/>
  <c r="B4" i="29" l="1"/>
  <c r="S6" i="18"/>
  <c r="H87" i="22" s="1"/>
  <c r="J87" i="22" s="1"/>
  <c r="M87" i="22" s="1"/>
  <c r="S5" i="18"/>
  <c r="H68" i="22" s="1"/>
  <c r="J68" i="22" s="1"/>
  <c r="S7" i="18"/>
  <c r="H106" i="22" s="1"/>
  <c r="J106" i="22" s="1"/>
  <c r="N106" i="22" s="1"/>
  <c r="S4" i="18"/>
  <c r="S9" i="18"/>
  <c r="S8" i="18"/>
  <c r="R11" i="18"/>
  <c r="R15" i="18" s="1"/>
  <c r="R29" i="18" s="1"/>
  <c r="S3" i="18"/>
  <c r="S11" i="18" l="1"/>
  <c r="S15" i="18" s="1"/>
  <c r="S29" i="18" s="1"/>
  <c r="S38" i="18"/>
  <c r="L68" i="22"/>
  <c r="M68" i="22"/>
  <c r="AM5" i="33"/>
  <c r="O68" i="22"/>
  <c r="N68" i="22"/>
  <c r="H30" i="22"/>
  <c r="J30" i="22" s="1"/>
  <c r="S37" i="18"/>
  <c r="S39" i="18"/>
  <c r="H144" i="22"/>
  <c r="J144" i="22" s="1"/>
  <c r="S40" i="18"/>
  <c r="L106" i="22"/>
  <c r="H163" i="22"/>
  <c r="O87" i="22"/>
  <c r="H49" i="22"/>
  <c r="J49" i="22" s="1"/>
  <c r="AM40" i="33"/>
  <c r="L87" i="22"/>
  <c r="O106" i="22"/>
  <c r="M106" i="22"/>
  <c r="AQ40" i="33"/>
  <c r="N87" i="22"/>
  <c r="S36" i="18" l="1"/>
  <c r="S34" i="18"/>
  <c r="S42" i="18" s="1"/>
  <c r="S33" i="18"/>
  <c r="S35" i="18"/>
  <c r="P87" i="22"/>
  <c r="V87" i="22" s="1"/>
  <c r="U87" i="22"/>
  <c r="O30" i="22"/>
  <c r="M30" i="22"/>
  <c r="AT25" i="33"/>
  <c r="N30" i="22"/>
  <c r="L30" i="22"/>
  <c r="U68" i="22"/>
  <c r="P68" i="22"/>
  <c r="V68" i="22" s="1"/>
  <c r="M49" i="22"/>
  <c r="L49" i="22"/>
  <c r="N49" i="22"/>
  <c r="O49" i="22"/>
  <c r="AQ25" i="33"/>
  <c r="H182" i="22"/>
  <c r="J182" i="22" s="1"/>
  <c r="J163" i="22"/>
  <c r="P106" i="22"/>
  <c r="U106" i="22"/>
  <c r="N144" i="22"/>
  <c r="M144" i="22"/>
  <c r="O144" i="22"/>
  <c r="AT40" i="33"/>
  <c r="L144" i="22"/>
  <c r="S106" i="22" l="1"/>
  <c r="G5" i="33"/>
  <c r="R5" i="33" s="1"/>
  <c r="V106" i="22"/>
  <c r="E5" i="33"/>
  <c r="P5" i="33" s="1"/>
  <c r="S68" i="22"/>
  <c r="P30" i="22"/>
  <c r="L163" i="22"/>
  <c r="M163" i="22"/>
  <c r="AM55" i="33"/>
  <c r="O163" i="22"/>
  <c r="N163" i="22"/>
  <c r="P49" i="22"/>
  <c r="V49" i="22" s="1"/>
  <c r="U49" i="22"/>
  <c r="L182" i="22"/>
  <c r="AQ5" i="33"/>
  <c r="AT5" i="33" s="1"/>
  <c r="N182" i="22"/>
  <c r="O182" i="22"/>
  <c r="M182" i="22"/>
  <c r="U144" i="22"/>
  <c r="P144" i="22"/>
  <c r="F5" i="33"/>
  <c r="Q5" i="33" s="1"/>
  <c r="S87" i="22"/>
  <c r="S144" i="22" l="1"/>
  <c r="I5" i="33"/>
  <c r="T5" i="33" s="1"/>
  <c r="S30" i="22"/>
  <c r="C5" i="33"/>
  <c r="N5" i="33" s="1"/>
  <c r="U163" i="22"/>
  <c r="P163" i="22"/>
  <c r="V163" i="22" s="1"/>
  <c r="U30" i="22"/>
  <c r="S81" i="22"/>
  <c r="E4" i="29"/>
  <c r="B13" i="30" s="1"/>
  <c r="D5" i="33"/>
  <c r="O5" i="33" s="1"/>
  <c r="S49" i="22"/>
  <c r="S100" i="22"/>
  <c r="F4" i="29"/>
  <c r="V30" i="22"/>
  <c r="S119" i="22"/>
  <c r="G4" i="29"/>
  <c r="U182" i="22"/>
  <c r="P182" i="22"/>
  <c r="V144" i="22"/>
  <c r="S62" i="22" l="1"/>
  <c r="D4" i="29"/>
  <c r="K5" i="33"/>
  <c r="V5" i="33" s="1"/>
  <c r="S182" i="22"/>
  <c r="C13" i="30"/>
  <c r="H13" i="30" s="1"/>
  <c r="C14" i="30"/>
  <c r="H14" i="30" s="1"/>
  <c r="G13" i="30"/>
  <c r="V182" i="22"/>
  <c r="J5" i="33"/>
  <c r="U5" i="33" s="1"/>
  <c r="S163" i="22"/>
  <c r="C4" i="29"/>
  <c r="S43" i="22"/>
  <c r="I4" i="29"/>
  <c r="S157" i="22"/>
  <c r="M13" i="30" l="1"/>
  <c r="R13" i="30"/>
  <c r="Q13" i="30"/>
  <c r="L13" i="30"/>
  <c r="K4" i="29"/>
  <c r="S195" i="22"/>
  <c r="R14" i="30"/>
  <c r="M14" i="30"/>
  <c r="S176" i="22"/>
  <c r="J4" i="29"/>
  <c r="AE2" i="18"/>
  <c r="H13" i="22" l="1"/>
  <c r="J13" i="22" s="1"/>
  <c r="O13" i="22" l="1"/>
  <c r="AM27" i="33"/>
  <c r="N13" i="22"/>
  <c r="M13" i="22"/>
  <c r="L13" i="22"/>
  <c r="P13" i="22" l="1"/>
  <c r="V13" i="22" s="1"/>
  <c r="B7" i="33" l="1"/>
  <c r="M7" i="33" s="1"/>
  <c r="S13" i="22"/>
  <c r="U13" i="22"/>
  <c r="B6" i="29" l="1"/>
  <c r="AE4" i="18"/>
  <c r="H51" i="22" s="1"/>
  <c r="J51" i="22" s="1"/>
  <c r="AE6" i="18"/>
  <c r="H89" i="22" s="1"/>
  <c r="J89" i="22" s="1"/>
  <c r="AE8" i="18"/>
  <c r="AE3" i="18"/>
  <c r="AE9" i="18"/>
  <c r="H165" i="22" s="1"/>
  <c r="AE7" i="18"/>
  <c r="AD11" i="18"/>
  <c r="AD15" i="18" s="1"/>
  <c r="AD29" i="18" s="1"/>
  <c r="AE5" i="18"/>
  <c r="J165" i="22" l="1"/>
  <c r="AM42" i="33"/>
  <c r="O89" i="22"/>
  <c r="N89" i="22"/>
  <c r="L89" i="22"/>
  <c r="M89" i="22"/>
  <c r="N51" i="22"/>
  <c r="L51" i="22"/>
  <c r="O51" i="22"/>
  <c r="AQ27" i="33"/>
  <c r="M51" i="22"/>
  <c r="H70" i="22"/>
  <c r="J70" i="22" s="1"/>
  <c r="H146" i="22"/>
  <c r="J146" i="22" s="1"/>
  <c r="AE11" i="18"/>
  <c r="AE36" i="18" s="1"/>
  <c r="H32" i="22"/>
  <c r="J32" i="22" s="1"/>
  <c r="H108" i="22"/>
  <c r="J108" i="22" s="1"/>
  <c r="AE39" i="18" l="1"/>
  <c r="M108" i="22"/>
  <c r="AQ42" i="33"/>
  <c r="O108" i="22"/>
  <c r="N108" i="22"/>
  <c r="L108" i="22"/>
  <c r="AE38" i="18"/>
  <c r="N32" i="22"/>
  <c r="O32" i="22"/>
  <c r="L32" i="22"/>
  <c r="M32" i="22"/>
  <c r="AT27" i="33"/>
  <c r="AE40" i="18"/>
  <c r="L70" i="22"/>
  <c r="M70" i="22"/>
  <c r="AM7" i="33"/>
  <c r="O70" i="22"/>
  <c r="N70" i="22"/>
  <c r="AE37" i="18"/>
  <c r="AE34" i="18"/>
  <c r="AE35" i="18"/>
  <c r="U51" i="22"/>
  <c r="P51" i="22"/>
  <c r="O165" i="22"/>
  <c r="AM57" i="33"/>
  <c r="M165" i="22"/>
  <c r="N165" i="22"/>
  <c r="L165" i="22"/>
  <c r="AE15" i="18"/>
  <c r="AE29" i="18" s="1"/>
  <c r="AE33" i="18"/>
  <c r="M146" i="22"/>
  <c r="O146" i="22"/>
  <c r="AT42" i="33"/>
  <c r="N146" i="22"/>
  <c r="L146" i="22"/>
  <c r="U89" i="22"/>
  <c r="P89" i="22"/>
  <c r="V89" i="22" s="1"/>
  <c r="H184" i="22"/>
  <c r="J184" i="22" s="1"/>
  <c r="U146" i="22" l="1"/>
  <c r="P146" i="22"/>
  <c r="AE42" i="18"/>
  <c r="P32" i="22"/>
  <c r="U32" i="22" s="1"/>
  <c r="S51" i="22"/>
  <c r="D6" i="29" s="1"/>
  <c r="D7" i="33"/>
  <c r="O7" i="33" s="1"/>
  <c r="P165" i="22"/>
  <c r="U165" i="22"/>
  <c r="V51" i="22"/>
  <c r="P108" i="22"/>
  <c r="V108" i="22" s="1"/>
  <c r="U108" i="22"/>
  <c r="O184" i="22"/>
  <c r="M184" i="22"/>
  <c r="AQ7" i="33"/>
  <c r="AT7" i="33" s="1"/>
  <c r="N184" i="22"/>
  <c r="L184" i="22"/>
  <c r="S89" i="22"/>
  <c r="F6" i="29" s="1"/>
  <c r="F7" i="33"/>
  <c r="Q7" i="33" s="1"/>
  <c r="P70" i="22"/>
  <c r="V70" i="22" s="1"/>
  <c r="U70" i="22"/>
  <c r="P184" i="22" l="1"/>
  <c r="U184" i="22"/>
  <c r="S165" i="22"/>
  <c r="J6" i="29" s="1"/>
  <c r="J7" i="33"/>
  <c r="U7" i="33" s="1"/>
  <c r="V165" i="22"/>
  <c r="G7" i="33"/>
  <c r="R7" i="33" s="1"/>
  <c r="S108" i="22"/>
  <c r="G6" i="29" s="1"/>
  <c r="S32" i="22"/>
  <c r="C6" i="29" s="1"/>
  <c r="C7" i="33"/>
  <c r="N7" i="33" s="1"/>
  <c r="S146" i="22"/>
  <c r="I6" i="29" s="1"/>
  <c r="I7" i="33"/>
  <c r="T7" i="33" s="1"/>
  <c r="V32" i="22"/>
  <c r="S70" i="22"/>
  <c r="E6" i="29" s="1"/>
  <c r="B15" i="30" s="1"/>
  <c r="E7" i="33"/>
  <c r="P7" i="33" s="1"/>
  <c r="V146" i="22"/>
  <c r="C15" i="30" l="1"/>
  <c r="H15" i="30" s="1"/>
  <c r="G15" i="30"/>
  <c r="D15" i="30"/>
  <c r="I15" i="30" s="1"/>
  <c r="K7" i="33"/>
  <c r="V7" i="33" s="1"/>
  <c r="S184" i="22"/>
  <c r="K6" i="29" s="1"/>
  <c r="V184" i="22"/>
  <c r="L15" i="30" l="1"/>
  <c r="Q15" i="30"/>
  <c r="S15" i="30"/>
  <c r="N15" i="30"/>
  <c r="R15" i="30"/>
  <c r="M15" i="30"/>
  <c r="AK2" i="18"/>
  <c r="H14" i="22" l="1"/>
  <c r="J14" i="22" s="1"/>
  <c r="N14" i="22" l="1"/>
  <c r="AM28" i="33"/>
  <c r="O14" i="22"/>
  <c r="M14" i="22"/>
  <c r="L14" i="22"/>
  <c r="P14" i="22" l="1"/>
  <c r="V14" i="22" s="1"/>
  <c r="S14" i="22" l="1"/>
  <c r="B8" i="33"/>
  <c r="M8" i="33" s="1"/>
  <c r="U14" i="22"/>
  <c r="B7" i="29" l="1"/>
  <c r="AK4" i="18"/>
  <c r="H52" i="22" s="1"/>
  <c r="J52" i="22" s="1"/>
  <c r="M52" i="22" s="1"/>
  <c r="AK7" i="18"/>
  <c r="H109" i="22" s="1"/>
  <c r="J109" i="22" s="1"/>
  <c r="AK3" i="18"/>
  <c r="H33" i="22" s="1"/>
  <c r="J33" i="22" s="1"/>
  <c r="N33" i="22" s="1"/>
  <c r="AK9" i="18"/>
  <c r="H166" i="22" s="1"/>
  <c r="AK6" i="18"/>
  <c r="H90" i="22" s="1"/>
  <c r="J90" i="22" s="1"/>
  <c r="AM43" i="33" s="1"/>
  <c r="AK8" i="18"/>
  <c r="H147" i="22" s="1"/>
  <c r="J147" i="22" s="1"/>
  <c r="AJ11" i="18"/>
  <c r="AJ15" i="18" s="1"/>
  <c r="AJ29" i="18" s="1"/>
  <c r="AK5" i="18"/>
  <c r="H71" i="22" s="1"/>
  <c r="J71" i="22" s="1"/>
  <c r="H185" i="22" l="1"/>
  <c r="J185" i="22" s="1"/>
  <c r="J166" i="22"/>
  <c r="N109" i="22"/>
  <c r="O109" i="22"/>
  <c r="L109" i="22"/>
  <c r="M109" i="22"/>
  <c r="AQ43" i="33"/>
  <c r="AT43" i="33"/>
  <c r="M147" i="22"/>
  <c r="N147" i="22"/>
  <c r="L147" i="22"/>
  <c r="O147" i="22"/>
  <c r="N71" i="22"/>
  <c r="L71" i="22"/>
  <c r="M71" i="22"/>
  <c r="AM8" i="33"/>
  <c r="O71" i="22"/>
  <c r="L52" i="22"/>
  <c r="L33" i="22"/>
  <c r="L90" i="22"/>
  <c r="N52" i="22"/>
  <c r="M33" i="22"/>
  <c r="N90" i="22"/>
  <c r="AQ28" i="33"/>
  <c r="O33" i="22"/>
  <c r="AT28" i="33"/>
  <c r="O52" i="22"/>
  <c r="M90" i="22"/>
  <c r="O90" i="22"/>
  <c r="AK11" i="18"/>
  <c r="AK38" i="18" s="1"/>
  <c r="AK33" i="18" l="1"/>
  <c r="AK35" i="18"/>
  <c r="AK39" i="18"/>
  <c r="AK15" i="18"/>
  <c r="AK29" i="18" s="1"/>
  <c r="P33" i="22"/>
  <c r="U33" i="22" s="1"/>
  <c r="U71" i="22"/>
  <c r="P71" i="22"/>
  <c r="V71" i="22" s="1"/>
  <c r="AK34" i="18"/>
  <c r="P109" i="22"/>
  <c r="V109" i="22" s="1"/>
  <c r="U109" i="22"/>
  <c r="AK36" i="18"/>
  <c r="O166" i="22"/>
  <c r="M166" i="22"/>
  <c r="N166" i="22"/>
  <c r="L166" i="22"/>
  <c r="AM58" i="33"/>
  <c r="P52" i="22"/>
  <c r="U52" i="22"/>
  <c r="AK37" i="18"/>
  <c r="AK40" i="18"/>
  <c r="U147" i="22"/>
  <c r="P147" i="22"/>
  <c r="P90" i="22"/>
  <c r="U90" i="22"/>
  <c r="AQ8" i="33"/>
  <c r="AT8" i="33" s="1"/>
  <c r="O185" i="22"/>
  <c r="M185" i="22"/>
  <c r="N185" i="22"/>
  <c r="L185" i="22"/>
  <c r="P185" i="22" l="1"/>
  <c r="V185" i="22" s="1"/>
  <c r="U185" i="22"/>
  <c r="C8" i="33"/>
  <c r="N8" i="33" s="1"/>
  <c r="S33" i="22"/>
  <c r="C7" i="29" s="1"/>
  <c r="V33" i="22"/>
  <c r="G8" i="33"/>
  <c r="R8" i="33" s="1"/>
  <c r="S109" i="22"/>
  <c r="G7" i="29" s="1"/>
  <c r="D8" i="33"/>
  <c r="O8" i="33" s="1"/>
  <c r="S52" i="22"/>
  <c r="D7" i="29" s="1"/>
  <c r="U166" i="22"/>
  <c r="P166" i="22"/>
  <c r="V52" i="22"/>
  <c r="S147" i="22"/>
  <c r="I7" i="29" s="1"/>
  <c r="I8" i="33"/>
  <c r="T8" i="33" s="1"/>
  <c r="S71" i="22"/>
  <c r="E7" i="29" s="1"/>
  <c r="B16" i="30" s="1"/>
  <c r="E8" i="33"/>
  <c r="P8" i="33" s="1"/>
  <c r="F8" i="33"/>
  <c r="Q8" i="33" s="1"/>
  <c r="S90" i="22"/>
  <c r="F7" i="29" s="1"/>
  <c r="V147" i="22"/>
  <c r="V90" i="22"/>
  <c r="AK42" i="18"/>
  <c r="S166" i="22" l="1"/>
  <c r="J7" i="29" s="1"/>
  <c r="J8" i="33"/>
  <c r="U8" i="33" s="1"/>
  <c r="V166" i="22"/>
  <c r="D16" i="30"/>
  <c r="I16" i="30" s="1"/>
  <c r="G16" i="30"/>
  <c r="C16" i="30"/>
  <c r="H16" i="30" s="1"/>
  <c r="S185" i="22"/>
  <c r="K7" i="29" s="1"/>
  <c r="K8" i="33"/>
  <c r="V8" i="33" s="1"/>
  <c r="M16" i="30" l="1"/>
  <c r="R16" i="30"/>
  <c r="Q16" i="30"/>
  <c r="L16" i="30"/>
  <c r="N16" i="30"/>
  <c r="S16" i="30"/>
  <c r="AQ2" i="18"/>
  <c r="H15" i="22" s="1"/>
  <c r="J15" i="22" s="1"/>
  <c r="O15" i="22" l="1"/>
  <c r="AM29" i="33"/>
  <c r="M15" i="22"/>
  <c r="N15" i="22"/>
  <c r="L15" i="22"/>
  <c r="P15" i="22" l="1"/>
  <c r="U15" i="22" s="1"/>
  <c r="V15" i="22" l="1"/>
  <c r="B9" i="33"/>
  <c r="M9" i="33" s="1"/>
  <c r="S15" i="22"/>
  <c r="B8" i="29" l="1"/>
  <c r="AQ8" i="18"/>
  <c r="AQ5" i="18"/>
  <c r="H72" i="22" s="1"/>
  <c r="J72" i="22" s="1"/>
  <c r="AQ9" i="18"/>
  <c r="H167" i="22" s="1"/>
  <c r="J167" i="22" s="1"/>
  <c r="AQ7" i="18"/>
  <c r="AQ6" i="18"/>
  <c r="H91" i="22" s="1"/>
  <c r="J91" i="22" s="1"/>
  <c r="AQ3" i="18"/>
  <c r="AP11" i="18"/>
  <c r="AP15" i="18" s="1"/>
  <c r="AP29" i="18" s="1"/>
  <c r="AQ4" i="18"/>
  <c r="H53" i="22" s="1"/>
  <c r="J53" i="22" s="1"/>
  <c r="AM59" i="33" l="1"/>
  <c r="L167" i="22"/>
  <c r="AM9" i="33"/>
  <c r="O72" i="22"/>
  <c r="N72" i="22"/>
  <c r="L72" i="22"/>
  <c r="M72" i="22"/>
  <c r="O53" i="22"/>
  <c r="M53" i="22"/>
  <c r="N53" i="22"/>
  <c r="L53" i="22"/>
  <c r="AQ29" i="33"/>
  <c r="L91" i="22"/>
  <c r="N91" i="22"/>
  <c r="AM44" i="33"/>
  <c r="M91" i="22"/>
  <c r="O91" i="22"/>
  <c r="N167" i="22"/>
  <c r="P167" i="22" s="1"/>
  <c r="AQ11" i="18"/>
  <c r="AQ40" i="18" s="1"/>
  <c r="H34" i="22"/>
  <c r="J34" i="22" s="1"/>
  <c r="O167" i="22"/>
  <c r="M167" i="22"/>
  <c r="H148" i="22"/>
  <c r="J148" i="22" s="1"/>
  <c r="H110" i="22"/>
  <c r="J110" i="22" s="1"/>
  <c r="U167" i="22" l="1"/>
  <c r="AQ35" i="18"/>
  <c r="AQ34" i="18"/>
  <c r="AQ39" i="18"/>
  <c r="AQ36" i="18"/>
  <c r="M148" i="22"/>
  <c r="O148" i="22"/>
  <c r="AT44" i="33"/>
  <c r="L148" i="22"/>
  <c r="N148" i="22"/>
  <c r="U53" i="22"/>
  <c r="P53" i="22"/>
  <c r="AQ38" i="18"/>
  <c r="U72" i="22"/>
  <c r="P72" i="22"/>
  <c r="V72" i="22" s="1"/>
  <c r="U91" i="22"/>
  <c r="P91" i="22"/>
  <c r="M34" i="22"/>
  <c r="O34" i="22"/>
  <c r="L34" i="22"/>
  <c r="AT29" i="33"/>
  <c r="N34" i="22"/>
  <c r="S167" i="22"/>
  <c r="J8" i="29" s="1"/>
  <c r="J9" i="33"/>
  <c r="U9" i="33" s="1"/>
  <c r="N110" i="22"/>
  <c r="L110" i="22"/>
  <c r="AQ44" i="33"/>
  <c r="O110" i="22"/>
  <c r="M110" i="22"/>
  <c r="H186" i="22"/>
  <c r="J186" i="22" s="1"/>
  <c r="AQ15" i="18"/>
  <c r="AQ29" i="18" s="1"/>
  <c r="AQ33" i="18"/>
  <c r="V167" i="22"/>
  <c r="AQ37" i="18"/>
  <c r="P110" i="22" l="1"/>
  <c r="U110" i="22"/>
  <c r="S53" i="22"/>
  <c r="D8" i="29" s="1"/>
  <c r="D9" i="33"/>
  <c r="O9" i="33" s="1"/>
  <c r="V110" i="22"/>
  <c r="AQ42" i="18"/>
  <c r="P34" i="22"/>
  <c r="V34" i="22" s="1"/>
  <c r="P148" i="22"/>
  <c r="U148" i="22"/>
  <c r="O186" i="22"/>
  <c r="N186" i="22"/>
  <c r="M186" i="22"/>
  <c r="L186" i="22"/>
  <c r="AQ9" i="33"/>
  <c r="AT9" i="33" s="1"/>
  <c r="S91" i="22"/>
  <c r="F8" i="29" s="1"/>
  <c r="F9" i="33"/>
  <c r="Q9" i="33" s="1"/>
  <c r="V53" i="22"/>
  <c r="E9" i="33"/>
  <c r="P9" i="33" s="1"/>
  <c r="S72" i="22"/>
  <c r="E8" i="29" s="1"/>
  <c r="B17" i="30" s="1"/>
  <c r="V91" i="22"/>
  <c r="C9" i="33" l="1"/>
  <c r="N9" i="33" s="1"/>
  <c r="S34" i="22"/>
  <c r="C8" i="29" s="1"/>
  <c r="S148" i="22"/>
  <c r="I8" i="29" s="1"/>
  <c r="I9" i="33"/>
  <c r="T9" i="33" s="1"/>
  <c r="P186" i="22"/>
  <c r="V186" i="22" s="1"/>
  <c r="U186" i="22"/>
  <c r="G17" i="30"/>
  <c r="C17" i="30"/>
  <c r="H17" i="30" s="1"/>
  <c r="D17" i="30"/>
  <c r="I17" i="30" s="1"/>
  <c r="U34" i="22"/>
  <c r="V148" i="22"/>
  <c r="G9" i="33"/>
  <c r="R9" i="33" s="1"/>
  <c r="S110" i="22"/>
  <c r="G8" i="29" s="1"/>
  <c r="S186" i="22" l="1"/>
  <c r="K8" i="29" s="1"/>
  <c r="K9" i="33"/>
  <c r="V9" i="33" s="1"/>
  <c r="M17" i="30"/>
  <c r="R17" i="30"/>
  <c r="Q17" i="30"/>
  <c r="L17" i="30"/>
  <c r="N17" i="30"/>
  <c r="S17" i="30"/>
  <c r="AW2" i="18"/>
  <c r="H16" i="22" s="1"/>
  <c r="J16" i="22" s="1"/>
  <c r="AM30" i="33" s="1"/>
  <c r="N16" i="22" l="1"/>
  <c r="L16" i="22"/>
  <c r="M16" i="22"/>
  <c r="O16" i="22"/>
  <c r="P16" i="22" l="1"/>
  <c r="V16" i="22" s="1"/>
  <c r="B10" i="33" l="1"/>
  <c r="M10" i="33" s="1"/>
  <c r="S16" i="22"/>
  <c r="U16" i="22"/>
  <c r="B9" i="29" l="1"/>
  <c r="AW3" i="18"/>
  <c r="H35" i="22" s="1"/>
  <c r="J35" i="22" s="1"/>
  <c r="O35" i="22" s="1"/>
  <c r="AW8" i="18"/>
  <c r="H149" i="22" s="1"/>
  <c r="AW7" i="18"/>
  <c r="H111" i="22" s="1"/>
  <c r="J111" i="22" s="1"/>
  <c r="L111" i="22" s="1"/>
  <c r="AW4" i="18"/>
  <c r="AW9" i="18"/>
  <c r="H168" i="22" s="1"/>
  <c r="J168" i="22" s="1"/>
  <c r="AW6" i="18"/>
  <c r="H92" i="22" s="1"/>
  <c r="J92" i="22" s="1"/>
  <c r="AV11" i="18"/>
  <c r="AV15" i="18" s="1"/>
  <c r="AV29" i="18" s="1"/>
  <c r="AW5" i="18"/>
  <c r="H73" i="22" s="1"/>
  <c r="J73" i="22" s="1"/>
  <c r="AM60" i="33" l="1"/>
  <c r="L168" i="22"/>
  <c r="O73" i="22"/>
  <c r="L73" i="22"/>
  <c r="L92" i="22"/>
  <c r="N92" i="22"/>
  <c r="AM45" i="33"/>
  <c r="M92" i="22"/>
  <c r="O92" i="22"/>
  <c r="N73" i="22"/>
  <c r="AW11" i="18"/>
  <c r="AW38" i="18" s="1"/>
  <c r="M35" i="22"/>
  <c r="AT30" i="33"/>
  <c r="N35" i="22"/>
  <c r="H54" i="22"/>
  <c r="J54" i="22" s="1"/>
  <c r="J149" i="22"/>
  <c r="L35" i="22"/>
  <c r="N111" i="22"/>
  <c r="M168" i="22"/>
  <c r="N168" i="22"/>
  <c r="O168" i="22"/>
  <c r="O111" i="22"/>
  <c r="U111" i="22" s="1"/>
  <c r="AM10" i="33"/>
  <c r="M111" i="22"/>
  <c r="M73" i="22"/>
  <c r="AQ45" i="33"/>
  <c r="P168" i="22" l="1"/>
  <c r="U168" i="22"/>
  <c r="U73" i="22"/>
  <c r="AW39" i="18"/>
  <c r="AW35" i="18"/>
  <c r="M54" i="22"/>
  <c r="O54" i="22"/>
  <c r="AQ30" i="33"/>
  <c r="N54" i="22"/>
  <c r="L54" i="22"/>
  <c r="J10" i="33"/>
  <c r="U10" i="33" s="1"/>
  <c r="S168" i="22"/>
  <c r="J9" i="29" s="1"/>
  <c r="P35" i="22"/>
  <c r="V35" i="22" s="1"/>
  <c r="N149" i="22"/>
  <c r="L149" i="22"/>
  <c r="M149" i="22"/>
  <c r="O149" i="22"/>
  <c r="AT45" i="33"/>
  <c r="AW40" i="18"/>
  <c r="AW33" i="18"/>
  <c r="AW15" i="18"/>
  <c r="AW29" i="18" s="1"/>
  <c r="AW37" i="18"/>
  <c r="P111" i="22"/>
  <c r="U92" i="22"/>
  <c r="P92" i="22"/>
  <c r="H187" i="22"/>
  <c r="J187" i="22" s="1"/>
  <c r="P73" i="22"/>
  <c r="V73" i="22" s="1"/>
  <c r="AW36" i="18"/>
  <c r="AW34" i="18"/>
  <c r="V168" i="22"/>
  <c r="S111" i="22" l="1"/>
  <c r="G9" i="29" s="1"/>
  <c r="G10" i="33"/>
  <c r="R10" i="33" s="1"/>
  <c r="U149" i="22"/>
  <c r="P149" i="22"/>
  <c r="V149" i="22" s="1"/>
  <c r="C10" i="33"/>
  <c r="N10" i="33" s="1"/>
  <c r="S35" i="22"/>
  <c r="C9" i="29" s="1"/>
  <c r="S92" i="22"/>
  <c r="F9" i="29" s="1"/>
  <c r="F10" i="33"/>
  <c r="Q10" i="33" s="1"/>
  <c r="V111" i="22"/>
  <c r="U54" i="22"/>
  <c r="P54" i="22"/>
  <c r="V92" i="22"/>
  <c r="U35" i="22"/>
  <c r="AW42" i="18"/>
  <c r="E10" i="33"/>
  <c r="P10" i="33" s="1"/>
  <c r="S73" i="22"/>
  <c r="E9" i="29" s="1"/>
  <c r="B18" i="30" s="1"/>
  <c r="N187" i="22"/>
  <c r="AQ10" i="33"/>
  <c r="AT10" i="33" s="1"/>
  <c r="L187" i="22"/>
  <c r="M187" i="22"/>
  <c r="O187" i="22"/>
  <c r="S54" i="22" l="1"/>
  <c r="D9" i="29" s="1"/>
  <c r="D10" i="33"/>
  <c r="O10" i="33" s="1"/>
  <c r="U187" i="22"/>
  <c r="P187" i="22"/>
  <c r="V187" i="22" s="1"/>
  <c r="V54" i="22"/>
  <c r="G18" i="30"/>
  <c r="D18" i="30"/>
  <c r="I18" i="30" s="1"/>
  <c r="C18" i="30"/>
  <c r="H18" i="30" s="1"/>
  <c r="I10" i="33"/>
  <c r="T10" i="33" s="1"/>
  <c r="S149" i="22"/>
  <c r="I9" i="29" s="1"/>
  <c r="L18" i="30" l="1"/>
  <c r="Q18" i="30"/>
  <c r="N18" i="30"/>
  <c r="S18" i="30"/>
  <c r="R18" i="30"/>
  <c r="M18" i="30"/>
  <c r="S187" i="22"/>
  <c r="K9" i="29" s="1"/>
  <c r="K10" i="33"/>
  <c r="V10" i="33" s="1"/>
  <c r="BC2" i="18"/>
  <c r="H17" i="22" s="1"/>
  <c r="J17" i="22" s="1"/>
  <c r="N17" i="22" l="1"/>
  <c r="M17" i="22"/>
  <c r="L17" i="22"/>
  <c r="AM31" i="33"/>
  <c r="O17" i="22"/>
  <c r="P17" i="22" l="1"/>
  <c r="V17" i="22" s="1"/>
  <c r="B11" i="33" l="1"/>
  <c r="M11" i="33" s="1"/>
  <c r="S17" i="22"/>
  <c r="U17" i="22"/>
  <c r="S24" i="22" l="1"/>
  <c r="B10" i="29"/>
  <c r="BC8" i="18"/>
  <c r="H150" i="22" s="1"/>
  <c r="J150" i="22" s="1"/>
  <c r="L150" i="22" s="1"/>
  <c r="BC7" i="18"/>
  <c r="H112" i="22" s="1"/>
  <c r="J112" i="22" s="1"/>
  <c r="BC6" i="18"/>
  <c r="H93" i="22" s="1"/>
  <c r="J93" i="22" s="1"/>
  <c r="BC4" i="18"/>
  <c r="H55" i="22" s="1"/>
  <c r="J55" i="22" s="1"/>
  <c r="BC9" i="18"/>
  <c r="BC5" i="18"/>
  <c r="H74" i="22" s="1"/>
  <c r="J74" i="22" s="1"/>
  <c r="BB11" i="18"/>
  <c r="BB15" i="18" s="1"/>
  <c r="BB29" i="18" s="1"/>
  <c r="BC3" i="18"/>
  <c r="H36" i="22" s="1"/>
  <c r="J36" i="22" s="1"/>
  <c r="N55" i="22" l="1"/>
  <c r="L55" i="22"/>
  <c r="M112" i="22"/>
  <c r="N112" i="22"/>
  <c r="BC11" i="18"/>
  <c r="BC33" i="18" s="1"/>
  <c r="L93" i="22"/>
  <c r="M93" i="22"/>
  <c r="O93" i="22"/>
  <c r="N93" i="22"/>
  <c r="AM46" i="33"/>
  <c r="N74" i="22"/>
  <c r="L74" i="22"/>
  <c r="M74" i="22"/>
  <c r="AM11" i="33"/>
  <c r="O74" i="22"/>
  <c r="O36" i="22"/>
  <c r="N36" i="22"/>
  <c r="M36" i="22"/>
  <c r="L36" i="22"/>
  <c r="AT31" i="33"/>
  <c r="L112" i="22"/>
  <c r="AQ31" i="33"/>
  <c r="O150" i="22"/>
  <c r="U150" i="22" s="1"/>
  <c r="N150" i="22"/>
  <c r="P150" i="22" s="1"/>
  <c r="O55" i="22"/>
  <c r="AT46" i="33"/>
  <c r="AQ46" i="33"/>
  <c r="M55" i="22"/>
  <c r="M150" i="22"/>
  <c r="O112" i="22"/>
  <c r="H169" i="22"/>
  <c r="P55" i="22" l="1"/>
  <c r="V55" i="22" s="1"/>
  <c r="U55" i="22"/>
  <c r="BC37" i="18"/>
  <c r="BC40" i="18"/>
  <c r="BC15" i="18"/>
  <c r="BC29" i="18" s="1"/>
  <c r="BC34" i="18"/>
  <c r="BC35" i="18"/>
  <c r="BC39" i="18"/>
  <c r="BC36" i="18"/>
  <c r="BC38" i="18"/>
  <c r="H188" i="22"/>
  <c r="J188" i="22" s="1"/>
  <c r="J169" i="22"/>
  <c r="S150" i="22"/>
  <c r="I10" i="29" s="1"/>
  <c r="I11" i="33"/>
  <c r="T11" i="33" s="1"/>
  <c r="P36" i="22"/>
  <c r="U36" i="22" s="1"/>
  <c r="V150" i="22"/>
  <c r="P112" i="22"/>
  <c r="U112" i="22"/>
  <c r="P93" i="22"/>
  <c r="V93" i="22" s="1"/>
  <c r="U93" i="22"/>
  <c r="U74" i="22"/>
  <c r="P74" i="22"/>
  <c r="V74" i="22" s="1"/>
  <c r="D11" i="33" l="1"/>
  <c r="O11" i="33" s="1"/>
  <c r="S55" i="22"/>
  <c r="D10" i="29" s="1"/>
  <c r="BC42" i="18"/>
  <c r="V36" i="22"/>
  <c r="S112" i="22"/>
  <c r="G10" i="29" s="1"/>
  <c r="G11" i="33"/>
  <c r="R11" i="33" s="1"/>
  <c r="V112" i="22"/>
  <c r="L169" i="22"/>
  <c r="M169" i="22"/>
  <c r="N169" i="22"/>
  <c r="O169" i="22"/>
  <c r="AM61" i="33"/>
  <c r="S36" i="22"/>
  <c r="C10" i="29" s="1"/>
  <c r="C11" i="33"/>
  <c r="N11" i="33" s="1"/>
  <c r="E11" i="33"/>
  <c r="P11" i="33" s="1"/>
  <c r="S74" i="22"/>
  <c r="E10" i="29" s="1"/>
  <c r="B19" i="30" s="1"/>
  <c r="S93" i="22"/>
  <c r="F10" i="29" s="1"/>
  <c r="F11" i="33"/>
  <c r="Q11" i="33" s="1"/>
  <c r="O188" i="22"/>
  <c r="L188" i="22"/>
  <c r="N188" i="22"/>
  <c r="AQ11" i="33"/>
  <c r="AT11" i="33" s="1"/>
  <c r="M188" i="22"/>
  <c r="C20" i="30" l="1"/>
  <c r="H20" i="30" s="1"/>
  <c r="D19" i="30"/>
  <c r="I19" i="30" s="1"/>
  <c r="E21" i="30"/>
  <c r="J21" i="30" s="1"/>
  <c r="G19" i="30"/>
  <c r="C21" i="30"/>
  <c r="H21" i="30" s="1"/>
  <c r="D21" i="30"/>
  <c r="I21" i="30" s="1"/>
  <c r="D20" i="30"/>
  <c r="I20" i="30" s="1"/>
  <c r="E20" i="30"/>
  <c r="J20" i="30" s="1"/>
  <c r="C19" i="30"/>
  <c r="H19" i="30" s="1"/>
  <c r="U188" i="22"/>
  <c r="P188" i="22"/>
  <c r="V188" i="22" s="1"/>
  <c r="U169" i="22"/>
  <c r="P169" i="22"/>
  <c r="V169" i="22" s="1"/>
  <c r="S20" i="30" l="1"/>
  <c r="N20" i="30"/>
  <c r="S169" i="22"/>
  <c r="J10" i="29" s="1"/>
  <c r="J11" i="33"/>
  <c r="U11" i="33" s="1"/>
  <c r="T20" i="30"/>
  <c r="O20" i="30"/>
  <c r="M21" i="30"/>
  <c r="R21" i="30"/>
  <c r="Q19" i="30"/>
  <c r="L19" i="30"/>
  <c r="N19" i="30"/>
  <c r="S19" i="30"/>
  <c r="M19" i="30"/>
  <c r="R19" i="30"/>
  <c r="N21" i="30"/>
  <c r="S21" i="30"/>
  <c r="O21" i="30"/>
  <c r="T21" i="30"/>
  <c r="S188" i="22"/>
  <c r="K10" i="29" s="1"/>
  <c r="K11" i="33"/>
  <c r="V11" i="33" s="1"/>
  <c r="R20" i="30"/>
  <c r="M20" i="30"/>
  <c r="U89" i="41" l="1"/>
  <c r="U90" i="41" s="1"/>
  <c r="U96" i="41" s="1"/>
  <c r="U97" i="41" s="1"/>
  <c r="U99" i="41" s="1"/>
  <c r="Q90" i="41"/>
  <c r="Q92" i="41" l="1"/>
  <c r="Q96" i="41"/>
  <c r="Q111" i="41" s="1"/>
  <c r="P8" i="5" l="1"/>
  <c r="P82" i="5"/>
  <c r="P91" i="5"/>
  <c r="P84" i="5"/>
  <c r="P4" i="5"/>
  <c r="P19" i="5"/>
  <c r="P12" i="5" l="1"/>
  <c r="D7" i="37"/>
  <c r="D8" i="37" s="1"/>
  <c r="D14" i="37" s="1"/>
  <c r="D20" i="37" l="1"/>
  <c r="Q88" i="37"/>
  <c r="O93" i="5"/>
  <c r="D7" i="41"/>
  <c r="O92" i="5"/>
  <c r="C8" i="43" l="1"/>
  <c r="D8" i="41"/>
  <c r="AR88" i="37"/>
  <c r="Q94" i="37"/>
  <c r="AR94" i="37" s="1"/>
  <c r="D21" i="37"/>
  <c r="Q82" i="37"/>
  <c r="AR82" i="37" l="1"/>
  <c r="Q77" i="37"/>
  <c r="D22" i="37"/>
  <c r="R42" i="37" s="1"/>
  <c r="D14" i="41"/>
  <c r="C22" i="43" l="1"/>
  <c r="D20" i="41"/>
  <c r="Q78" i="37"/>
  <c r="Q85" i="37"/>
  <c r="AR78" i="37" l="1"/>
  <c r="Q80" i="37"/>
  <c r="D21" i="41"/>
  <c r="C23" i="43"/>
  <c r="C24" i="43" l="1"/>
  <c r="D22" i="41"/>
  <c r="AR80" i="37"/>
  <c r="Q83" i="37"/>
  <c r="AR83" i="37" l="1"/>
  <c r="Q84" i="37"/>
  <c r="Q86" i="37" s="1"/>
  <c r="P92" i="5" l="1"/>
  <c r="D7" i="43"/>
  <c r="E7" i="41"/>
  <c r="E8" i="41" s="1"/>
  <c r="P57" i="5"/>
  <c r="D46" i="43"/>
  <c r="E8" i="43"/>
  <c r="F7" i="41" l="1"/>
  <c r="P93" i="5"/>
  <c r="D15" i="43"/>
  <c r="F7" i="43"/>
  <c r="D8" i="43"/>
  <c r="F8" i="43" s="1"/>
  <c r="G9" i="41"/>
  <c r="D44" i="41"/>
  <c r="F8" i="41"/>
  <c r="E14" i="41"/>
  <c r="F15" i="43" l="1"/>
  <c r="D16" i="43"/>
  <c r="F14" i="41"/>
  <c r="E20" i="41"/>
  <c r="E22" i="43"/>
  <c r="D22" i="43" l="1"/>
  <c r="D23" i="43" s="1"/>
  <c r="D24" i="43" s="1"/>
  <c r="F16" i="43"/>
  <c r="E23" i="43"/>
  <c r="Q100" i="43"/>
  <c r="Q95" i="41"/>
  <c r="E21" i="41"/>
  <c r="F20" i="41"/>
  <c r="F23" i="43" l="1"/>
  <c r="F22" i="43"/>
  <c r="F21" i="41"/>
  <c r="E22" i="41"/>
  <c r="I44" i="41"/>
  <c r="Q99" i="41"/>
  <c r="Q102" i="41" s="1"/>
  <c r="Q97" i="41"/>
  <c r="Q104" i="43"/>
  <c r="Q107" i="43" s="1"/>
  <c r="Q102" i="43"/>
  <c r="E24" i="43"/>
  <c r="F24" i="43" s="1"/>
  <c r="I46" i="43"/>
  <c r="J46" i="43" l="1"/>
  <c r="F22" i="41"/>
  <c r="Q44" i="41"/>
  <c r="J44" i="41"/>
</calcChain>
</file>

<file path=xl/sharedStrings.xml><?xml version="1.0" encoding="utf-8"?>
<sst xmlns="http://schemas.openxmlformats.org/spreadsheetml/2006/main" count="29783" uniqueCount="3044">
  <si>
    <t>UNIVERSITY OF MONTANA</t>
  </si>
  <si>
    <t>FISCAL 2020</t>
  </si>
  <si>
    <t>FISCAL 2021</t>
  </si>
  <si>
    <t>WALK FORWARD OF CHANGES IN ALLOCATIONS</t>
  </si>
  <si>
    <t>BUDGET ALLOCATION MODEL</t>
  </si>
  <si>
    <t>Model</t>
  </si>
  <si>
    <t>FY2020</t>
  </si>
  <si>
    <t>Impled ACTUAL</t>
  </si>
  <si>
    <t>(In FY 2021 $)</t>
  </si>
  <si>
    <t>FY20</t>
  </si>
  <si>
    <t>FY21</t>
  </si>
  <si>
    <t>BUDGET</t>
  </si>
  <si>
    <t>2020</t>
  </si>
  <si>
    <t>FY2021</t>
  </si>
  <si>
    <t>FY2023</t>
  </si>
  <si>
    <t>Total tuition and appropriation revenue X ??% = contingency</t>
  </si>
  <si>
    <t>AY net tuition</t>
  </si>
  <si>
    <t>AY program tuition</t>
  </si>
  <si>
    <t>Method:</t>
  </si>
  <si>
    <t>Net tuition revenue plus appropriations revenue</t>
  </si>
  <si>
    <t>Allocate all revenue to schools and colleges based on student credit hours, majors, other factors</t>
  </si>
  <si>
    <t>Compare to actual expenses</t>
  </si>
  <si>
    <t>Summer tuition</t>
  </si>
  <si>
    <t>Summer program tuition</t>
  </si>
  <si>
    <t>Net tuition revenue</t>
  </si>
  <si>
    <t>State appropriation</t>
  </si>
  <si>
    <t>Other revenue</t>
  </si>
  <si>
    <t>Total net revenue</t>
  </si>
  <si>
    <t>Total net revenue (Back to FY 2020 levels - before Inflation)</t>
  </si>
  <si>
    <t>Less: contingency</t>
  </si>
  <si>
    <t>Net Revenue to allocate</t>
  </si>
  <si>
    <t>Summer</t>
  </si>
  <si>
    <t>Program</t>
  </si>
  <si>
    <t>FY 2020</t>
  </si>
  <si>
    <t>FY 2021</t>
  </si>
  <si>
    <t>FY 2023</t>
  </si>
  <si>
    <t>Weighted AY</t>
  </si>
  <si>
    <t>Tuition</t>
  </si>
  <si>
    <t>Total</t>
  </si>
  <si>
    <t>100% Progrm</t>
  </si>
  <si>
    <t>Non Program</t>
  </si>
  <si>
    <t>FINAL</t>
  </si>
  <si>
    <t>ACTUAL</t>
  </si>
  <si>
    <t>Model Change</t>
  </si>
  <si>
    <t>MODEL</t>
  </si>
  <si>
    <t>Change From</t>
  </si>
  <si>
    <t>Tuition and Fee</t>
  </si>
  <si>
    <t>Direct</t>
  </si>
  <si>
    <t>Net Tuition and</t>
  </si>
  <si>
    <t>Appropriation</t>
  </si>
  <si>
    <t>Other</t>
  </si>
  <si>
    <t>Less:</t>
  </si>
  <si>
    <t>Allocable</t>
  </si>
  <si>
    <t>Revenue</t>
  </si>
  <si>
    <t>TOTAL</t>
  </si>
  <si>
    <t>Combined</t>
  </si>
  <si>
    <t>Contribution</t>
  </si>
  <si>
    <t>Expenses</t>
  </si>
  <si>
    <t>In Total</t>
  </si>
  <si>
    <t>FY2021 ADJ</t>
  </si>
  <si>
    <t>Change in</t>
  </si>
  <si>
    <t>Less</t>
  </si>
  <si>
    <t>Target Adj</t>
  </si>
  <si>
    <t>Budget</t>
  </si>
  <si>
    <t>Allocation</t>
  </si>
  <si>
    <t>% of Total</t>
  </si>
  <si>
    <t>Fee Allocation</t>
  </si>
  <si>
    <t>Contingency</t>
  </si>
  <si>
    <t>E/R Ratio</t>
  </si>
  <si>
    <t>ER</t>
  </si>
  <si>
    <t>Margin</t>
  </si>
  <si>
    <t>Less Waivers</t>
  </si>
  <si>
    <t>BUDGET ADJ</t>
  </si>
  <si>
    <t>Waivers</t>
  </si>
  <si>
    <t>(In 2021 $)</t>
  </si>
  <si>
    <t>College of Education</t>
  </si>
  <si>
    <t>Education</t>
  </si>
  <si>
    <t>College of Health</t>
  </si>
  <si>
    <t>Health</t>
  </si>
  <si>
    <t>College of Forestry</t>
  </si>
  <si>
    <t>Forestry</t>
  </si>
  <si>
    <t>College of Humanities/Sciences</t>
  </si>
  <si>
    <t>Humanities</t>
  </si>
  <si>
    <t>College of Arts and Media</t>
  </si>
  <si>
    <t>Arts</t>
  </si>
  <si>
    <t>Davidson Honors College</t>
  </si>
  <si>
    <t>Honors</t>
  </si>
  <si>
    <t>College of Business</t>
  </si>
  <si>
    <t>Business</t>
  </si>
  <si>
    <t>School of Law</t>
  </si>
  <si>
    <t>Law</t>
  </si>
  <si>
    <t>Missoula College</t>
  </si>
  <si>
    <t>Unknown MC</t>
  </si>
  <si>
    <t>Unknown Other UNITS</t>
  </si>
  <si>
    <t>Other Units</t>
  </si>
  <si>
    <t>Other GL to Detail Difference</t>
  </si>
  <si>
    <t>Other GL</t>
  </si>
  <si>
    <t>Other including research</t>
  </si>
  <si>
    <t>Other Inc Research</t>
  </si>
  <si>
    <t xml:space="preserve">  Academic</t>
  </si>
  <si>
    <t>PROGRAM TUITION</t>
  </si>
  <si>
    <t>AY</t>
  </si>
  <si>
    <t>Direct Academic</t>
  </si>
  <si>
    <t>Public Health</t>
  </si>
  <si>
    <t>CHPB</t>
  </si>
  <si>
    <t>Initial</t>
  </si>
  <si>
    <t>Athletic Training</t>
  </si>
  <si>
    <t>Deans</t>
  </si>
  <si>
    <t>Management</t>
  </si>
  <si>
    <t>Admissions Office</t>
  </si>
  <si>
    <t>Pharmacy</t>
  </si>
  <si>
    <t>Indication</t>
  </si>
  <si>
    <t>Request</t>
  </si>
  <si>
    <t>Target</t>
  </si>
  <si>
    <t>Athletics</t>
  </si>
  <si>
    <t>Physical Therapy</t>
  </si>
  <si>
    <t>Biological Station</t>
  </si>
  <si>
    <t>Social Work</t>
  </si>
  <si>
    <t>Broadcast Media</t>
  </si>
  <si>
    <t>Speech Pathology</t>
  </si>
  <si>
    <t>BBER</t>
  </si>
  <si>
    <t>F&amp;C</t>
  </si>
  <si>
    <t>Business Activities</t>
  </si>
  <si>
    <t>B</t>
  </si>
  <si>
    <t>ERM</t>
  </si>
  <si>
    <t>SOL</t>
  </si>
  <si>
    <t>Facilities/Police</t>
  </si>
  <si>
    <t>MPA</t>
  </si>
  <si>
    <t>Financial Aid</t>
  </si>
  <si>
    <t>Culinary Arts</t>
  </si>
  <si>
    <t>MC</t>
  </si>
  <si>
    <t>Information Technology</t>
  </si>
  <si>
    <t>Diesel Equipment</t>
  </si>
  <si>
    <t>Institutional Commitments</t>
  </si>
  <si>
    <t>Alternative Break</t>
  </si>
  <si>
    <t>Institutional Pay Plan</t>
  </si>
  <si>
    <t>Unknown</t>
  </si>
  <si>
    <t>Internal Audit</t>
  </si>
  <si>
    <t>HS&amp;CVPA</t>
  </si>
  <si>
    <t xml:space="preserve">No Change to </t>
  </si>
  <si>
    <t>Legal Counsel</t>
  </si>
  <si>
    <t>Non</t>
  </si>
  <si>
    <t>Only</t>
  </si>
  <si>
    <t>Final</t>
  </si>
  <si>
    <t>Mansfield Center</t>
  </si>
  <si>
    <t>Summer Expense</t>
  </si>
  <si>
    <t>AY Expense</t>
  </si>
  <si>
    <t>Mansfield Library</t>
  </si>
  <si>
    <t>AY Revenue</t>
  </si>
  <si>
    <t>Summer Tuit</t>
  </si>
  <si>
    <t>Summer Pgm</t>
  </si>
  <si>
    <t>Summer SCH</t>
  </si>
  <si>
    <t>Summer Rate</t>
  </si>
  <si>
    <t>E/R</t>
  </si>
  <si>
    <t>Retained</t>
  </si>
  <si>
    <t>President</t>
  </si>
  <si>
    <t>Provost</t>
  </si>
  <si>
    <t>VPORCS</t>
  </si>
  <si>
    <t>VPSS</t>
  </si>
  <si>
    <t>VPO&amp;F</t>
  </si>
  <si>
    <t>VPESP</t>
  </si>
  <si>
    <t>HR GAAP Adjustments</t>
  </si>
  <si>
    <t>CONTINGENCY</t>
  </si>
  <si>
    <t xml:space="preserve">  Adminintrative</t>
  </si>
  <si>
    <t xml:space="preserve">  Total expenses</t>
  </si>
  <si>
    <t xml:space="preserve">  Change in net assets</t>
  </si>
  <si>
    <t>NEW GOAL</t>
  </si>
  <si>
    <t xml:space="preserve">  Total</t>
  </si>
  <si>
    <t>FY21P</t>
  </si>
  <si>
    <t>FY22 EST</t>
  </si>
  <si>
    <t>Fiscal 2022</t>
  </si>
  <si>
    <t>Administrative</t>
  </si>
  <si>
    <t>Fiscal 2021</t>
  </si>
  <si>
    <t>Difference</t>
  </si>
  <si>
    <t>Vice Provost for Student Success</t>
  </si>
  <si>
    <t>Enterprise Risk Management</t>
  </si>
  <si>
    <t>Facilities Services/Public Safety</t>
  </si>
  <si>
    <t>VP Administration &amp; Finance</t>
  </si>
  <si>
    <t>VP Enrollment &amp; Stragetic Communica</t>
  </si>
  <si>
    <t>Bureau Business &amp; Econ Research</t>
  </si>
  <si>
    <t>Research &amp; Creative Scholarship</t>
  </si>
  <si>
    <t xml:space="preserve">  Total 2022 Preliminary Allocation</t>
  </si>
  <si>
    <t>Projected Revenues</t>
  </si>
  <si>
    <t>Budgeted Expenses</t>
  </si>
  <si>
    <t xml:space="preserve">  Net Deficit</t>
  </si>
  <si>
    <t>FY22</t>
  </si>
  <si>
    <t>FY23 Bud</t>
  </si>
  <si>
    <t>AY net tuition and fees</t>
  </si>
  <si>
    <t>Contingency %</t>
  </si>
  <si>
    <t>Fiscal 2023</t>
  </si>
  <si>
    <t>INITIAL</t>
  </si>
  <si>
    <t>Transfers In</t>
  </si>
  <si>
    <t>VPAA Dept Ops</t>
  </si>
  <si>
    <t>Operations Preparedness/Response</t>
  </si>
  <si>
    <t>Graduate School</t>
  </si>
  <si>
    <t>VP Marketing &amp;n Brand Management</t>
  </si>
  <si>
    <t>Brand Strategy</t>
  </si>
  <si>
    <t>Creative Services</t>
  </si>
  <si>
    <t>Digital Strategy</t>
  </si>
  <si>
    <t>Communications</t>
  </si>
  <si>
    <t>VP Marketing</t>
  </si>
  <si>
    <t>Dues</t>
  </si>
  <si>
    <t>Bad Debt</t>
  </si>
  <si>
    <t>Add: Contingency</t>
  </si>
  <si>
    <t xml:space="preserve">  Anticipated FY 23 Shortfall**</t>
  </si>
  <si>
    <t>Net Tuition</t>
  </si>
  <si>
    <t>&lt;--Actual Net Tutiion Short of Budget by $2.5 million</t>
  </si>
  <si>
    <t>Transfer from HEERF</t>
  </si>
  <si>
    <t>Student Financial Aid</t>
  </si>
  <si>
    <t>Investment Earnings</t>
  </si>
  <si>
    <t xml:space="preserve">  Net Revenues</t>
  </si>
  <si>
    <t>** Needed Transfer from HEERF</t>
  </si>
  <si>
    <t>FY23P</t>
  </si>
  <si>
    <t>FY24 Bud</t>
  </si>
  <si>
    <t>%Chg 23P vs 24B</t>
  </si>
  <si>
    <t>SOL Alloc Rev</t>
  </si>
  <si>
    <t>SOL Allocation</t>
  </si>
  <si>
    <t>%</t>
  </si>
  <si>
    <t>Fiscal 2024</t>
  </si>
  <si>
    <t>PROVOST</t>
  </si>
  <si>
    <t>Check</t>
  </si>
  <si>
    <t xml:space="preserve">VPAA </t>
  </si>
  <si>
    <t>COE</t>
  </si>
  <si>
    <t>VPEII</t>
  </si>
  <si>
    <t>COH</t>
  </si>
  <si>
    <t>Original Allocation:</t>
  </si>
  <si>
    <t>PRESIDENT</t>
  </si>
  <si>
    <t>Strategic Planning</t>
  </si>
  <si>
    <t>FCF</t>
  </si>
  <si>
    <t>VP PEOPLE &amp; CULTURE</t>
  </si>
  <si>
    <t>OOLD</t>
  </si>
  <si>
    <t>Wildlife Bio</t>
  </si>
  <si>
    <t>H&amp;S</t>
  </si>
  <si>
    <t>Inclusive Excellence</t>
  </si>
  <si>
    <t>Arts and Media</t>
  </si>
  <si>
    <t>COAM</t>
  </si>
  <si>
    <t>Human Resources</t>
  </si>
  <si>
    <t>COB</t>
  </si>
  <si>
    <t>UM CENTRAL</t>
  </si>
  <si>
    <t>ABSL</t>
  </si>
  <si>
    <t>Institutional Commitments (Debt Pmt)</t>
  </si>
  <si>
    <t>VP OPER. &amp; FINANCE</t>
  </si>
  <si>
    <t>Paramedicine</t>
  </si>
  <si>
    <t>Check Figure</t>
  </si>
  <si>
    <t>VP ENROLLMENT</t>
  </si>
  <si>
    <t>Net Non Program</t>
  </si>
  <si>
    <t>Net Program</t>
  </si>
  <si>
    <t>Net</t>
  </si>
  <si>
    <t>Ex program</t>
  </si>
  <si>
    <t>VP RESEARCH</t>
  </si>
  <si>
    <t>VP MARKETING</t>
  </si>
  <si>
    <t>Other GL Detail Difference</t>
  </si>
  <si>
    <t>Other Including Research</t>
  </si>
  <si>
    <t>Academic Allocation</t>
  </si>
  <si>
    <t>Administrative Allocation</t>
  </si>
  <si>
    <t>Totals from Summer Calculation</t>
  </si>
  <si>
    <t>Total Allocation</t>
  </si>
  <si>
    <t>Totals from Full AY Model</t>
  </si>
  <si>
    <t>Total Spending</t>
  </si>
  <si>
    <t>Total Alloc. Revenue</t>
  </si>
  <si>
    <t>Total Allocations</t>
  </si>
  <si>
    <t>Add Contingency</t>
  </si>
  <si>
    <t>Deficit net of contingency</t>
  </si>
  <si>
    <t>Potential increase to approp.</t>
  </si>
  <si>
    <t>Centralized Advising</t>
  </si>
  <si>
    <t>Forestry Building</t>
  </si>
  <si>
    <t xml:space="preserve">SEI </t>
  </si>
  <si>
    <t>Flagship</t>
  </si>
  <si>
    <t>(GF '311001' Total Expenditures)</t>
  </si>
  <si>
    <t>FY23</t>
  </si>
  <si>
    <t>FY24F</t>
  </si>
  <si>
    <t>FY25P</t>
  </si>
  <si>
    <t>AY Net tuition and fees</t>
  </si>
  <si>
    <t>Summer tuition and fees</t>
  </si>
  <si>
    <t>Tuition and Fees</t>
  </si>
  <si>
    <t>Program Tuition</t>
  </si>
  <si>
    <t>Net tuition and fee revenue</t>
  </si>
  <si>
    <t xml:space="preserve"> AY Program</t>
  </si>
  <si>
    <t>Fiscal 2025</t>
  </si>
  <si>
    <t>PLANNING</t>
  </si>
  <si>
    <t>Budget Model</t>
  </si>
  <si>
    <t>Net Tuition Allocation</t>
  </si>
  <si>
    <t>VP Student Services</t>
  </si>
  <si>
    <t xml:space="preserve">VPSS </t>
  </si>
  <si>
    <t>Health Services</t>
  </si>
  <si>
    <t>VPPC Admin</t>
  </si>
  <si>
    <t>VP Enrollment &amp; Strategic Communica</t>
  </si>
  <si>
    <t>VP Enrollment &amp; Strategic Communicate</t>
  </si>
  <si>
    <t>Model Development</t>
  </si>
  <si>
    <t>Adopted</t>
  </si>
  <si>
    <t>During FY 24 Planning</t>
  </si>
  <si>
    <t>ACADEMIC YEAR</t>
  </si>
  <si>
    <t>AY 11</t>
  </si>
  <si>
    <t>AY 12</t>
  </si>
  <si>
    <t>AY 13</t>
  </si>
  <si>
    <t>AY 14</t>
  </si>
  <si>
    <t>AY 15</t>
  </si>
  <si>
    <t>AY 16</t>
  </si>
  <si>
    <t>AY 17</t>
  </si>
  <si>
    <t>AY 18</t>
  </si>
  <si>
    <t>AY 19</t>
  </si>
  <si>
    <t>AY 20</t>
  </si>
  <si>
    <t>AY 21</t>
  </si>
  <si>
    <t>AY 22</t>
  </si>
  <si>
    <t>AY 23</t>
  </si>
  <si>
    <t>AY 24F</t>
  </si>
  <si>
    <t>AY 25P</t>
  </si>
  <si>
    <t>Updated 3/4/24</t>
  </si>
  <si>
    <t>Net Tuition Per Student</t>
  </si>
  <si>
    <t>Mountain Campus - Excluding Program Tuition</t>
  </si>
  <si>
    <t>Missoula College Excluding Program Tuition</t>
  </si>
  <si>
    <t>Fees Per Student</t>
  </si>
  <si>
    <t>Mountain Campus</t>
  </si>
  <si>
    <t>Net Tuition and Fees Per Student</t>
  </si>
  <si>
    <t>Students</t>
  </si>
  <si>
    <t>ULD</t>
  </si>
  <si>
    <t xml:space="preserve">  Total net tuition</t>
  </si>
  <si>
    <t>Fees</t>
  </si>
  <si>
    <t xml:space="preserve">  Total fees</t>
  </si>
  <si>
    <t xml:space="preserve">  Total net tuition and fees before program tuition</t>
  </si>
  <si>
    <t xml:space="preserve">    Missoula College % of Total Net Tuition and Fees</t>
  </si>
  <si>
    <t>Pgm Owner</t>
  </si>
  <si>
    <t xml:space="preserve">  Total program tuition</t>
  </si>
  <si>
    <t xml:space="preserve">  Total net tuition and fees</t>
  </si>
  <si>
    <t>Total Student Credit Hours</t>
  </si>
  <si>
    <t>Per 11/6/2023 Net Tuition Report</t>
  </si>
  <si>
    <t>Year</t>
  </si>
  <si>
    <t>SCH</t>
  </si>
  <si>
    <t>Rate</t>
  </si>
  <si>
    <t>Net Tuition Revenue</t>
  </si>
  <si>
    <t>UM Total</t>
  </si>
  <si>
    <t xml:space="preserve">    Missoula College % of Total Student Credit Hours</t>
  </si>
  <si>
    <t>AY 2020</t>
  </si>
  <si>
    <t>Change from Rate</t>
  </si>
  <si>
    <t>Net Tuition and Fees per Credit Hour (Ex Program)</t>
  </si>
  <si>
    <t>Ay 2021</t>
  </si>
  <si>
    <t>Change from Volume</t>
  </si>
  <si>
    <t>SCH Change</t>
  </si>
  <si>
    <t>Revenue Producing Student Credit Hours</t>
  </si>
  <si>
    <t>Rate Change</t>
  </si>
  <si>
    <t>SCH Needed at Current Rate</t>
  </si>
  <si>
    <t>to Return to Baseline (Assumed 2% Inflation)</t>
  </si>
  <si>
    <t>Net Tuition and Fees per Revenue Producing Credit Hour (Ex Program)</t>
  </si>
  <si>
    <t>Average AY SCH per Student</t>
  </si>
  <si>
    <t>Total Number of Students to</t>
  </si>
  <si>
    <t>Return to Baseline</t>
  </si>
  <si>
    <t>Average Credit Hours  Taken per Student</t>
  </si>
  <si>
    <t>AY 2021 Enrollment</t>
  </si>
  <si>
    <t>Increase in Students Needed</t>
  </si>
  <si>
    <t>UM Total - Average Rate per SCH</t>
  </si>
  <si>
    <t>Average AY Net Tuition (Excluding Program Tuition) per Student</t>
  </si>
  <si>
    <t>Average AY Program Tuition per Student</t>
  </si>
  <si>
    <t>Average AY Total Tuition per Student</t>
  </si>
  <si>
    <t>SUMMER</t>
  </si>
  <si>
    <t>Summer '11 FY 12</t>
  </si>
  <si>
    <t>Summer '12 FY 13</t>
  </si>
  <si>
    <t>Summer '13 FY 14</t>
  </si>
  <si>
    <t>Summer '14 FY 15</t>
  </si>
  <si>
    <t>Summer '15 FY 16</t>
  </si>
  <si>
    <t>Summer '16 FY 17</t>
  </si>
  <si>
    <t>Summer '17 FY 18</t>
  </si>
  <si>
    <t>Summer '18 FY 19</t>
  </si>
  <si>
    <t>Summer '19 FY 20</t>
  </si>
  <si>
    <t>Summer '20 FY 21</t>
  </si>
  <si>
    <t>Summer '21 FY 22</t>
  </si>
  <si>
    <t>Summer '22 FY 23</t>
  </si>
  <si>
    <t>Summer '23 FY 24</t>
  </si>
  <si>
    <t>Summer '24 FY 25</t>
  </si>
  <si>
    <t>Revised 03/05/24</t>
  </si>
  <si>
    <t>Wildlife Biology</t>
  </si>
  <si>
    <t>Net Tuition and Fees per Credit Hour Taken (Ex Program)</t>
  </si>
  <si>
    <t>FISCAL YEAR</t>
  </si>
  <si>
    <t>FY 14</t>
  </si>
  <si>
    <t>FY 15</t>
  </si>
  <si>
    <t>FY 16</t>
  </si>
  <si>
    <t>FY 17</t>
  </si>
  <si>
    <t>FY 18</t>
  </si>
  <si>
    <t>FY 19</t>
  </si>
  <si>
    <t>FY 20</t>
  </si>
  <si>
    <t>FY 21</t>
  </si>
  <si>
    <t>FY 22</t>
  </si>
  <si>
    <t>FY 23</t>
  </si>
  <si>
    <t>FY 24</t>
  </si>
  <si>
    <t>FY 25</t>
  </si>
  <si>
    <t>Base appropriation</t>
  </si>
  <si>
    <t>LAD appropriation amount</t>
  </si>
  <si>
    <t>Allocable appropriation</t>
  </si>
  <si>
    <t>Total student credit hours</t>
  </si>
  <si>
    <t>Appropriation per credit hour</t>
  </si>
  <si>
    <t>4-year average appropriation per credit hour</t>
  </si>
  <si>
    <t>Plus O&amp;M alloation</t>
  </si>
  <si>
    <t xml:space="preserve">  Total appropriation</t>
  </si>
  <si>
    <t>Research and</t>
  </si>
  <si>
    <t>Credit Hours</t>
  </si>
  <si>
    <t>Majors</t>
  </si>
  <si>
    <t>Creative Scholarship</t>
  </si>
  <si>
    <t>Weighted</t>
  </si>
  <si>
    <t>2024F</t>
  </si>
  <si>
    <t>Awards</t>
  </si>
  <si>
    <t>2019 3 YR</t>
  </si>
  <si>
    <t>2020 3 YR</t>
  </si>
  <si>
    <t>2021 3 YR</t>
  </si>
  <si>
    <t>2022 3 YR</t>
  </si>
  <si>
    <t>2023 3 YR</t>
  </si>
  <si>
    <t>2024 3 YR</t>
  </si>
  <si>
    <t>2025 3 YR</t>
  </si>
  <si>
    <t>Row Labels</t>
  </si>
  <si>
    <t>2017 Expenditures</t>
  </si>
  <si>
    <t>2018 Expenditures</t>
  </si>
  <si>
    <t>2019 Expenditures</t>
  </si>
  <si>
    <t>2020 Expenditures</t>
  </si>
  <si>
    <t>2021 Expenditures</t>
  </si>
  <si>
    <t>2022 Expenditures</t>
  </si>
  <si>
    <t>2023 Expenditures</t>
  </si>
  <si>
    <t>2024 Expenditures F</t>
  </si>
  <si>
    <t>2025 Expenditures P</t>
  </si>
  <si>
    <t>2024 F</t>
  </si>
  <si>
    <t>2025 F</t>
  </si>
  <si>
    <t>Average</t>
  </si>
  <si>
    <t>Sum</t>
  </si>
  <si>
    <t>College Humanities &amp; Sciences</t>
  </si>
  <si>
    <t>College of Forestry &amp; Conserv</t>
  </si>
  <si>
    <t>College of Health Prof Biomed</t>
  </si>
  <si>
    <t>Arts &amp; Media</t>
  </si>
  <si>
    <t>College of the Arts and Media</t>
  </si>
  <si>
    <t>Honors College</t>
  </si>
  <si>
    <t>No College</t>
  </si>
  <si>
    <t>Research</t>
  </si>
  <si>
    <t>College</t>
  </si>
  <si>
    <t>Grand Total</t>
  </si>
  <si>
    <t>Biotechnology Center</t>
  </si>
  <si>
    <t>Research Data from file:  2021-09-15 2021 Research Expenditures by research Org</t>
  </si>
  <si>
    <t>CoE</t>
  </si>
  <si>
    <t>CoH</t>
  </si>
  <si>
    <t>Coll of Education &amp; Human Sciences</t>
  </si>
  <si>
    <t>CFC</t>
  </si>
  <si>
    <t>College Hlth Prof &amp; Biomedical Sci</t>
  </si>
  <si>
    <t>College of Forestry &amp; Conservation</t>
  </si>
  <si>
    <t>CAM</t>
  </si>
  <si>
    <t>DHC</t>
  </si>
  <si>
    <t>College of the Arts &amp; Media</t>
  </si>
  <si>
    <t>CoB</t>
  </si>
  <si>
    <t>LAW</t>
  </si>
  <si>
    <t>O'Connor Ctr for the Rocky Mtn West</t>
  </si>
  <si>
    <t>ASUM</t>
  </si>
  <si>
    <t>Rural Institute on Disabilities</t>
  </si>
  <si>
    <t>Oper and Finance</t>
  </si>
  <si>
    <t>School of Law &amp; Law Library</t>
  </si>
  <si>
    <t>ORCS</t>
  </si>
  <si>
    <t>Fund</t>
  </si>
  <si>
    <t>PI</t>
  </si>
  <si>
    <t>Dept</t>
  </si>
  <si>
    <t>Title</t>
  </si>
  <si>
    <t>Funding Agency</t>
  </si>
  <si>
    <t>Start Date</t>
  </si>
  <si>
    <t>End Date</t>
  </si>
  <si>
    <t>Amount</t>
  </si>
  <si>
    <t>365886</t>
  </si>
  <si>
    <t>Dixon, Kelly</t>
  </si>
  <si>
    <t>Anthropology</t>
  </si>
  <si>
    <t>What Have We Overlooked?</t>
  </si>
  <si>
    <t>USDI - NPS</t>
  </si>
  <si>
    <t>369129</t>
  </si>
  <si>
    <t>U of M World Heritage Project</t>
  </si>
  <si>
    <t>MOUNTAIN WEST</t>
  </si>
  <si>
    <t>362025</t>
  </si>
  <si>
    <t>MacDonald, Douglas</t>
  </si>
  <si>
    <t>Yellowstone Trail Archaeology 2020</t>
  </si>
  <si>
    <t>USDI - NPS (CESU)</t>
  </si>
  <si>
    <t>362049</t>
  </si>
  <si>
    <t>CFIP Projects</t>
  </si>
  <si>
    <t>362058</t>
  </si>
  <si>
    <t>Yellowstone summer concessions</t>
  </si>
  <si>
    <t>362882</t>
  </si>
  <si>
    <t>2018-2019 SHPO GIS Project</t>
  </si>
  <si>
    <t>MT HISTORICAL SOC / BLM</t>
  </si>
  <si>
    <t>365885</t>
  </si>
  <si>
    <t>Yellowstone Trails Archaeology</t>
  </si>
  <si>
    <t>365899</t>
  </si>
  <si>
    <t>Yellowstone FHWA 2018 Archaeology</t>
  </si>
  <si>
    <t>368474</t>
  </si>
  <si>
    <t>2020 SHPO GIS Project</t>
  </si>
  <si>
    <t>MT HISTORICAL SOCIETY</t>
  </si>
  <si>
    <t>366277</t>
  </si>
  <si>
    <t>Miyashita, Mizuki</t>
  </si>
  <si>
    <t>TCU Language Collaboration Planning</t>
  </si>
  <si>
    <t>NATL SCIENCE FNDN</t>
  </si>
  <si>
    <t>366288</t>
  </si>
  <si>
    <t>366299</t>
  </si>
  <si>
    <t>CoLang 2020</t>
  </si>
  <si>
    <t>366363</t>
  </si>
  <si>
    <t>363482</t>
  </si>
  <si>
    <t>Snow, Meradeth</t>
  </si>
  <si>
    <t>Ancient DNA from Mimbres Population</t>
  </si>
  <si>
    <t>JAKOB SEDIG / NAT'L GEOG</t>
  </si>
  <si>
    <t>365224</t>
  </si>
  <si>
    <t>Wildlife Forensic Samples</t>
  </si>
  <si>
    <t>USDA FS ROCKY MTN RS</t>
  </si>
  <si>
    <t>362023</t>
  </si>
  <si>
    <t>Dreitz, Victoria</t>
  </si>
  <si>
    <t>Avian Science Center</t>
  </si>
  <si>
    <t>Ecological Modeling - Avian Cons</t>
  </si>
  <si>
    <t>USDI - FWS (CESU)</t>
  </si>
  <si>
    <t>365827</t>
  </si>
  <si>
    <t>Wetlands for Migratory Birds</t>
  </si>
  <si>
    <t>368845</t>
  </si>
  <si>
    <t>State of Washington Wetlands</t>
  </si>
  <si>
    <t>WA DEPT FISH &amp; WILDLIFE</t>
  </si>
  <si>
    <t>363445</t>
  </si>
  <si>
    <t>Amish, Stephen</t>
  </si>
  <si>
    <t>Biological Station-Research</t>
  </si>
  <si>
    <t>DFO WCT Genetic Analysis</t>
  </si>
  <si>
    <t>FISHERIES &amp; OCEANS CANADA</t>
  </si>
  <si>
    <t>363057</t>
  </si>
  <si>
    <t>Baumann, Adam</t>
  </si>
  <si>
    <t>Lk Koocanusa Chlorophyll a MTFWP</t>
  </si>
  <si>
    <t>MT FWP / BPA</t>
  </si>
  <si>
    <t>363314</t>
  </si>
  <si>
    <t>Church, Matthew</t>
  </si>
  <si>
    <t>SCOPE Organic Matter Reactivity</t>
  </si>
  <si>
    <t>UNIVERSITY OF HAWAII</t>
  </si>
  <si>
    <t>366365</t>
  </si>
  <si>
    <t>Methane cycling in lakes</t>
  </si>
  <si>
    <t>366366</t>
  </si>
  <si>
    <t>362026</t>
  </si>
  <si>
    <t>Devlin, Shawn</t>
  </si>
  <si>
    <t>Lake McDonald Water Quality</t>
  </si>
  <si>
    <t>362737</t>
  </si>
  <si>
    <t>BEAL</t>
  </si>
  <si>
    <t>UNIV OF CO / NSF</t>
  </si>
  <si>
    <t>366359</t>
  </si>
  <si>
    <t>Elser, James</t>
  </si>
  <si>
    <t>RoL Assessing / Breaking Growth RR</t>
  </si>
  <si>
    <t>366360</t>
  </si>
  <si>
    <t>368492</t>
  </si>
  <si>
    <t>eDNA Flathead &amp; Tiber</t>
  </si>
  <si>
    <t>MT DEPT NATURAL RESOURCES</t>
  </si>
  <si>
    <t>325228</t>
  </si>
  <si>
    <t>Hall, Robert</t>
  </si>
  <si>
    <t>Hyporheic nitrogen</t>
  </si>
  <si>
    <t>US DEPT OF ENERGY</t>
  </si>
  <si>
    <t>363052</t>
  </si>
  <si>
    <t>Hand, Brian</t>
  </si>
  <si>
    <t>Alpine Stonefly Physiology</t>
  </si>
  <si>
    <t>UNIV OF WA / USGS</t>
  </si>
  <si>
    <t>326931</t>
  </si>
  <si>
    <t>Luikart, Gordon</t>
  </si>
  <si>
    <t>Predicting the Spread of AIS</t>
  </si>
  <si>
    <t>NASA - STENNIS</t>
  </si>
  <si>
    <t>365884</t>
  </si>
  <si>
    <t>Invasive Species DNA Sampling GNP</t>
  </si>
  <si>
    <t>363021</t>
  </si>
  <si>
    <t>Matson, Phillip</t>
  </si>
  <si>
    <t>AIS workshop</t>
  </si>
  <si>
    <t>WHITEFISH LAKE INST / BOR</t>
  </si>
  <si>
    <t>362054</t>
  </si>
  <si>
    <t>Nelson, Nanette</t>
  </si>
  <si>
    <t>Ground Truth AIS Economic Model</t>
  </si>
  <si>
    <t>USDI - FWS</t>
  </si>
  <si>
    <t>362055</t>
  </si>
  <si>
    <t>Sexton, Erin</t>
  </si>
  <si>
    <t>USFWS Scaled LCD</t>
  </si>
  <si>
    <t>365871</t>
  </si>
  <si>
    <t>Crown Managers Partnership</t>
  </si>
  <si>
    <t>366362</t>
  </si>
  <si>
    <t>Stanford, Jack</t>
  </si>
  <si>
    <t>Geologic methane in river ecosystem</t>
  </si>
  <si>
    <t>362007</t>
  </si>
  <si>
    <t>Whited, Diane</t>
  </si>
  <si>
    <t>Predict Spread of Aquatic Inv. Spec</t>
  </si>
  <si>
    <t>USDI - USGS (CESU)</t>
  </si>
  <si>
    <t>362028</t>
  </si>
  <si>
    <t>363089</t>
  </si>
  <si>
    <t>Mapping the Thermal Diversity</t>
  </si>
  <si>
    <t>AK SUS SALMON / NOAA</t>
  </si>
  <si>
    <t>362596</t>
  </si>
  <si>
    <t>Woodahl, Erica</t>
  </si>
  <si>
    <t>Biomedical/Pharmaceutical Scie</t>
  </si>
  <si>
    <t>Genetic/Dietary Predictors AI/AN</t>
  </si>
  <si>
    <t>UNIV OF WA / NIGMS</t>
  </si>
  <si>
    <t>362870</t>
  </si>
  <si>
    <t>Vitamin D in American Indians Renew</t>
  </si>
  <si>
    <t>MSU / NIH</t>
  </si>
  <si>
    <t>362897</t>
  </si>
  <si>
    <t>ELSI R01 (SCF subcontract)</t>
  </si>
  <si>
    <t>SOUTHCENTRAL FNDN / NIH</t>
  </si>
  <si>
    <t>366265</t>
  </si>
  <si>
    <t>Mou, Tung-Chung</t>
  </si>
  <si>
    <t>Biomolecular Structure &amp; Dynam</t>
  </si>
  <si>
    <t>RII Track-4: NSF fellow on Cryo-EM</t>
  </si>
  <si>
    <t>361026</t>
  </si>
  <si>
    <t>Sprang, Stephen</t>
  </si>
  <si>
    <t>CBSD CoBRE Phase II</t>
  </si>
  <si>
    <t>NIH, NIGMS</t>
  </si>
  <si>
    <t>361050</t>
  </si>
  <si>
    <t>CBSD CoBRE Phase II-Year 3</t>
  </si>
  <si>
    <t>361059</t>
  </si>
  <si>
    <t>361100</t>
  </si>
  <si>
    <t>361108</t>
  </si>
  <si>
    <t>361114</t>
  </si>
  <si>
    <t>361115</t>
  </si>
  <si>
    <t>362995</t>
  </si>
  <si>
    <t>Mass Spectrometry Core Technician</t>
  </si>
  <si>
    <t>364536</t>
  </si>
  <si>
    <t>G Protein Activation by Ric-8A</t>
  </si>
  <si>
    <t>361133</t>
  </si>
  <si>
    <t>Stump, Sascha</t>
  </si>
  <si>
    <t>Ric-8's interaction with G proteins</t>
  </si>
  <si>
    <t>361120</t>
  </si>
  <si>
    <t>Nunberg, Jack</t>
  </si>
  <si>
    <t>Safe recombinant Caddid#1 vaccine</t>
  </si>
  <si>
    <t>NIH, NIAID</t>
  </si>
  <si>
    <t>362980</t>
  </si>
  <si>
    <t>Mechanism of Arenavirus</t>
  </si>
  <si>
    <t>EMORY UNIV / NIH</t>
  </si>
  <si>
    <t>362707</t>
  </si>
  <si>
    <t>Ekness, Raymond</t>
  </si>
  <si>
    <t>Broadcast Media Administration</t>
  </si>
  <si>
    <t>The Write Question 2017-2020</t>
  </si>
  <si>
    <t>HUMANITIES MT / NEH</t>
  </si>
  <si>
    <t>363090</t>
  </si>
  <si>
    <t>CPB CSGR FY20</t>
  </si>
  <si>
    <t>CORP PUB BROAD / FCC</t>
  </si>
  <si>
    <t>363091</t>
  </si>
  <si>
    <t>363112</t>
  </si>
  <si>
    <t>CPB CARES Grant</t>
  </si>
  <si>
    <t>368424</t>
  </si>
  <si>
    <t>Marcus, William</t>
  </si>
  <si>
    <t>CMRATAW2</t>
  </si>
  <si>
    <t>MT DEPT COMMERCE</t>
  </si>
  <si>
    <t>368844</t>
  </si>
  <si>
    <t>Baldridge, John</t>
  </si>
  <si>
    <t>Bureau of Business and Econ Re</t>
  </si>
  <si>
    <t>County Services Survey</t>
  </si>
  <si>
    <t>BIG HORN COUNTY</t>
  </si>
  <si>
    <t>362952</t>
  </si>
  <si>
    <t>Barkey, Patrick</t>
  </si>
  <si>
    <t>TranPlanMT Stakeholder Survey</t>
  </si>
  <si>
    <t>MT DOT / FHA</t>
  </si>
  <si>
    <t>368429</t>
  </si>
  <si>
    <t>MMEC 2018-19</t>
  </si>
  <si>
    <t>MT STATE UNIVERSITY</t>
  </si>
  <si>
    <t>365097</t>
  </si>
  <si>
    <t>Morgan, Todd</t>
  </si>
  <si>
    <t>NFS TimberFlow Analysis</t>
  </si>
  <si>
    <t>USDA FS ECO SYSTEM MGMT</t>
  </si>
  <si>
    <t>365170</t>
  </si>
  <si>
    <t>Log &amp; Haul Costs</t>
  </si>
  <si>
    <t>USDA FS NORTHERN REGION</t>
  </si>
  <si>
    <t>365189</t>
  </si>
  <si>
    <t>PNW-TPO 2019</t>
  </si>
  <si>
    <t>USDA FS PACIFIC NW REGION</t>
  </si>
  <si>
    <t>365190</t>
  </si>
  <si>
    <t>365225</t>
  </si>
  <si>
    <t>DRC 3.0</t>
  </si>
  <si>
    <t>363501</t>
  </si>
  <si>
    <t>Sonora, Robert</t>
  </si>
  <si>
    <t>Benefis Impact</t>
  </si>
  <si>
    <t>BENEFIS HEALTH CARE</t>
  </si>
  <si>
    <t>363505</t>
  </si>
  <si>
    <t>Impact of Inadequate Childcare</t>
  </si>
  <si>
    <t>FED RES BANK OF MINN</t>
  </si>
  <si>
    <t>363525</t>
  </si>
  <si>
    <t>Affordable Housing</t>
  </si>
  <si>
    <t>MT HEALTHCARE FNDN</t>
  </si>
  <si>
    <t>368466</t>
  </si>
  <si>
    <t>MilTech Economic Impact</t>
  </si>
  <si>
    <t>368469</t>
  </si>
  <si>
    <t>Reservation Impact</t>
  </si>
  <si>
    <t>MT DEPT OF COMMERCE</t>
  </si>
  <si>
    <t>326942</t>
  </si>
  <si>
    <t>Vanek, Joshua</t>
  </si>
  <si>
    <t>Campus Compact</t>
  </si>
  <si>
    <t>VISTA FY19-20 - Admin</t>
  </si>
  <si>
    <t>CORP FOR NATIONAL SERVICE</t>
  </si>
  <si>
    <t>326943</t>
  </si>
  <si>
    <t>326944</t>
  </si>
  <si>
    <t>326948</t>
  </si>
  <si>
    <t>VISTA FY 18-19 Admin</t>
  </si>
  <si>
    <t>326952</t>
  </si>
  <si>
    <t>VISTA Recruiter</t>
  </si>
  <si>
    <t>362988</t>
  </si>
  <si>
    <t>MTCC-AmeriCorps-Yr5-Admin</t>
  </si>
  <si>
    <t>GOVERNOR'S OFC / CNCS</t>
  </si>
  <si>
    <t>362989</t>
  </si>
  <si>
    <t>362990</t>
  </si>
  <si>
    <t>VARIOUS</t>
  </si>
  <si>
    <t>326941</t>
  </si>
  <si>
    <t>Fisher, Laurie</t>
  </si>
  <si>
    <t>Career Services</t>
  </si>
  <si>
    <t>Peace Corps 19-20</t>
  </si>
  <si>
    <t>PEACE CORPS</t>
  </si>
  <si>
    <t>361099</t>
  </si>
  <si>
    <t>Grimes, Mark</t>
  </si>
  <si>
    <t>CBSD grants - Biological Scien</t>
  </si>
  <si>
    <t>Craniofacial Cartilage f/Stem Cells</t>
  </si>
  <si>
    <t>NIH, NIDCR</t>
  </si>
  <si>
    <t>361089</t>
  </si>
  <si>
    <t>Lodmell, John</t>
  </si>
  <si>
    <t>snoRNA R03</t>
  </si>
  <si>
    <t>361124</t>
  </si>
  <si>
    <t>Atypical Protein Kinase RIOK3</t>
  </si>
  <si>
    <t>NIH, NCATS</t>
  </si>
  <si>
    <t>364555</t>
  </si>
  <si>
    <t>Ryckman, Brent</t>
  </si>
  <si>
    <t>HCMV tropism</t>
  </si>
  <si>
    <t>361064</t>
  </si>
  <si>
    <t>Samuels, Scott</t>
  </si>
  <si>
    <t>Glycerol in Borrelia</t>
  </si>
  <si>
    <t>361041</t>
  </si>
  <si>
    <t>Secor, Patrick</t>
  </si>
  <si>
    <t>Polymers and Antibiotic Tolerance</t>
  </si>
  <si>
    <t>361101</t>
  </si>
  <si>
    <t>361111</t>
  </si>
  <si>
    <t>361113</t>
  </si>
  <si>
    <t>361116</t>
  </si>
  <si>
    <t>361127</t>
  </si>
  <si>
    <t>Voronina, Ekaterina</t>
  </si>
  <si>
    <t>P granules and control of germ cell</t>
  </si>
  <si>
    <t>364567</t>
  </si>
  <si>
    <t>Hansen, Kasper</t>
  </si>
  <si>
    <t>CBSD grants - Biomedical Scien</t>
  </si>
  <si>
    <t>Negative NMDA receptor modulation</t>
  </si>
  <si>
    <t>NIH, NINDS</t>
  </si>
  <si>
    <t>361061</t>
  </si>
  <si>
    <t>361102</t>
  </si>
  <si>
    <t>361103</t>
  </si>
  <si>
    <t>361105</t>
  </si>
  <si>
    <t>361109</t>
  </si>
  <si>
    <t>361119</t>
  </si>
  <si>
    <t>325253</t>
  </si>
  <si>
    <t>Berryman, Orion</t>
  </si>
  <si>
    <t>CBSD grants - Chemistry</t>
  </si>
  <si>
    <t>UPG 2020 Synthetic Anion Channels</t>
  </si>
  <si>
    <t>366199</t>
  </si>
  <si>
    <t>XBing Thio-Diels-Alder Catalysis</t>
  </si>
  <si>
    <t>366361</t>
  </si>
  <si>
    <t>Bowler, Bruce</t>
  </si>
  <si>
    <t>Evolution of Cytochrome c</t>
  </si>
  <si>
    <t>364528</t>
  </si>
  <si>
    <t>Briknarova, Klara</t>
  </si>
  <si>
    <t>Fibronectin - NIH</t>
  </si>
  <si>
    <t>361025</t>
  </si>
  <si>
    <t>361058</t>
  </si>
  <si>
    <t>361106</t>
  </si>
  <si>
    <t>361107</t>
  </si>
  <si>
    <t>361110</t>
  </si>
  <si>
    <t>361112</t>
  </si>
  <si>
    <t>361104</t>
  </si>
  <si>
    <t>CBSD grants - Computer Science</t>
  </si>
  <si>
    <t>361126</t>
  </si>
  <si>
    <t>Wheeler, Travis</t>
  </si>
  <si>
    <t>ML Sequence Annotation</t>
  </si>
  <si>
    <t>362885</t>
  </si>
  <si>
    <t>DFAM Growth</t>
  </si>
  <si>
    <t>INST-SYSTEM BIOLOGY/NIH</t>
  </si>
  <si>
    <t>363012</t>
  </si>
  <si>
    <t>Johnson, Shawn</t>
  </si>
  <si>
    <t>Center for Natural Resources</t>
  </si>
  <si>
    <t>Grizzly Bear Advisory Council</t>
  </si>
  <si>
    <t>MT FWP / FWS</t>
  </si>
  <si>
    <t>368500</t>
  </si>
  <si>
    <t>DNRC FAB Strategic Planning</t>
  </si>
  <si>
    <t>361080</t>
  </si>
  <si>
    <t>Brookes, Emre</t>
  </si>
  <si>
    <t>Chemistry</t>
  </si>
  <si>
    <t>UltraScan Software</t>
  </si>
  <si>
    <t>366374</t>
  </si>
  <si>
    <t>DeGrandpre, Michael</t>
  </si>
  <si>
    <t>Arctic Ocean CO2 research</t>
  </si>
  <si>
    <t>326949</t>
  </si>
  <si>
    <t>Hu, Lu</t>
  </si>
  <si>
    <t>Long-term trends of trace gases</t>
  </si>
  <si>
    <t>NATL OCEANIC/ATMOS ADM</t>
  </si>
  <si>
    <t>362762</t>
  </si>
  <si>
    <t>BVOC Chemistry in Alaskan Tundra</t>
  </si>
  <si>
    <t>UNIV OF CO-BOULDER/NSF</t>
  </si>
  <si>
    <t>363022</t>
  </si>
  <si>
    <t>Missoula Air Toxic Study (MATS) I</t>
  </si>
  <si>
    <t>366364</t>
  </si>
  <si>
    <t>RII Track-4: TEMPO satellite</t>
  </si>
  <si>
    <t>362968</t>
  </si>
  <si>
    <t>Priestley, Nigel</t>
  </si>
  <si>
    <t>TZN STTR Phase II</t>
  </si>
  <si>
    <t>PROMILIAD BIOPHARMA / NIH</t>
  </si>
  <si>
    <t>363003</t>
  </si>
  <si>
    <t>Thomas, Aaron</t>
  </si>
  <si>
    <t>Pathways</t>
  </si>
  <si>
    <t>MSU / NIGMS</t>
  </si>
  <si>
    <t>363004</t>
  </si>
  <si>
    <t>362687</t>
  </si>
  <si>
    <t>Yokelson, Robert</t>
  </si>
  <si>
    <t>Indonesian peat fire emissions</t>
  </si>
  <si>
    <t>UNIV OF MD / NASA</t>
  </si>
  <si>
    <t>363081</t>
  </si>
  <si>
    <t>Chemistry of Fire Plumes</t>
  </si>
  <si>
    <t>GEORGIA INST TECH/NASA</t>
  </si>
  <si>
    <t>363427</t>
  </si>
  <si>
    <t>Vernon, Andrea</t>
  </si>
  <si>
    <t>Civic Engagement</t>
  </si>
  <si>
    <t>Learning by Giving</t>
  </si>
  <si>
    <t>LEARNING BY GIVING FNDN</t>
  </si>
  <si>
    <t>362057</t>
  </si>
  <si>
    <t>Tolleson Knee, Ryan</t>
  </si>
  <si>
    <t>Cntr-ChildrenFamilies&amp;Workforc</t>
  </si>
  <si>
    <t>BIA Training</t>
  </si>
  <si>
    <t>USDI - BIA</t>
  </si>
  <si>
    <t>363079</t>
  </si>
  <si>
    <t>Home Visiting</t>
  </si>
  <si>
    <t>MT DPHHS / HHS</t>
  </si>
  <si>
    <t>363109</t>
  </si>
  <si>
    <t>Court Improvement Project</t>
  </si>
  <si>
    <t>OFC COURT ADMIN / HHS</t>
  </si>
  <si>
    <t>363467</t>
  </si>
  <si>
    <t>Wilcox, Andrew</t>
  </si>
  <si>
    <t>Cntr-Riverine Science/Stream R</t>
  </si>
  <si>
    <t>LTAW Challenge Grant</t>
  </si>
  <si>
    <t>CUASHI</t>
  </si>
  <si>
    <t>363492</t>
  </si>
  <si>
    <t>CONSORT UNIV ADV HYDROLOG</t>
  </si>
  <si>
    <t>366235</t>
  </si>
  <si>
    <t>Sediment connectivity</t>
  </si>
  <si>
    <t>362997</t>
  </si>
  <si>
    <t>Affleck, David</t>
  </si>
  <si>
    <t>College of Forestry &amp; Conserva</t>
  </si>
  <si>
    <t>National FIA Biomass Project</t>
  </si>
  <si>
    <t>U OF MAINE / USDA</t>
  </si>
  <si>
    <t>365188</t>
  </si>
  <si>
    <t>INGY-FS</t>
  </si>
  <si>
    <t>365222</t>
  </si>
  <si>
    <t>Innovations in Inventory</t>
  </si>
  <si>
    <t>369769</t>
  </si>
  <si>
    <t>INGY Revenue Account</t>
  </si>
  <si>
    <t>INLAND NW GROWTH/YIELD</t>
  </si>
  <si>
    <t>369770</t>
  </si>
  <si>
    <t>369771</t>
  </si>
  <si>
    <t>369772</t>
  </si>
  <si>
    <t>363016</t>
  </si>
  <si>
    <t>Ballantyne, Ashley</t>
  </si>
  <si>
    <t>Forest Bioenergy</t>
  </si>
  <si>
    <t>U OF NEW HAMPSHIRE / NIFA</t>
  </si>
  <si>
    <t>363116</t>
  </si>
  <si>
    <t>Emergent Lakes</t>
  </si>
  <si>
    <t>MSU / USGS</t>
  </si>
  <si>
    <t>365155</t>
  </si>
  <si>
    <t>Bosak, Keith</t>
  </si>
  <si>
    <t>ISPAM</t>
  </si>
  <si>
    <t>USDA FS INTERNATIONAL PGM</t>
  </si>
  <si>
    <t>365156</t>
  </si>
  <si>
    <t>365191</t>
  </si>
  <si>
    <t>Community Based Conservation</t>
  </si>
  <si>
    <t>363058</t>
  </si>
  <si>
    <t>Chaffin, Brian</t>
  </si>
  <si>
    <t>RII Track 2 FEC: SES Regime Shifts</t>
  </si>
  <si>
    <t>UNIV OF NB / NSF</t>
  </si>
  <si>
    <t>366286</t>
  </si>
  <si>
    <t>NSF Fellowship – Amber Datta</t>
  </si>
  <si>
    <t>325252</t>
  </si>
  <si>
    <t>Cleveland, Cory</t>
  </si>
  <si>
    <t>UGP2020: Rock N</t>
  </si>
  <si>
    <t>366279</t>
  </si>
  <si>
    <t>Colman, Benjamin</t>
  </si>
  <si>
    <t>NSF Fellowship – Kaitlin Perkins</t>
  </si>
  <si>
    <t>365836</t>
  </si>
  <si>
    <t>Cooley, Hilary</t>
  </si>
  <si>
    <t>Grizzly Bear Recovery</t>
  </si>
  <si>
    <t>365038</t>
  </si>
  <si>
    <t>Davis, Cory</t>
  </si>
  <si>
    <t>Monitoring Forest Management</t>
  </si>
  <si>
    <t>365041</t>
  </si>
  <si>
    <t>365074</t>
  </si>
  <si>
    <t>365096</t>
  </si>
  <si>
    <t>365198</t>
  </si>
  <si>
    <t>363099</t>
  </si>
  <si>
    <t>DeLuca, Thomas</t>
  </si>
  <si>
    <t>Tree Inventory and Forest Health</t>
  </si>
  <si>
    <t>MT DNRC / USDA</t>
  </si>
  <si>
    <t>365132</t>
  </si>
  <si>
    <t>FY18 McIntire-Stennis Admin</t>
  </si>
  <si>
    <t>USDA FS NIFA</t>
  </si>
  <si>
    <t>365133</t>
  </si>
  <si>
    <t>365168</t>
  </si>
  <si>
    <t>FY19 McIntire-Stennis</t>
  </si>
  <si>
    <t>326930</t>
  </si>
  <si>
    <t>Dobrowski, Solomon</t>
  </si>
  <si>
    <t>Modeling Tree Recruitment</t>
  </si>
  <si>
    <t>363084</t>
  </si>
  <si>
    <t>Deep Dive Workshop- Davis</t>
  </si>
  <si>
    <t>365034</t>
  </si>
  <si>
    <t>Climate Change Vulnerability</t>
  </si>
  <si>
    <t>362043</t>
  </si>
  <si>
    <t>Eby, Lisa</t>
  </si>
  <si>
    <t>CESU BDA on Sagebrush Streams</t>
  </si>
  <si>
    <t>362640</t>
  </si>
  <si>
    <t>Flowering Rush in Northern Pike</t>
  </si>
  <si>
    <t>SALISH KOOTENAI COLL/USDA</t>
  </si>
  <si>
    <t>363018</t>
  </si>
  <si>
    <t>BDA assessment</t>
  </si>
  <si>
    <t>MSU WATER CTR / USGS</t>
  </si>
  <si>
    <t>363403</t>
  </si>
  <si>
    <t>CSKT Cutthroat Monitoring</t>
  </si>
  <si>
    <t>SALISH &amp; KOOTENAI TRIBES</t>
  </si>
  <si>
    <t>363507</t>
  </si>
  <si>
    <t>Sucker Manuscript Publication Costs</t>
  </si>
  <si>
    <t>NORTHWESTERN ENERGY</t>
  </si>
  <si>
    <t>365000</t>
  </si>
  <si>
    <t>Environmental DNA for biodiversity</t>
  </si>
  <si>
    <t>365089</t>
  </si>
  <si>
    <t>Tribal Freshwater Monitoring</t>
  </si>
  <si>
    <t>365176</t>
  </si>
  <si>
    <t>365195</t>
  </si>
  <si>
    <t>eDNA Development and Application</t>
  </si>
  <si>
    <t>369819</t>
  </si>
  <si>
    <t>Isolated Cutthroat Populations</t>
  </si>
  <si>
    <t>UM FOUNDATION</t>
  </si>
  <si>
    <t>362041</t>
  </si>
  <si>
    <t>Gerloff, Lisa</t>
  </si>
  <si>
    <t>CESU Host Support</t>
  </si>
  <si>
    <t>362042</t>
  </si>
  <si>
    <t>CESU Monitoring WSAs Billings FO</t>
  </si>
  <si>
    <t>USDI - BLM (CESU)</t>
  </si>
  <si>
    <t>362050</t>
  </si>
  <si>
    <t>CESU Monitoring of WSAs Dillon FO</t>
  </si>
  <si>
    <t>363115</t>
  </si>
  <si>
    <t>Solitude Monitoring in the AP</t>
  </si>
  <si>
    <t>NAT'L WILD STEWARD / USDA</t>
  </si>
  <si>
    <t>363489</t>
  </si>
  <si>
    <t>WC Monitoring in BLM WSAs</t>
  </si>
  <si>
    <t>THE CINNABAR FNDN</t>
  </si>
  <si>
    <t>365174</t>
  </si>
  <si>
    <t>AP Solitude Monitoring</t>
  </si>
  <si>
    <t>USDA FS BEAVERHEAD-DL NF</t>
  </si>
  <si>
    <t>326907</t>
  </si>
  <si>
    <t>Hebblewhite, Mark</t>
  </si>
  <si>
    <t>Linking caribou to ecosystem svcs</t>
  </si>
  <si>
    <t>363069</t>
  </si>
  <si>
    <t>Grizzly Bear Conflict</t>
  </si>
  <si>
    <t>BLACKFOOT CHALLENGE/FWS</t>
  </si>
  <si>
    <t>363332</t>
  </si>
  <si>
    <t>Caribou habitat and population</t>
  </si>
  <si>
    <t>ALBERTA ENV &amp; PARKS</t>
  </si>
  <si>
    <t>363414</t>
  </si>
  <si>
    <t>Yellowstone Wolves</t>
  </si>
  <si>
    <t>YELLOWSTONE FOREVER FNDN</t>
  </si>
  <si>
    <t>363496</t>
  </si>
  <si>
    <t xml:space="preserve"> Bull Elk Ecology 2019-20</t>
  </si>
  <si>
    <t>SAFARI CLUB INT'L FNDN</t>
  </si>
  <si>
    <t>363516</t>
  </si>
  <si>
    <t>SCI-Alberta Bull Elk</t>
  </si>
  <si>
    <t>SAFARI CLUB INT'L</t>
  </si>
  <si>
    <t>363521</t>
  </si>
  <si>
    <t>Alberta Caribou</t>
  </si>
  <si>
    <t>ALBERTAL ENVIRON &amp; PARKS</t>
  </si>
  <si>
    <t>363526</t>
  </si>
  <si>
    <t>Ya Ha Tinda Bull Elk Year 4</t>
  </si>
  <si>
    <t>ALBERTA CONS ASSOC</t>
  </si>
  <si>
    <t>363528</t>
  </si>
  <si>
    <t>Wildlife Connectivity</t>
  </si>
  <si>
    <t>PARKS CANADA</t>
  </si>
  <si>
    <t>365863</t>
  </si>
  <si>
    <t>Fortymile Caribou</t>
  </si>
  <si>
    <t>366330</t>
  </si>
  <si>
    <t>NSF Fellowship - Brenna Cassidy</t>
  </si>
  <si>
    <t>363117</t>
  </si>
  <si>
    <t>Higuera, Philip</t>
  </si>
  <si>
    <t>USGS Managing Fire Ecosystem YR1</t>
  </si>
  <si>
    <t>U OF CO BOULDER / USGS</t>
  </si>
  <si>
    <t>361914</t>
  </si>
  <si>
    <t>Jencso, Kelsey</t>
  </si>
  <si>
    <t>USACE UMRB Pilot Station</t>
  </si>
  <si>
    <t>US ARMY CORPS OF ENGINEER</t>
  </si>
  <si>
    <t>362910</t>
  </si>
  <si>
    <t>Upper Missouri Basin DEWs</t>
  </si>
  <si>
    <t>UCAR / NOAA</t>
  </si>
  <si>
    <t>363451</t>
  </si>
  <si>
    <t>Mapping Agriculture</t>
  </si>
  <si>
    <t>DESERT RESEARCH INSTITUTE</t>
  </si>
  <si>
    <t>365120</t>
  </si>
  <si>
    <t>UM Climate Office Data Entry</t>
  </si>
  <si>
    <t>USDA FS REGION ONE</t>
  </si>
  <si>
    <t>362888</t>
  </si>
  <si>
    <t>Keyes, Christopher</t>
  </si>
  <si>
    <t>Ventenata-Esplanade Herbicide Test</t>
  </si>
  <si>
    <t>SALISH KOOTANIA COLL /DOA</t>
  </si>
  <si>
    <t>363062</t>
  </si>
  <si>
    <t>Esplanade Herbicide Test</t>
  </si>
  <si>
    <t>SALISH KOOTENAI COLL /DOA</t>
  </si>
  <si>
    <t>365047</t>
  </si>
  <si>
    <t>Coram Forest Data Archiving</t>
  </si>
  <si>
    <t>365197</t>
  </si>
  <si>
    <t>FY20 McIntire-Stennis Admin</t>
  </si>
  <si>
    <t>365202</t>
  </si>
  <si>
    <t>365203</t>
  </si>
  <si>
    <t>365204</t>
  </si>
  <si>
    <t>365205</t>
  </si>
  <si>
    <t>365206</t>
  </si>
  <si>
    <t>365207</t>
  </si>
  <si>
    <t>365209</t>
  </si>
  <si>
    <t>365210</t>
  </si>
  <si>
    <t>365211</t>
  </si>
  <si>
    <t>365212</t>
  </si>
  <si>
    <t>365213</t>
  </si>
  <si>
    <t>365214</t>
  </si>
  <si>
    <t>365216</t>
  </si>
  <si>
    <t>365217</t>
  </si>
  <si>
    <t>365219</t>
  </si>
  <si>
    <t>365220</t>
  </si>
  <si>
    <t>363478</t>
  </si>
  <si>
    <t>Larson, Andrew</t>
  </si>
  <si>
    <t>WI Operating FY20</t>
  </si>
  <si>
    <t>363536</t>
  </si>
  <si>
    <t>WI FY21 Operating</t>
  </si>
  <si>
    <t>365129</t>
  </si>
  <si>
    <t>Fire and Fuels Comm</t>
  </si>
  <si>
    <t>365138</t>
  </si>
  <si>
    <t>Program Income for WMDEP M65137</t>
  </si>
  <si>
    <t>365172</t>
  </si>
  <si>
    <t>Wilderness Fire</t>
  </si>
  <si>
    <t>365194</t>
  </si>
  <si>
    <t>NRFSN</t>
  </si>
  <si>
    <t>365215</t>
  </si>
  <si>
    <t>ALWRI Science and Website</t>
  </si>
  <si>
    <t>365218</t>
  </si>
  <si>
    <t>ALWRI Wilderness Monitoring</t>
  </si>
  <si>
    <t>USDA FS</t>
  </si>
  <si>
    <t>365185</t>
  </si>
  <si>
    <t>Luis, Angela</t>
  </si>
  <si>
    <t>USFS bat &amp; WNS genetics</t>
  </si>
  <si>
    <t>366280</t>
  </si>
  <si>
    <t>NSF Fellowship – TJ Clark</t>
  </si>
  <si>
    <t>366291</t>
  </si>
  <si>
    <t>EAGER: Luis Zoonotic Pathogen</t>
  </si>
  <si>
    <t>362864</t>
  </si>
  <si>
    <t>Lukacs, Paul</t>
  </si>
  <si>
    <t>Deer Resource Selection</t>
  </si>
  <si>
    <t>STATE OF S DAKOTA / FWS</t>
  </si>
  <si>
    <t>362991</t>
  </si>
  <si>
    <t>Kittlitz's murrelet monitoring</t>
  </si>
  <si>
    <t>AK DEPT FISH &amp; GAME /</t>
  </si>
  <si>
    <t>363068</t>
  </si>
  <si>
    <t>Pronghorn Ecology</t>
  </si>
  <si>
    <t>SD GAME &amp; FISH / FWS</t>
  </si>
  <si>
    <t>363096</t>
  </si>
  <si>
    <t>Colorado ungulate cameras</t>
  </si>
  <si>
    <t>CO PARKS &amp; WILDLIFE / FWS</t>
  </si>
  <si>
    <t>363455</t>
  </si>
  <si>
    <t>Metcalf, Alexander</t>
  </si>
  <si>
    <t>Ag Behavior Change</t>
  </si>
  <si>
    <t>NATL FISH/WILDLIFE FNDN</t>
  </si>
  <si>
    <t>365187</t>
  </si>
  <si>
    <t>Wildfire assessments</t>
  </si>
  <si>
    <t>362697</t>
  </si>
  <si>
    <t>Millspaugh, Joshua</t>
  </si>
  <si>
    <t>Missouri Elk Project</t>
  </si>
  <si>
    <t>U OF MISSOURI / FWS</t>
  </si>
  <si>
    <t>362776</t>
  </si>
  <si>
    <t>Demographics of a Restored Elk Popu</t>
  </si>
  <si>
    <t>MISSOURI DEPT CONS / FWS</t>
  </si>
  <si>
    <t>362935</t>
  </si>
  <si>
    <t>Black Bears in Nevada</t>
  </si>
  <si>
    <t>MICHIGAN ST U / FWS</t>
  </si>
  <si>
    <t>364970</t>
  </si>
  <si>
    <t>Mesocarnivores</t>
  </si>
  <si>
    <t>365077</t>
  </si>
  <si>
    <t>Developing Wildlife Monitoring Prog</t>
  </si>
  <si>
    <t>365186</t>
  </si>
  <si>
    <t>Mesocarnivore monitoring</t>
  </si>
  <si>
    <t>368843</t>
  </si>
  <si>
    <t>SPR MDC Support</t>
  </si>
  <si>
    <t>MISSOURI DEPT CONS</t>
  </si>
  <si>
    <t>366289</t>
  </si>
  <si>
    <t>Nelson, Cara</t>
  </si>
  <si>
    <t>NSF Fellowship – Mariah McIntosh</t>
  </si>
  <si>
    <t>369904</t>
  </si>
  <si>
    <t>Nickerson, Norma</t>
  </si>
  <si>
    <t>Tourism and Recreation Research</t>
  </si>
  <si>
    <t>UNIV TRAVEL RES PROG</t>
  </si>
  <si>
    <t>362027</t>
  </si>
  <si>
    <t>Patterson, Michael</t>
  </si>
  <si>
    <t>BM Coop Programmatic Support CESU</t>
  </si>
  <si>
    <t>362061</t>
  </si>
  <si>
    <t>YNP N AM Interns 2025</t>
  </si>
  <si>
    <t>365134</t>
  </si>
  <si>
    <t>Ronald, Lisa</t>
  </si>
  <si>
    <t>Wilderness Connect</t>
  </si>
  <si>
    <t>A. CARHART / USDA</t>
  </si>
  <si>
    <t>365162</t>
  </si>
  <si>
    <t>363114</t>
  </si>
  <si>
    <t>Sage, Jeremy</t>
  </si>
  <si>
    <t>Task Order 2: Zion</t>
  </si>
  <si>
    <t>RRC ASSOCIATES / NPS</t>
  </si>
  <si>
    <t>365894</t>
  </si>
  <si>
    <t>Six, Diana</t>
  </si>
  <si>
    <t>whitebark pine genetics</t>
  </si>
  <si>
    <t>362782</t>
  </si>
  <si>
    <t>Thomsen, Jennifer</t>
  </si>
  <si>
    <t>Flathead River Mgmt Plan</t>
  </si>
  <si>
    <t>HYDROSOLUTIONS / USDA</t>
  </si>
  <si>
    <t>362865</t>
  </si>
  <si>
    <t>Sagebrush Project</t>
  </si>
  <si>
    <t>CTR LARGE LANDSCAPE / FWS</t>
  </si>
  <si>
    <t>365109</t>
  </si>
  <si>
    <t>PNW Trail Monitoring</t>
  </si>
  <si>
    <t>365223</t>
  </si>
  <si>
    <t>Salmon River Monitoring</t>
  </si>
  <si>
    <t>365851</t>
  </si>
  <si>
    <t>Visitor Use Monitoring for Glacier</t>
  </si>
  <si>
    <t>362579</t>
  </si>
  <si>
    <t>Whiteley, Andrew</t>
  </si>
  <si>
    <t>Genetic Conservation of Native Fish</t>
  </si>
  <si>
    <t>363051</t>
  </si>
  <si>
    <t>Climate Chang Genetic Management</t>
  </si>
  <si>
    <t>363352</t>
  </si>
  <si>
    <t>Brook trout genomics</t>
  </si>
  <si>
    <t>SEATTLE CITY LIGHT</t>
  </si>
  <si>
    <t>366239</t>
  </si>
  <si>
    <t>Gene flow into isolated populations</t>
  </si>
  <si>
    <t>366368</t>
  </si>
  <si>
    <t>368846</t>
  </si>
  <si>
    <t>WYGF native fish genetics</t>
  </si>
  <si>
    <t>WY GAME &amp; FISH DEPARTMENT</t>
  </si>
  <si>
    <t>363469</t>
  </si>
  <si>
    <t>Yung, Laurie</t>
  </si>
  <si>
    <t>PEW Research Impact</t>
  </si>
  <si>
    <t>PEW CHARITABLE TRUSTS</t>
  </si>
  <si>
    <t>365108</t>
  </si>
  <si>
    <t>Fire Risk Transmission</t>
  </si>
  <si>
    <t>USDA FA ROCKY MTN RS</t>
  </si>
  <si>
    <t>365179</t>
  </si>
  <si>
    <t>CoMFRT</t>
  </si>
  <si>
    <t>369860</t>
  </si>
  <si>
    <t>Agrmt. to Host LHIResearch Advisor</t>
  </si>
  <si>
    <t>WORLD WILDLIFE FUND</t>
  </si>
  <si>
    <t>362982</t>
  </si>
  <si>
    <t>Iverson, Joel</t>
  </si>
  <si>
    <t>Communication Studies</t>
  </si>
  <si>
    <t>ADB-CAP</t>
  </si>
  <si>
    <t>U OF VERMONT / USDA</t>
  </si>
  <si>
    <t>325492</t>
  </si>
  <si>
    <t>Slovarp, Laurie</t>
  </si>
  <si>
    <t>Communicative Sciences &amp; Disor</t>
  </si>
  <si>
    <t>UGP2019: BCT Mechanism</t>
  </si>
  <si>
    <t>362998</t>
  </si>
  <si>
    <t>Cough Desensitization</t>
  </si>
  <si>
    <t>362992</t>
  </si>
  <si>
    <t>Wolter, Julie</t>
  </si>
  <si>
    <t>OPI SLP Clinical Supervision</t>
  </si>
  <si>
    <t>OPI / ED</t>
  </si>
  <si>
    <t>363029</t>
  </si>
  <si>
    <t>Ortho Phono Influence Word Learn Y2</t>
  </si>
  <si>
    <t>MA GENERAL HOSPITAL / NIH</t>
  </si>
  <si>
    <t>363530</t>
  </si>
  <si>
    <t>Western Montana Scottish Rite</t>
  </si>
  <si>
    <t>W MT SCOTTISH RITE FNDN</t>
  </si>
  <si>
    <t>369097</t>
  </si>
  <si>
    <t>RiteCare Language &amp; Literacy</t>
  </si>
  <si>
    <t>362798</t>
  </si>
  <si>
    <t>Brinkerhoff, Douglas</t>
  </si>
  <si>
    <t>Computer Science</t>
  </si>
  <si>
    <t>ICETBM</t>
  </si>
  <si>
    <t>UNIV OF AK / NASA</t>
  </si>
  <si>
    <t>365196</t>
  </si>
  <si>
    <t>Johnson, Jesse</t>
  </si>
  <si>
    <t>Advancing fire behavior modeling</t>
  </si>
  <si>
    <t>363487</t>
  </si>
  <si>
    <t>Reimer, Yolanda</t>
  </si>
  <si>
    <t>K12 CS Education</t>
  </si>
  <si>
    <t>324858</t>
  </si>
  <si>
    <t>Callaway, Ragan</t>
  </si>
  <si>
    <t>Corps of Engineers</t>
  </si>
  <si>
    <t>Wildland Fire Support Kirkland AFB</t>
  </si>
  <si>
    <t>US ARMY CORPS (CESU)</t>
  </si>
  <si>
    <t>361905</t>
  </si>
  <si>
    <t>Wildland Fire Mgmt. Tech. Supp.</t>
  </si>
  <si>
    <t>361906</t>
  </si>
  <si>
    <t>361907</t>
  </si>
  <si>
    <t>Wildlife Rapid Response Program</t>
  </si>
  <si>
    <t>US DEPT OF DEFENSE</t>
  </si>
  <si>
    <t>361908</t>
  </si>
  <si>
    <t>Spadefoot Toad eDNA TravisBeale</t>
  </si>
  <si>
    <t>361909</t>
  </si>
  <si>
    <t>MGT,Habitat,Forestry (FTQWOS863119)</t>
  </si>
  <si>
    <t>361910</t>
  </si>
  <si>
    <t>JB Langley-Eustis Support</t>
  </si>
  <si>
    <t>361911</t>
  </si>
  <si>
    <t>361915</t>
  </si>
  <si>
    <t>Invasive Species Support JBMDL</t>
  </si>
  <si>
    <t>363024</t>
  </si>
  <si>
    <t>MTANG Wildland Update Fire Mgt Plan</t>
  </si>
  <si>
    <t>MILITARY AFFAIRS / DOD</t>
  </si>
  <si>
    <t>365192</t>
  </si>
  <si>
    <t>MAFB Invasive Plants</t>
  </si>
  <si>
    <t>361037</t>
  </si>
  <si>
    <t>Cochran, Bryan</t>
  </si>
  <si>
    <t>Counseling</t>
  </si>
  <si>
    <t>Behavioral Health in the Big Sky</t>
  </si>
  <si>
    <t>NIH, HRSA</t>
  </si>
  <si>
    <t>363072</t>
  </si>
  <si>
    <t>Murray, Kirsten</t>
  </si>
  <si>
    <t>Rural Mental Health Prep</t>
  </si>
  <si>
    <t>361065</t>
  </si>
  <si>
    <t>Burkhart, David</t>
  </si>
  <si>
    <t>CTM</t>
  </si>
  <si>
    <t>Fusion R01</t>
  </si>
  <si>
    <t>361123</t>
  </si>
  <si>
    <t>Evans, Jay</t>
  </si>
  <si>
    <t>Vaccine Adjuvant Discovery Program</t>
  </si>
  <si>
    <t>361125</t>
  </si>
  <si>
    <t>Adjuvant Discov.-Combo Adjuvants</t>
  </si>
  <si>
    <t>361143</t>
  </si>
  <si>
    <t>Vaccine Adjuvant Covid1</t>
  </si>
  <si>
    <t>362926</t>
  </si>
  <si>
    <t>Adjuvant Development Program</t>
  </si>
  <si>
    <t>BOSTON CHILDREN'S / NIH</t>
  </si>
  <si>
    <t>363039</t>
  </si>
  <si>
    <t>STTR ASCEND Project Yr2</t>
  </si>
  <si>
    <t>U OF NM / NIH</t>
  </si>
  <si>
    <t>361062</t>
  </si>
  <si>
    <t>Develop an anti-Pseudomonas vaccine</t>
  </si>
  <si>
    <t>361142</t>
  </si>
  <si>
    <t>Lyme disease vaccine</t>
  </si>
  <si>
    <t>366357</t>
  </si>
  <si>
    <t>Smith, Robert</t>
  </si>
  <si>
    <t>Combinatoric MS - Admin</t>
  </si>
  <si>
    <t>366358</t>
  </si>
  <si>
    <t>361913</t>
  </si>
  <si>
    <t>Stierle, Andrea</t>
  </si>
  <si>
    <t>Development MRSA Antibiotic</t>
  </si>
  <si>
    <t>US ARMY MEDICAL RESEARCH</t>
  </si>
  <si>
    <t>326456</t>
  </si>
  <si>
    <t>Holian, Andrij</t>
  </si>
  <si>
    <t>Ctr Environmental Health Scien</t>
  </si>
  <si>
    <t>Cost Match for M63098</t>
  </si>
  <si>
    <t>DESIGNATED MRA003</t>
  </si>
  <si>
    <t>361002</t>
  </si>
  <si>
    <t>COBRE III 2017-2018 YEAR 5</t>
  </si>
  <si>
    <t>361040</t>
  </si>
  <si>
    <t>Particle-induced inflammation</t>
  </si>
  <si>
    <t>NIH, NIEHS</t>
  </si>
  <si>
    <t>361134</t>
  </si>
  <si>
    <t>CEHS SURP</t>
  </si>
  <si>
    <t>361135</t>
  </si>
  <si>
    <t>362733</t>
  </si>
  <si>
    <t>Lipids Silica-Triggered Auto</t>
  </si>
  <si>
    <t>MICHIGAN ST UNIV / NIH</t>
  </si>
  <si>
    <t>363098</t>
  </si>
  <si>
    <t>CEHS Core Resource Support</t>
  </si>
  <si>
    <t>364561</t>
  </si>
  <si>
    <t>CEHS Summer Undergrad Research</t>
  </si>
  <si>
    <t>366336</t>
  </si>
  <si>
    <t>NSF Fellow - Laura Fisch</t>
  </si>
  <si>
    <t>361012</t>
  </si>
  <si>
    <t>Roberts, Kevan</t>
  </si>
  <si>
    <t>House dust mite allergen</t>
  </si>
  <si>
    <t>NIH, NHLBI</t>
  </si>
  <si>
    <t>363471</t>
  </si>
  <si>
    <t>Bridges, Richard</t>
  </si>
  <si>
    <t>Ctr Structural/Functnl Neurosc</t>
  </si>
  <si>
    <t>Keck UG Neuroscience program</t>
  </si>
  <si>
    <t>361028</t>
  </si>
  <si>
    <t>Thompson, Charles</t>
  </si>
  <si>
    <t>Molecular Imaging Chemical Threats</t>
  </si>
  <si>
    <t>361068</t>
  </si>
  <si>
    <t>361098</t>
  </si>
  <si>
    <t>363510</t>
  </si>
  <si>
    <t>Landguth, Erin</t>
  </si>
  <si>
    <t>Ctr-PopulationHealthResearch</t>
  </si>
  <si>
    <t>Riverscape Genetics - Boundary</t>
  </si>
  <si>
    <t>363511</t>
  </si>
  <si>
    <t>Riverscape Genetics - Skagit</t>
  </si>
  <si>
    <t>365229</t>
  </si>
  <si>
    <t xml:space="preserve"> RMRS Habitat Connectivity Modeling</t>
  </si>
  <si>
    <t>361136</t>
  </si>
  <si>
    <t>Noonan, Curtis</t>
  </si>
  <si>
    <t>CPHR</t>
  </si>
  <si>
    <t>NIH,</t>
  </si>
  <si>
    <t>361137</t>
  </si>
  <si>
    <t>361138</t>
  </si>
  <si>
    <t>361139</t>
  </si>
  <si>
    <t>361140</t>
  </si>
  <si>
    <t>361141</t>
  </si>
  <si>
    <t>363049</t>
  </si>
  <si>
    <t>Sokinaapi Project</t>
  </si>
  <si>
    <t>BROWNING SCHOOLS / NIH</t>
  </si>
  <si>
    <t>365880</t>
  </si>
  <si>
    <t>Phear, Nicolette</t>
  </si>
  <si>
    <t>Davidson Davidson Honors College</t>
  </si>
  <si>
    <t>NPS Climate Change Interns</t>
  </si>
  <si>
    <t>325260</t>
  </si>
  <si>
    <t>Barsky, Christina</t>
  </si>
  <si>
    <t>Dept of Public Admn &amp; Policy</t>
  </si>
  <si>
    <t>UGP2020: Administrator of Democracy</t>
  </si>
  <si>
    <t>363493</t>
  </si>
  <si>
    <t>Rinfret, Sara</t>
  </si>
  <si>
    <t>Headwaters and Big Sky Poll</t>
  </si>
  <si>
    <t>HEADWATERS HEALTH FND</t>
  </si>
  <si>
    <t>368841</t>
  </si>
  <si>
    <t>City of Missoula TIF Project</t>
  </si>
  <si>
    <t>CITY OF MISSOULA</t>
  </si>
  <si>
    <t>363509</t>
  </si>
  <si>
    <t>Herbert-Meny, Jessie</t>
  </si>
  <si>
    <t>DFA - Research Administration</t>
  </si>
  <si>
    <t>Making Spaces</t>
  </si>
  <si>
    <t>366290</t>
  </si>
  <si>
    <t>Breuner, Creagh</t>
  </si>
  <si>
    <t>Division of Biological Science</t>
  </si>
  <si>
    <t>NSF Fellowship - Desimone</t>
  </si>
  <si>
    <t>369801</t>
  </si>
  <si>
    <t>Avian Stress and Energetics</t>
  </si>
  <si>
    <t>363334</t>
  </si>
  <si>
    <t>Brodie, Jedediah</t>
  </si>
  <si>
    <t>Rainforest Trust</t>
  </si>
  <si>
    <t>SE ASIAN RAINFOREST RES</t>
  </si>
  <si>
    <t>365896</t>
  </si>
  <si>
    <t>Denali-pikas</t>
  </si>
  <si>
    <t>366283</t>
  </si>
  <si>
    <t>NSF GRFP - Humphries</t>
  </si>
  <si>
    <t>367982</t>
  </si>
  <si>
    <t>Certel, Sarah</t>
  </si>
  <si>
    <t>Dual transmission in aggression</t>
  </si>
  <si>
    <t>361000</t>
  </si>
  <si>
    <t>Cheviron, Zachary</t>
  </si>
  <si>
    <t>NRSA Fellowship - Jonathan Velotta</t>
  </si>
  <si>
    <t>366281</t>
  </si>
  <si>
    <t>Deer Mouse EPAS1</t>
  </si>
  <si>
    <t>366371</t>
  </si>
  <si>
    <t>Chickadee Hybridzation</t>
  </si>
  <si>
    <t>361029</t>
  </si>
  <si>
    <t>Cooper, Brandon</t>
  </si>
  <si>
    <t>Genetics of Wolbachia Effects</t>
  </si>
  <si>
    <t>363533</t>
  </si>
  <si>
    <t>Emlen, Douglas</t>
  </si>
  <si>
    <t>Hindleg weapons in stick insects</t>
  </si>
  <si>
    <t>AM SOCIETY OF NATURALISTS</t>
  </si>
  <si>
    <t>366372</t>
  </si>
  <si>
    <t>Multimodal signaling in beetles</t>
  </si>
  <si>
    <t>366373</t>
  </si>
  <si>
    <t>369721</t>
  </si>
  <si>
    <t>Fylling, Megan</t>
  </si>
  <si>
    <t>UM Bird Ecology Lab: MPG Ranch</t>
  </si>
  <si>
    <t>361048</t>
  </si>
  <si>
    <t>Good, Jeffrey</t>
  </si>
  <si>
    <t>Imprinted Gene Regulatory Networks</t>
  </si>
  <si>
    <t>NIH, NICHHD</t>
  </si>
  <si>
    <t>365201</t>
  </si>
  <si>
    <t>Wildlife Genomics</t>
  </si>
  <si>
    <t>368416</t>
  </si>
  <si>
    <t>Greene, Erick</t>
  </si>
  <si>
    <t>Bird's-eye View Education Program</t>
  </si>
  <si>
    <t>MT TECH</t>
  </si>
  <si>
    <t>366326</t>
  </si>
  <si>
    <t>Hayford, Barbara</t>
  </si>
  <si>
    <t>MACROrivers</t>
  </si>
  <si>
    <t>363495</t>
  </si>
  <si>
    <t>Holben, William</t>
  </si>
  <si>
    <t>Non-Invasive Wildlife Sampling</t>
  </si>
  <si>
    <t>ANIMAL WELFARE INSTITUTE</t>
  </si>
  <si>
    <t>361097</t>
  </si>
  <si>
    <t>Kroll, Eugene</t>
  </si>
  <si>
    <t>combination therapy for cancer</t>
  </si>
  <si>
    <t>NIH, NCI</t>
  </si>
  <si>
    <t>362716</t>
  </si>
  <si>
    <t>Lowe, Winsor</t>
  </si>
  <si>
    <t>Hubbard Brook LTER</t>
  </si>
  <si>
    <t>CARY INST-ECO SYS/NSF</t>
  </si>
  <si>
    <t>366262</t>
  </si>
  <si>
    <t>NSF Grad Res Fellow - Leah Joyce</t>
  </si>
  <si>
    <t>366325</t>
  </si>
  <si>
    <t>Dispersal distance</t>
  </si>
  <si>
    <t>365173</t>
  </si>
  <si>
    <t>Maron, John</t>
  </si>
  <si>
    <t>Plant Invasions</t>
  </si>
  <si>
    <t>366329</t>
  </si>
  <si>
    <t>Plant Defense</t>
  </si>
  <si>
    <t>369707</t>
  </si>
  <si>
    <t>Host Plants for Monarchs</t>
  </si>
  <si>
    <t>366196</t>
  </si>
  <si>
    <t>McCutcheon, John</t>
  </si>
  <si>
    <t>CAREER: Genome Complexity</t>
  </si>
  <si>
    <t>362753</t>
  </si>
  <si>
    <t>Miller, Scott</t>
  </si>
  <si>
    <t>Reliving the past</t>
  </si>
  <si>
    <t>GA INST OF TECH / NASA</t>
  </si>
  <si>
    <t>362754</t>
  </si>
  <si>
    <t>362755</t>
  </si>
  <si>
    <t>362756</t>
  </si>
  <si>
    <t>361094</t>
  </si>
  <si>
    <t>Minnick, Michael</t>
  </si>
  <si>
    <t>Bartonella Ancashensis</t>
  </si>
  <si>
    <t>365867</t>
  </si>
  <si>
    <t>Noson, Anna</t>
  </si>
  <si>
    <t>BLM Riparian Bird</t>
  </si>
  <si>
    <t>368457</t>
  </si>
  <si>
    <t>FWP Bird Surveys</t>
  </si>
  <si>
    <t>MT DEPT FISH-WILD-PARKS</t>
  </si>
  <si>
    <t>368494</t>
  </si>
  <si>
    <t>Robb Ledford WMA Bird Monitoring</t>
  </si>
  <si>
    <t>369728</t>
  </si>
  <si>
    <t>NWE Bird Monitoring</t>
  </si>
  <si>
    <t>368477</t>
  </si>
  <si>
    <t>Pearson, Dean</t>
  </si>
  <si>
    <t>Invasive Weed Impacts: Missouri</t>
  </si>
  <si>
    <t>MT DEPT OF AGRICULTURE</t>
  </si>
  <si>
    <t>369798</t>
  </si>
  <si>
    <t>Small Mammal Census at MPG Ranch</t>
  </si>
  <si>
    <t>362059</t>
  </si>
  <si>
    <t>Rice, Peter</t>
  </si>
  <si>
    <t>LIBI Indaziflam Trial</t>
  </si>
  <si>
    <t>363040</t>
  </si>
  <si>
    <t>National Bison Range 2019</t>
  </si>
  <si>
    <t>365184</t>
  </si>
  <si>
    <t>Indaziflam Injury</t>
  </si>
  <si>
    <t>368491</t>
  </si>
  <si>
    <t>White Smut Yr 2</t>
  </si>
  <si>
    <t>362829</t>
  </si>
  <si>
    <t>Sala, Anna</t>
  </si>
  <si>
    <t>Water Content and Mortality</t>
  </si>
  <si>
    <t>MSU / NASA</t>
  </si>
  <si>
    <t>363045</t>
  </si>
  <si>
    <t>Tobalske, Bret</t>
  </si>
  <si>
    <t>Escape Fight in Hummingbirds</t>
  </si>
  <si>
    <t>PA STATE UNIV / USDA</t>
  </si>
  <si>
    <t>363060</t>
  </si>
  <si>
    <t>Avian Inspired Soft Robots</t>
  </si>
  <si>
    <t>UNIV OF MICHIGAN / NSF</t>
  </si>
  <si>
    <t>369803</t>
  </si>
  <si>
    <t>Valett, Herbert</t>
  </si>
  <si>
    <t>MPG Floodplain</t>
  </si>
  <si>
    <t>363009</t>
  </si>
  <si>
    <t>Woods, Art</t>
  </si>
  <si>
    <t>Montana Stoneflies</t>
  </si>
  <si>
    <t>369879</t>
  </si>
  <si>
    <t>Insect Thermal Ecology</t>
  </si>
  <si>
    <t>365048</t>
  </si>
  <si>
    <t>Economics</t>
  </si>
  <si>
    <t>Wildfire Management</t>
  </si>
  <si>
    <t>325257</t>
  </si>
  <si>
    <t>Mullan, Katrina</t>
  </si>
  <si>
    <t>UGP 2020: Forests and Health</t>
  </si>
  <si>
    <t>366297</t>
  </si>
  <si>
    <t>CNH-L: Sociohydrological systems</t>
  </si>
  <si>
    <t>326953</t>
  </si>
  <si>
    <t>Lee, Daniel</t>
  </si>
  <si>
    <t>Educational Leadership</t>
  </si>
  <si>
    <t>STOP School Violence</t>
  </si>
  <si>
    <t>US DEPT OF JUSTICE</t>
  </si>
  <si>
    <t>361032</t>
  </si>
  <si>
    <t>Ridesatthedoor, Maegan</t>
  </si>
  <si>
    <t>Educational Research and Servi</t>
  </si>
  <si>
    <t>SNEP 3</t>
  </si>
  <si>
    <t>HHS, SAMSA</t>
  </si>
  <si>
    <t>364587</t>
  </si>
  <si>
    <t>HHS, SAMHSA</t>
  </si>
  <si>
    <t>325256</t>
  </si>
  <si>
    <t>Kinch, Ashby</t>
  </si>
  <si>
    <t>English</t>
  </si>
  <si>
    <t>UGP 2020: Medieval Illum Manuscript</t>
  </si>
  <si>
    <t>369151</t>
  </si>
  <si>
    <t>O Riordain, Traolach</t>
  </si>
  <si>
    <t>Irish Studies/Language Support</t>
  </si>
  <si>
    <t>GOVERNMENT OF IRELAND</t>
  </si>
  <si>
    <t>365208</t>
  </si>
  <si>
    <t>Spencer, Daniel</t>
  </si>
  <si>
    <t>Environmental Studies</t>
  </si>
  <si>
    <t>Evaluate Timber Revenue</t>
  </si>
  <si>
    <t>363479</t>
  </si>
  <si>
    <t>Watson, Vicki</t>
  </si>
  <si>
    <t>Clark Fork River algae monitoring</t>
  </si>
  <si>
    <t>CLARK FORK COALITION</t>
  </si>
  <si>
    <t>361146</t>
  </si>
  <si>
    <t>Bell, Darin</t>
  </si>
  <si>
    <t>Family Medicine Residency/AHEC</t>
  </si>
  <si>
    <t>Residency Training in Primary Care</t>
  </si>
  <si>
    <t>363485</t>
  </si>
  <si>
    <t>FMR American Indian</t>
  </si>
  <si>
    <t>363410</t>
  </si>
  <si>
    <t>Molloy, Molly</t>
  </si>
  <si>
    <t>MED-AHEAD</t>
  </si>
  <si>
    <t>STEELE-REESE FNDN</t>
  </si>
  <si>
    <t>368496</t>
  </si>
  <si>
    <t>iGraduate MT-AHEC</t>
  </si>
  <si>
    <t>COMMISSIONER OF HIGHER ED</t>
  </si>
  <si>
    <t>362892</t>
  </si>
  <si>
    <t>Norris, Kaye</t>
  </si>
  <si>
    <t>MSU NEPQR</t>
  </si>
  <si>
    <t>MSU / HRSA</t>
  </si>
  <si>
    <t>363441</t>
  </si>
  <si>
    <t>Paddock, Elizabeth</t>
  </si>
  <si>
    <t>RHEDI</t>
  </si>
  <si>
    <t>363480</t>
  </si>
  <si>
    <t>Robohm, Jennifer</t>
  </si>
  <si>
    <t>SBIRT</t>
  </si>
  <si>
    <t>361049</t>
  </si>
  <si>
    <t>Stenger, Robert</t>
  </si>
  <si>
    <t>Team Training for Transformation</t>
  </si>
  <si>
    <t>361093</t>
  </si>
  <si>
    <t>363459</t>
  </si>
  <si>
    <t>FMRWM - FY 2020</t>
  </si>
  <si>
    <t>363514</t>
  </si>
  <si>
    <t>Grad Med Ed Operating Reserve Fund</t>
  </si>
  <si>
    <t>363076</t>
  </si>
  <si>
    <t>Seielstad, Carl</t>
  </si>
  <si>
    <t>Fire Center</t>
  </si>
  <si>
    <t>3D Fuel Charc. Year 1</t>
  </si>
  <si>
    <t>TALL TIMBERS RES / USDA</t>
  </si>
  <si>
    <t>362947</t>
  </si>
  <si>
    <t>Klene, Anna</t>
  </si>
  <si>
    <t>Geography</t>
  </si>
  <si>
    <t>Circumpolar Active Layer Monitoring</t>
  </si>
  <si>
    <t>GEORGE WASHINGING U / NSF</t>
  </si>
  <si>
    <t>365854</t>
  </si>
  <si>
    <t>Avalanching in GNP</t>
  </si>
  <si>
    <t>367848</t>
  </si>
  <si>
    <t>GEORGE WASHINGTON U / NSF</t>
  </si>
  <si>
    <t>366339</t>
  </si>
  <si>
    <t>Baldwin, Julia</t>
  </si>
  <si>
    <t>Geosciences</t>
  </si>
  <si>
    <t>Wyoming province</t>
  </si>
  <si>
    <t>366296</t>
  </si>
  <si>
    <t>Bendick Kier, Rebecca</t>
  </si>
  <si>
    <t>Turkana multiphysics</t>
  </si>
  <si>
    <t>362791</t>
  </si>
  <si>
    <t>Gardner, William</t>
  </si>
  <si>
    <t>Mechanical Gas Release</t>
  </si>
  <si>
    <t>SANDIA NAT'L LAB / DOE</t>
  </si>
  <si>
    <t>366340</t>
  </si>
  <si>
    <t>Geodetic Lysimetry</t>
  </si>
  <si>
    <t>363503</t>
  </si>
  <si>
    <t>Harper, Joel</t>
  </si>
  <si>
    <t>Periglacial coupling</t>
  </si>
  <si>
    <t>SWEDISH NUCLEAR FUEL</t>
  </si>
  <si>
    <t>325251</t>
  </si>
  <si>
    <t>Hendrix, Marc</t>
  </si>
  <si>
    <t>UPG2020: Garrison to Glasgow</t>
  </si>
  <si>
    <t>367925</t>
  </si>
  <si>
    <t>Hinman, Nancy</t>
  </si>
  <si>
    <t>Planet Environments</t>
  </si>
  <si>
    <t>SETI INSTITUTE / NASA</t>
  </si>
  <si>
    <t>362974</t>
  </si>
  <si>
    <t>Martens, Hilary</t>
  </si>
  <si>
    <t>Surface Mass Loading on a 3D Earth</t>
  </si>
  <si>
    <t>363077</t>
  </si>
  <si>
    <t>Slow Slip, Mass Loading, and Water</t>
  </si>
  <si>
    <t>CA INST-TECH, JPL / NASA</t>
  </si>
  <si>
    <t>366367</t>
  </si>
  <si>
    <t>Meierbachtol, Toby</t>
  </si>
  <si>
    <t>Ice-GW</t>
  </si>
  <si>
    <t>362572</t>
  </si>
  <si>
    <t>Montana Water Center</t>
  </si>
  <si>
    <t>326422</t>
  </si>
  <si>
    <t>Brown, Blakely</t>
  </si>
  <si>
    <t>Graduate School Administration</t>
  </si>
  <si>
    <t>University of Montana Support</t>
  </si>
  <si>
    <t>366157</t>
  </si>
  <si>
    <t>Ross, J.B. Alexander</t>
  </si>
  <si>
    <t>The Pacific NW Alliance</t>
  </si>
  <si>
    <t>366158</t>
  </si>
  <si>
    <t>363411</t>
  </si>
  <si>
    <t>Grizzly Bear Recovery Program</t>
  </si>
  <si>
    <t>Trans-border Grizzly Bear Project</t>
  </si>
  <si>
    <t>WILBURFORCE FNDN</t>
  </si>
  <si>
    <t>363484</t>
  </si>
  <si>
    <t>363504</t>
  </si>
  <si>
    <t>Trans-border Grizzly Bear Project 1</t>
  </si>
  <si>
    <t>LIZ CLAIBORN FNDN</t>
  </si>
  <si>
    <t>363535</t>
  </si>
  <si>
    <t>VITAL GROUND FOUNDATION</t>
  </si>
  <si>
    <t>365147</t>
  </si>
  <si>
    <t>Selkirk/Cabinet-Yaak Recovery</t>
  </si>
  <si>
    <t>365062</t>
  </si>
  <si>
    <t>Dumke, Charles</t>
  </si>
  <si>
    <t>Health &amp; Human Performance</t>
  </si>
  <si>
    <t>Training for Firefighters</t>
  </si>
  <si>
    <t>USDA FS MSLA TECH DEV CTR</t>
  </si>
  <si>
    <t>325255</t>
  </si>
  <si>
    <t>Murphy, Shane</t>
  </si>
  <si>
    <t>UGP2020: Load and Fatigue Posture</t>
  </si>
  <si>
    <t>363100</t>
  </si>
  <si>
    <t>Mobile Clinical Biomech Lab Equip</t>
  </si>
  <si>
    <t>363518</t>
  </si>
  <si>
    <t>Asymmetries During Bilateral Tasks</t>
  </si>
  <si>
    <t>NW ATHLETIC TRAINER'S</t>
  </si>
  <si>
    <t>365160</t>
  </si>
  <si>
    <t>Quindry, John</t>
  </si>
  <si>
    <t>Woodsmoke Running Study</t>
  </si>
  <si>
    <t>361912</t>
  </si>
  <si>
    <t>Ruby, Brent</t>
  </si>
  <si>
    <t>Advanced Warfighter Physiology</t>
  </si>
  <si>
    <t>AIR FORCE RESEARCH LAB</t>
  </si>
  <si>
    <t>363013</t>
  </si>
  <si>
    <t>ATP 2</t>
  </si>
  <si>
    <t>CHARLES RIVER / DOD</t>
  </si>
  <si>
    <t>363508</t>
  </si>
  <si>
    <t>Transdermal Carnosine</t>
  </si>
  <si>
    <t>OUTPLAY, INC.</t>
  </si>
  <si>
    <t>325429</t>
  </si>
  <si>
    <t>Arcenas, Claire</t>
  </si>
  <si>
    <t>History</t>
  </si>
  <si>
    <t>Locke in America</t>
  </si>
  <si>
    <t>NATL ENDOW HUMANITIES/NSF</t>
  </si>
  <si>
    <t>368470</t>
  </si>
  <si>
    <t>Wheeler, Michele</t>
  </si>
  <si>
    <t>Safety Smart FY20</t>
  </si>
  <si>
    <t>365055</t>
  </si>
  <si>
    <t>Ford, Raymond</t>
  </si>
  <si>
    <t>Information Technology Admin</t>
  </si>
  <si>
    <t>USFS/UM Discovery Network</t>
  </si>
  <si>
    <t>363430</t>
  </si>
  <si>
    <t>Institute on Ecosystems</t>
  </si>
  <si>
    <t>Miller Creek Metabolism</t>
  </si>
  <si>
    <t>366236</t>
  </si>
  <si>
    <t>LTREB floodplain restoration-Admin</t>
  </si>
  <si>
    <t>368464</t>
  </si>
  <si>
    <t>UCFR Fish Community</t>
  </si>
  <si>
    <t>368467</t>
  </si>
  <si>
    <t>LCDC N Source</t>
  </si>
  <si>
    <t>MT DEPT OF JUSTICE</t>
  </si>
  <si>
    <t>368455</t>
  </si>
  <si>
    <t>Rhoades, Andrea</t>
  </si>
  <si>
    <t>Internship Services Contracts</t>
  </si>
  <si>
    <t>MT DNRC, Fire, Prange</t>
  </si>
  <si>
    <t>368463</t>
  </si>
  <si>
    <t>MT FWP Intern Wallace</t>
  </si>
  <si>
    <t>368471</t>
  </si>
  <si>
    <t>MT DNRC, GIS Intern, Blassic, Misso</t>
  </si>
  <si>
    <t>368472</t>
  </si>
  <si>
    <t>MT DNRC, GIS, Patzner, Missoula</t>
  </si>
  <si>
    <t>368475</t>
  </si>
  <si>
    <t>MT DNRC, Rec, Monsos, Stillwater</t>
  </si>
  <si>
    <t>368476</t>
  </si>
  <si>
    <t>MT DNRC, For. Mgmt, Cutler, Libby</t>
  </si>
  <si>
    <t>368478</t>
  </si>
  <si>
    <t>MT FWP Intern Hathcock</t>
  </si>
  <si>
    <t>368479</t>
  </si>
  <si>
    <t>MT FWP Intern Towery</t>
  </si>
  <si>
    <t>368482</t>
  </si>
  <si>
    <t>368483</t>
  </si>
  <si>
    <t>MT FWP Intern Wasko</t>
  </si>
  <si>
    <t>368485</t>
  </si>
  <si>
    <t>MT DNRC, Watershed, Benso, Missoula</t>
  </si>
  <si>
    <t>368486</t>
  </si>
  <si>
    <t>MT DNRC, FieldTech, Kott, Msla</t>
  </si>
  <si>
    <t>368487</t>
  </si>
  <si>
    <t>DNRC, Field Tech, Malloy, Msla</t>
  </si>
  <si>
    <t>368488</t>
  </si>
  <si>
    <t>MT FWP Intern Cody</t>
  </si>
  <si>
    <t>368489</t>
  </si>
  <si>
    <t>MT FWP Intern Stahlberg</t>
  </si>
  <si>
    <t>368490</t>
  </si>
  <si>
    <t>MT FWP Intern Simeione</t>
  </si>
  <si>
    <t>368493</t>
  </si>
  <si>
    <t>MT FWP Intern Traxler</t>
  </si>
  <si>
    <t>368495</t>
  </si>
  <si>
    <t>MT FWP Intern Frontado</t>
  </si>
  <si>
    <t>363424</t>
  </si>
  <si>
    <t>Chen, Suhan</t>
  </si>
  <si>
    <t>Mansfield Center Administratio</t>
  </si>
  <si>
    <t>CI CHILDREN BOOKS</t>
  </si>
  <si>
    <t>CONFUCIUS INSTITUTE</t>
  </si>
  <si>
    <t>362955</t>
  </si>
  <si>
    <t>Loranger, Donald</t>
  </si>
  <si>
    <t>DCLCP 2019-20</t>
  </si>
  <si>
    <t>INST INT'L EDUC / DOD</t>
  </si>
  <si>
    <t>363014</t>
  </si>
  <si>
    <t>Project GO Korean 2019-20</t>
  </si>
  <si>
    <t>363015</t>
  </si>
  <si>
    <t>326452</t>
  </si>
  <si>
    <t>Mansour, Deena</t>
  </si>
  <si>
    <t>PFP: YSEALI</t>
  </si>
  <si>
    <t>326453</t>
  </si>
  <si>
    <t>SportsUnited: Latin America</t>
  </si>
  <si>
    <t>326909</t>
  </si>
  <si>
    <t>SportsUnited Latin America</t>
  </si>
  <si>
    <t>US DEPT OF STATE</t>
  </si>
  <si>
    <t>326910</t>
  </si>
  <si>
    <t>326946</t>
  </si>
  <si>
    <t>326947</t>
  </si>
  <si>
    <t>326950</t>
  </si>
  <si>
    <t>326951</t>
  </si>
  <si>
    <t>369822</t>
  </si>
  <si>
    <t>Mansfield Center Support</t>
  </si>
  <si>
    <t>MANSFIELD FND</t>
  </si>
  <si>
    <t>369823</t>
  </si>
  <si>
    <t>363101</t>
  </si>
  <si>
    <t>McCrea, Donna</t>
  </si>
  <si>
    <t>Copyright Workshop Stipends</t>
  </si>
  <si>
    <t>363105</t>
  </si>
  <si>
    <t>363020</t>
  </si>
  <si>
    <t>Graham, Jonathan</t>
  </si>
  <si>
    <t>Mathematics</t>
  </si>
  <si>
    <t>IDeA- YR7 CTR BERD</t>
  </si>
  <si>
    <t>UNLV / NIH</t>
  </si>
  <si>
    <t>363048</t>
  </si>
  <si>
    <t>Grant, Anne</t>
  </si>
  <si>
    <t>Celebrating Yellow Bird Woman</t>
  </si>
  <si>
    <t>365875</t>
  </si>
  <si>
    <t>Patterson, David</t>
  </si>
  <si>
    <t>Tribal Perspectives</t>
  </si>
  <si>
    <t>366254</t>
  </si>
  <si>
    <t>Wu, Ke</t>
  </si>
  <si>
    <t>Willow Partnership for Success</t>
  </si>
  <si>
    <t>362977</t>
  </si>
  <si>
    <t>Gallagher, Thomas</t>
  </si>
  <si>
    <t>Missoula College/Dean</t>
  </si>
  <si>
    <t>FY20 Perkins</t>
  </si>
  <si>
    <t>CHE / ED</t>
  </si>
  <si>
    <t>362978</t>
  </si>
  <si>
    <t>Patterson, Jordan</t>
  </si>
  <si>
    <t>FY20 SMCP</t>
  </si>
  <si>
    <t>363025</t>
  </si>
  <si>
    <t>Legg, Michael</t>
  </si>
  <si>
    <t>Montana Repertory Theatre</t>
  </si>
  <si>
    <t>MRT Artists int the Schools F19</t>
  </si>
  <si>
    <t>MT ARTS COUNCIL / NEH</t>
  </si>
  <si>
    <t>363026</t>
  </si>
  <si>
    <t>363027</t>
  </si>
  <si>
    <t>PVP 20-23</t>
  </si>
  <si>
    <t>368468</t>
  </si>
  <si>
    <t>MT Rep Outreach Tour</t>
  </si>
  <si>
    <t>MT ARTS COUNCIL</t>
  </si>
  <si>
    <t>362045</t>
  </si>
  <si>
    <t>Martin, Thomas</t>
  </si>
  <si>
    <t>Mt Coop Wildlife Research Unit</t>
  </si>
  <si>
    <t>Conifer removal - songbirds</t>
  </si>
  <si>
    <t>USDI - USGS</t>
  </si>
  <si>
    <t>362051</t>
  </si>
  <si>
    <t>Quantifying sagebrush birds</t>
  </si>
  <si>
    <t>362020</t>
  </si>
  <si>
    <t>Mitchell, Michael</t>
  </si>
  <si>
    <t>Structuring Governance</t>
  </si>
  <si>
    <t>362044</t>
  </si>
  <si>
    <t>Lower Blackfoot Bear Stress Study</t>
  </si>
  <si>
    <t>USDI - BLM</t>
  </si>
  <si>
    <t>362052</t>
  </si>
  <si>
    <t>Sage-grouse Synergies N Gr.Plains</t>
  </si>
  <si>
    <t>362557</t>
  </si>
  <si>
    <t>Migratory Songbird - Grazing</t>
  </si>
  <si>
    <t>362664</t>
  </si>
  <si>
    <t>Statewide Mule Deer Study</t>
  </si>
  <si>
    <t>362876</t>
  </si>
  <si>
    <t>IDFG - Predator/Prey - FY19</t>
  </si>
  <si>
    <t>ID FISH &amp; GAME / FWS</t>
  </si>
  <si>
    <t>362964</t>
  </si>
  <si>
    <t>Blackfoot Clearwater Elk Study</t>
  </si>
  <si>
    <t>362971</t>
  </si>
  <si>
    <t>HD Bears</t>
  </si>
  <si>
    <t>363006</t>
  </si>
  <si>
    <t>IDFG-Population Dynamics</t>
  </si>
  <si>
    <t>363017</t>
  </si>
  <si>
    <t>Pronghorn Movement</t>
  </si>
  <si>
    <t>363028</t>
  </si>
  <si>
    <t>Westslope in Rock Creek MT</t>
  </si>
  <si>
    <t>363035</t>
  </si>
  <si>
    <t>Predator use of Prey</t>
  </si>
  <si>
    <t>ID FISH &amp; GAME /FWS</t>
  </si>
  <si>
    <t>363056</t>
  </si>
  <si>
    <t>Sage Grouse &amp; Grazing Study FY20-21</t>
  </si>
  <si>
    <t>363075</t>
  </si>
  <si>
    <t>Harvest Survey</t>
  </si>
  <si>
    <t>363086</t>
  </si>
  <si>
    <t>Sage Grouse and Grazing Study FY21</t>
  </si>
  <si>
    <t>FWP / FWS</t>
  </si>
  <si>
    <t>363102</t>
  </si>
  <si>
    <t>Elk Recreation Study</t>
  </si>
  <si>
    <t>363532</t>
  </si>
  <si>
    <t>Puma density and distribution</t>
  </si>
  <si>
    <t>PANTHERA</t>
  </si>
  <si>
    <t>367888</t>
  </si>
  <si>
    <t>MT Wolf Monitoring Study</t>
  </si>
  <si>
    <t>368375</t>
  </si>
  <si>
    <t>Operational Support FY18-20</t>
  </si>
  <si>
    <t>368423</t>
  </si>
  <si>
    <t>MT SCORP 2019</t>
  </si>
  <si>
    <t>368473</t>
  </si>
  <si>
    <t>State Parks Foundation</t>
  </si>
  <si>
    <t>368807</t>
  </si>
  <si>
    <t>Moose Demography in NE Washington</t>
  </si>
  <si>
    <t>362047</t>
  </si>
  <si>
    <t>Bachen, Dan</t>
  </si>
  <si>
    <t>MT Natural Heritage Program</t>
  </si>
  <si>
    <t>BLM Bat Inventory and Monitoring</t>
  </si>
  <si>
    <t>365149</t>
  </si>
  <si>
    <t>Ashland Bat Inv &amp; Monitoring</t>
  </si>
  <si>
    <t>USDA FS GALLATIN NF</t>
  </si>
  <si>
    <t>365181</t>
  </si>
  <si>
    <t>R1 Bats and Bat Habitat Inventory</t>
  </si>
  <si>
    <t>365814</t>
  </si>
  <si>
    <t>Northern Bat Genetics</t>
  </si>
  <si>
    <t>326886</t>
  </si>
  <si>
    <t>Maxell, Bryce</t>
  </si>
  <si>
    <t>BPA Data Management 2016</t>
  </si>
  <si>
    <t>BONNEVILLE POWER ADM/DOE</t>
  </si>
  <si>
    <t>362960</t>
  </si>
  <si>
    <t>NatureServe BLM Data 2019</t>
  </si>
  <si>
    <t>NATURESERVE / BLM</t>
  </si>
  <si>
    <t>363036</t>
  </si>
  <si>
    <t>NatureServe Element Rankings</t>
  </si>
  <si>
    <t>NATURSERVE / USDA</t>
  </si>
  <si>
    <t>363055</t>
  </si>
  <si>
    <t>Washington Field Guide</t>
  </si>
  <si>
    <t>WA DNRC / FWS</t>
  </si>
  <si>
    <t>363085</t>
  </si>
  <si>
    <t>Wetland Mapping II</t>
  </si>
  <si>
    <t>MT STATE LIBRARY / USDA</t>
  </si>
  <si>
    <t>363499</t>
  </si>
  <si>
    <t>FESTF 2020-2021</t>
  </si>
  <si>
    <t>NATURSERVE</t>
  </si>
  <si>
    <t>365171</t>
  </si>
  <si>
    <t>USFS Data Services 2019-2023</t>
  </si>
  <si>
    <t>365199</t>
  </si>
  <si>
    <t>NRCS FY20 Data Services</t>
  </si>
  <si>
    <t>USDA FS NATURAL RES CON</t>
  </si>
  <si>
    <t>365823</t>
  </si>
  <si>
    <t>IPaC</t>
  </si>
  <si>
    <t>365869</t>
  </si>
  <si>
    <t>BLM Data Services</t>
  </si>
  <si>
    <t>368380</t>
  </si>
  <si>
    <t>Core FY18-19</t>
  </si>
  <si>
    <t>MT STATE LIBRARY</t>
  </si>
  <si>
    <t>368458</t>
  </si>
  <si>
    <t>AIS #3</t>
  </si>
  <si>
    <t>368481</t>
  </si>
  <si>
    <t>2020 Noxious Weeds</t>
  </si>
  <si>
    <t>362021</t>
  </si>
  <si>
    <t>Mitchell, Jessica</t>
  </si>
  <si>
    <t>CMR Vegetation Surveys</t>
  </si>
  <si>
    <t>362022</t>
  </si>
  <si>
    <t>Centennial Valley Cheatgrass</t>
  </si>
  <si>
    <t>362024</t>
  </si>
  <si>
    <t>Ventenata Mapping</t>
  </si>
  <si>
    <t>365889</t>
  </si>
  <si>
    <t>Pipp, Andrea</t>
  </si>
  <si>
    <t>Botanical &amp; Biotic Crust Info</t>
  </si>
  <si>
    <t>368484</t>
  </si>
  <si>
    <t>Evaluating Provisional Botany Obs</t>
  </si>
  <si>
    <t>325750</t>
  </si>
  <si>
    <t>Vance, Linda</t>
  </si>
  <si>
    <t>EPA Wetland Mapping</t>
  </si>
  <si>
    <t>ENVIRON PROTECTION AGENCY</t>
  </si>
  <si>
    <t>325751</t>
  </si>
  <si>
    <t>EPA Wetland Monitoring</t>
  </si>
  <si>
    <t>362029</t>
  </si>
  <si>
    <t>BLM AQ-1 WRSA</t>
  </si>
  <si>
    <t>362030</t>
  </si>
  <si>
    <t>Utah CEN AQ-3</t>
  </si>
  <si>
    <t>362031</t>
  </si>
  <si>
    <t>Wyoming CEN AQ-4</t>
  </si>
  <si>
    <t>362032</t>
  </si>
  <si>
    <t>Wyoming 2 Mapping</t>
  </si>
  <si>
    <t>362033</t>
  </si>
  <si>
    <t>Alaska Mapping Fairbanks</t>
  </si>
  <si>
    <t>362034</t>
  </si>
  <si>
    <t>Alaska Mapping North Slope 1</t>
  </si>
  <si>
    <t>362036</t>
  </si>
  <si>
    <t>Alaska Mapping North Slope 2</t>
  </si>
  <si>
    <t>362037</t>
  </si>
  <si>
    <t>Nevada Mapping</t>
  </si>
  <si>
    <t>362038</t>
  </si>
  <si>
    <t>Utah Mapping</t>
  </si>
  <si>
    <t>362039</t>
  </si>
  <si>
    <t>Wyoming 1 - Mapping</t>
  </si>
  <si>
    <t>362040</t>
  </si>
  <si>
    <t>California Mapping</t>
  </si>
  <si>
    <t>362046</t>
  </si>
  <si>
    <t>WRSA 2 Training</t>
  </si>
  <si>
    <t>362048</t>
  </si>
  <si>
    <t>Rangeland Monitoring</t>
  </si>
  <si>
    <t>362053</t>
  </si>
  <si>
    <t>Idaho Mapping</t>
  </si>
  <si>
    <t>363032</t>
  </si>
  <si>
    <t>Idaho Aquatic</t>
  </si>
  <si>
    <t>PORTLAND ST UNIV / BLM</t>
  </si>
  <si>
    <t>363033</t>
  </si>
  <si>
    <t>Nevada Aquatics</t>
  </si>
  <si>
    <t>363034</t>
  </si>
  <si>
    <t>Idaho Terrestrial</t>
  </si>
  <si>
    <t>OR STATE UNIV / BLM</t>
  </si>
  <si>
    <t>363083</t>
  </si>
  <si>
    <t>Wyoming Terrestrial</t>
  </si>
  <si>
    <t>PG ENVIRONMENTAL/BLM</t>
  </si>
  <si>
    <t>363513</t>
  </si>
  <si>
    <t>Cahoon, Heather</t>
  </si>
  <si>
    <t>Native American Studies</t>
  </si>
  <si>
    <t>AIGPI Planning Grant</t>
  </si>
  <si>
    <t>HEADWATERS HEALTH FNDN</t>
  </si>
  <si>
    <t>363512</t>
  </si>
  <si>
    <t>Shanley, Kathryn</t>
  </si>
  <si>
    <t>Bridging Indigenous Studies</t>
  </si>
  <si>
    <t>HENRY LUCE FNDN</t>
  </si>
  <si>
    <t>361121</t>
  </si>
  <si>
    <t xml:space="preserve">Natl Native Children's Trauma </t>
  </si>
  <si>
    <t>SAMHSA Trauma</t>
  </si>
  <si>
    <t>NIH, SAMHSA</t>
  </si>
  <si>
    <t>361122</t>
  </si>
  <si>
    <t>362994</t>
  </si>
  <si>
    <t>Wolferman, Amy</t>
  </si>
  <si>
    <t>CES TRS</t>
  </si>
  <si>
    <t>CHEROKEE SCHOOL / BIA</t>
  </si>
  <si>
    <t>363019</t>
  </si>
  <si>
    <t>KCS TRS</t>
  </si>
  <si>
    <t>KHA'O'P COMM SCHOOL/BIA</t>
  </si>
  <si>
    <t>363031</t>
  </si>
  <si>
    <t>SAS TRS</t>
  </si>
  <si>
    <t>SHIPROCK ASSOC SCH /BIA</t>
  </si>
  <si>
    <t>363046</t>
  </si>
  <si>
    <t>IIS TRS</t>
  </si>
  <si>
    <t>INDIAN ISLAND SCHOOL/BIA</t>
  </si>
  <si>
    <t>362923</t>
  </si>
  <si>
    <t>Zimmerman, Marilyn</t>
  </si>
  <si>
    <t>Tribal Youth TTA</t>
  </si>
  <si>
    <t>TRIBAL LAW &amp; POLICY INST</t>
  </si>
  <si>
    <t>363047</t>
  </si>
  <si>
    <t>Capacity Building for Tribes</t>
  </si>
  <si>
    <t>U OF DENVER / ACF</t>
  </si>
  <si>
    <t>326455</t>
  </si>
  <si>
    <t>NSF EPSCoR</t>
  </si>
  <si>
    <t>NSF EPSCoR Track-1 CREWS</t>
  </si>
  <si>
    <t>366300</t>
  </si>
  <si>
    <t>366301</t>
  </si>
  <si>
    <t>366302</t>
  </si>
  <si>
    <t>366303</t>
  </si>
  <si>
    <t>366304</t>
  </si>
  <si>
    <t>366305</t>
  </si>
  <si>
    <t>366306</t>
  </si>
  <si>
    <t>366307</t>
  </si>
  <si>
    <t>366308</t>
  </si>
  <si>
    <t>366309</t>
  </si>
  <si>
    <t>366310</t>
  </si>
  <si>
    <t>366311</t>
  </si>
  <si>
    <t>366312</t>
  </si>
  <si>
    <t>366332</t>
  </si>
  <si>
    <t>366341</t>
  </si>
  <si>
    <t>366342</t>
  </si>
  <si>
    <t>366343</t>
  </si>
  <si>
    <t>366344</t>
  </si>
  <si>
    <t>366345</t>
  </si>
  <si>
    <t>366346</t>
  </si>
  <si>
    <t>366347</t>
  </si>
  <si>
    <t>366348</t>
  </si>
  <si>
    <t>366349</t>
  </si>
  <si>
    <t>366350</t>
  </si>
  <si>
    <t>366351</t>
  </si>
  <si>
    <t>366352</t>
  </si>
  <si>
    <t>366353</t>
  </si>
  <si>
    <t>366354</t>
  </si>
  <si>
    <t>366355</t>
  </si>
  <si>
    <t>366356</t>
  </si>
  <si>
    <t>366369</t>
  </si>
  <si>
    <t>366370</t>
  </si>
  <si>
    <t>362627</t>
  </si>
  <si>
    <t>Allred, Brady</t>
  </si>
  <si>
    <t>NTSG</t>
  </si>
  <si>
    <t>SGI 2.0 science</t>
  </si>
  <si>
    <t>PHEASANTS FOREVER / NRCS</t>
  </si>
  <si>
    <t>326855</t>
  </si>
  <si>
    <t>Kimball, John</t>
  </si>
  <si>
    <t>Carbon Cycle Science Contributions</t>
  </si>
  <si>
    <t>326899</t>
  </si>
  <si>
    <t>Growing Seasons North America</t>
  </si>
  <si>
    <t>362643</t>
  </si>
  <si>
    <t>SUSMAP- Drought Impacts</t>
  </si>
  <si>
    <t>U OF CA-IRVINE / NASA</t>
  </si>
  <si>
    <t>363042</t>
  </si>
  <si>
    <t>NASA ROSES IDS A30-U-Mass</t>
  </si>
  <si>
    <t>UNIV OF MASS / NASA</t>
  </si>
  <si>
    <t>363384</t>
  </si>
  <si>
    <t>Satellite Based Flood Products</t>
  </si>
  <si>
    <t>PRINCETON CLIMATE ANALYT</t>
  </si>
  <si>
    <t>367898</t>
  </si>
  <si>
    <t>SMAP Level 4 Carbon Prod Algorithm</t>
  </si>
  <si>
    <t>326917</t>
  </si>
  <si>
    <t>Running, Steven</t>
  </si>
  <si>
    <t>Continuity for the MODIS MOD 17</t>
  </si>
  <si>
    <t>365182</t>
  </si>
  <si>
    <t>NTSG-NumericTerradynamicSimula</t>
  </si>
  <si>
    <t>Woody encroachment</t>
  </si>
  <si>
    <t>326928</t>
  </si>
  <si>
    <t>NASA MEaSUREs</t>
  </si>
  <si>
    <t>326945</t>
  </si>
  <si>
    <t>Advancing Remote Sensing in ABoVE</t>
  </si>
  <si>
    <t>363522</t>
  </si>
  <si>
    <t>NextGen Soil Moisture</t>
  </si>
  <si>
    <t>NEXTGEN FED SYSTEMS, LLC</t>
  </si>
  <si>
    <t>326932</t>
  </si>
  <si>
    <t>363494</t>
  </si>
  <si>
    <t>Frank, Matthew</t>
  </si>
  <si>
    <t>O'Connor Ctr for the Rocky Mtn</t>
  </si>
  <si>
    <t>Mountain West New Bureau</t>
  </si>
  <si>
    <t>BOISE ST UNIVERSITY</t>
  </si>
  <si>
    <t>369713</t>
  </si>
  <si>
    <t>Belcourt, Annjeanette</t>
  </si>
  <si>
    <t>Pharmacy Practice</t>
  </si>
  <si>
    <t>JPB Harvard Fellow Belcourt</t>
  </si>
  <si>
    <t>HARVARD UNIVERSITY</t>
  </si>
  <si>
    <t>362999</t>
  </si>
  <si>
    <t>Colucci, Vincent</t>
  </si>
  <si>
    <t>MASS-P</t>
  </si>
  <si>
    <t>363486</t>
  </si>
  <si>
    <t>Pharmacy Asst. Prof - St.Pat's FY20</t>
  </si>
  <si>
    <t>PROVIDENCE HEALTH</t>
  </si>
  <si>
    <t>325254</t>
  </si>
  <si>
    <t>Hemmer, Staci</t>
  </si>
  <si>
    <t>Survey of AUC-Dosing Readiness</t>
  </si>
  <si>
    <t>368465</t>
  </si>
  <si>
    <t>Johnson, Rory</t>
  </si>
  <si>
    <t>Impl. Asthma Clinics Comm. Phar.</t>
  </si>
  <si>
    <t>MT DPHHS</t>
  </si>
  <si>
    <t>363037</t>
  </si>
  <si>
    <t>Migliaccio, Christopher</t>
  </si>
  <si>
    <t>1817 CDC Grant</t>
  </si>
  <si>
    <t>MT DPHHS / CDC</t>
  </si>
  <si>
    <t>362809</t>
  </si>
  <si>
    <t>Janzen, Paul</t>
  </si>
  <si>
    <t>Physics &amp; Astronomy</t>
  </si>
  <si>
    <t>IBEX - Princeton 2017-2019</t>
  </si>
  <si>
    <t>PRINCETON UNIV / NASA</t>
  </si>
  <si>
    <t>363054</t>
  </si>
  <si>
    <t>IMAP-Hi Phase A</t>
  </si>
  <si>
    <t>LOS ALAMOS NAT'L SEC/DOE</t>
  </si>
  <si>
    <t>363463</t>
  </si>
  <si>
    <t>Sun-Interstellar Medium</t>
  </si>
  <si>
    <t>TRIAD NAT'L SECURITY</t>
  </si>
  <si>
    <t>325205</t>
  </si>
  <si>
    <t>Ware, Andrew</t>
  </si>
  <si>
    <t>High Beta Stellarator Studies</t>
  </si>
  <si>
    <t>368390</t>
  </si>
  <si>
    <t>French, Brian</t>
  </si>
  <si>
    <t>Provost Office Operations</t>
  </si>
  <si>
    <t>Financial Education Program FY18-23</t>
  </si>
  <si>
    <t>368498</t>
  </si>
  <si>
    <t>Heaton, Julie</t>
  </si>
  <si>
    <t>FEP iGrad</t>
  </si>
  <si>
    <t>COMMISSIONER OF HIGER ED</t>
  </si>
  <si>
    <t>363070</t>
  </si>
  <si>
    <t>Kinch, Amy</t>
  </si>
  <si>
    <t>Values-based Academic Leadership</t>
  </si>
  <si>
    <t>WA STATE UNIV / NSF</t>
  </si>
  <si>
    <t>363520</t>
  </si>
  <si>
    <t>Brown, Jacqueline</t>
  </si>
  <si>
    <t>Psychology</t>
  </si>
  <si>
    <t>Growing Youth Resilience</t>
  </si>
  <si>
    <t>BRIGHTWAYS LEARNING</t>
  </si>
  <si>
    <t>361131</t>
  </si>
  <si>
    <t>Campbell, Duncan</t>
  </si>
  <si>
    <t>InPsych Prog. Admin Yr 22 FY 19-20</t>
  </si>
  <si>
    <t>NIH, IHS</t>
  </si>
  <si>
    <t>361132</t>
  </si>
  <si>
    <t>363341</t>
  </si>
  <si>
    <t>IBH Workforce Development</t>
  </si>
  <si>
    <t>363434</t>
  </si>
  <si>
    <t>Grad Assistant at Tribal Defenders</t>
  </si>
  <si>
    <t>369857</t>
  </si>
  <si>
    <t>Grad Assistant - Kalispell Regional</t>
  </si>
  <si>
    <t>KALISPELL REG HEALTHCARE</t>
  </si>
  <si>
    <t>361036</t>
  </si>
  <si>
    <t>363071</t>
  </si>
  <si>
    <t>Machek, Gregory</t>
  </si>
  <si>
    <t>Practicum &amp; Supervision Yr 9</t>
  </si>
  <si>
    <t>363418</t>
  </si>
  <si>
    <t>McFarland, Craig</t>
  </si>
  <si>
    <t>Graduate Assistant at MT NeuroCare</t>
  </si>
  <si>
    <t>MONTANA NEUROCARE</t>
  </si>
  <si>
    <t>325495</t>
  </si>
  <si>
    <t>Severson, Rachel</t>
  </si>
  <si>
    <t>UGP2019:Children's Trust in Robots</t>
  </si>
  <si>
    <t>363078</t>
  </si>
  <si>
    <t>The Link</t>
  </si>
  <si>
    <t>CITY OF MISSOULA / NIH</t>
  </si>
  <si>
    <t>326451</t>
  </si>
  <si>
    <t>Cox, Patricia</t>
  </si>
  <si>
    <t>Research Administration</t>
  </si>
  <si>
    <t>MT PTAC FY20 Cost Match for M63010</t>
  </si>
  <si>
    <t>363010</t>
  </si>
  <si>
    <t>PTAC FY20</t>
  </si>
  <si>
    <t>BIG SKY ECON DEV / DOD</t>
  </si>
  <si>
    <t>326929</t>
  </si>
  <si>
    <t>Gladen, Paul</t>
  </si>
  <si>
    <t>UC Program</t>
  </si>
  <si>
    <t>US DEPT OF COMMERCE</t>
  </si>
  <si>
    <t>363425</t>
  </si>
  <si>
    <t>BLP Staff</t>
  </si>
  <si>
    <t>BLACKSTONE CHARITABLE FND</t>
  </si>
  <si>
    <t>363500</t>
  </si>
  <si>
    <t>BLP Continuation</t>
  </si>
  <si>
    <t>366337</t>
  </si>
  <si>
    <t>Mills, Luther</t>
  </si>
  <si>
    <t>Adaptive Rescue</t>
  </si>
  <si>
    <t>326449</t>
  </si>
  <si>
    <t>Stephens, Jennifer</t>
  </si>
  <si>
    <t>2019 Missoula SBDC Host</t>
  </si>
  <si>
    <t>326454</t>
  </si>
  <si>
    <t xml:space="preserve">2020 Missoula SBDC Host				</t>
  </si>
  <si>
    <t>362922</t>
  </si>
  <si>
    <t>MT DEPT COMMERCE / SBA</t>
  </si>
  <si>
    <t>363063</t>
  </si>
  <si>
    <t>MT DEPT COMMERCE/SBA</t>
  </si>
  <si>
    <t>362973</t>
  </si>
  <si>
    <t>Whittenburg, Scott</t>
  </si>
  <si>
    <t>MTBSCI</t>
  </si>
  <si>
    <t>MONTEC/SBA</t>
  </si>
  <si>
    <t>367983</t>
  </si>
  <si>
    <t>Covitt, Beth</t>
  </si>
  <si>
    <t>Research Development</t>
  </si>
  <si>
    <t>Comp Hydro</t>
  </si>
  <si>
    <t>CO STATE UNIV / NSF</t>
  </si>
  <si>
    <t>367984</t>
  </si>
  <si>
    <t>363515</t>
  </si>
  <si>
    <t>Fowler, Jennifer</t>
  </si>
  <si>
    <t>Research Outreach</t>
  </si>
  <si>
    <t>Adelos Autonomous Drone Surveillanc</t>
  </si>
  <si>
    <t>ADELOS, INC</t>
  </si>
  <si>
    <t>365183</t>
  </si>
  <si>
    <t>AFUE Classification, ML, Model</t>
  </si>
  <si>
    <t>365228</t>
  </si>
  <si>
    <t>Remote Sensing Services</t>
  </si>
  <si>
    <t>363316</t>
  </si>
  <si>
    <t>Wolfram, Nathalie</t>
  </si>
  <si>
    <t>Heman making in the Bitterroot</t>
  </si>
  <si>
    <t>361067</t>
  </si>
  <si>
    <t>Blair, Martin</t>
  </si>
  <si>
    <t>Rural Institute On Disabilitie</t>
  </si>
  <si>
    <t>CTR For Excellence</t>
  </si>
  <si>
    <t>NIH, ACL</t>
  </si>
  <si>
    <t>361087</t>
  </si>
  <si>
    <t>Diversity Fellowship</t>
  </si>
  <si>
    <t>361092</t>
  </si>
  <si>
    <t>361144</t>
  </si>
  <si>
    <t>MTF2F-HIC</t>
  </si>
  <si>
    <t>362962</t>
  </si>
  <si>
    <t>Movin' On 2018-19</t>
  </si>
  <si>
    <t>MT DPHHS / ED</t>
  </si>
  <si>
    <t>363038</t>
  </si>
  <si>
    <t>URLEND 2019-20</t>
  </si>
  <si>
    <t>UTAH ST UNIV / HRSA</t>
  </si>
  <si>
    <t>363041</t>
  </si>
  <si>
    <t>MAPP-Net Evaluation 2019-20 YR2</t>
  </si>
  <si>
    <t>363050</t>
  </si>
  <si>
    <t>Home Visiting Needs Assessment</t>
  </si>
  <si>
    <t>MT DPHHS / HRSA</t>
  </si>
  <si>
    <t>363066</t>
  </si>
  <si>
    <t>MT Title V: Needs Assessment</t>
  </si>
  <si>
    <t>363092</t>
  </si>
  <si>
    <t>School Climate Transformation 19-20</t>
  </si>
  <si>
    <t>363093</t>
  </si>
  <si>
    <t>RM ADA 2020-2021</t>
  </si>
  <si>
    <t>MEETING CHALLENGE/HHS</t>
  </si>
  <si>
    <t>363094</t>
  </si>
  <si>
    <t>MOMS</t>
  </si>
  <si>
    <t>363097</t>
  </si>
  <si>
    <t>Primary Care Needs Assessment: MT</t>
  </si>
  <si>
    <t>363113</t>
  </si>
  <si>
    <t>MOMS 11/15/19-2/14/20</t>
  </si>
  <si>
    <t>363506</t>
  </si>
  <si>
    <t>MP2-Care Challenge 19-20-Phase 2</t>
  </si>
  <si>
    <t>CAPITAL CONSULTING CORP</t>
  </si>
  <si>
    <t>362745</t>
  </si>
  <si>
    <t>Brown, Kimberly</t>
  </si>
  <si>
    <t>Children's Special Health Care FY18</t>
  </si>
  <si>
    <t>326059</t>
  </si>
  <si>
    <t>Condon, Ellen</t>
  </si>
  <si>
    <t>MT Deaf-Blind Project</t>
  </si>
  <si>
    <t>US DEPT OF EDUCATION</t>
  </si>
  <si>
    <t>326060</t>
  </si>
  <si>
    <t>363059</t>
  </si>
  <si>
    <t>HKNC 2019-20</t>
  </si>
  <si>
    <t>HELEN KELLER NAT'L CTR/ED</t>
  </si>
  <si>
    <t>362902</t>
  </si>
  <si>
    <t>Goldman, Anna-Margaret</t>
  </si>
  <si>
    <t>MT Assistive Tech Prgm 2018-19</t>
  </si>
  <si>
    <t>363007</t>
  </si>
  <si>
    <t>Disability ServicesStudy Tour-Admin</t>
  </si>
  <si>
    <t>AMIDEAST / AID</t>
  </si>
  <si>
    <t>363008</t>
  </si>
  <si>
    <t>362893</t>
  </si>
  <si>
    <t>Hughes, Rosemary</t>
  </si>
  <si>
    <t>Partnering with Women</t>
  </si>
  <si>
    <t>BAYLOR COLLEGE-MED / NIH</t>
  </si>
  <si>
    <t>362941</t>
  </si>
  <si>
    <t>Texas Model Spinal Cord Injury 2019</t>
  </si>
  <si>
    <t>INST REHAB &amp; RES / NIH</t>
  </si>
  <si>
    <t>363065</t>
  </si>
  <si>
    <t>Texas Model Spinal Cord Injury 2020</t>
  </si>
  <si>
    <t>363110</t>
  </si>
  <si>
    <t>Loneliness and SCI</t>
  </si>
  <si>
    <t>BAYLOR COLLEGE / DOD</t>
  </si>
  <si>
    <t>361086</t>
  </si>
  <si>
    <t>Ipsen, Catherine</t>
  </si>
  <si>
    <t>RTC: Rural 2018-19 YR1</t>
  </si>
  <si>
    <t>361129</t>
  </si>
  <si>
    <t>367798</t>
  </si>
  <si>
    <t>ASPIRE Subcontract</t>
  </si>
  <si>
    <t>UNIV OF UTAH / ED</t>
  </si>
  <si>
    <t>361077</t>
  </si>
  <si>
    <t>Ravesloot, Craig</t>
  </si>
  <si>
    <t>Motivating Self-Management</t>
  </si>
  <si>
    <t>NIH, NIDILRR</t>
  </si>
  <si>
    <t>361128</t>
  </si>
  <si>
    <t>361130</t>
  </si>
  <si>
    <t>RCLD Peer Mentoring</t>
  </si>
  <si>
    <t>362633</t>
  </si>
  <si>
    <t>KU RRTC Community Living contract</t>
  </si>
  <si>
    <t>UNIV OF KS / NIH</t>
  </si>
  <si>
    <t>363053</t>
  </si>
  <si>
    <t>KU RRTC Community Living 2019-20</t>
  </si>
  <si>
    <t>363067</t>
  </si>
  <si>
    <t>mHealth App</t>
  </si>
  <si>
    <t>SHEPHERD CTR / NIDILRR</t>
  </si>
  <si>
    <t>363080</t>
  </si>
  <si>
    <t>Sage, Rayna</t>
  </si>
  <si>
    <t>Rural PAS workers</t>
  </si>
  <si>
    <t>UNIV OF CA SF / HRSA</t>
  </si>
  <si>
    <t>362844</t>
  </si>
  <si>
    <t>Traci, Meg</t>
  </si>
  <si>
    <t>MT Disability &amp; Health Prgm 2018-19</t>
  </si>
  <si>
    <t>363023</t>
  </si>
  <si>
    <t>MT Disability &amp; Health Prgm 2019-20</t>
  </si>
  <si>
    <t>363406</t>
  </si>
  <si>
    <t>All of Us Outreach in Montana</t>
  </si>
  <si>
    <t>AM ASSOC HEALTH/DISAB</t>
  </si>
  <si>
    <t>326066</t>
  </si>
  <si>
    <t>OUTREACH</t>
  </si>
  <si>
    <t>326067</t>
  </si>
  <si>
    <t>362904</t>
  </si>
  <si>
    <t>Bannister, Bernadette</t>
  </si>
  <si>
    <t xml:space="preserve">Sch Public &amp; Community Health </t>
  </si>
  <si>
    <t>DPHHS STR Eval. &amp; SOR Eval.</t>
  </si>
  <si>
    <t>363000</t>
  </si>
  <si>
    <t>AI-AN CTRC CEO Outreach Yr4</t>
  </si>
  <si>
    <t>363498</t>
  </si>
  <si>
    <t>Indigenous Home Health</t>
  </si>
  <si>
    <t>JPB FOUNDATION</t>
  </si>
  <si>
    <t>363527</t>
  </si>
  <si>
    <t>Health Equity for Urban Natives</t>
  </si>
  <si>
    <t>ALL NATIONS HEALTH CTR</t>
  </si>
  <si>
    <t>361145</t>
  </si>
  <si>
    <t>Harris, Kari</t>
  </si>
  <si>
    <t>Growing Older, Staying Strong</t>
  </si>
  <si>
    <t>NIH, NRSA</t>
  </si>
  <si>
    <t>363005</t>
  </si>
  <si>
    <t>AI-AN CTRC - Pilot Project Core Yr4</t>
  </si>
  <si>
    <t>362056</t>
  </si>
  <si>
    <t>Wolverine Landscape Genetics</t>
  </si>
  <si>
    <t>362958</t>
  </si>
  <si>
    <t>Modeling Effects of PM</t>
  </si>
  <si>
    <t>363305</t>
  </si>
  <si>
    <t>Riverscape Genetics Simulation</t>
  </si>
  <si>
    <t>SEATTLE CITY LIGHT DEPT</t>
  </si>
  <si>
    <t>365124</t>
  </si>
  <si>
    <t>Root Disease Mapping</t>
  </si>
  <si>
    <t>365180</t>
  </si>
  <si>
    <t>Data Mgmt, Infrastructure and Serv.</t>
  </si>
  <si>
    <t>365193</t>
  </si>
  <si>
    <t>Pronghorn Connectivity for Arizona</t>
  </si>
  <si>
    <t>325491</t>
  </si>
  <si>
    <t>Newcomer, Sophia</t>
  </si>
  <si>
    <t>UGP 2019: HPV Vaccine Education</t>
  </si>
  <si>
    <t>362984</t>
  </si>
  <si>
    <t>IDeA-Yr 7 CTR CP3 Core</t>
  </si>
  <si>
    <t>362743</t>
  </si>
  <si>
    <t>Semmens, Erin</t>
  </si>
  <si>
    <t>Wildland firefighter VOC and PAH</t>
  </si>
  <si>
    <t>UNIV OF CO / NIH</t>
  </si>
  <si>
    <t>362774</t>
  </si>
  <si>
    <t>Alzheimer’s in GEMS</t>
  </si>
  <si>
    <t>UNIV OF WA / NIH</t>
  </si>
  <si>
    <t>362891</t>
  </si>
  <si>
    <t>Semmens AI-AN CTRP Capacity Y2</t>
  </si>
  <si>
    <t>362996</t>
  </si>
  <si>
    <t>Imprvg. Air Qual. for Kids with CF</t>
  </si>
  <si>
    <t>U OF ARKANSAS / NIH</t>
  </si>
  <si>
    <t>363002</t>
  </si>
  <si>
    <t>Resilience Prenatal Substance Abuse</t>
  </si>
  <si>
    <t>362877</t>
  </si>
  <si>
    <t>Smith, Paul</t>
  </si>
  <si>
    <t>POPS</t>
  </si>
  <si>
    <t>DUKE UNIV / NIH</t>
  </si>
  <si>
    <t>362929</t>
  </si>
  <si>
    <t>UAMS - VDORA</t>
  </si>
  <si>
    <t>362930</t>
  </si>
  <si>
    <t>363001</t>
  </si>
  <si>
    <t>Sondag, Kathleen</t>
  </si>
  <si>
    <t>Growing Older Staying Strong Y2</t>
  </si>
  <si>
    <t>U OF AK / NIH</t>
  </si>
  <si>
    <t>361075</t>
  </si>
  <si>
    <t>Ward, Tony</t>
  </si>
  <si>
    <t>SEPA III Air Quality and Health Ed</t>
  </si>
  <si>
    <t>362985</t>
  </si>
  <si>
    <t>IDeA - Yr 7 CTR CEO Core</t>
  </si>
  <si>
    <t>362987</t>
  </si>
  <si>
    <t>Public Health Workforce Expansion</t>
  </si>
  <si>
    <t>ROCKY MTN TRIBAL LEAD/NIH</t>
  </si>
  <si>
    <t>362993</t>
  </si>
  <si>
    <t>MT Public Health Training Center</t>
  </si>
  <si>
    <t>363011</t>
  </si>
  <si>
    <t>Idaho DEQ Cache Valley</t>
  </si>
  <si>
    <t>ID DEQ / EPA</t>
  </si>
  <si>
    <t>363490</t>
  </si>
  <si>
    <t>MHF PH Training Institute</t>
  </si>
  <si>
    <t>368430</t>
  </si>
  <si>
    <t>Air Toxics Symposium</t>
  </si>
  <si>
    <t>MT DEPT ENVIRONMENT-QUAL</t>
  </si>
  <si>
    <t>368842</t>
  </si>
  <si>
    <t>CMB Modeling 2019/2020</t>
  </si>
  <si>
    <t>BUTTE SILVER BOW COUNTY</t>
  </si>
  <si>
    <t>369706</t>
  </si>
  <si>
    <t>Claussen, Ginger</t>
  </si>
  <si>
    <t>School of Extend/Lifelong Lear</t>
  </si>
  <si>
    <t>Prog Inc-Wildland Fire Training</t>
  </si>
  <si>
    <t>365140</t>
  </si>
  <si>
    <t>Kulish, Holly</t>
  </si>
  <si>
    <t>Online Training Course</t>
  </si>
  <si>
    <t>363073</t>
  </si>
  <si>
    <t>Bailey, Anne</t>
  </si>
  <si>
    <t>School of Journalism</t>
  </si>
  <si>
    <t>One Small Step</t>
  </si>
  <si>
    <t>363497</t>
  </si>
  <si>
    <t>Dowling, Denise</t>
  </si>
  <si>
    <t>Student Productions 2019-20</t>
  </si>
  <si>
    <t>GREATER MT FNDN</t>
  </si>
  <si>
    <t>326939</t>
  </si>
  <si>
    <t>Eaton, Joseph</t>
  </si>
  <si>
    <t>School of Journalism/Dean</t>
  </si>
  <si>
    <t>Public Affairs Project</t>
  </si>
  <si>
    <t>326940</t>
  </si>
  <si>
    <t>362618</t>
  </si>
  <si>
    <t>Anderson, Keith</t>
  </si>
  <si>
    <t>School of Social Work</t>
  </si>
  <si>
    <t>Improving Adult Day Services</t>
  </si>
  <si>
    <t>JOHNS HOPKINS UNIV/NIH</t>
  </si>
  <si>
    <t>363428</t>
  </si>
  <si>
    <t>3D Printers for Memory Loss</t>
  </si>
  <si>
    <t>MOAI TECHNOLOGIES</t>
  </si>
  <si>
    <t>362986</t>
  </si>
  <si>
    <t>Center for Children, Families</t>
  </si>
  <si>
    <t>363061</t>
  </si>
  <si>
    <t>Zero Suicide</t>
  </si>
  <si>
    <t>363082</t>
  </si>
  <si>
    <t>PAX Montana</t>
  </si>
  <si>
    <t>363483</t>
  </si>
  <si>
    <t>foster youth education</t>
  </si>
  <si>
    <t>363502</t>
  </si>
  <si>
    <t>Revenue Maximization2</t>
  </si>
  <si>
    <t>361081</t>
  </si>
  <si>
    <t>Trautman, Ashley</t>
  </si>
  <si>
    <t>MHAT</t>
  </si>
  <si>
    <t>363491</t>
  </si>
  <si>
    <t>Wellenstein, Charles</t>
  </si>
  <si>
    <t>YH Foster Parent Training</t>
  </si>
  <si>
    <t>MISSOULA YOUTH HOMES</t>
  </si>
  <si>
    <t>363523</t>
  </si>
  <si>
    <t>YDI Training</t>
  </si>
  <si>
    <t>YOUTH DYNAMICS, INC</t>
  </si>
  <si>
    <t>363111</t>
  </si>
  <si>
    <t>Kittelson, Andrew</t>
  </si>
  <si>
    <t xml:space="preserve">School Physical Therapy/Rehab </t>
  </si>
  <si>
    <t>Reference charts in knee rehab</t>
  </si>
  <si>
    <t>WA UNIVERSITY / NIH</t>
  </si>
  <si>
    <t>361063</t>
  </si>
  <si>
    <t>Skaggs School of Pharmacy</t>
  </si>
  <si>
    <t>MTGEC GWEP-Admin Suppl</t>
  </si>
  <si>
    <t>361095</t>
  </si>
  <si>
    <t>MTGEC GWEP</t>
  </si>
  <si>
    <t>361035</t>
  </si>
  <si>
    <t>363095</t>
  </si>
  <si>
    <t>Humphrey, Reed</t>
  </si>
  <si>
    <t>ITHS Network Navigator- year 4</t>
  </si>
  <si>
    <t>367969</t>
  </si>
  <si>
    <t>AHEC - MSU - 15-16</t>
  </si>
  <si>
    <t>361070</t>
  </si>
  <si>
    <t>Morin, Lori</t>
  </si>
  <si>
    <t>UM-HCOP Admin</t>
  </si>
  <si>
    <t>361071</t>
  </si>
  <si>
    <t>361117</t>
  </si>
  <si>
    <t>361118</t>
  </si>
  <si>
    <t>361147</t>
  </si>
  <si>
    <t>Ostertag, Susan</t>
  </si>
  <si>
    <t>GWEP</t>
  </si>
  <si>
    <t>363488</t>
  </si>
  <si>
    <t>Pruitt Chapin, Katherine</t>
  </si>
  <si>
    <t>Student Hotspotting</t>
  </si>
  <si>
    <t>361011</t>
  </si>
  <si>
    <t>364554</t>
  </si>
  <si>
    <t>363435</t>
  </si>
  <si>
    <t>Montana Early Childhood</t>
  </si>
  <si>
    <t>325258</t>
  </si>
  <si>
    <t>Madorskiy, Rachel</t>
  </si>
  <si>
    <t>SLHS-Speech Language &amp; Hearing</t>
  </si>
  <si>
    <t>UGP2020: Hearing Health In Veterans</t>
  </si>
  <si>
    <t>362937</t>
  </si>
  <si>
    <t>Bunch, Jackson</t>
  </si>
  <si>
    <t>Sociology</t>
  </si>
  <si>
    <t>LSOC Research and Analysis</t>
  </si>
  <si>
    <t>MT DEPT CORRECT / JUSTICE</t>
  </si>
  <si>
    <t>368497</t>
  </si>
  <si>
    <t>Montana Youth Detention Placements</t>
  </si>
  <si>
    <t>OFC COURT ADMINISTRATOR</t>
  </si>
  <si>
    <t>362060</t>
  </si>
  <si>
    <t>Spatial Analysis Lab</t>
  </si>
  <si>
    <t>Crow Weeds</t>
  </si>
  <si>
    <t>USDI - BIA (CESU)</t>
  </si>
  <si>
    <t>363534</t>
  </si>
  <si>
    <t>Puryear, Jeb</t>
  </si>
  <si>
    <t>Teaching and Learning</t>
  </si>
  <si>
    <t>Postsecondary Place-Based Learning</t>
  </si>
  <si>
    <t>ASCENDIUM EDUCATION GROUP</t>
  </si>
  <si>
    <t>362903</t>
  </si>
  <si>
    <t>Sun, Jingjing</t>
  </si>
  <si>
    <t>Building Resilience and SEL</t>
  </si>
  <si>
    <t>363030</t>
  </si>
  <si>
    <t>Project SELA</t>
  </si>
  <si>
    <t>325259</t>
  </si>
  <si>
    <t>Wilson, Allison</t>
  </si>
  <si>
    <t>UGP 2020: Coaching Package</t>
  </si>
  <si>
    <t>326057</t>
  </si>
  <si>
    <t>Samson, Darlene</t>
  </si>
  <si>
    <t>TRIO Student Support Services</t>
  </si>
  <si>
    <t>Trio Student Support Svc 15-20</t>
  </si>
  <si>
    <t>326058</t>
  </si>
  <si>
    <t>326068</t>
  </si>
  <si>
    <t>326069</t>
  </si>
  <si>
    <t>365200</t>
  </si>
  <si>
    <t>UC Conference Management Servi</t>
  </si>
  <si>
    <t>NRU-Option Years</t>
  </si>
  <si>
    <t>326051</t>
  </si>
  <si>
    <t>Old Coyote, Twila</t>
  </si>
  <si>
    <t>Upward Bound</t>
  </si>
  <si>
    <t>Upward Bound 20-21</t>
  </si>
  <si>
    <t>326052</t>
  </si>
  <si>
    <t>326053</t>
  </si>
  <si>
    <t>326054</t>
  </si>
  <si>
    <t>326064</t>
  </si>
  <si>
    <t>326070</t>
  </si>
  <si>
    <t>326071</t>
  </si>
  <si>
    <t>363064</t>
  </si>
  <si>
    <t>Guzman, Michelle</t>
  </si>
  <si>
    <t>Vice Provost Student Success A</t>
  </si>
  <si>
    <t>Peer Mentoring -Gear Up 2019-20</t>
  </si>
  <si>
    <t>368427</t>
  </si>
  <si>
    <t>Smith, Ellen</t>
  </si>
  <si>
    <t>VP Enrollment &amp; Strategic Comm</t>
  </si>
  <si>
    <t>PASS Grant 2018-19</t>
  </si>
  <si>
    <t>368461</t>
  </si>
  <si>
    <t>PASS Grant 2019-20</t>
  </si>
  <si>
    <t>Sum of Unique Heads</t>
  </si>
  <si>
    <t>2021</t>
  </si>
  <si>
    <t>2025 P</t>
  </si>
  <si>
    <t>2021 P</t>
  </si>
  <si>
    <t>2022 EST</t>
  </si>
  <si>
    <t>Revenue to Allocate</t>
  </si>
  <si>
    <t>Degree</t>
  </si>
  <si>
    <t>Major</t>
  </si>
  <si>
    <t>Unique Heads</t>
  </si>
  <si>
    <t>no degree</t>
  </si>
  <si>
    <t>Undeclared</t>
  </si>
  <si>
    <t>Pre-Engineering</t>
  </si>
  <si>
    <t>Pre-Applied Science</t>
  </si>
  <si>
    <t>Pre-Nursing</t>
  </si>
  <si>
    <t>Pre-Law</t>
  </si>
  <si>
    <t>Pre-Medical Sciences</t>
  </si>
  <si>
    <t>Pre-English</t>
  </si>
  <si>
    <t>Pre-Psychology</t>
  </si>
  <si>
    <t>Pre-Communication Studies</t>
  </si>
  <si>
    <t>no major</t>
  </si>
  <si>
    <t>Pre-Education</t>
  </si>
  <si>
    <t>Certificate</t>
  </si>
  <si>
    <t>School Psychology</t>
  </si>
  <si>
    <t>Public Administration</t>
  </si>
  <si>
    <t>Geographic Information Systems</t>
  </si>
  <si>
    <t>Forensic Studies</t>
  </si>
  <si>
    <t>Computer Programming</t>
  </si>
  <si>
    <t>Bachelors</t>
  </si>
  <si>
    <t>Women's, Gender &amp; Sexuality St</t>
  </si>
  <si>
    <t>Spanish</t>
  </si>
  <si>
    <t>Russian</t>
  </si>
  <si>
    <t>Political Science-History</t>
  </si>
  <si>
    <t>Political Science</t>
  </si>
  <si>
    <t>Physics</t>
  </si>
  <si>
    <t>Philosophy</t>
  </si>
  <si>
    <t>Neuroscience</t>
  </si>
  <si>
    <t>Microbiology</t>
  </si>
  <si>
    <t>Medical Laboratory Science</t>
  </si>
  <si>
    <t>Mathematical Sci-Computer Sci</t>
  </si>
  <si>
    <t>Linguistics</t>
  </si>
  <si>
    <t>Japanese</t>
  </si>
  <si>
    <t>History-Political Science</t>
  </si>
  <si>
    <t>Global Humanities &amp; Religions</t>
  </si>
  <si>
    <t>German</t>
  </si>
  <si>
    <t>French</t>
  </si>
  <si>
    <t>East Asian Studies</t>
  </si>
  <si>
    <t>Computer Sci-Mathematical Sci</t>
  </si>
  <si>
    <t>Classics</t>
  </si>
  <si>
    <t>Central &amp; Southwest Asian Stds</t>
  </si>
  <si>
    <t>Biology</t>
  </si>
  <si>
    <t>Biochemistry</t>
  </si>
  <si>
    <t>Applied Science</t>
  </si>
  <si>
    <t>African-American Studies</t>
  </si>
  <si>
    <t>Medical Technology</t>
  </si>
  <si>
    <t>Liberal Studies</t>
  </si>
  <si>
    <t>Geology</t>
  </si>
  <si>
    <t>International Field Geos Dual</t>
  </si>
  <si>
    <t>Commun Sci &amp; Disorders</t>
  </si>
  <si>
    <t>Secondary Certification</t>
  </si>
  <si>
    <t>Interdisciplinary Geosciences</t>
  </si>
  <si>
    <t>International Field Geos Joint</t>
  </si>
  <si>
    <t>Liberal Arts</t>
  </si>
  <si>
    <t>Masters</t>
  </si>
  <si>
    <t>Teaching School Mathematics</t>
  </si>
  <si>
    <t>Organismal Biology &amp; Ecology</t>
  </si>
  <si>
    <t>Organismal Biol, Ecol &amp; Evolu</t>
  </si>
  <si>
    <t>Data Science</t>
  </si>
  <si>
    <t>Creative Writing</t>
  </si>
  <si>
    <t>Cell, Molecular, Microbial Bio</t>
  </si>
  <si>
    <t>Biochemistry &amp; Biophysics</t>
  </si>
  <si>
    <t>Teaching Middle School Math</t>
  </si>
  <si>
    <t>Modern Languages &amp; Literatures</t>
  </si>
  <si>
    <t>Systems Ecology</t>
  </si>
  <si>
    <t>Global Youth Development</t>
  </si>
  <si>
    <t>Intercult Youth &amp; Family Devel</t>
  </si>
  <si>
    <t>Doctoral</t>
  </si>
  <si>
    <t>Materials Science</t>
  </si>
  <si>
    <t>Integrative Micro &amp; Biochem</t>
  </si>
  <si>
    <t>Biochemistry/Microbiology</t>
  </si>
  <si>
    <t>Pre Master of Business Admin</t>
  </si>
  <si>
    <t>Pre Master of Accounting</t>
  </si>
  <si>
    <t>Business Administration</t>
  </si>
  <si>
    <t>Prep Master Science Analytics</t>
  </si>
  <si>
    <t>Entertainment Management</t>
  </si>
  <si>
    <t>Marketing</t>
  </si>
  <si>
    <t>Management Information Systems</t>
  </si>
  <si>
    <t>Management &amp; Entrepreneurship</t>
  </si>
  <si>
    <t>International Business</t>
  </si>
  <si>
    <t>Finance</t>
  </si>
  <si>
    <t>Accounting</t>
  </si>
  <si>
    <t>Information Systems</t>
  </si>
  <si>
    <t>Business Analytics</t>
  </si>
  <si>
    <t>Business Administration-Exter</t>
  </si>
  <si>
    <t>Superintendent Leadership</t>
  </si>
  <si>
    <t>Principal Leadership K-12</t>
  </si>
  <si>
    <t>Education Leadership</t>
  </si>
  <si>
    <t>Counselor Education</t>
  </si>
  <si>
    <t>Early Childhood Education: P-3</t>
  </si>
  <si>
    <t>Elementary Education</t>
  </si>
  <si>
    <t>Elementary Certification</t>
  </si>
  <si>
    <t>International Education Leader</t>
  </si>
  <si>
    <t>Curriculum &amp; Instruction</t>
  </si>
  <si>
    <t>Speech Language Pathology</t>
  </si>
  <si>
    <t>Education Leadership-External</t>
  </si>
  <si>
    <t>Curriculum &amp; Instruction-Exter</t>
  </si>
  <si>
    <t>Counselor Educ &amp; Supervision</t>
  </si>
  <si>
    <t>Resource Conservation</t>
  </si>
  <si>
    <t>Recreation Management</t>
  </si>
  <si>
    <t>Parks, Tourism &amp;Rec Management</t>
  </si>
  <si>
    <t>Ecosystem Science &amp; Restorat</t>
  </si>
  <si>
    <t>Ecological Restoration</t>
  </si>
  <si>
    <t>Ecosystem Sciences &amp; Restorat</t>
  </si>
  <si>
    <t>Wildland Restoration</t>
  </si>
  <si>
    <t>Parks Tourism Recreation Mgmt</t>
  </si>
  <si>
    <t>Forest &amp; Conservation Sciences</t>
  </si>
  <si>
    <t>Fish and Wildlife Biology</t>
  </si>
  <si>
    <t>Pre-Pharmacy</t>
  </si>
  <si>
    <t>Pre-Prof-Phys Therapy</t>
  </si>
  <si>
    <t>Rehabilitation Administration</t>
  </si>
  <si>
    <t>Public Health Administration</t>
  </si>
  <si>
    <t>Global Health</t>
  </si>
  <si>
    <t>Epidemiology</t>
  </si>
  <si>
    <t>Environmental Health Sciences</t>
  </si>
  <si>
    <t>Health Sci Educ Leadership</t>
  </si>
  <si>
    <t>Lifestyle Intervention Health</t>
  </si>
  <si>
    <t>Hlth Focused Lifestyle Interv</t>
  </si>
  <si>
    <t>Allied Health Administration</t>
  </si>
  <si>
    <t>Pharm Sci and Drug Design</t>
  </si>
  <si>
    <t>Pharmaceutical Sciences</t>
  </si>
  <si>
    <t>Medicinal Chemistry</t>
  </si>
  <si>
    <t>Toxicology</t>
  </si>
  <si>
    <t>tDPT Masters</t>
  </si>
  <si>
    <t>tDPT Bachelors</t>
  </si>
  <si>
    <t>Speech Language Hearing Sci</t>
  </si>
  <si>
    <t>Biomedical Sciences</t>
  </si>
  <si>
    <t>Pharmacol/Pharmaceutical Scien</t>
  </si>
  <si>
    <t>Pharmacy-Exter</t>
  </si>
  <si>
    <t>BS in Pharmacy</t>
  </si>
  <si>
    <t>Pre-Journalism</t>
  </si>
  <si>
    <t>Pre-Radio-Television</t>
  </si>
  <si>
    <t>Pre-Media Arts</t>
  </si>
  <si>
    <t>Theatre</t>
  </si>
  <si>
    <t>Music</t>
  </si>
  <si>
    <t>Media Arts</t>
  </si>
  <si>
    <t>Journalism</t>
  </si>
  <si>
    <t>Dance</t>
  </si>
  <si>
    <t>Art</t>
  </si>
  <si>
    <t>Radio-Television</t>
  </si>
  <si>
    <t>Fine Arts</t>
  </si>
  <si>
    <t>Drama</t>
  </si>
  <si>
    <t>Performance</t>
  </si>
  <si>
    <t>Composition &amp; Music Technology</t>
  </si>
  <si>
    <t>Enviro Sci Nat Res Journalism</t>
  </si>
  <si>
    <t>Interdisciplinary Studies</t>
  </si>
  <si>
    <t>Individual Interdisciplinary</t>
  </si>
  <si>
    <t>Pre-Surgical Technology</t>
  </si>
  <si>
    <t>Pre-Respiratory Therapy Tech</t>
  </si>
  <si>
    <t>Pre-Radiologic Technology</t>
  </si>
  <si>
    <t>Pre-Paramedicine</t>
  </si>
  <si>
    <t>Pre-Nursing - MC</t>
  </si>
  <si>
    <t>Pre-Heavy Equipment Operator</t>
  </si>
  <si>
    <t>Nondegree</t>
  </si>
  <si>
    <t>Pre-Welding Technology</t>
  </si>
  <si>
    <t>Pre-Culinary</t>
  </si>
  <si>
    <t>Pre-Diesel Technology</t>
  </si>
  <si>
    <t>General</t>
  </si>
  <si>
    <t>Pre-Pharmacy Technology</t>
  </si>
  <si>
    <t>Pre-Paralegal Studies</t>
  </si>
  <si>
    <t>Pre-Nursing - COT</t>
  </si>
  <si>
    <t>Pre-Information Technology</t>
  </si>
  <si>
    <t>Pre-Electronics Technology</t>
  </si>
  <si>
    <t>Pre-Energy Technology</t>
  </si>
  <si>
    <t>Pre-Computer Aided Design</t>
  </si>
  <si>
    <t>Associates</t>
  </si>
  <si>
    <t>Welding Technology</t>
  </si>
  <si>
    <t>Sustainable Construction Tech</t>
  </si>
  <si>
    <t>Surgical Technology</t>
  </si>
  <si>
    <t>Respiratory Care</t>
  </si>
  <si>
    <t>Registered Nursing</t>
  </si>
  <si>
    <t>Radiologic Technology</t>
  </si>
  <si>
    <t>Paralegal Studies</t>
  </si>
  <si>
    <t>Medical Information Technology</t>
  </si>
  <si>
    <t>Medical Assisting</t>
  </si>
  <si>
    <t>Hospitality Management</t>
  </si>
  <si>
    <t>General AA</t>
  </si>
  <si>
    <t>Food Service Management</t>
  </si>
  <si>
    <t>Diesel Technology</t>
  </si>
  <si>
    <t>Administrative Management</t>
  </si>
  <si>
    <t>Accounting Technology</t>
  </si>
  <si>
    <t>Carpentry</t>
  </si>
  <si>
    <t>Energy Technology</t>
  </si>
  <si>
    <t>Electronics Technology</t>
  </si>
  <si>
    <t>Practical Nursing</t>
  </si>
  <si>
    <t>Computer Technology</t>
  </si>
  <si>
    <t>Medical Office Technology</t>
  </si>
  <si>
    <t>Sales and Marketing</t>
  </si>
  <si>
    <t>Precision Machine Technology</t>
  </si>
  <si>
    <t>Medical Reception</t>
  </si>
  <si>
    <t>Medical Claims Specialist</t>
  </si>
  <si>
    <t>HVAC Technician</t>
  </si>
  <si>
    <t>Heavy Equipment Operation</t>
  </si>
  <si>
    <t>Health Information Technology</t>
  </si>
  <si>
    <t>Facility Management</t>
  </si>
  <si>
    <t>Cybersecurity</t>
  </si>
  <si>
    <t>Construction Management</t>
  </si>
  <si>
    <t>Computer Support</t>
  </si>
  <si>
    <t>Computer Aided Design</t>
  </si>
  <si>
    <t>Business Media Design</t>
  </si>
  <si>
    <t>Entrepreneurship/Start-up</t>
  </si>
  <si>
    <t>Computer Support Specialist</t>
  </si>
  <si>
    <t>Pharmacy Technology</t>
  </si>
  <si>
    <t>Customer Relations</t>
  </si>
  <si>
    <t>Building Maintenance</t>
  </si>
  <si>
    <t>Computer System Technician</t>
  </si>
  <si>
    <t>Recreational Power Equipment</t>
  </si>
  <si>
    <t>no college</t>
  </si>
  <si>
    <t>Nondegree-Exter</t>
  </si>
  <si>
    <t>English Language Institute</t>
  </si>
  <si>
    <t>Public Policy</t>
  </si>
  <si>
    <t>Majors - Including Dual</t>
  </si>
  <si>
    <t>2023</t>
  </si>
  <si>
    <t>2025P</t>
  </si>
  <si>
    <t>2023 Dean Submission</t>
  </si>
  <si>
    <t>2024 Dean Submission</t>
  </si>
  <si>
    <t>2025 Dean Submission</t>
  </si>
  <si>
    <t>ELI</t>
  </si>
  <si>
    <t>Grad School</t>
  </si>
  <si>
    <t xml:space="preserve"> Non MC Allocation</t>
  </si>
  <si>
    <t>Net Tuition and Fees</t>
  </si>
  <si>
    <t>college_desc</t>
  </si>
  <si>
    <t>bud_degree_levl</t>
  </si>
  <si>
    <t>major_desc</t>
  </si>
  <si>
    <t>fy</t>
  </si>
  <si>
    <t>heads</t>
  </si>
  <si>
    <t>2021-2022</t>
  </si>
  <si>
    <t>2020-2021</t>
  </si>
  <si>
    <t>2019-2020</t>
  </si>
  <si>
    <t>2018-2019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</si>
  <si>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</si>
  <si>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</si>
  <si>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</si>
  <si>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</si>
  <si>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</si>
  <si>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</si>
  <si>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</si>
  <si>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</si>
  <si>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</si>
  <si>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</si>
  <si>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Computational Biochemistry</t>
  </si>
  <si>
    <t>Multidisciplinary Studies</t>
  </si>
  <si>
    <t>Sustainability Sci Practice</t>
  </si>
  <si>
    <t>World Languages and Cultures</t>
  </si>
  <si>
    <t>GR_cert</t>
  </si>
  <si>
    <t>International Development Stds</t>
  </si>
  <si>
    <t>Environmental Philosophy</t>
  </si>
  <si>
    <t>UG_cert</t>
  </si>
  <si>
    <t>Brewing</t>
  </si>
  <si>
    <t>Engl as a Sec Lang</t>
  </si>
  <si>
    <t>Environmental Ethics</t>
  </si>
  <si>
    <t>Global Leadership</t>
  </si>
  <si>
    <t>Health Communication</t>
  </si>
  <si>
    <t>Historic Preservation</t>
  </si>
  <si>
    <t>Indig Knowledge Enviro Sustain</t>
  </si>
  <si>
    <t>Language Rejuvenation &amp; Maint</t>
  </si>
  <si>
    <t>Migration Studies</t>
  </si>
  <si>
    <t>Philosophy, Politics, and Law</t>
  </si>
  <si>
    <t>Public History</t>
  </si>
  <si>
    <t>Sustainable Ag and Food Systms</t>
  </si>
  <si>
    <t>World Competencies</t>
  </si>
  <si>
    <t>Cybersecurity Management</t>
  </si>
  <si>
    <t>Accounting Information Systems</t>
  </si>
  <si>
    <t>Big Data Analytics</t>
  </si>
  <si>
    <t>Digital Marketing</t>
  </si>
  <si>
    <t>Entrepreneurship New Vent Crea</t>
  </si>
  <si>
    <t>Sustainable Business Strategy</t>
  </si>
  <si>
    <t>Integrative Physiology</t>
  </si>
  <si>
    <t>Enviro Sci and Sustainability</t>
  </si>
  <si>
    <t>Northern Rockies Outdoor Lead</t>
  </si>
  <si>
    <t>Water Science and Society</t>
  </si>
  <si>
    <t>Communicative Sci Dis Leveling</t>
  </si>
  <si>
    <t>Health Behavior Coaching</t>
  </si>
  <si>
    <t>Speech Lang Path/Aud Asst</t>
  </si>
  <si>
    <t>Speech Language Pathology Asst</t>
  </si>
  <si>
    <t>Digital Design</t>
  </si>
  <si>
    <t>Documentary Film</t>
  </si>
  <si>
    <t>Innovation</t>
  </si>
  <si>
    <t>HON</t>
  </si>
  <si>
    <t>Honors-Presidential Leadership</t>
  </si>
  <si>
    <t>Business Management</t>
  </si>
  <si>
    <t>General AS</t>
  </si>
  <si>
    <t>MC_cert</t>
  </si>
  <si>
    <t>Pre-Carpentry</t>
  </si>
  <si>
    <t>Pre-Medical Assisting</t>
  </si>
  <si>
    <t>Accounting Fundamentals</t>
  </si>
  <si>
    <t>Addiction Studies</t>
  </si>
  <si>
    <t>Construction Helper</t>
  </si>
  <si>
    <t>Electrician Helper</t>
  </si>
  <si>
    <t>Engineering Technology</t>
  </si>
  <si>
    <t>Green Building</t>
  </si>
  <si>
    <t>Legal Studies</t>
  </si>
  <si>
    <t>no_college</t>
  </si>
  <si>
    <t>nondeg</t>
  </si>
  <si>
    <t>Alternative Dispute Resolut</t>
  </si>
  <si>
    <t>American Indian Law</t>
  </si>
  <si>
    <t>Environ Natural Resources Law</t>
  </si>
  <si>
    <t>Nonprofit Administration</t>
  </si>
  <si>
    <t>Fall09</t>
  </si>
  <si>
    <t>Spring10</t>
  </si>
  <si>
    <t>AY10</t>
  </si>
  <si>
    <t>AY10 Adj</t>
  </si>
  <si>
    <t>Fall_2010</t>
  </si>
  <si>
    <t>Spring_2011</t>
  </si>
  <si>
    <t>AY11</t>
  </si>
  <si>
    <t>AY11 Adj</t>
  </si>
  <si>
    <t>Fall_2011</t>
  </si>
  <si>
    <t>Spring_2012</t>
  </si>
  <si>
    <t>AY12</t>
  </si>
  <si>
    <t>AY12Adj</t>
  </si>
  <si>
    <t>Fall_2012</t>
  </si>
  <si>
    <t>Spring_2013</t>
  </si>
  <si>
    <t>AY13</t>
  </si>
  <si>
    <t>AY13Adj</t>
  </si>
  <si>
    <t>Fall_2013</t>
  </si>
  <si>
    <t>Spring_2014</t>
  </si>
  <si>
    <t>AY14</t>
  </si>
  <si>
    <t>AY14Adj</t>
  </si>
  <si>
    <t>Fall_2014</t>
  </si>
  <si>
    <t>Spring_2015</t>
  </si>
  <si>
    <t>AY15</t>
  </si>
  <si>
    <t>AY15Adj</t>
  </si>
  <si>
    <t>Fall_2015</t>
  </si>
  <si>
    <t>Spring_2016</t>
  </si>
  <si>
    <t>AY16</t>
  </si>
  <si>
    <t>AY16Adj</t>
  </si>
  <si>
    <t>Fall_2016</t>
  </si>
  <si>
    <t>Spring_2017</t>
  </si>
  <si>
    <t>AY17</t>
  </si>
  <si>
    <t>AY17Adj</t>
  </si>
  <si>
    <t>Fall_2017</t>
  </si>
  <si>
    <t>Spring_2018</t>
  </si>
  <si>
    <t>AY18</t>
  </si>
  <si>
    <t>AY18Adj</t>
  </si>
  <si>
    <t>Fall_2018</t>
  </si>
  <si>
    <t>Spring_2019</t>
  </si>
  <si>
    <t>AY19</t>
  </si>
  <si>
    <t>AY19Adj</t>
  </si>
  <si>
    <t>Fall_2019</t>
  </si>
  <si>
    <t>Spring_2020</t>
  </si>
  <si>
    <t>AY20</t>
  </si>
  <si>
    <t>AY20Adj</t>
  </si>
  <si>
    <t>Fall_2020</t>
  </si>
  <si>
    <t>Spring_2021_P</t>
  </si>
  <si>
    <t>AY21P</t>
  </si>
  <si>
    <t>AY21Adj</t>
  </si>
  <si>
    <t>Fall_2021</t>
  </si>
  <si>
    <t>Spring_2022</t>
  </si>
  <si>
    <t>AY22</t>
  </si>
  <si>
    <t>Fall_2022</t>
  </si>
  <si>
    <t>Spring_2023</t>
  </si>
  <si>
    <t>AY23</t>
  </si>
  <si>
    <t>Fall_2023F</t>
  </si>
  <si>
    <t>Spring_2024F</t>
  </si>
  <si>
    <t>AY24F</t>
  </si>
  <si>
    <t>AY24 F</t>
  </si>
  <si>
    <t>Fall_2024P</t>
  </si>
  <si>
    <t>Spring_2025P</t>
  </si>
  <si>
    <t>AY25P</t>
  </si>
  <si>
    <t>AY25 P</t>
  </si>
  <si>
    <t xml:space="preserve">  Subtotal</t>
  </si>
  <si>
    <t>Forestry Conserv &amp; Expermt Stn</t>
  </si>
  <si>
    <t>Global Century Education</t>
  </si>
  <si>
    <t>No Instr Listed</t>
  </si>
  <si>
    <t>No Job Record</t>
  </si>
  <si>
    <t>Non-Academic Orgn</t>
  </si>
  <si>
    <t>Provost &amp; VPEII</t>
  </si>
  <si>
    <t>VPAA Dept Operations</t>
  </si>
  <si>
    <t>Unknown - Pending</t>
  </si>
  <si>
    <t>x</t>
  </si>
  <si>
    <t>Amount to Allocate</t>
  </si>
  <si>
    <t/>
  </si>
  <si>
    <t>Summer10</t>
  </si>
  <si>
    <t>Summer10 Adj</t>
  </si>
  <si>
    <t>Summer11</t>
  </si>
  <si>
    <t>Summer11 Adj</t>
  </si>
  <si>
    <t>Summer12</t>
  </si>
  <si>
    <t>Summer12Adj</t>
  </si>
  <si>
    <t>Summer13</t>
  </si>
  <si>
    <t>Summer13Adj</t>
  </si>
  <si>
    <t>Summer14</t>
  </si>
  <si>
    <t>Summer14Adj</t>
  </si>
  <si>
    <t>Summer15</t>
  </si>
  <si>
    <t>Summer15Adj</t>
  </si>
  <si>
    <t>Summer16</t>
  </si>
  <si>
    <t>Summer16Adj</t>
  </si>
  <si>
    <t>Summer17</t>
  </si>
  <si>
    <t>Summer17Adj</t>
  </si>
  <si>
    <t>Summer18</t>
  </si>
  <si>
    <t>Summer18Adj</t>
  </si>
  <si>
    <t>Summer19</t>
  </si>
  <si>
    <t>Summer19Adj</t>
  </si>
  <si>
    <t>Summer20</t>
  </si>
  <si>
    <t>Summer20Adj</t>
  </si>
  <si>
    <t>Summer21</t>
  </si>
  <si>
    <t>Summer21Adj</t>
  </si>
  <si>
    <t>Summer22</t>
  </si>
  <si>
    <t>Summer22Adj</t>
  </si>
  <si>
    <t>Summer23</t>
  </si>
  <si>
    <t>Summer23Adj</t>
  </si>
  <si>
    <t>Summer24</t>
  </si>
  <si>
    <t>Summer24Adj</t>
  </si>
  <si>
    <t>School Extended &amp; Lifelong Learning</t>
  </si>
  <si>
    <t>Fall_2008</t>
  </si>
  <si>
    <t>Spring_2009</t>
  </si>
  <si>
    <t>Fall_2009</t>
  </si>
  <si>
    <t>Spring_2010</t>
  </si>
  <si>
    <t>Spring_2021</t>
  </si>
  <si>
    <t>Fall 2022</t>
  </si>
  <si>
    <t>Spring 2023</t>
  </si>
  <si>
    <t>Fall 2023</t>
  </si>
  <si>
    <t>Spring 2024 F</t>
  </si>
  <si>
    <t>Fall 2024 P</t>
  </si>
  <si>
    <t>Spring 2025 P</t>
  </si>
  <si>
    <t>Data Updated 03/04/24</t>
  </si>
  <si>
    <t>College of Forestry &amp; Conservation &amp; MFCES</t>
  </si>
  <si>
    <t>HOLD</t>
  </si>
  <si>
    <t>Difference to Match Miss Coll</t>
  </si>
  <si>
    <t>Difference to Match Mountain</t>
  </si>
  <si>
    <t>SCH Per AY Net Tution Tab</t>
  </si>
  <si>
    <t>Summer_2009</t>
  </si>
  <si>
    <t>Summer_2010</t>
  </si>
  <si>
    <t>Summer_2011</t>
  </si>
  <si>
    <t>Summer_2012</t>
  </si>
  <si>
    <t>Summer_2013</t>
  </si>
  <si>
    <t>Summer_2014</t>
  </si>
  <si>
    <t>Summer_2015</t>
  </si>
  <si>
    <t>Summer_2016</t>
  </si>
  <si>
    <t>Summer_2017</t>
  </si>
  <si>
    <t>Summer_2018</t>
  </si>
  <si>
    <t>Summer_2019</t>
  </si>
  <si>
    <t>Summer_2020</t>
  </si>
  <si>
    <t>Summer_2021</t>
  </si>
  <si>
    <t>Summer_2022</t>
  </si>
  <si>
    <t>Summer_2023</t>
  </si>
  <si>
    <t>University of Montana Missoula</t>
  </si>
  <si>
    <t>Expenses per Student Credit Hour</t>
  </si>
  <si>
    <t>Expenses from UMDW Operating Statement Program 01, All Others</t>
  </si>
  <si>
    <t>SCH determined from Budget Model Development Subcommittee/Courses_by_Headcount/Courses by Credit Hour May 21, 2020</t>
  </si>
  <si>
    <t>FY 2009 - FY 2020</t>
  </si>
  <si>
    <t>Student Credit Hours</t>
  </si>
  <si>
    <t>Instruction/Other Expenses Per Credit</t>
  </si>
  <si>
    <t>Instruction</t>
  </si>
  <si>
    <t>Less: Waivers</t>
  </si>
  <si>
    <t>Inst/Oth</t>
  </si>
  <si>
    <t>CPI Inflator</t>
  </si>
  <si>
    <t>2020 $</t>
  </si>
  <si>
    <t>2024 Budget</t>
  </si>
  <si>
    <t>College Hlth Prof &amp; Biomedical Sciences</t>
  </si>
  <si>
    <t>College of Arts &amp; Media</t>
  </si>
  <si>
    <t>Culinary</t>
  </si>
  <si>
    <t>Diesel</t>
  </si>
  <si>
    <t>School of Law and Law Library</t>
  </si>
  <si>
    <t>Totals</t>
  </si>
  <si>
    <t>FY Ending June 30, 2010 - 2020,  2021 YTD</t>
  </si>
  <si>
    <t>Fund 311001</t>
  </si>
  <si>
    <t>Account</t>
  </si>
  <si>
    <t>FY10</t>
  </si>
  <si>
    <t>FY11</t>
  </si>
  <si>
    <t>FY12</t>
  </si>
  <si>
    <t>FY13</t>
  </si>
  <si>
    <t>FY14</t>
  </si>
  <si>
    <t>FY15</t>
  </si>
  <si>
    <t>FY16</t>
  </si>
  <si>
    <t>FY17</t>
  </si>
  <si>
    <t>FY18</t>
  </si>
  <si>
    <t>FY19</t>
  </si>
  <si>
    <t>61123</t>
  </si>
  <si>
    <t>Contract Faculty</t>
  </si>
  <si>
    <t>61124</t>
  </si>
  <si>
    <t>Contract Professional</t>
  </si>
  <si>
    <t>61125</t>
  </si>
  <si>
    <t>Classified Employee</t>
  </si>
  <si>
    <t>61128</t>
  </si>
  <si>
    <t>Contract Administrator</t>
  </si>
  <si>
    <t>61131</t>
  </si>
  <si>
    <t>Classified Employee-Overtime</t>
  </si>
  <si>
    <t>61132</t>
  </si>
  <si>
    <t>Contract Faculty-Extra Comp</t>
  </si>
  <si>
    <t>61133</t>
  </si>
  <si>
    <t>Termination Pay-Sick Leave</t>
  </si>
  <si>
    <t>61134</t>
  </si>
  <si>
    <t>Termination Pay-Vacation</t>
  </si>
  <si>
    <t>61165</t>
  </si>
  <si>
    <t>Classified Employee-Lump Sum Merit</t>
  </si>
  <si>
    <t>Hourly Overtime</t>
  </si>
  <si>
    <t>61224</t>
  </si>
  <si>
    <t>Hourly-Non Classified Employee</t>
  </si>
  <si>
    <t>61225</t>
  </si>
  <si>
    <t>Student</t>
  </si>
  <si>
    <t>61226</t>
  </si>
  <si>
    <t>Student Work Study-Federal</t>
  </si>
  <si>
    <t>61228</t>
  </si>
  <si>
    <t>Student Work Study-State</t>
  </si>
  <si>
    <t>Communication Device Allowance</t>
  </si>
  <si>
    <t>61311</t>
  </si>
  <si>
    <t>Incentives</t>
  </si>
  <si>
    <t xml:space="preserve">   Total Salaries/Wages</t>
  </si>
  <si>
    <t>61401</t>
  </si>
  <si>
    <t>FICA</t>
  </si>
  <si>
    <t>61402</t>
  </si>
  <si>
    <t>Retirement</t>
  </si>
  <si>
    <t>61402C</t>
  </si>
  <si>
    <t>ORP-Staff TIAA Cref</t>
  </si>
  <si>
    <t>61403</t>
  </si>
  <si>
    <t>Group Insurance</t>
  </si>
  <si>
    <t>61404</t>
  </si>
  <si>
    <t>Workers Compensation</t>
  </si>
  <si>
    <t>61409</t>
  </si>
  <si>
    <t>Medicare Tax</t>
  </si>
  <si>
    <t>61410</t>
  </si>
  <si>
    <t>State Unemployment Tax</t>
  </si>
  <si>
    <t>61411</t>
  </si>
  <si>
    <t>Teachers Retirement</t>
  </si>
  <si>
    <t>61415</t>
  </si>
  <si>
    <t>TIAA-CREF Retirement</t>
  </si>
  <si>
    <t xml:space="preserve">   Total Benefits</t>
  </si>
  <si>
    <t xml:space="preserve">     Total Labor</t>
  </si>
  <si>
    <t>71</t>
  </si>
  <si>
    <t>Other Services</t>
  </si>
  <si>
    <t>72</t>
  </si>
  <si>
    <t>Supplies</t>
  </si>
  <si>
    <t>73</t>
  </si>
  <si>
    <t>Communication</t>
  </si>
  <si>
    <t>74</t>
  </si>
  <si>
    <t>Travel</t>
  </si>
  <si>
    <t>Rent</t>
  </si>
  <si>
    <t>77</t>
  </si>
  <si>
    <t>Repair &amp; Maintenance</t>
  </si>
  <si>
    <t>78</t>
  </si>
  <si>
    <t>Other Expenses</t>
  </si>
  <si>
    <t>7D</t>
  </si>
  <si>
    <t>Capital Equipment</t>
  </si>
  <si>
    <t>7K</t>
  </si>
  <si>
    <t>Debt Service</t>
  </si>
  <si>
    <t>76</t>
  </si>
  <si>
    <t>Utilities</t>
  </si>
  <si>
    <t xml:space="preserve">   Total Operating Expenses</t>
  </si>
  <si>
    <t>Transfers</t>
  </si>
  <si>
    <t xml:space="preserve">     Total Expenses</t>
  </si>
  <si>
    <t>Wtd Avg</t>
  </si>
  <si>
    <t>Total Actual Cost NOT INFLATION ADJUSTED</t>
  </si>
  <si>
    <t>Percent Change from 2010-2020</t>
  </si>
  <si>
    <t>Instructional Cost per Student Credit Hour</t>
  </si>
  <si>
    <t>UM</t>
  </si>
  <si>
    <t>UM Ex H&amp;S</t>
  </si>
  <si>
    <t>College of Humanities and Sciences</t>
  </si>
  <si>
    <t>University of Montana</t>
  </si>
  <si>
    <t>Adjusted Student Credit Hours</t>
  </si>
  <si>
    <t>Instruction Costs</t>
  </si>
  <si>
    <t>Initial Allocation</t>
  </si>
  <si>
    <t>Final Allocation</t>
  </si>
  <si>
    <t>% Change in Cost per Student Credit Hour</t>
  </si>
  <si>
    <t>H&amp;S Inflation Adjusted Cost per SCH</t>
  </si>
  <si>
    <t>Suggested Allocation</t>
  </si>
  <si>
    <t>Suggested E/R Ratio</t>
  </si>
  <si>
    <t>Suggested Reduction in Allocation from FY '20</t>
  </si>
  <si>
    <t>1 Year</t>
  </si>
  <si>
    <t>3 Yr Avg</t>
  </si>
  <si>
    <t>5 Yr Avg</t>
  </si>
  <si>
    <t>10 Yr Avg</t>
  </si>
  <si>
    <t>Encumbered Labor</t>
  </si>
  <si>
    <t>Actual</t>
  </si>
  <si>
    <t>Projected</t>
  </si>
  <si>
    <t xml:space="preserve"> Budget (Over)</t>
  </si>
  <si>
    <t>Total Budget</t>
  </si>
  <si>
    <t>Labor Budget</t>
  </si>
  <si>
    <t>Actual Labor</t>
  </si>
  <si>
    <t>Less Faculty/Contract</t>
  </si>
  <si>
    <t>Benefits</t>
  </si>
  <si>
    <t>Ops &amp; Capital ACT + Encum</t>
  </si>
  <si>
    <t>UMDW</t>
  </si>
  <si>
    <t>Under Spent</t>
  </si>
  <si>
    <t>Personnel</t>
  </si>
  <si>
    <t>Pay Plan</t>
  </si>
  <si>
    <t>Operating &amp;</t>
  </si>
  <si>
    <t>Budget FY21</t>
  </si>
  <si>
    <t>Increase 1%</t>
  </si>
  <si>
    <t>Incl. Waivers</t>
  </si>
  <si>
    <t>Net of Waivers</t>
  </si>
  <si>
    <t>Spent in FY 20</t>
  </si>
  <si>
    <t>Budget Overspend in FY20</t>
  </si>
  <si>
    <t>IT Recharges</t>
  </si>
  <si>
    <t xml:space="preserve">Reduction from FY20 </t>
  </si>
  <si>
    <t>Personnel Reductions</t>
  </si>
  <si>
    <t>Operating Reductions</t>
  </si>
  <si>
    <t>Benefits Reductions</t>
  </si>
  <si>
    <t>Reduction from Planning Docs</t>
  </si>
  <si>
    <t>Next Steps</t>
  </si>
  <si>
    <t>Delaware Data on Direct Cost Structures for E/R</t>
  </si>
  <si>
    <t>Z Other to Balance</t>
  </si>
  <si>
    <t>Improve Research Expenditure Data Set</t>
  </si>
  <si>
    <t>%Chg 24F vs 25P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</si>
</sst>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_(&quot;$&quot;* #,##0_);_(&quot;$&quot;* \(#,##0\);_(&quot;$&quot;* &quot;-&quot;??_);_(@_)"/>
    <numFmt numFmtId="168" formatCode="_(* #,##0.0000_);_(* \(#,##0.0000\);_(* &quot;-&quot;??_);_(@_)"/>
    <numFmt numFmtId="169" formatCode="dd\-mmm\-yy"/>
    <numFmt numFmtId="170" formatCode="_(* #,##0.00000_);_(* \(#,##0.000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3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1D3C34"/>
      <name val="Calibri"/>
      <family val="2"/>
      <scheme val="minor"/>
    </font>
    <font>
      <sz val="11"/>
      <color rgb="FF1D3C3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2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9" fontId="0" fillId="0" borderId="0" xfId="2" applyFont="1"/>
    <xf numFmtId="164" fontId="0" fillId="0" borderId="0" xfId="1" applyNumberFormat="1" applyFont="1" applyBorder="1"/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2" applyFont="1" applyBorder="1" applyAlignment="1">
      <alignment horizontal="center"/>
    </xf>
    <xf numFmtId="44" fontId="0" fillId="0" borderId="0" xfId="3" applyFont="1"/>
    <xf numFmtId="43" fontId="0" fillId="0" borderId="0" xfId="0" applyNumberFormat="1"/>
    <xf numFmtId="9" fontId="0" fillId="0" borderId="0" xfId="2" applyFont="1" applyFill="1" applyBorder="1"/>
    <xf numFmtId="0" fontId="2" fillId="0" borderId="0" xfId="0" applyFont="1"/>
    <xf numFmtId="164" fontId="0" fillId="0" borderId="0" xfId="1" applyNumberFormat="1" applyFont="1" applyFill="1"/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2" xfId="0" applyNumberFormat="1" applyBorder="1"/>
    <xf numFmtId="164" fontId="0" fillId="0" borderId="1" xfId="0" applyNumberFormat="1" applyBorder="1"/>
    <xf numFmtId="164" fontId="0" fillId="0" borderId="1" xfId="1" applyNumberFormat="1" applyFont="1" applyFill="1" applyBorder="1"/>
    <xf numFmtId="9" fontId="0" fillId="0" borderId="0" xfId="2" applyFont="1" applyFill="1"/>
    <xf numFmtId="164" fontId="0" fillId="0" borderId="2" xfId="1" applyNumberFormat="1" applyFont="1" applyFill="1" applyBorder="1"/>
    <xf numFmtId="164" fontId="0" fillId="0" borderId="4" xfId="0" applyNumberFormat="1" applyBorder="1"/>
    <xf numFmtId="164" fontId="0" fillId="0" borderId="3" xfId="0" applyNumberFormat="1" applyBorder="1"/>
    <xf numFmtId="9" fontId="0" fillId="0" borderId="0" xfId="2" applyFont="1" applyFill="1" applyBorder="1" applyAlignment="1">
      <alignment horizontal="center"/>
    </xf>
    <xf numFmtId="0" fontId="3" fillId="0" borderId="0" xfId="0" applyFont="1"/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Border="1"/>
    <xf numFmtId="164" fontId="2" fillId="0" borderId="0" xfId="1" applyNumberFormat="1" applyFont="1" applyBorder="1" applyAlignment="1">
      <alignment horizontal="center"/>
    </xf>
    <xf numFmtId="164" fontId="4" fillId="0" borderId="0" xfId="1" applyNumberFormat="1" applyFont="1"/>
    <xf numFmtId="164" fontId="0" fillId="0" borderId="2" xfId="1" applyNumberFormat="1" applyFont="1" applyBorder="1"/>
    <xf numFmtId="164" fontId="0" fillId="0" borderId="4" xfId="1" applyNumberFormat="1" applyFont="1" applyBorder="1"/>
    <xf numFmtId="9" fontId="0" fillId="0" borderId="0" xfId="2" applyFont="1" applyBorder="1"/>
    <xf numFmtId="164" fontId="0" fillId="0" borderId="0" xfId="2" applyNumberFormat="1" applyFont="1" applyFill="1" applyBorder="1"/>
    <xf numFmtId="43" fontId="0" fillId="0" borderId="0" xfId="1" applyFont="1" applyFill="1" applyBorder="1"/>
    <xf numFmtId="0" fontId="6" fillId="0" borderId="0" xfId="0" applyFont="1" applyAlignment="1">
      <alignment horizontal="center"/>
    </xf>
    <xf numFmtId="0" fontId="6" fillId="0" borderId="0" xfId="0" applyFont="1"/>
    <xf numFmtId="164" fontId="0" fillId="0" borderId="0" xfId="1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4" fontId="2" fillId="0" borderId="1" xfId="1" quotePrefix="1" applyNumberFormat="1" applyFont="1" applyBorder="1" applyAlignment="1">
      <alignment horizontal="center"/>
    </xf>
    <xf numFmtId="164" fontId="4" fillId="0" borderId="0" xfId="1" applyNumberFormat="1" applyFont="1" applyFill="1"/>
    <xf numFmtId="164" fontId="4" fillId="2" borderId="0" xfId="1" applyNumberFormat="1" applyFont="1" applyFill="1"/>
    <xf numFmtId="164" fontId="7" fillId="0" borderId="2" xfId="1" applyNumberFormat="1" applyFont="1" applyBorder="1"/>
    <xf numFmtId="0" fontId="2" fillId="0" borderId="0" xfId="0" applyFont="1" applyAlignment="1">
      <alignment horizontal="center"/>
    </xf>
    <xf numFmtId="0" fontId="2" fillId="0" borderId="0" xfId="0" pivotButton="1" applyFont="1" applyAlignment="1">
      <alignment horizontal="center"/>
    </xf>
    <xf numFmtId="0" fontId="2" fillId="0" borderId="1" xfId="0" pivotButton="1" applyFont="1" applyBorder="1" applyAlignment="1">
      <alignment horizontal="center"/>
    </xf>
    <xf numFmtId="165" fontId="0" fillId="0" borderId="0" xfId="2" applyNumberFormat="1" applyFont="1"/>
    <xf numFmtId="165" fontId="0" fillId="0" borderId="2" xfId="0" applyNumberFormat="1" applyBorder="1"/>
    <xf numFmtId="164" fontId="0" fillId="0" borderId="0" xfId="1" quotePrefix="1" applyNumberFormat="1" applyFont="1" applyBorder="1" applyAlignment="1">
      <alignment horizontal="left"/>
    </xf>
    <xf numFmtId="164" fontId="2" fillId="0" borderId="0" xfId="1" quotePrefix="1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5" fontId="0" fillId="0" borderId="0" xfId="2" applyNumberFormat="1" applyFont="1" applyBorder="1"/>
    <xf numFmtId="165" fontId="0" fillId="0" borderId="2" xfId="2" applyNumberFormat="1" applyFont="1" applyBorder="1"/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/>
    </xf>
    <xf numFmtId="164" fontId="0" fillId="0" borderId="4" xfId="2" applyNumberFormat="1" applyFont="1" applyBorder="1"/>
    <xf numFmtId="165" fontId="0" fillId="0" borderId="3" xfId="2" applyNumberFormat="1" applyFont="1" applyFill="1" applyBorder="1"/>
    <xf numFmtId="0" fontId="3" fillId="0" borderId="0" xfId="0" quotePrefix="1" applyFont="1" applyAlignment="1">
      <alignment horizontal="left"/>
    </xf>
    <xf numFmtId="164" fontId="0" fillId="0" borderId="0" xfId="2" applyNumberFormat="1" applyFont="1" applyBorder="1"/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2" fillId="0" borderId="5" xfId="0" applyFont="1" applyBorder="1" applyAlignment="1">
      <alignment horizontal="centerContinuous"/>
    </xf>
    <xf numFmtId="3" fontId="0" fillId="0" borderId="0" xfId="0" applyNumberFormat="1"/>
    <xf numFmtId="0" fontId="0" fillId="0" borderId="0" xfId="0" quotePrefix="1" applyAlignment="1">
      <alignment horizontal="right"/>
    </xf>
    <xf numFmtId="9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Continuous"/>
    </xf>
    <xf numFmtId="164" fontId="7" fillId="0" borderId="0" xfId="1" applyNumberFormat="1" applyFont="1" applyFill="1" applyBorder="1"/>
    <xf numFmtId="164" fontId="0" fillId="0" borderId="0" xfId="0" applyNumberFormat="1" applyAlignment="1">
      <alignment horizontal="center"/>
    </xf>
    <xf numFmtId="0" fontId="9" fillId="0" borderId="0" xfId="0" applyFont="1" applyAlignment="1">
      <alignment horizontal="centerContinuous"/>
    </xf>
    <xf numFmtId="9" fontId="10" fillId="0" borderId="0" xfId="2" applyFont="1" applyAlignment="1">
      <alignment horizontal="centerContinuous"/>
    </xf>
    <xf numFmtId="164" fontId="9" fillId="0" borderId="0" xfId="1" applyNumberFormat="1" applyFont="1" applyAlignment="1">
      <alignment horizontal="centerContinuous"/>
    </xf>
    <xf numFmtId="164" fontId="11" fillId="0" borderId="0" xfId="1" applyNumberFormat="1" applyFont="1"/>
    <xf numFmtId="164" fontId="4" fillId="0" borderId="1" xfId="1" applyNumberFormat="1" applyFont="1" applyFill="1" applyBorder="1"/>
    <xf numFmtId="164" fontId="0" fillId="0" borderId="3" xfId="1" applyNumberFormat="1" applyFont="1" applyBorder="1"/>
    <xf numFmtId="164" fontId="0" fillId="0" borderId="3" xfId="1" applyNumberFormat="1" applyFont="1" applyFill="1" applyBorder="1"/>
    <xf numFmtId="10" fontId="0" fillId="0" borderId="0" xfId="2" applyNumberFormat="1" applyFont="1"/>
    <xf numFmtId="164" fontId="11" fillId="0" borderId="0" xfId="1" applyNumberFormat="1" applyFont="1" applyFill="1"/>
    <xf numFmtId="164" fontId="11" fillId="0" borderId="1" xfId="1" applyNumberFormat="1" applyFont="1" applyFill="1" applyBorder="1"/>
    <xf numFmtId="9" fontId="5" fillId="0" borderId="0" xfId="2" applyFont="1" applyFill="1"/>
    <xf numFmtId="164" fontId="0" fillId="0" borderId="0" xfId="1" quotePrefix="1" applyNumberFormat="1" applyFont="1" applyFill="1" applyBorder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/>
    </xf>
    <xf numFmtId="167" fontId="2" fillId="0" borderId="0" xfId="3" applyNumberFormat="1" applyFont="1" applyFill="1" applyAlignment="1">
      <alignment horizontal="centerContinuous"/>
    </xf>
    <xf numFmtId="167" fontId="0" fillId="0" borderId="0" xfId="3" applyNumberFormat="1" applyFont="1" applyFill="1"/>
    <xf numFmtId="167" fontId="2" fillId="0" borderId="5" xfId="3" applyNumberFormat="1" applyFont="1" applyFill="1" applyBorder="1" applyAlignment="1">
      <alignment horizontal="centerContinuous"/>
    </xf>
    <xf numFmtId="167" fontId="0" fillId="0" borderId="1" xfId="3" applyNumberFormat="1" applyFon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164" fontId="2" fillId="0" borderId="0" xfId="1" applyNumberFormat="1" applyFont="1" applyFill="1" applyAlignment="1">
      <alignment horizontal="centerContinuous"/>
    </xf>
    <xf numFmtId="164" fontId="2" fillId="0" borderId="5" xfId="1" applyNumberFormat="1" applyFont="1" applyFill="1" applyBorder="1" applyAlignment="1">
      <alignment horizontal="centerContinuous"/>
    </xf>
    <xf numFmtId="167" fontId="0" fillId="0" borderId="0" xfId="3" applyNumberFormat="1" applyFont="1"/>
    <xf numFmtId="167" fontId="0" fillId="0" borderId="0" xfId="1" applyNumberFormat="1" applyFont="1"/>
    <xf numFmtId="167" fontId="0" fillId="0" borderId="1" xfId="3" applyNumberFormat="1" applyFont="1" applyFill="1" applyBorder="1"/>
    <xf numFmtId="43" fontId="0" fillId="0" borderId="4" xfId="1" applyFont="1" applyBorder="1"/>
    <xf numFmtId="10" fontId="4" fillId="0" borderId="6" xfId="2" applyNumberFormat="1" applyFont="1" applyBorder="1"/>
    <xf numFmtId="9" fontId="12" fillId="0" borderId="1" xfId="2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1" xfId="1" applyNumberFormat="1" applyFont="1" applyFill="1" applyBorder="1"/>
    <xf numFmtId="9" fontId="2" fillId="0" borderId="0" xfId="2" applyFont="1" applyFill="1"/>
    <xf numFmtId="164" fontId="2" fillId="0" borderId="0" xfId="1" applyNumberFormat="1" applyFont="1" applyFill="1" applyBorder="1"/>
    <xf numFmtId="43" fontId="6" fillId="0" borderId="0" xfId="0" applyNumberFormat="1" applyFont="1"/>
    <xf numFmtId="9" fontId="2" fillId="0" borderId="0" xfId="0" applyNumberFormat="1" applyFont="1" applyAlignment="1">
      <alignment horizontal="center"/>
    </xf>
    <xf numFmtId="164" fontId="0" fillId="0" borderId="0" xfId="2" applyNumberFormat="1" applyFont="1" applyFill="1" applyAlignment="1">
      <alignment horizontal="center"/>
    </xf>
    <xf numFmtId="0" fontId="0" fillId="3" borderId="0" xfId="0" applyFill="1"/>
    <xf numFmtId="168" fontId="0" fillId="0" borderId="0" xfId="1" applyNumberFormat="1" applyFont="1"/>
    <xf numFmtId="167" fontId="0" fillId="0" borderId="0" xfId="0" applyNumberFormat="1"/>
    <xf numFmtId="10" fontId="12" fillId="0" borderId="0" xfId="2" applyNumberFormat="1" applyFont="1" applyFill="1" applyAlignment="1">
      <alignment horizontal="center"/>
    </xf>
    <xf numFmtId="167" fontId="0" fillId="0" borderId="0" xfId="3" applyNumberFormat="1" applyFont="1" applyAlignment="1">
      <alignment horizontal="center"/>
    </xf>
    <xf numFmtId="167" fontId="2" fillId="0" borderId="1" xfId="3" applyNumberFormat="1" applyFont="1" applyBorder="1" applyAlignment="1">
      <alignment horizontal="center"/>
    </xf>
    <xf numFmtId="167" fontId="0" fillId="0" borderId="1" xfId="3" applyNumberFormat="1" applyFont="1" applyBorder="1" applyAlignment="1">
      <alignment horizontal="center"/>
    </xf>
    <xf numFmtId="10" fontId="0" fillId="0" borderId="0" xfId="0" applyNumberFormat="1"/>
    <xf numFmtId="9" fontId="0" fillId="0" borderId="0" xfId="2" quotePrefix="1" applyFont="1" applyFill="1" applyBorder="1" applyAlignment="1">
      <alignment horizontal="center"/>
    </xf>
    <xf numFmtId="9" fontId="12" fillId="0" borderId="0" xfId="2" applyFont="1" applyFill="1" applyBorder="1"/>
    <xf numFmtId="10" fontId="0" fillId="0" borderId="0" xfId="2" applyNumberFormat="1" applyFont="1" applyFill="1"/>
    <xf numFmtId="164" fontId="0" fillId="0" borderId="0" xfId="0" quotePrefix="1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0" borderId="3" xfId="2" applyFont="1" applyBorder="1"/>
    <xf numFmtId="0" fontId="0" fillId="0" borderId="3" xfId="0" applyBorder="1"/>
    <xf numFmtId="164" fontId="0" fillId="0" borderId="8" xfId="1" applyNumberFormat="1" applyFont="1" applyFill="1" applyBorder="1"/>
    <xf numFmtId="0" fontId="0" fillId="0" borderId="1" xfId="0" applyBorder="1"/>
    <xf numFmtId="0" fontId="0" fillId="0" borderId="1" xfId="2" applyNumberFormat="1" applyFont="1" applyBorder="1" applyAlignment="1">
      <alignment horizontal="center"/>
    </xf>
    <xf numFmtId="10" fontId="0" fillId="0" borderId="0" xfId="2" applyNumberFormat="1" applyFont="1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10" fontId="0" fillId="0" borderId="13" xfId="2" applyNumberFormat="1" applyFont="1" applyBorder="1"/>
    <xf numFmtId="0" fontId="0" fillId="0" borderId="15" xfId="0" applyBorder="1"/>
    <xf numFmtId="0" fontId="0" fillId="0" borderId="5" xfId="0" applyBorder="1"/>
    <xf numFmtId="0" fontId="0" fillId="0" borderId="16" xfId="0" applyBorder="1"/>
    <xf numFmtId="164" fontId="0" fillId="0" borderId="0" xfId="2" applyNumberFormat="1" applyFont="1"/>
    <xf numFmtId="164" fontId="0" fillId="0" borderId="0" xfId="1" quotePrefix="1" applyNumberFormat="1" applyFont="1" applyFill="1" applyBorder="1" applyAlignment="1">
      <alignment horizontal="left"/>
    </xf>
    <xf numFmtId="165" fontId="13" fillId="0" borderId="0" xfId="2" applyNumberFormat="1" applyFont="1" applyBorder="1"/>
    <xf numFmtId="164" fontId="0" fillId="0" borderId="0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" xfId="2" quotePrefix="1" applyFont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9" fontId="3" fillId="0" borderId="0" xfId="2" applyFont="1" applyFill="1" applyBorder="1" applyAlignment="1">
      <alignment horizontal="center"/>
    </xf>
    <xf numFmtId="0" fontId="0" fillId="0" borderId="7" xfId="0" quotePrefix="1" applyBorder="1" applyAlignment="1">
      <alignment horizontal="left"/>
    </xf>
    <xf numFmtId="0" fontId="0" fillId="0" borderId="17" xfId="0" quotePrefix="1" applyBorder="1" applyAlignment="1">
      <alignment horizontal="center"/>
    </xf>
    <xf numFmtId="164" fontId="0" fillId="0" borderId="17" xfId="1" applyNumberFormat="1" applyFont="1" applyFill="1" applyBorder="1" applyAlignment="1">
      <alignment horizontal="center"/>
    </xf>
    <xf numFmtId="164" fontId="0" fillId="0" borderId="17" xfId="1" quotePrefix="1" applyNumberFormat="1" applyFont="1" applyFill="1" applyBorder="1" applyAlignment="1">
      <alignment horizontal="center"/>
    </xf>
    <xf numFmtId="164" fontId="0" fillId="0" borderId="18" xfId="1" applyNumberFormat="1" applyFont="1" applyFill="1" applyBorder="1" applyAlignment="1">
      <alignment horizontal="center"/>
    </xf>
    <xf numFmtId="164" fontId="0" fillId="0" borderId="17" xfId="1" applyNumberFormat="1" applyFont="1" applyFill="1" applyBorder="1"/>
    <xf numFmtId="164" fontId="0" fillId="0" borderId="19" xfId="1" applyNumberFormat="1" applyFont="1" applyFill="1" applyBorder="1"/>
    <xf numFmtId="164" fontId="0" fillId="0" borderId="12" xfId="1" applyNumberFormat="1" applyFont="1" applyBorder="1"/>
    <xf numFmtId="164" fontId="0" fillId="0" borderId="2" xfId="2" applyNumberFormat="1" applyFont="1" applyBorder="1"/>
    <xf numFmtId="9" fontId="2" fillId="0" borderId="1" xfId="2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9" fontId="2" fillId="0" borderId="0" xfId="2" applyFont="1" applyBorder="1" applyAlignment="1">
      <alignment horizontal="center"/>
    </xf>
    <xf numFmtId="165" fontId="14" fillId="0" borderId="0" xfId="2" applyNumberFormat="1" applyFont="1"/>
    <xf numFmtId="165" fontId="14" fillId="0" borderId="0" xfId="2" quotePrefix="1" applyNumberFormat="1" applyFont="1" applyAlignment="1">
      <alignment horizontal="left"/>
    </xf>
    <xf numFmtId="165" fontId="14" fillId="0" borderId="0" xfId="2" quotePrefix="1" applyNumberFormat="1" applyFont="1" applyAlignment="1">
      <alignment horizontal="right"/>
    </xf>
    <xf numFmtId="164" fontId="0" fillId="0" borderId="0" xfId="1" quotePrefix="1" applyNumberFormat="1" applyFont="1" applyAlignment="1">
      <alignment horizontal="left"/>
    </xf>
    <xf numFmtId="164" fontId="0" fillId="3" borderId="0" xfId="1" applyNumberFormat="1" applyFont="1" applyFill="1" applyBorder="1"/>
    <xf numFmtId="164" fontId="2" fillId="3" borderId="0" xfId="1" applyNumberFormat="1" applyFont="1" applyFill="1" applyBorder="1" applyAlignment="1">
      <alignment horizontal="center"/>
    </xf>
    <xf numFmtId="164" fontId="0" fillId="3" borderId="2" xfId="1" applyNumberFormat="1" applyFont="1" applyFill="1" applyBorder="1"/>
    <xf numFmtId="0" fontId="16" fillId="4" borderId="20" xfId="0" applyFont="1" applyFill="1" applyBorder="1" applyAlignment="1">
      <alignment horizontal="center"/>
    </xf>
    <xf numFmtId="43" fontId="16" fillId="4" borderId="20" xfId="1" applyFont="1" applyFill="1" applyBorder="1" applyAlignment="1">
      <alignment horizontal="center"/>
    </xf>
    <xf numFmtId="0" fontId="16" fillId="0" borderId="21" xfId="0" applyFont="1" applyBorder="1" applyAlignment="1">
      <alignment wrapText="1"/>
    </xf>
    <xf numFmtId="169" fontId="16" fillId="0" borderId="21" xfId="0" applyNumberFormat="1" applyFont="1" applyBorder="1" applyAlignment="1">
      <alignment horizontal="right" wrapText="1"/>
    </xf>
    <xf numFmtId="43" fontId="16" fillId="0" borderId="21" xfId="1" applyFont="1" applyFill="1" applyBorder="1" applyAlignment="1">
      <alignment horizontal="right" wrapText="1"/>
    </xf>
    <xf numFmtId="164" fontId="2" fillId="0" borderId="0" xfId="1" quotePrefix="1" applyNumberFormat="1" applyFont="1" applyAlignment="1">
      <alignment horizontal="left"/>
    </xf>
    <xf numFmtId="164" fontId="0" fillId="0" borderId="9" xfId="1" applyNumberFormat="1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4" fontId="2" fillId="0" borderId="22" xfId="1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43" fontId="0" fillId="0" borderId="0" xfId="1" applyFont="1" applyBorder="1"/>
    <xf numFmtId="167" fontId="0" fillId="0" borderId="13" xfId="3" applyNumberFormat="1" applyFont="1" applyBorder="1"/>
    <xf numFmtId="164" fontId="0" fillId="0" borderId="13" xfId="1" applyNumberFormat="1" applyFont="1" applyBorder="1"/>
    <xf numFmtId="164" fontId="0" fillId="0" borderId="23" xfId="1" applyNumberFormat="1" applyFont="1" applyBorder="1"/>
    <xf numFmtId="164" fontId="0" fillId="0" borderId="12" xfId="1" quotePrefix="1" applyNumberFormat="1" applyFont="1" applyBorder="1" applyAlignment="1">
      <alignment horizontal="left"/>
    </xf>
    <xf numFmtId="166" fontId="0" fillId="0" borderId="13" xfId="1" applyNumberFormat="1" applyFont="1" applyBorder="1"/>
    <xf numFmtId="165" fontId="15" fillId="0" borderId="13" xfId="2" applyNumberFormat="1" applyFont="1" applyBorder="1"/>
    <xf numFmtId="164" fontId="2" fillId="0" borderId="1" xfId="1" quotePrefix="1" applyNumberFormat="1" applyFont="1" applyFill="1" applyBorder="1" applyAlignment="1">
      <alignment horizontal="center"/>
    </xf>
    <xf numFmtId="164" fontId="2" fillId="0" borderId="0" xfId="1" quotePrefix="1" applyNumberFormat="1" applyFont="1" applyAlignment="1">
      <alignment horizontal="center"/>
    </xf>
    <xf numFmtId="43" fontId="4" fillId="0" borderId="0" xfId="1" applyFont="1"/>
    <xf numFmtId="164" fontId="2" fillId="0" borderId="0" xfId="0" applyNumberFormat="1" applyFont="1" applyAlignment="1">
      <alignment horizontal="center"/>
    </xf>
    <xf numFmtId="0" fontId="0" fillId="0" borderId="0" xfId="2" applyNumberFormat="1" applyFont="1" applyBorder="1" applyAlignment="1">
      <alignment horizontal="center"/>
    </xf>
    <xf numFmtId="164" fontId="0" fillId="3" borderId="0" xfId="1" applyNumberFormat="1" applyFont="1" applyFill="1"/>
    <xf numFmtId="9" fontId="0" fillId="3" borderId="0" xfId="2" applyFont="1" applyFill="1"/>
    <xf numFmtId="0" fontId="0" fillId="3" borderId="0" xfId="0" applyFill="1" applyAlignment="1">
      <alignment horizontal="center"/>
    </xf>
    <xf numFmtId="164" fontId="0" fillId="3" borderId="0" xfId="0" quotePrefix="1" applyNumberFormat="1" applyFill="1" applyAlignment="1">
      <alignment horizontal="center"/>
    </xf>
    <xf numFmtId="0" fontId="0" fillId="3" borderId="0" xfId="0" quotePrefix="1" applyFill="1" applyAlignment="1">
      <alignment horizontal="center"/>
    </xf>
    <xf numFmtId="9" fontId="0" fillId="3" borderId="0" xfId="2" applyFont="1" applyFill="1" applyBorder="1"/>
    <xf numFmtId="164" fontId="0" fillId="3" borderId="1" xfId="0" applyNumberFormat="1" applyFill="1" applyBorder="1" applyAlignment="1">
      <alignment horizontal="center"/>
    </xf>
    <xf numFmtId="9" fontId="0" fillId="3" borderId="1" xfId="2" quotePrefix="1" applyFont="1" applyFill="1" applyBorder="1" applyAlignment="1">
      <alignment horizontal="center"/>
    </xf>
    <xf numFmtId="164" fontId="0" fillId="3" borderId="1" xfId="0" quotePrefix="1" applyNumberFormat="1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9" fontId="0" fillId="3" borderId="0" xfId="2" applyFont="1" applyFill="1" applyBorder="1" applyAlignment="1">
      <alignment horizontal="center"/>
    </xf>
    <xf numFmtId="0" fontId="0" fillId="3" borderId="0" xfId="0" quotePrefix="1" applyFill="1" applyAlignment="1">
      <alignment horizontal="left"/>
    </xf>
    <xf numFmtId="164" fontId="0" fillId="3" borderId="0" xfId="2" applyNumberFormat="1" applyFont="1" applyFill="1" applyBorder="1" applyAlignment="1">
      <alignment horizontal="center"/>
    </xf>
    <xf numFmtId="164" fontId="0" fillId="3" borderId="2" xfId="0" applyNumberFormat="1" applyFill="1" applyBorder="1"/>
    <xf numFmtId="164" fontId="4" fillId="3" borderId="0" xfId="1" applyNumberFormat="1" applyFont="1" applyFill="1"/>
    <xf numFmtId="164" fontId="0" fillId="3" borderId="0" xfId="0" applyNumberFormat="1" applyFill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164" fontId="0" fillId="3" borderId="0" xfId="1" quotePrefix="1" applyNumberFormat="1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Continuous"/>
    </xf>
    <xf numFmtId="0" fontId="0" fillId="3" borderId="17" xfId="0" quotePrefix="1" applyFill="1" applyBorder="1" applyAlignment="1">
      <alignment horizontal="center"/>
    </xf>
    <xf numFmtId="9" fontId="0" fillId="3" borderId="0" xfId="2" applyFont="1" applyFill="1" applyAlignment="1">
      <alignment horizontal="center"/>
    </xf>
    <xf numFmtId="164" fontId="0" fillId="3" borderId="0" xfId="1" applyNumberFormat="1" applyFont="1" applyFill="1" applyBorder="1" applyAlignment="1">
      <alignment horizontal="center"/>
    </xf>
    <xf numFmtId="164" fontId="0" fillId="3" borderId="17" xfId="1" applyNumberFormat="1" applyFont="1" applyFill="1" applyBorder="1" applyAlignment="1">
      <alignment horizontal="center"/>
    </xf>
    <xf numFmtId="164" fontId="0" fillId="3" borderId="17" xfId="1" quotePrefix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3" borderId="0" xfId="2" quotePrefix="1" applyFont="1" applyFill="1" applyBorder="1" applyAlignment="1">
      <alignment horizontal="center"/>
    </xf>
    <xf numFmtId="0" fontId="0" fillId="3" borderId="1" xfId="0" applyFill="1" applyBorder="1"/>
    <xf numFmtId="164" fontId="0" fillId="3" borderId="1" xfId="1" applyNumberFormat="1" applyFont="1" applyFill="1" applyBorder="1" applyAlignment="1">
      <alignment horizontal="center"/>
    </xf>
    <xf numFmtId="164" fontId="0" fillId="3" borderId="18" xfId="1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3" borderId="0" xfId="2" applyNumberFormat="1" applyFont="1" applyFill="1" applyBorder="1"/>
    <xf numFmtId="164" fontId="0" fillId="3" borderId="17" xfId="1" applyNumberFormat="1" applyFont="1" applyFill="1" applyBorder="1"/>
    <xf numFmtId="9" fontId="12" fillId="3" borderId="0" xfId="2" applyFont="1" applyFill="1" applyBorder="1"/>
    <xf numFmtId="164" fontId="0" fillId="3" borderId="0" xfId="1" quotePrefix="1" applyNumberFormat="1" applyFont="1" applyFill="1" applyBorder="1" applyAlignment="1">
      <alignment horizontal="left"/>
    </xf>
    <xf numFmtId="164" fontId="0" fillId="3" borderId="3" xfId="1" applyNumberFormat="1" applyFont="1" applyFill="1" applyBorder="1"/>
    <xf numFmtId="164" fontId="0" fillId="3" borderId="19" xfId="1" applyNumberFormat="1" applyFont="1" applyFill="1" applyBorder="1"/>
    <xf numFmtId="165" fontId="13" fillId="3" borderId="0" xfId="2" applyNumberFormat="1" applyFont="1" applyFill="1" applyBorder="1"/>
    <xf numFmtId="164" fontId="0" fillId="3" borderId="0" xfId="2" applyNumberFormat="1" applyFont="1" applyFill="1"/>
    <xf numFmtId="0" fontId="0" fillId="3" borderId="0" xfId="0" applyFill="1" applyAlignment="1">
      <alignment horizontal="left"/>
    </xf>
    <xf numFmtId="43" fontId="0" fillId="3" borderId="0" xfId="1" applyFont="1" applyFill="1" applyBorder="1"/>
    <xf numFmtId="0" fontId="0" fillId="3" borderId="7" xfId="0" quotePrefix="1" applyFill="1" applyBorder="1" applyAlignment="1">
      <alignment horizontal="left"/>
    </xf>
    <xf numFmtId="9" fontId="0" fillId="3" borderId="3" xfId="2" applyFont="1" applyFill="1" applyBorder="1"/>
    <xf numFmtId="0" fontId="0" fillId="3" borderId="3" xfId="0" applyFill="1" applyBorder="1"/>
    <xf numFmtId="164" fontId="0" fillId="3" borderId="8" xfId="1" applyNumberFormat="1" applyFont="1" applyFill="1" applyBorder="1"/>
    <xf numFmtId="164" fontId="0" fillId="3" borderId="4" xfId="0" applyNumberFormat="1" applyFill="1" applyBorder="1"/>
    <xf numFmtId="9" fontId="3" fillId="3" borderId="0" xfId="2" applyFont="1" applyFill="1" applyBorder="1" applyAlignment="1">
      <alignment horizontal="center"/>
    </xf>
    <xf numFmtId="43" fontId="0" fillId="0" borderId="2" xfId="1" applyFont="1" applyBorder="1"/>
    <xf numFmtId="0" fontId="0" fillId="0" borderId="11" xfId="0" applyBorder="1"/>
    <xf numFmtId="165" fontId="0" fillId="0" borderId="0" xfId="0" applyNumberFormat="1"/>
    <xf numFmtId="0" fontId="2" fillId="0" borderId="10" xfId="0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43" fontId="4" fillId="0" borderId="0" xfId="1" applyFont="1" applyBorder="1"/>
    <xf numFmtId="44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center" wrapText="1"/>
    </xf>
    <xf numFmtId="164" fontId="1" fillId="0" borderId="0" xfId="1" applyNumberFormat="1" applyFont="1"/>
    <xf numFmtId="164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right"/>
    </xf>
    <xf numFmtId="49" fontId="0" fillId="0" borderId="0" xfId="0" applyNumberFormat="1"/>
    <xf numFmtId="49" fontId="17" fillId="0" borderId="0" xfId="0" applyNumberFormat="1" applyFont="1" applyAlignment="1">
      <alignment horizontal="centerContinuous"/>
    </xf>
    <xf numFmtId="164" fontId="0" fillId="0" borderId="0" xfId="1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64" fontId="17" fillId="0" borderId="0" xfId="1" applyNumberFormat="1" applyFont="1" applyAlignment="1">
      <alignment horizontal="center"/>
    </xf>
    <xf numFmtId="164" fontId="0" fillId="0" borderId="24" xfId="1" applyNumberFormat="1" applyFont="1" applyBorder="1"/>
    <xf numFmtId="0" fontId="2" fillId="0" borderId="1" xfId="0" quotePrefix="1" applyFont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0" fillId="0" borderId="4" xfId="1" applyNumberFormat="1" applyFont="1" applyFill="1" applyBorder="1"/>
    <xf numFmtId="9" fontId="0" fillId="0" borderId="1" xfId="2" applyFont="1" applyFill="1" applyBorder="1" applyAlignment="1">
      <alignment horizontal="center"/>
    </xf>
    <xf numFmtId="165" fontId="0" fillId="0" borderId="2" xfId="2" applyNumberFormat="1" applyFont="1" applyFill="1" applyBorder="1"/>
    <xf numFmtId="0" fontId="0" fillId="2" borderId="0" xfId="0" applyFill="1"/>
    <xf numFmtId="9" fontId="2" fillId="2" borderId="0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9" fontId="2" fillId="2" borderId="1" xfId="2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0" xfId="1" applyNumberFormat="1" applyFont="1" applyFill="1" applyBorder="1"/>
    <xf numFmtId="43" fontId="0" fillId="2" borderId="0" xfId="0" applyNumberFormat="1" applyFill="1"/>
    <xf numFmtId="10" fontId="0" fillId="2" borderId="0" xfId="0" applyNumberFormat="1" applyFill="1"/>
    <xf numFmtId="164" fontId="0" fillId="2" borderId="2" xfId="2" applyNumberFormat="1" applyFont="1" applyFill="1" applyBorder="1"/>
    <xf numFmtId="164" fontId="0" fillId="5" borderId="0" xfId="1" applyNumberFormat="1" applyFont="1" applyFill="1" applyBorder="1"/>
    <xf numFmtId="164" fontId="0" fillId="5" borderId="0" xfId="1" applyNumberFormat="1" applyFont="1" applyFill="1"/>
    <xf numFmtId="165" fontId="0" fillId="5" borderId="0" xfId="2" applyNumberFormat="1" applyFont="1" applyFill="1"/>
    <xf numFmtId="10" fontId="12" fillId="5" borderId="0" xfId="2" applyNumberFormat="1" applyFont="1" applyFill="1" applyAlignment="1">
      <alignment horizontal="center"/>
    </xf>
    <xf numFmtId="10" fontId="0" fillId="5" borderId="0" xfId="2" applyNumberFormat="1" applyFont="1" applyFill="1"/>
    <xf numFmtId="164" fontId="0" fillId="5" borderId="0" xfId="0" applyNumberFormat="1" applyFill="1" applyAlignment="1">
      <alignment horizontal="center"/>
    </xf>
    <xf numFmtId="9" fontId="0" fillId="5" borderId="0" xfId="2" applyFont="1" applyFill="1" applyBorder="1"/>
    <xf numFmtId="164" fontId="0" fillId="5" borderId="0" xfId="2" applyNumberFormat="1" applyFont="1" applyFill="1" applyBorder="1"/>
    <xf numFmtId="164" fontId="0" fillId="5" borderId="0" xfId="0" applyNumberFormat="1" applyFill="1"/>
    <xf numFmtId="164" fontId="0" fillId="5" borderId="17" xfId="1" applyNumberFormat="1" applyFont="1" applyFill="1" applyBorder="1"/>
    <xf numFmtId="0" fontId="0" fillId="5" borderId="0" xfId="0" applyFill="1"/>
    <xf numFmtId="164" fontId="0" fillId="5" borderId="0" xfId="1" quotePrefix="1" applyNumberFormat="1" applyFont="1" applyFill="1" applyBorder="1" applyAlignment="1">
      <alignment horizontal="left"/>
    </xf>
    <xf numFmtId="164" fontId="2" fillId="0" borderId="0" xfId="1" quotePrefix="1" applyNumberFormat="1" applyFont="1" applyFill="1" applyBorder="1" applyAlignment="1">
      <alignment horizontal="center"/>
    </xf>
    <xf numFmtId="165" fontId="14" fillId="0" borderId="0" xfId="2" applyNumberFormat="1" applyFont="1" applyFill="1"/>
    <xf numFmtId="165" fontId="14" fillId="0" borderId="0" xfId="2" quotePrefix="1" applyNumberFormat="1" applyFont="1" applyFill="1" applyAlignment="1">
      <alignment horizontal="right"/>
    </xf>
    <xf numFmtId="44" fontId="0" fillId="0" borderId="0" xfId="3" applyFont="1" applyFill="1"/>
    <xf numFmtId="43" fontId="0" fillId="0" borderId="0" xfId="1" applyFont="1" applyFill="1"/>
    <xf numFmtId="166" fontId="0" fillId="0" borderId="0" xfId="1" applyNumberFormat="1" applyFont="1" applyFill="1"/>
    <xf numFmtId="43" fontId="4" fillId="3" borderId="0" xfId="1" applyFont="1" applyFill="1" applyBorder="1"/>
    <xf numFmtId="164" fontId="4" fillId="6" borderId="0" xfId="1" applyNumberFormat="1" applyFont="1" applyFill="1"/>
    <xf numFmtId="164" fontId="0" fillId="6" borderId="0" xfId="1" applyNumberFormat="1" applyFont="1" applyFill="1"/>
    <xf numFmtId="164" fontId="4" fillId="6" borderId="0" xfId="1" applyNumberFormat="1" applyFont="1" applyFill="1" applyBorder="1"/>
    <xf numFmtId="164" fontId="7" fillId="0" borderId="2" xfId="1" applyNumberFormat="1" applyFont="1" applyFill="1" applyBorder="1"/>
    <xf numFmtId="164" fontId="7" fillId="0" borderId="0" xfId="1" applyNumberFormat="1" applyFont="1" applyBorder="1"/>
    <xf numFmtId="164" fontId="3" fillId="0" borderId="0" xfId="0" applyNumberFormat="1" applyFont="1"/>
    <xf numFmtId="0" fontId="3" fillId="0" borderId="0" xfId="0" quotePrefix="1" applyFont="1" applyAlignment="1">
      <alignment horizontal="right"/>
    </xf>
    <xf numFmtId="165" fontId="0" fillId="0" borderId="0" xfId="2" applyNumberFormat="1" applyFont="1" applyFill="1" applyBorder="1"/>
    <xf numFmtId="0" fontId="2" fillId="0" borderId="0" xfId="0" quotePrefix="1" applyFont="1" applyAlignment="1">
      <alignment horizontal="center"/>
    </xf>
    <xf numFmtId="10" fontId="0" fillId="0" borderId="0" xfId="2" applyNumberFormat="1" applyFont="1" applyFill="1" applyBorder="1"/>
    <xf numFmtId="10" fontId="4" fillId="0" borderId="0" xfId="2" applyNumberFormat="1" applyFont="1" applyBorder="1"/>
    <xf numFmtId="164" fontId="0" fillId="0" borderId="0" xfId="1" applyNumberFormat="1" applyFont="1" applyBorder="1" applyAlignment="1">
      <alignment horizontal="center"/>
    </xf>
    <xf numFmtId="10" fontId="3" fillId="0" borderId="0" xfId="2" applyNumberFormat="1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43" fontId="18" fillId="0" borderId="0" xfId="1" applyFont="1" applyAlignment="1">
      <alignment horizontal="right" vertical="center"/>
    </xf>
    <xf numFmtId="164" fontId="2" fillId="0" borderId="2" xfId="1" applyNumberFormat="1" applyFont="1" applyFill="1" applyBorder="1"/>
    <xf numFmtId="164" fontId="0" fillId="2" borderId="2" xfId="1" applyNumberFormat="1" applyFont="1" applyFill="1" applyBorder="1"/>
    <xf numFmtId="44" fontId="0" fillId="2" borderId="0" xfId="3" applyFont="1" applyFill="1" applyBorder="1" applyAlignment="1">
      <alignment horizontal="right"/>
    </xf>
    <xf numFmtId="164" fontId="2" fillId="2" borderId="9" xfId="1" applyNumberFormat="1" applyFont="1" applyFill="1" applyBorder="1" applyAlignment="1">
      <alignment horizontal="center"/>
    </xf>
    <xf numFmtId="164" fontId="2" fillId="2" borderId="10" xfId="1" applyNumberFormat="1" applyFont="1" applyFill="1" applyBorder="1" applyAlignment="1">
      <alignment horizontal="center"/>
    </xf>
    <xf numFmtId="164" fontId="2" fillId="2" borderId="11" xfId="1" applyNumberFormat="1" applyFont="1" applyFill="1" applyBorder="1" applyAlignment="1">
      <alignment horizontal="center"/>
    </xf>
    <xf numFmtId="0" fontId="0" fillId="2" borderId="12" xfId="0" applyFill="1" applyBorder="1"/>
    <xf numFmtId="0" fontId="2" fillId="2" borderId="13" xfId="0" applyFont="1" applyFill="1" applyBorder="1" applyAlignment="1">
      <alignment horizontal="center"/>
    </xf>
    <xf numFmtId="164" fontId="2" fillId="2" borderId="14" xfId="1" applyNumberFormat="1" applyFont="1" applyFill="1" applyBorder="1" applyAlignment="1">
      <alignment horizontal="center"/>
    </xf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167" fontId="0" fillId="2" borderId="0" xfId="3" applyNumberFormat="1" applyFont="1" applyFill="1" applyBorder="1"/>
    <xf numFmtId="10" fontId="0" fillId="2" borderId="0" xfId="2" applyNumberFormat="1" applyFont="1" applyFill="1" applyBorder="1"/>
    <xf numFmtId="164" fontId="0" fillId="2" borderId="23" xfId="2" applyNumberFormat="1" applyFont="1" applyFill="1" applyBorder="1"/>
    <xf numFmtId="164" fontId="0" fillId="0" borderId="5" xfId="0" applyNumberFormat="1" applyBorder="1"/>
    <xf numFmtId="9" fontId="0" fillId="0" borderId="5" xfId="2" applyFont="1" applyBorder="1"/>
    <xf numFmtId="164" fontId="0" fillId="0" borderId="5" xfId="1" applyNumberFormat="1" applyFont="1" applyBorder="1"/>
    <xf numFmtId="164" fontId="3" fillId="0" borderId="0" xfId="0" quotePrefix="1" applyNumberFormat="1" applyFont="1" applyAlignment="1">
      <alignment horizontal="left"/>
    </xf>
    <xf numFmtId="164" fontId="0" fillId="3" borderId="1" xfId="1" applyNumberFormat="1" applyFont="1" applyFill="1" applyBorder="1"/>
    <xf numFmtId="170" fontId="0" fillId="0" borderId="0" xfId="0" applyNumberFormat="1"/>
    <xf numFmtId="165" fontId="0" fillId="3" borderId="0" xfId="2" applyNumberFormat="1" applyFont="1" applyFill="1" applyBorder="1" applyAlignment="1">
      <alignment horizontal="center"/>
    </xf>
    <xf numFmtId="164" fontId="0" fillId="0" borderId="12" xfId="1" applyNumberFormat="1" applyFont="1" applyFill="1" applyBorder="1"/>
    <xf numFmtId="164" fontId="0" fillId="0" borderId="15" xfId="1" applyNumberFormat="1" applyFont="1" applyFill="1" applyBorder="1"/>
    <xf numFmtId="9" fontId="0" fillId="0" borderId="0" xfId="2" quotePrefix="1" applyFont="1" applyAlignment="1">
      <alignment horizontal="left"/>
    </xf>
    <xf numFmtId="164" fontId="2" fillId="0" borderId="4" xfId="1" applyNumberFormat="1" applyFont="1" applyBorder="1"/>
    <xf numFmtId="164" fontId="2" fillId="0" borderId="2" xfId="1" applyNumberFormat="1" applyFont="1" applyBorder="1"/>
    <xf numFmtId="164" fontId="19" fillId="0" borderId="0" xfId="1" applyNumberFormat="1" applyFont="1" applyFill="1" applyBorder="1"/>
    <xf numFmtId="164" fontId="19" fillId="0" borderId="3" xfId="1" applyNumberFormat="1" applyFont="1" applyFill="1" applyBorder="1"/>
    <xf numFmtId="0" fontId="19" fillId="0" borderId="0" xfId="0" applyFont="1"/>
    <xf numFmtId="164" fontId="19" fillId="0" borderId="4" xfId="1" applyNumberFormat="1" applyFont="1" applyFill="1" applyBorder="1"/>
    <xf numFmtId="164" fontId="0" fillId="0" borderId="10" xfId="1" applyNumberFormat="1" applyFont="1" applyFill="1" applyBorder="1"/>
    <xf numFmtId="164" fontId="0" fillId="0" borderId="10" xfId="0" applyNumberFormat="1" applyBorder="1"/>
    <xf numFmtId="164" fontId="0" fillId="0" borderId="5" xfId="1" applyNumberFormat="1" applyFont="1" applyFill="1" applyBorder="1"/>
    <xf numFmtId="49" fontId="7" fillId="0" borderId="0" xfId="0" applyNumberFormat="1" applyFont="1"/>
    <xf numFmtId="49" fontId="0" fillId="0" borderId="10" xfId="0" applyNumberFormat="1" applyBorder="1"/>
    <xf numFmtId="49" fontId="0" fillId="0" borderId="5" xfId="0" applyNumberFormat="1" applyBorder="1"/>
    <xf numFmtId="49" fontId="7" fillId="0" borderId="10" xfId="0" applyNumberFormat="1" applyFont="1" applyBorder="1"/>
    <xf numFmtId="49" fontId="7" fillId="0" borderId="5" xfId="0" applyNumberFormat="1" applyFont="1" applyBorder="1"/>
    <xf numFmtId="164" fontId="0" fillId="0" borderId="0" xfId="1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2" fillId="0" borderId="0" xfId="1" quotePrefix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4" fillId="7" borderId="0" xfId="1" applyNumberFormat="1" applyFont="1" applyFill="1"/>
    <xf numFmtId="164" fontId="0" fillId="7" borderId="0" xfId="1" applyNumberFormat="1" applyFont="1" applyFill="1"/>
    <xf numFmtId="164" fontId="2" fillId="6" borderId="1" xfId="1" applyNumberFormat="1" applyFont="1" applyFill="1" applyBorder="1" applyAlignment="1">
      <alignment horizontal="center"/>
    </xf>
    <xf numFmtId="164" fontId="2" fillId="6" borderId="0" xfId="1" applyNumberFormat="1" applyFont="1" applyFill="1" applyBorder="1" applyAlignment="1">
      <alignment horizontal="center"/>
    </xf>
    <xf numFmtId="167" fontId="0" fillId="6" borderId="0" xfId="3" applyNumberFormat="1" applyFont="1" applyFill="1"/>
    <xf numFmtId="164" fontId="7" fillId="6" borderId="2" xfId="1" applyNumberFormat="1" applyFont="1" applyFill="1" applyBorder="1"/>
    <xf numFmtId="164" fontId="0" fillId="6" borderId="2" xfId="1" applyNumberFormat="1" applyFont="1" applyFill="1" applyBorder="1"/>
    <xf numFmtId="165" fontId="14" fillId="6" borderId="0" xfId="2" applyNumberFormat="1" applyFont="1" applyFill="1"/>
    <xf numFmtId="164" fontId="0" fillId="6" borderId="4" xfId="1" applyNumberFormat="1" applyFont="1" applyFill="1" applyBorder="1"/>
    <xf numFmtId="164" fontId="0" fillId="6" borderId="0" xfId="1" applyNumberFormat="1" applyFont="1" applyFill="1" applyBorder="1"/>
    <xf numFmtId="165" fontId="14" fillId="6" borderId="0" xfId="2" quotePrefix="1" applyNumberFormat="1" applyFont="1" applyFill="1" applyAlignment="1">
      <alignment horizontal="right"/>
    </xf>
    <xf numFmtId="44" fontId="0" fillId="6" borderId="0" xfId="3" applyFont="1" applyFill="1"/>
    <xf numFmtId="43" fontId="0" fillId="6" borderId="0" xfId="1" applyFont="1" applyFill="1"/>
    <xf numFmtId="164" fontId="12" fillId="6" borderId="0" xfId="1" applyNumberFormat="1" applyFont="1" applyFill="1" applyBorder="1" applyAlignment="1">
      <alignment horizontal="center"/>
    </xf>
    <xf numFmtId="164" fontId="7" fillId="6" borderId="0" xfId="1" applyNumberFormat="1" applyFont="1" applyFill="1"/>
    <xf numFmtId="164" fontId="7" fillId="8" borderId="0" xfId="1" applyNumberFormat="1" applyFont="1" applyFill="1"/>
    <xf numFmtId="164" fontId="1" fillId="0" borderId="0" xfId="1" applyNumberFormat="1" applyFont="1" applyAlignment="1">
      <alignment horizontal="left"/>
    </xf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4" fillId="3" borderId="0" xfId="1" applyNumberFormat="1" applyFont="1" applyFill="1" applyBorder="1"/>
    <xf numFmtId="164" fontId="4" fillId="3" borderId="13" xfId="1" applyNumberFormat="1" applyFont="1" applyFill="1" applyBorder="1"/>
    <xf numFmtId="164" fontId="0" fillId="3" borderId="5" xfId="1" applyNumberFormat="1" applyFont="1" applyFill="1" applyBorder="1"/>
    <xf numFmtId="164" fontId="0" fillId="3" borderId="16" xfId="1" applyNumberFormat="1" applyFont="1" applyFill="1" applyBorder="1"/>
    <xf numFmtId="164" fontId="4" fillId="9" borderId="0" xfId="1" applyNumberFormat="1" applyFont="1" applyFill="1" applyBorder="1"/>
    <xf numFmtId="164" fontId="0" fillId="3" borderId="9" xfId="1" applyNumberFormat="1" applyFont="1" applyFill="1" applyBorder="1"/>
    <xf numFmtId="164" fontId="4" fillId="3" borderId="12" xfId="1" applyNumberFormat="1" applyFont="1" applyFill="1" applyBorder="1"/>
    <xf numFmtId="164" fontId="0" fillId="3" borderId="15" xfId="1" applyNumberFormat="1" applyFont="1" applyFill="1" applyBorder="1"/>
    <xf numFmtId="164" fontId="0" fillId="0" borderId="0" xfId="1" quotePrefix="1" applyNumberFormat="1" applyFont="1" applyFill="1" applyBorder="1"/>
    <xf numFmtId="2" fontId="0" fillId="0" borderId="0" xfId="0" applyNumberFormat="1"/>
    <xf numFmtId="164" fontId="2" fillId="6" borderId="1" xfId="1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0" xfId="1" applyNumberFormat="1" applyFont="1" applyFill="1" applyBorder="1" applyAlignment="1"/>
    <xf numFmtId="164" fontId="7" fillId="3" borderId="0" xfId="1" applyNumberFormat="1" applyFont="1" applyFill="1"/>
    <xf numFmtId="10" fontId="0" fillId="6" borderId="0" xfId="2" applyNumberFormat="1" applyFont="1" applyFill="1" applyBorder="1"/>
    <xf numFmtId="165" fontId="0" fillId="0" borderId="0" xfId="2" applyNumberFormat="1" applyFont="1" applyFill="1" applyBorder="1" applyAlignment="1">
      <alignment horizontal="center"/>
    </xf>
    <xf numFmtId="164" fontId="4" fillId="10" borderId="13" xfId="1" applyNumberFormat="1" applyFont="1" applyFill="1" applyBorder="1"/>
    <xf numFmtId="164" fontId="21" fillId="0" borderId="0" xfId="1" quotePrefix="1" applyNumberFormat="1" applyFont="1" applyFill="1" applyBorder="1" applyAlignment="1">
      <alignment horizontal="center"/>
    </xf>
    <xf numFmtId="164" fontId="21" fillId="0" borderId="0" xfId="1" applyNumberFormat="1" applyFont="1" applyFill="1" applyBorder="1" applyAlignment="1">
      <alignment horizontal="center"/>
    </xf>
    <xf numFmtId="164" fontId="21" fillId="0" borderId="1" xfId="1" applyNumberFormat="1" applyFont="1" applyFill="1" applyBorder="1" applyAlignment="1">
      <alignment horizontal="center"/>
    </xf>
    <xf numFmtId="164" fontId="21" fillId="5" borderId="0" xfId="1" applyNumberFormat="1" applyFont="1" applyFill="1" applyBorder="1"/>
    <xf numFmtId="164" fontId="21" fillId="0" borderId="0" xfId="1" applyNumberFormat="1" applyFont="1" applyFill="1" applyBorder="1"/>
    <xf numFmtId="164" fontId="21" fillId="0" borderId="3" xfId="0" applyNumberFormat="1" applyFont="1" applyBorder="1"/>
    <xf numFmtId="164" fontId="21" fillId="0" borderId="0" xfId="0" applyNumberFormat="1" applyFont="1"/>
    <xf numFmtId="0" fontId="21" fillId="0" borderId="0" xfId="0" applyFont="1"/>
    <xf numFmtId="164" fontId="21" fillId="0" borderId="10" xfId="1" applyNumberFormat="1" applyFont="1" applyFill="1" applyBorder="1"/>
    <xf numFmtId="164" fontId="21" fillId="0" borderId="5" xfId="1" applyNumberFormat="1" applyFont="1" applyFill="1" applyBorder="1"/>
    <xf numFmtId="164" fontId="21" fillId="0" borderId="0" xfId="1" applyNumberFormat="1" applyFont="1" applyBorder="1"/>
    <xf numFmtId="164" fontId="21" fillId="0" borderId="3" xfId="1" applyNumberFormat="1" applyFont="1" applyBorder="1"/>
    <xf numFmtId="164" fontId="21" fillId="0" borderId="1" xfId="1" applyNumberFormat="1" applyFont="1" applyBorder="1"/>
    <xf numFmtId="164" fontId="21" fillId="3" borderId="1" xfId="1" applyNumberFormat="1" applyFont="1" applyFill="1" applyBorder="1"/>
    <xf numFmtId="164" fontId="22" fillId="0" borderId="0" xfId="1" applyNumberFormat="1" applyFont="1" applyBorder="1"/>
    <xf numFmtId="164" fontId="22" fillId="0" borderId="1" xfId="1" applyNumberFormat="1" applyFont="1" applyBorder="1"/>
    <xf numFmtId="164" fontId="22" fillId="0" borderId="0" xfId="0" applyNumberFormat="1" applyFont="1"/>
    <xf numFmtId="164" fontId="22" fillId="0" borderId="2" xfId="1" applyNumberFormat="1" applyFont="1" applyBorder="1"/>
    <xf numFmtId="164" fontId="22" fillId="0" borderId="4" xfId="1" applyNumberFormat="1" applyFont="1" applyBorder="1"/>
    <xf numFmtId="0" fontId="22" fillId="0" borderId="0" xfId="0" applyFont="1"/>
    <xf numFmtId="164" fontId="21" fillId="0" borderId="3" xfId="1" applyNumberFormat="1" applyFont="1" applyFill="1" applyBorder="1"/>
    <xf numFmtId="164" fontId="21" fillId="0" borderId="4" xfId="1" applyNumberFormat="1" applyFont="1" applyFill="1" applyBorder="1"/>
    <xf numFmtId="49" fontId="22" fillId="0" borderId="0" xfId="0" applyNumberFormat="1" applyFont="1"/>
    <xf numFmtId="49" fontId="22" fillId="0" borderId="10" xfId="0" applyNumberFormat="1" applyFont="1" applyBorder="1"/>
    <xf numFmtId="0" fontId="22" fillId="0" borderId="10" xfId="0" applyFont="1" applyBorder="1"/>
    <xf numFmtId="49" fontId="22" fillId="0" borderId="5" xfId="0" applyNumberFormat="1" applyFont="1" applyBorder="1"/>
    <xf numFmtId="0" fontId="22" fillId="0" borderId="5" xfId="0" applyFont="1" applyBorder="1"/>
    <xf numFmtId="164" fontId="22" fillId="0" borderId="0" xfId="1" applyNumberFormat="1" applyFont="1" applyFill="1" applyBorder="1"/>
    <xf numFmtId="164" fontId="21" fillId="0" borderId="0" xfId="1" applyNumberFormat="1" applyFont="1" applyFill="1" applyBorder="1" applyAlignment="1">
      <alignment horizontal="right"/>
    </xf>
    <xf numFmtId="164" fontId="22" fillId="0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164" fontId="0" fillId="6" borderId="19" xfId="1" applyNumberFormat="1" applyFont="1" applyFill="1" applyBorder="1"/>
    <xf numFmtId="164" fontId="0" fillId="6" borderId="25" xfId="1" applyNumberFormat="1" applyFont="1" applyFill="1" applyBorder="1"/>
    <xf numFmtId="164" fontId="4" fillId="6" borderId="17" xfId="1" applyNumberFormat="1" applyFont="1" applyFill="1" applyBorder="1"/>
    <xf numFmtId="164" fontId="4" fillId="6" borderId="26" xfId="1" applyNumberFormat="1" applyFont="1" applyFill="1" applyBorder="1"/>
    <xf numFmtId="164" fontId="0" fillId="6" borderId="18" xfId="1" applyNumberFormat="1" applyFont="1" applyFill="1" applyBorder="1"/>
    <xf numFmtId="164" fontId="0" fillId="6" borderId="1" xfId="1" applyNumberFormat="1" applyFont="1" applyFill="1" applyBorder="1"/>
    <xf numFmtId="164" fontId="4" fillId="6" borderId="27" xfId="1" applyNumberFormat="1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0" fillId="0" borderId="0" xfId="0" applyBorder="1"/>
    <xf numFmtId="0" fontId="0" fillId="2" borderId="19" xfId="0" applyFill="1" applyBorder="1"/>
    <xf numFmtId="9" fontId="2" fillId="2" borderId="2" xfId="2" applyFont="1" applyFill="1" applyBorder="1" applyAlignment="1">
      <alignment horizontal="center"/>
    </xf>
    <xf numFmtId="164" fontId="0" fillId="2" borderId="2" xfId="0" applyNumberFormat="1" applyFill="1" applyBorder="1"/>
    <xf numFmtId="0" fontId="0" fillId="2" borderId="2" xfId="0" applyFill="1" applyBorder="1"/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0" fillId="2" borderId="17" xfId="0" applyFill="1" applyBorder="1"/>
    <xf numFmtId="0" fontId="0" fillId="2" borderId="0" xfId="0" applyFill="1" applyBorder="1"/>
    <xf numFmtId="164" fontId="2" fillId="2" borderId="27" xfId="1" applyNumberFormat="1" applyFont="1" applyFill="1" applyBorder="1" applyAlignment="1">
      <alignment horizontal="center"/>
    </xf>
    <xf numFmtId="164" fontId="0" fillId="2" borderId="17" xfId="1" applyNumberFormat="1" applyFont="1" applyFill="1" applyBorder="1"/>
    <xf numFmtId="164" fontId="0" fillId="2" borderId="0" xfId="2" applyNumberFormat="1" applyFont="1" applyFill="1" applyBorder="1"/>
    <xf numFmtId="43" fontId="0" fillId="2" borderId="0" xfId="0" applyNumberFormat="1" applyFill="1" applyBorder="1"/>
    <xf numFmtId="164" fontId="0" fillId="2" borderId="0" xfId="0" applyNumberFormat="1" applyFill="1" applyBorder="1"/>
    <xf numFmtId="44" fontId="0" fillId="2" borderId="0" xfId="3" applyFont="1" applyFill="1" applyBorder="1"/>
    <xf numFmtId="10" fontId="0" fillId="2" borderId="0" xfId="0" applyNumberFormat="1" applyFill="1" applyBorder="1"/>
    <xf numFmtId="164" fontId="0" fillId="2" borderId="26" xfId="1" applyNumberFormat="1" applyFont="1" applyFill="1" applyBorder="1"/>
    <xf numFmtId="0" fontId="0" fillId="2" borderId="26" xfId="0" applyFill="1" applyBorder="1"/>
    <xf numFmtId="164" fontId="0" fillId="2" borderId="25" xfId="2" applyNumberFormat="1" applyFont="1" applyFill="1" applyBorder="1"/>
    <xf numFmtId="0" fontId="0" fillId="0" borderId="26" xfId="0" applyBorder="1"/>
    <xf numFmtId="0" fontId="0" fillId="0" borderId="18" xfId="0" applyBorder="1"/>
    <xf numFmtId="9" fontId="0" fillId="0" borderId="1" xfId="2" applyFont="1" applyBorder="1"/>
    <xf numFmtId="0" fontId="0" fillId="0" borderId="27" xfId="0" applyBorder="1"/>
    <xf numFmtId="0" fontId="0" fillId="2" borderId="18" xfId="0" applyFill="1" applyBorder="1"/>
    <xf numFmtId="0" fontId="2" fillId="2" borderId="0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165" fontId="0" fillId="0" borderId="0" xfId="2" applyNumberFormat="1" applyFont="1" applyAlignment="1">
      <alignment horizontal="left"/>
    </xf>
    <xf numFmtId="165" fontId="0" fillId="0" borderId="0" xfId="2" applyNumberFormat="1" applyFont="1" applyFill="1" applyBorder="1" applyAlignment="1">
      <alignment horizontal="left"/>
    </xf>
    <xf numFmtId="165" fontId="20" fillId="0" borderId="0" xfId="2" applyNumberFormat="1" applyFont="1" applyBorder="1"/>
    <xf numFmtId="164" fontId="20" fillId="0" borderId="0" xfId="0" quotePrefix="1" applyNumberFormat="1" applyFont="1" applyBorder="1" applyAlignment="1">
      <alignment horizontal="left"/>
    </xf>
    <xf numFmtId="164" fontId="20" fillId="0" borderId="0" xfId="0" applyNumberFormat="1" applyFont="1" applyBorder="1"/>
    <xf numFmtId="165" fontId="2" fillId="0" borderId="29" xfId="2" applyNumberFormat="1" applyFont="1" applyBorder="1" applyAlignment="1">
      <alignment horizontal="center"/>
    </xf>
    <xf numFmtId="165" fontId="2" fillId="0" borderId="28" xfId="2" applyNumberFormat="1" applyFont="1" applyBorder="1" applyAlignment="1">
      <alignment horizontal="center"/>
    </xf>
    <xf numFmtId="9" fontId="0" fillId="0" borderId="5" xfId="2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9" fontId="0" fillId="3" borderId="5" xfId="2" applyFont="1" applyFill="1" applyBorder="1" applyAlignment="1">
      <alignment horizontal="center"/>
    </xf>
    <xf numFmtId="164" fontId="0" fillId="3" borderId="5" xfId="1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7" fontId="2" fillId="0" borderId="0" xfId="3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164" fontId="0" fillId="0" borderId="30" xfId="1" applyNumberFormat="1" applyFont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1D3C34"/>
      <color rgb="FFEDE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Tuition AY'!$A$88</c:f>
              <c:strCache>
                <c:ptCount val="1"/>
                <c:pt idx="0">
                  <c:v>UM Total - Average Rate per SCH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'Net Tuition AY'!$C$87:$P$87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AY'!$C$88:$P$88</c:f>
              <c:numCache>
                <c:formatCode>_("$"* #,##0.00_);_("$"* \(#,##0.00\);_("$"* "-"??_);_(@_)</c:formatCode>
                <c:ptCount val="14"/>
                <c:pt idx="0">
                  <c:v>193.44678569871263</c:v>
                </c:pt>
                <c:pt idx="1">
                  <c:v>202.20429072765594</c:v>
                </c:pt>
                <c:pt idx="2">
                  <c:v>209.64486419979391</c:v>
                </c:pt>
                <c:pt idx="3">
                  <c:v>218.95006084575601</c:v>
                </c:pt>
                <c:pt idx="4">
                  <c:v>221.48976318831674</c:v>
                </c:pt>
                <c:pt idx="5">
                  <c:v>212.5338004167092</c:v>
                </c:pt>
                <c:pt idx="6">
                  <c:v>220.80870296094758</c:v>
                </c:pt>
                <c:pt idx="7">
                  <c:v>231.07207683972345</c:v>
                </c:pt>
                <c:pt idx="8">
                  <c:v>228.62941323064859</c:v>
                </c:pt>
                <c:pt idx="9">
                  <c:v>227.60448752592276</c:v>
                </c:pt>
                <c:pt idx="10">
                  <c:v>224.18918857365995</c:v>
                </c:pt>
                <c:pt idx="11">
                  <c:v>229.53925927931718</c:v>
                </c:pt>
                <c:pt idx="12">
                  <c:v>241.91068773923635</c:v>
                </c:pt>
                <c:pt idx="13">
                  <c:v>250.6051306495645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94-4B12-9D76-45C397F5D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973792"/>
        <c:axId val="987971712"/>
      </c:lineChart>
      <c:catAx>
        <c:axId val="98797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971712"/>
        <c:crosses val="autoZero"/>
        <c:auto val="1"/>
        <c:lblAlgn val="ctr"/>
        <c:lblOffset val="100"/>
        <c:noMultiLvlLbl val="0"/>
      </c:catAx>
      <c:valAx>
        <c:axId val="987971712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97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Instructional Cost per Student Credit Hour</a:t>
            </a:r>
          </a:p>
        </c:rich>
      </c:tx>
      <c:layout>
        <c:manualLayout>
          <c:xMode val="edge"/>
          <c:yMode val="edge"/>
          <c:x val="0.31345767575322814"/>
          <c:y val="2.106417773964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Historical Exp No 2'!$X$3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'Charts Historical Exp No 2'!$Y$2:$AG$2</c:f>
              <c:strCache>
                <c:ptCount val="9"/>
                <c:pt idx="0">
                  <c:v>Missoula College</c:v>
                </c:pt>
                <c:pt idx="1">
                  <c:v>College of Education</c:v>
                </c:pt>
                <c:pt idx="2">
                  <c:v>College of Arts and Media</c:v>
                </c:pt>
                <c:pt idx="3">
                  <c:v>University of Montana</c:v>
                </c:pt>
                <c:pt idx="4">
                  <c:v>College of Business</c:v>
                </c:pt>
                <c:pt idx="5">
                  <c:v>College of Humanities and Sciences</c:v>
                </c:pt>
                <c:pt idx="6">
                  <c:v>College of Forestry</c:v>
                </c:pt>
                <c:pt idx="7">
                  <c:v>College of Health</c:v>
                </c:pt>
                <c:pt idx="8">
                  <c:v>School of Law</c:v>
                </c:pt>
              </c:strCache>
            </c:strRef>
          </c:cat>
          <c:val>
            <c:numRef>
              <c:f>'Charts Historical Exp No 2'!$Y$3:$AG$3</c:f>
              <c:numCache>
                <c:formatCode>_("$"* #,##0_);_("$"* \(#,##0\);_("$"* "-"??_);_(@_)</c:formatCode>
                <c:ptCount val="9"/>
                <c:pt idx="0">
                  <c:v>99.492488240376304</c:v>
                </c:pt>
                <c:pt idx="1">
                  <c:v>174.06344411061855</c:v>
                </c:pt>
                <c:pt idx="2">
                  <c:v>189.18998915222517</c:v>
                </c:pt>
                <c:pt idx="3">
                  <c:v>180.43333687484028</c:v>
                </c:pt>
                <c:pt idx="4">
                  <c:v>188.7766626818223</c:v>
                </c:pt>
                <c:pt idx="5">
                  <c:v>169.70873547897463</c:v>
                </c:pt>
                <c:pt idx="6">
                  <c:v>222.70957407441821</c:v>
                </c:pt>
                <c:pt idx="7">
                  <c:v>323.43526772336844</c:v>
                </c:pt>
                <c:pt idx="8">
                  <c:v>394.40208989317944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C-4702-A268-52448B66223C}"/>
            </c:ext>
          </c:extLst>
        </c:ser>
        <c:ser>
          <c:idx val="1"/>
          <c:order val="1"/>
          <c:tx>
            <c:strRef>
              <c:f>'Charts Historical Exp No 2'!$X$4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'Charts Historical Exp No 2'!$Y$2:$AG$2</c:f>
              <c:strCache>
                <c:ptCount val="9"/>
                <c:pt idx="0">
                  <c:v>Missoula College</c:v>
                </c:pt>
                <c:pt idx="1">
                  <c:v>College of Education</c:v>
                </c:pt>
                <c:pt idx="2">
                  <c:v>College of Arts and Media</c:v>
                </c:pt>
                <c:pt idx="3">
                  <c:v>University of Montana</c:v>
                </c:pt>
                <c:pt idx="4">
                  <c:v>College of Business</c:v>
                </c:pt>
                <c:pt idx="5">
                  <c:v>College of Humanities and Sciences</c:v>
                </c:pt>
                <c:pt idx="6">
                  <c:v>College of Forestry</c:v>
                </c:pt>
                <c:pt idx="7">
                  <c:v>College of Health</c:v>
                </c:pt>
                <c:pt idx="8">
                  <c:v>School of Law</c:v>
                </c:pt>
              </c:strCache>
            </c:strRef>
          </c:cat>
          <c:val>
            <c:numRef>
              <c:f>'Charts Historical Exp No 2'!$Y$4:$AG$4</c:f>
              <c:numCache>
                <c:formatCode>_("$"* #,##0_);_("$"* \(#,##0\);_("$"* "-"??_);_(@_)</c:formatCode>
                <c:ptCount val="9"/>
                <c:pt idx="0">
                  <c:v>156.54131291448999</c:v>
                </c:pt>
                <c:pt idx="1">
                  <c:v>209.49506037453381</c:v>
                </c:pt>
                <c:pt idx="2">
                  <c:v>254.37908437056817</c:v>
                </c:pt>
                <c:pt idx="3">
                  <c:v>256.42585957555457</c:v>
                </c:pt>
                <c:pt idx="4">
                  <c:v>253.22662297032269</c:v>
                </c:pt>
                <c:pt idx="5">
                  <c:v>265.59022413339636</c:v>
                </c:pt>
                <c:pt idx="6">
                  <c:v>287.09984314433717</c:v>
                </c:pt>
                <c:pt idx="7">
                  <c:v>319.400344482957</c:v>
                </c:pt>
                <c:pt idx="8">
                  <c:v>373.73137764301049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7C-4702-A268-52448B662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6376912"/>
        <c:axId val="546373632"/>
      </c:barChart>
      <c:catAx>
        <c:axId val="54637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373632"/>
        <c:crosses val="autoZero"/>
        <c:auto val="1"/>
        <c:lblAlgn val="ctr"/>
        <c:lblOffset val="100"/>
        <c:noMultiLvlLbl val="0"/>
      </c:catAx>
      <c:valAx>
        <c:axId val="546373632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37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Percentage Change in Instructional Cost per Student Credit Hour</a:t>
            </a:r>
          </a:p>
          <a:p>
            <a:pPr>
              <a:defRPr/>
            </a:pPr>
            <a:r>
              <a:rPr lang="en-US" sz="1600" b="1"/>
              <a:t> 2010</a:t>
            </a:r>
            <a:r>
              <a:rPr lang="en-US" sz="1600" b="1" baseline="0"/>
              <a:t> to 2020</a:t>
            </a:r>
            <a:endParaRPr lang="en-US" sz="1600" b="1"/>
          </a:p>
        </c:rich>
      </c:tx>
      <c:layout>
        <c:manualLayout>
          <c:xMode val="edge"/>
          <c:yMode val="edge"/>
          <c:x val="0.24367177959365285"/>
          <c:y val="2.19948128572132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86-45BA-97D5-15135A1CB065}"/>
              </c:ext>
            </c:extLst>
          </c:dPt>
          <c:dPt>
            <c:idx val="7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96-4027-B943-201E5E695350}"/>
              </c:ext>
            </c:extLst>
          </c:dPt>
          <c:cat>
            <c:strRef>
              <c:f>'Charts Historical Exp No 2'!$Y$7:$AG$7</c:f>
              <c:strCache>
                <c:ptCount val="9"/>
                <c:pt idx="0">
                  <c:v>School of Law</c:v>
                </c:pt>
                <c:pt idx="1">
                  <c:v>College of Health</c:v>
                </c:pt>
                <c:pt idx="2">
                  <c:v>College of Education</c:v>
                </c:pt>
                <c:pt idx="3">
                  <c:v>College of Forestry</c:v>
                </c:pt>
                <c:pt idx="4">
                  <c:v>College of Arts and Media</c:v>
                </c:pt>
                <c:pt idx="5">
                  <c:v>College of Business</c:v>
                </c:pt>
                <c:pt idx="6">
                  <c:v>University of Montana</c:v>
                </c:pt>
                <c:pt idx="7">
                  <c:v>Missoula College</c:v>
                </c:pt>
                <c:pt idx="8">
                  <c:v>College of Humanities and Sciences</c:v>
                </c:pt>
              </c:strCache>
            </c:strRef>
          </c:cat>
          <c:val>
            <c:numRef>
              <c:f>'Charts Historical Exp No 2'!$Y$8:$AG$8</c:f>
              <c:numCache>
                <c:formatCode>0%</c:formatCode>
                <c:ptCount val="9"/>
                <c:pt idx="0">
                  <c:v>-5.2410250300061634E-2</c:v>
                </c:pt>
                <c:pt idx="1">
                  <c:v>-1.2475211094983285E-2</c:v>
                </c:pt>
                <c:pt idx="2">
                  <c:v>0.20355575775806334</c:v>
                </c:pt>
                <c:pt idx="3">
                  <c:v>0.28912214186356899</c:v>
                </c:pt>
                <c:pt idx="4">
                  <c:v>0.34456947489907019</c:v>
                </c:pt>
                <c:pt idx="5">
                  <c:v>0.34140851614232082</c:v>
                </c:pt>
                <c:pt idx="6">
                  <c:v>0.42116675342222054</c:v>
                </c:pt>
                <c:pt idx="7">
                  <c:v>0.57339831059689983</c:v>
                </c:pt>
                <c:pt idx="8">
                  <c:v>0.56497674314649871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86-45BA-97D5-15135A1CB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6376912"/>
        <c:axId val="546373632"/>
      </c:barChart>
      <c:catAx>
        <c:axId val="54637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373632"/>
        <c:crosses val="autoZero"/>
        <c:auto val="1"/>
        <c:lblAlgn val="ctr"/>
        <c:lblOffset val="100"/>
        <c:noMultiLvlLbl val="0"/>
      </c:catAx>
      <c:valAx>
        <c:axId val="546373632"/>
        <c:scaling>
          <c:orientation val="minMax"/>
          <c:max val="0.7500000000000001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376912"/>
        <c:crosses val="autoZero"/>
        <c:crossBetween val="between"/>
        <c:majorUnit val="5.000000000000001E-2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University of Montana</a:t>
            </a:r>
          </a:p>
          <a:p>
            <a:pPr>
              <a:defRPr sz="1600"/>
            </a:pPr>
            <a:r>
              <a:rPr lang="en-US" sz="1600" b="1" baseline="0"/>
              <a:t>Budget Model  Allocation - Initial and Final</a:t>
            </a:r>
          </a:p>
          <a:p>
            <a:pPr>
              <a:defRPr sz="1600"/>
            </a:pPr>
            <a:r>
              <a:rPr lang="en-US" sz="1600" b="1" baseline="0"/>
              <a:t>Fiscal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Historical Exp No 2'!$AZ$3</c:f>
              <c:strCache>
                <c:ptCount val="1"/>
                <c:pt idx="0">
                  <c:v>Initial Allocation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'Charts Historical Exp No 2'!$AY$4:$AY$12</c:f>
              <c:strCache>
                <c:ptCount val="9"/>
                <c:pt idx="0">
                  <c:v>Davidson Honors College</c:v>
                </c:pt>
                <c:pt idx="1">
                  <c:v>College of Education</c:v>
                </c:pt>
                <c:pt idx="2">
                  <c:v>School of Law</c:v>
                </c:pt>
                <c:pt idx="3">
                  <c:v>College of Forestry</c:v>
                </c:pt>
                <c:pt idx="4">
                  <c:v>Missoula College</c:v>
                </c:pt>
                <c:pt idx="5">
                  <c:v>College of Business</c:v>
                </c:pt>
                <c:pt idx="6">
                  <c:v>College of Arts and Media</c:v>
                </c:pt>
                <c:pt idx="7">
                  <c:v>College of Health</c:v>
                </c:pt>
                <c:pt idx="8">
                  <c:v>College of Humanities/Sciences</c:v>
                </c:pt>
              </c:strCache>
            </c:strRef>
          </c:cat>
          <c:val>
            <c:numRef>
              <c:f>'Charts Historical Exp No 2'!$AZ$4:$AZ$12</c:f>
              <c:numCache>
                <c:formatCode>_(* #,##0_);_(* \(#,##0\);_(* "-"??_);_(@_)</c:formatCode>
                <c:ptCount val="9"/>
                <c:pt idx="0">
                  <c:v>689739.63806197443</c:v>
                </c:pt>
                <c:pt idx="1">
                  <c:v>3429540.2852613833</c:v>
                </c:pt>
                <c:pt idx="2">
                  <c:v>4210330.0093300743</c:v>
                </c:pt>
                <c:pt idx="3">
                  <c:v>5776298.0363608608</c:v>
                </c:pt>
                <c:pt idx="4">
                  <c:v>2217435.8433925719</c:v>
                </c:pt>
                <c:pt idx="5">
                  <c:v>5218602.3373464132</c:v>
                </c:pt>
                <c:pt idx="6">
                  <c:v>7244938.3610369833</c:v>
                </c:pt>
                <c:pt idx="7">
                  <c:v>15340411.604265846</c:v>
                </c:pt>
                <c:pt idx="8">
                  <c:v>22005428.451202363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0-4065-8A52-601876F58DE2}"/>
            </c:ext>
          </c:extLst>
        </c:ser>
        <c:ser>
          <c:idx val="1"/>
          <c:order val="1"/>
          <c:tx>
            <c:strRef>
              <c:f>'Charts Historical Exp No 2'!$BA$3</c:f>
              <c:strCache>
                <c:ptCount val="1"/>
                <c:pt idx="0">
                  <c:v>Final Allocation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'Charts Historical Exp No 2'!$AY$4:$AY$12</c:f>
              <c:strCache>
                <c:ptCount val="9"/>
                <c:pt idx="0">
                  <c:v>Davidson Honors College</c:v>
                </c:pt>
                <c:pt idx="1">
                  <c:v>College of Education</c:v>
                </c:pt>
                <c:pt idx="2">
                  <c:v>School of Law</c:v>
                </c:pt>
                <c:pt idx="3">
                  <c:v>College of Forestry</c:v>
                </c:pt>
                <c:pt idx="4">
                  <c:v>Missoula College</c:v>
                </c:pt>
                <c:pt idx="5">
                  <c:v>College of Business</c:v>
                </c:pt>
                <c:pt idx="6">
                  <c:v>College of Arts and Media</c:v>
                </c:pt>
                <c:pt idx="7">
                  <c:v>College of Health</c:v>
                </c:pt>
                <c:pt idx="8">
                  <c:v>College of Humanities/Sciences</c:v>
                </c:pt>
              </c:strCache>
            </c:strRef>
          </c:cat>
          <c:val>
            <c:numRef>
              <c:f>'Charts Historical Exp No 2'!$BA$4:$BA$12</c:f>
              <c:numCache>
                <c:formatCode>_(* #,##0_);_(* \(#,##0\);_(* "-"??_);_(@_)</c:formatCode>
                <c:ptCount val="9"/>
                <c:pt idx="0">
                  <c:v>572648.90078976471</c:v>
                </c:pt>
                <c:pt idx="1">
                  <c:v>3400922.9948679302</c:v>
                </c:pt>
                <c:pt idx="2">
                  <c:v>4783934.7096989229</c:v>
                </c:pt>
                <c:pt idx="3">
                  <c:v>4832858.8814613596</c:v>
                </c:pt>
                <c:pt idx="4">
                  <c:v>5290812.8508824874</c:v>
                </c:pt>
                <c:pt idx="5">
                  <c:v>5780175.56400399</c:v>
                </c:pt>
                <c:pt idx="6">
                  <c:v>6923543.4581250241</c:v>
                </c:pt>
                <c:pt idx="7">
                  <c:v>10674889.159881931</c:v>
                </c:pt>
                <c:pt idx="8">
                  <c:v>23196966.937999949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60-4065-8A52-601876F58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114960"/>
        <c:axId val="459115616"/>
      </c:barChart>
      <c:catAx>
        <c:axId val="45911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115616"/>
        <c:crosses val="autoZero"/>
        <c:auto val="1"/>
        <c:lblAlgn val="ctr"/>
        <c:lblOffset val="100"/>
        <c:noMultiLvlLbl val="0"/>
      </c:catAx>
      <c:valAx>
        <c:axId val="45911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11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University of Montana 2010 to 2020</a:t>
            </a:r>
          </a:p>
        </c:rich>
      </c:tx>
      <c:layout>
        <c:manualLayout>
          <c:xMode val="edge"/>
          <c:yMode val="edge"/>
          <c:x val="0.36043015911447629"/>
          <c:y val="4.23803441592298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2'!$AR$2</c:f>
              <c:strCache>
                <c:ptCount val="1"/>
                <c:pt idx="0">
                  <c:v>Instruction Costs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'Charts Historical Exp No 2'!$AP$3:$AP$13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2'!$AR$3:$AR$13</c:f>
              <c:numCache>
                <c:formatCode>_(* #,##0_);_(* \(#,##0\);_(* "-"??_);_(@_)</c:formatCode>
                <c:ptCount val="11"/>
                <c:pt idx="0">
                  <c:v>62836090</c:v>
                </c:pt>
                <c:pt idx="1">
                  <c:v>64457632</c:v>
                </c:pt>
                <c:pt idx="2">
                  <c:v>66483197.060000002</c:v>
                </c:pt>
                <c:pt idx="3">
                  <c:v>68699445</c:v>
                </c:pt>
                <c:pt idx="4">
                  <c:v>69123550</c:v>
                </c:pt>
                <c:pt idx="5">
                  <c:v>74632073</c:v>
                </c:pt>
                <c:pt idx="6">
                  <c:v>74019225</c:v>
                </c:pt>
                <c:pt idx="7">
                  <c:v>72426320</c:v>
                </c:pt>
                <c:pt idx="8">
                  <c:v>68383298</c:v>
                </c:pt>
                <c:pt idx="9">
                  <c:v>66369800</c:v>
                </c:pt>
                <c:pt idx="10">
                  <c:v>66144507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C-4646-8F7F-44071B316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2'!$AQ$2</c:f>
              <c:strCache>
                <c:ptCount val="1"/>
                <c:pt idx="0">
                  <c:v>Adjusted Student Credit Hours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2'!$AP$3:$AP$13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2'!$AQ$3:$AQ$13</c:f>
              <c:numCache>
                <c:formatCode>_(* #,##0_);_(* \(#,##0\);_(* "-"??_);_(@_)</c:formatCode>
                <c:ptCount val="11"/>
                <c:pt idx="0">
                  <c:v>348251</c:v>
                </c:pt>
                <c:pt idx="1">
                  <c:v>394612</c:v>
                </c:pt>
                <c:pt idx="2">
                  <c:v>387207</c:v>
                </c:pt>
                <c:pt idx="3">
                  <c:v>360101</c:v>
                </c:pt>
                <c:pt idx="4">
                  <c:v>340450.99999999994</c:v>
                </c:pt>
                <c:pt idx="5">
                  <c:v>349839.89150000026</c:v>
                </c:pt>
                <c:pt idx="6">
                  <c:v>329341.88186666678</c:v>
                </c:pt>
                <c:pt idx="7">
                  <c:v>311222.2419666666</c:v>
                </c:pt>
                <c:pt idx="8">
                  <c:v>291193.88319999998</c:v>
                </c:pt>
                <c:pt idx="9">
                  <c:v>274262.60999090923</c:v>
                </c:pt>
                <c:pt idx="10">
                  <c:v>257947.88056666669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CC-4646-8F7F-44071B316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University of Montana Excluding Humanities and Sciences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200142717109031"/>
          <c:y val="3.72786263162887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2'!$AU$2</c:f>
              <c:strCache>
                <c:ptCount val="1"/>
                <c:pt idx="0">
                  <c:v>Instruction Costs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'Charts Historical Exp No 2'!$AS$3:$AS$13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2'!$AU$3:$AU$13</c:f>
              <c:numCache>
                <c:formatCode>_(* #,##0_);_(* \(#,##0\);_(* "-"??_);_(@_)</c:formatCode>
                <c:ptCount val="11"/>
                <c:pt idx="0">
                  <c:v>32296083</c:v>
                </c:pt>
                <c:pt idx="1">
                  <c:v>33620460</c:v>
                </c:pt>
                <c:pt idx="2">
                  <c:v>34646083.060000002</c:v>
                </c:pt>
                <c:pt idx="3">
                  <c:v>35601686</c:v>
                </c:pt>
                <c:pt idx="4">
                  <c:v>35797921</c:v>
                </c:pt>
                <c:pt idx="5">
                  <c:v>38787917</c:v>
                </c:pt>
                <c:pt idx="6">
                  <c:v>38983547</c:v>
                </c:pt>
                <c:pt idx="7">
                  <c:v>38093877</c:v>
                </c:pt>
                <c:pt idx="8">
                  <c:v>36197855</c:v>
                </c:pt>
                <c:pt idx="9">
                  <c:v>37035467</c:v>
                </c:pt>
                <c:pt idx="10">
                  <c:v>37364820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E-4567-BDD0-E82919A64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2'!$AT$2</c:f>
              <c:strCache>
                <c:ptCount val="1"/>
                <c:pt idx="0">
                  <c:v>Adjusted Student Credit Hours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2'!$AS$3:$AS$13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2'!$AT$3:$AT$13</c:f>
              <c:numCache>
                <c:formatCode>_(* #,##0_);_(* \(#,##0\);_(* "-"??_);_(@_)</c:formatCode>
                <c:ptCount val="11"/>
                <c:pt idx="0">
                  <c:v>168295.57864937879</c:v>
                </c:pt>
                <c:pt idx="1">
                  <c:v>196425.79063854399</c:v>
                </c:pt>
                <c:pt idx="2">
                  <c:v>196673.02910211668</c:v>
                </c:pt>
                <c:pt idx="3">
                  <c:v>182890.51586399751</c:v>
                </c:pt>
                <c:pt idx="4">
                  <c:v>173045.34106458427</c:v>
                </c:pt>
                <c:pt idx="5">
                  <c:v>177098.34638520482</c:v>
                </c:pt>
                <c:pt idx="6">
                  <c:v>171696.94527334359</c:v>
                </c:pt>
                <c:pt idx="7">
                  <c:v>167521.10665372346</c:v>
                </c:pt>
                <c:pt idx="8">
                  <c:v>156918.85820563836</c:v>
                </c:pt>
                <c:pt idx="9">
                  <c:v>156789.35742769839</c:v>
                </c:pt>
                <c:pt idx="10">
                  <c:v>149586.63687290408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BE-4567-BDD0-E82919A64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College of Health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42611139948207832"/>
          <c:y val="4.29318256904842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2'!$AU$22</c:f>
              <c:strCache>
                <c:ptCount val="1"/>
                <c:pt idx="0">
                  <c:v>Instruction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'Charts Historical Exp No 2'!$AS$23:$AS$33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2'!$AU$23:$AU$33</c:f>
              <c:numCache>
                <c:formatCode>_(* #,##0_);_(* \(#,##0\);_(* "-"??_);_(@_)</c:formatCode>
                <c:ptCount val="11"/>
                <c:pt idx="0">
                  <c:v>6784631</c:v>
                </c:pt>
                <c:pt idx="1">
                  <c:v>6957170</c:v>
                </c:pt>
                <c:pt idx="2">
                  <c:v>7226274</c:v>
                </c:pt>
                <c:pt idx="3">
                  <c:v>7644032</c:v>
                </c:pt>
                <c:pt idx="4">
                  <c:v>7780386</c:v>
                </c:pt>
                <c:pt idx="5">
                  <c:v>8246383</c:v>
                </c:pt>
                <c:pt idx="6">
                  <c:v>8166513</c:v>
                </c:pt>
                <c:pt idx="7">
                  <c:v>7870487</c:v>
                </c:pt>
                <c:pt idx="8">
                  <c:v>7277633</c:v>
                </c:pt>
                <c:pt idx="9">
                  <c:v>7737488</c:v>
                </c:pt>
                <c:pt idx="10">
                  <c:v>9514154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A-49C6-BE7A-BE26B54C6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2'!$AT$22</c:f>
              <c:strCache>
                <c:ptCount val="1"/>
                <c:pt idx="0">
                  <c:v>Adjusted Student Credit Hours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2'!$AS$23:$AS$33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2'!$AT$23:$AT$33</c:f>
              <c:numCache>
                <c:formatCode>_(* #,##0_);_(* \(#,##0\);_(* "-"??_);_(@_)</c:formatCode>
                <c:ptCount val="11"/>
                <c:pt idx="0">
                  <c:v>20976.781684188009</c:v>
                </c:pt>
                <c:pt idx="1">
                  <c:v>22966.613326556795</c:v>
                </c:pt>
                <c:pt idx="2">
                  <c:v>22666.611374427073</c:v>
                </c:pt>
                <c:pt idx="3">
                  <c:v>21696.579542350803</c:v>
                </c:pt>
                <c:pt idx="4">
                  <c:v>22010.766683248592</c:v>
                </c:pt>
                <c:pt idx="5">
                  <c:v>22073.693430990003</c:v>
                </c:pt>
                <c:pt idx="6">
                  <c:v>21397.32568138944</c:v>
                </c:pt>
                <c:pt idx="7">
                  <c:v>21201.043991233539</c:v>
                </c:pt>
                <c:pt idx="8">
                  <c:v>20916.367837347207</c:v>
                </c:pt>
                <c:pt idx="9">
                  <c:v>21676.309918545259</c:v>
                </c:pt>
                <c:pt idx="10">
                  <c:v>29787.550841253615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EA-49C6-BE7A-BE26B54C6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College of Arts and Media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37162861035701772"/>
          <c:y val="4.7438448724982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2'!$AN$37</c:f>
              <c:strCache>
                <c:ptCount val="1"/>
                <c:pt idx="0">
                  <c:v>Instruction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'Charts Historical Exp No 2'!$AL$38:$AL$48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2'!$AN$38:$AN$48</c:f>
              <c:numCache>
                <c:formatCode>_(* #,##0_);_(* \(#,##0\);_(* "-"??_);_(@_)</c:formatCode>
                <c:ptCount val="11"/>
                <c:pt idx="0">
                  <c:v>6393862</c:v>
                </c:pt>
                <c:pt idx="1">
                  <c:v>6588831</c:v>
                </c:pt>
                <c:pt idx="2">
                  <c:v>6689882</c:v>
                </c:pt>
                <c:pt idx="3">
                  <c:v>6773257</c:v>
                </c:pt>
                <c:pt idx="4">
                  <c:v>6967414</c:v>
                </c:pt>
                <c:pt idx="5">
                  <c:v>7738305</c:v>
                </c:pt>
                <c:pt idx="6">
                  <c:v>7846123</c:v>
                </c:pt>
                <c:pt idx="7">
                  <c:v>7815008</c:v>
                </c:pt>
                <c:pt idx="8">
                  <c:v>7245906</c:v>
                </c:pt>
                <c:pt idx="9">
                  <c:v>7241954</c:v>
                </c:pt>
                <c:pt idx="10">
                  <c:v>7497493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B-4AFB-BD45-3E1C831B1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2'!$AM$37</c:f>
              <c:strCache>
                <c:ptCount val="1"/>
                <c:pt idx="0">
                  <c:v>Adjusted Student Credit Hours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2'!$AL$38:$AL$48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2'!$AM$38:$AM$48</c:f>
              <c:numCache>
                <c:formatCode>_(* #,##0_);_(* \(#,##0\);_(* "-"??_);_(@_)</c:formatCode>
                <c:ptCount val="11"/>
                <c:pt idx="0">
                  <c:v>33795.984812153038</c:v>
                </c:pt>
                <c:pt idx="1">
                  <c:v>35663.031757474295</c:v>
                </c:pt>
                <c:pt idx="2">
                  <c:v>32443.466472245986</c:v>
                </c:pt>
                <c:pt idx="3">
                  <c:v>31094.559874847411</c:v>
                </c:pt>
                <c:pt idx="4">
                  <c:v>31275.519281435365</c:v>
                </c:pt>
                <c:pt idx="5">
                  <c:v>35730.648361241641</c:v>
                </c:pt>
                <c:pt idx="6">
                  <c:v>34469.972924362715</c:v>
                </c:pt>
                <c:pt idx="7">
                  <c:v>33095.729459028385</c:v>
                </c:pt>
                <c:pt idx="8">
                  <c:v>30826.526905569652</c:v>
                </c:pt>
                <c:pt idx="9">
                  <c:v>31451.984588624957</c:v>
                </c:pt>
                <c:pt idx="10">
                  <c:v>29473.700711486108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B-4AFB-BD45-3E1C831B1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Davidson Honors College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40208252085860535"/>
          <c:y val="4.04856656552491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2'!$AR$37</c:f>
              <c:strCache>
                <c:ptCount val="1"/>
                <c:pt idx="0">
                  <c:v>Instruction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'Charts Historical Exp No 2'!$AP$38:$AP$48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2'!$AR$38:$AR$48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57295</c:v>
                </c:pt>
                <c:pt idx="3">
                  <c:v>90832</c:v>
                </c:pt>
                <c:pt idx="4">
                  <c:v>100253</c:v>
                </c:pt>
                <c:pt idx="5">
                  <c:v>100740</c:v>
                </c:pt>
                <c:pt idx="6">
                  <c:v>130227</c:v>
                </c:pt>
                <c:pt idx="7">
                  <c:v>193690</c:v>
                </c:pt>
                <c:pt idx="8">
                  <c:v>227833</c:v>
                </c:pt>
                <c:pt idx="9">
                  <c:v>192371</c:v>
                </c:pt>
                <c:pt idx="10">
                  <c:v>149646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5-4BAE-89F7-0E31ACDB0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2'!$AQ$37</c:f>
              <c:strCache>
                <c:ptCount val="1"/>
                <c:pt idx="0">
                  <c:v>Adjusted Student Credit Hours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2'!$AP$38:$AP$48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2'!$AQ$38:$AQ$48</c:f>
              <c:numCache>
                <c:formatCode>_(* #,##0_);_(* \(#,##0\);_(* "-"??_);_(@_)</c:formatCode>
                <c:ptCount val="11"/>
                <c:pt idx="0">
                  <c:v>685.43969196479406</c:v>
                </c:pt>
                <c:pt idx="1">
                  <c:v>1470.5379296969352</c:v>
                </c:pt>
                <c:pt idx="2">
                  <c:v>1715.796080666631</c:v>
                </c:pt>
                <c:pt idx="3">
                  <c:v>1689.3641524255634</c:v>
                </c:pt>
                <c:pt idx="4">
                  <c:v>1777.0055163900763</c:v>
                </c:pt>
                <c:pt idx="5">
                  <c:v>1710.6435536188492</c:v>
                </c:pt>
                <c:pt idx="6">
                  <c:v>1474.92717629464</c:v>
                </c:pt>
                <c:pt idx="7">
                  <c:v>1344.9089779544506</c:v>
                </c:pt>
                <c:pt idx="8">
                  <c:v>1570.7876447233982</c:v>
                </c:pt>
                <c:pt idx="9">
                  <c:v>2954.6551018260898</c:v>
                </c:pt>
                <c:pt idx="10">
                  <c:v>2007.8949688906462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45-4BAE-89F7-0E31ACDB0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School of Law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44062327782131944"/>
          <c:y val="2.70566936239298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2'!$AN$52</c:f>
              <c:strCache>
                <c:ptCount val="1"/>
                <c:pt idx="0">
                  <c:v>Instruction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'Charts Historical Exp No 2'!$AL$53:$AL$63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2'!$AN$53:$AN$63</c:f>
              <c:numCache>
                <c:formatCode>_(* #,##0_);_(* \(#,##0\);_(* "-"??_);_(@_)</c:formatCode>
                <c:ptCount val="11"/>
                <c:pt idx="0">
                  <c:v>3010440</c:v>
                </c:pt>
                <c:pt idx="1">
                  <c:v>3066783</c:v>
                </c:pt>
                <c:pt idx="2">
                  <c:v>2910561</c:v>
                </c:pt>
                <c:pt idx="3">
                  <c:v>3088672</c:v>
                </c:pt>
                <c:pt idx="4">
                  <c:v>3053280</c:v>
                </c:pt>
                <c:pt idx="5">
                  <c:v>3177729</c:v>
                </c:pt>
                <c:pt idx="6">
                  <c:v>3059427</c:v>
                </c:pt>
                <c:pt idx="7">
                  <c:v>2773779</c:v>
                </c:pt>
                <c:pt idx="8">
                  <c:v>2847210</c:v>
                </c:pt>
                <c:pt idx="9">
                  <c:v>3182092</c:v>
                </c:pt>
                <c:pt idx="10">
                  <c:v>3416420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1-4EA0-8A1A-2971E7894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2'!$AM$52</c:f>
              <c:strCache>
                <c:ptCount val="1"/>
                <c:pt idx="0">
                  <c:v>Adjusted Student Credit Hours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2'!$AL$53:$AL$63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2'!$AM$53:$AM$63</c:f>
              <c:numCache>
                <c:formatCode>_(* #,##0_);_(* \(#,##0\);_(* "-"??_);_(@_)</c:formatCode>
                <c:ptCount val="11"/>
                <c:pt idx="0">
                  <c:v>7632.9210142252368</c:v>
                </c:pt>
                <c:pt idx="1">
                  <c:v>7501.0200145176705</c:v>
                </c:pt>
                <c:pt idx="2">
                  <c:v>7501.348909334949</c:v>
                </c:pt>
                <c:pt idx="3">
                  <c:v>7500.5135868602902</c:v>
                </c:pt>
                <c:pt idx="4">
                  <c:v>8648.9096040921686</c:v>
                </c:pt>
                <c:pt idx="5">
                  <c:v>7794.1425443874368</c:v>
                </c:pt>
                <c:pt idx="6">
                  <c:v>7458.0757684140362</c:v>
                </c:pt>
                <c:pt idx="7">
                  <c:v>7209.9232995767252</c:v>
                </c:pt>
                <c:pt idx="8">
                  <c:v>6753.7129498323684</c:v>
                </c:pt>
                <c:pt idx="9">
                  <c:v>7943.4787368852994</c:v>
                </c:pt>
                <c:pt idx="10">
                  <c:v>9141.3785525479107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F1-4EA0-8A1A-2971E7894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College of Humanities and Sciences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33689328049680073"/>
          <c:y val="1.9881952861768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2'!$AN$2</c:f>
              <c:strCache>
                <c:ptCount val="1"/>
                <c:pt idx="0">
                  <c:v>Instruction Costs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bg2">
                  <a:lumMod val="75000"/>
                </a:schemeClr>
              </a:solidFill>
            </a:ln>
            <a:effectLst/>
          </c:spPr>
          <c:invertIfNegative val="0"/>
          <c:cat>
            <c:numRef>
              <c:f>'Charts Historical Exp No 2'!$AL$3:$AL$13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2'!$AN$3:$AN$13</c:f>
              <c:numCache>
                <c:formatCode>_(* #,##0_);_(* \(#,##0\);_(* "-"??_);_(@_)</c:formatCode>
                <c:ptCount val="11"/>
                <c:pt idx="0">
                  <c:v>30540007</c:v>
                </c:pt>
                <c:pt idx="1">
                  <c:v>30837172</c:v>
                </c:pt>
                <c:pt idx="2">
                  <c:v>31837114</c:v>
                </c:pt>
                <c:pt idx="3">
                  <c:v>33097759</c:v>
                </c:pt>
                <c:pt idx="4">
                  <c:v>33325629</c:v>
                </c:pt>
                <c:pt idx="5">
                  <c:v>35844156</c:v>
                </c:pt>
                <c:pt idx="6">
                  <c:v>35035678</c:v>
                </c:pt>
                <c:pt idx="7">
                  <c:v>34332443</c:v>
                </c:pt>
                <c:pt idx="8">
                  <c:v>32185443</c:v>
                </c:pt>
                <c:pt idx="9">
                  <c:v>29334333</c:v>
                </c:pt>
                <c:pt idx="10">
                  <c:v>28779687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F9-49DD-8E42-C5BBECBE0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2'!$AM$2</c:f>
              <c:strCache>
                <c:ptCount val="1"/>
                <c:pt idx="0">
                  <c:v>Adjusted Student Credit Hours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2'!$AL$3:$AL$13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2'!$AM$3:$AM$13</c:f>
              <c:numCache>
                <c:formatCode>_(* #,##0_);_(* \(#,##0\);_(* "-"??_);_(@_)</c:formatCode>
                <c:ptCount val="11"/>
                <c:pt idx="0">
                  <c:v>179955.42135062121</c:v>
                </c:pt>
                <c:pt idx="1">
                  <c:v>198186.20936145601</c:v>
                </c:pt>
                <c:pt idx="2">
                  <c:v>190533.97089788332</c:v>
                </c:pt>
                <c:pt idx="3">
                  <c:v>177210.48413600249</c:v>
                </c:pt>
                <c:pt idx="4">
                  <c:v>167405.65893541567</c:v>
                </c:pt>
                <c:pt idx="5">
                  <c:v>172741.54511479544</c:v>
                </c:pt>
                <c:pt idx="6">
                  <c:v>157644.93659332319</c:v>
                </c:pt>
                <c:pt idx="7">
                  <c:v>143701.13531294314</c:v>
                </c:pt>
                <c:pt idx="8">
                  <c:v>134275.02499436162</c:v>
                </c:pt>
                <c:pt idx="9">
                  <c:v>117473.25256321083</c:v>
                </c:pt>
                <c:pt idx="10">
                  <c:v>108361.24369376262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F9-49DD-8E42-C5BBECBE0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Declines</a:t>
            </a:r>
            <a:r>
              <a:rPr lang="en-US" baseline="0"/>
              <a:t> in Base Tuition are Partially Offset by Program Tuition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'Net Tuition AY'!$A$36</c:f>
              <c:strCache>
                <c:ptCount val="1"/>
                <c:pt idx="0">
                  <c:v>Program Tuition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24F</c:v>
                </c:pt>
              </c:strCache>
            </c:strRef>
          </c:cat>
          <c:val>
            <c:numRef>
              <c:f>'Net Tuition AY'!$B$36:$O$36</c:f>
              <c:numCache>
                <c:formatCode>_(* #,##0_);_(* \(#,##0\);_(* "-"??_);_(@_)</c:formatCode>
                <c:ptCount val="1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7-4B5B-9A02-A14A439336A8}"/>
            </c:ext>
          </c:extLst>
        </c:ser>
        <c:ser>
          <c:idx val="1"/>
          <c:order val="1"/>
          <c:tx>
            <c:strRef>
              <c:f>'Net Tuition AY'!$A$37</c:f>
              <c:strCache>
                <c:ptCount val="1"/>
                <c:pt idx="0">
                  <c:v>Alternative Break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24F</c:v>
                </c:pt>
              </c:strCache>
            </c:strRef>
          </c:cat>
          <c:val>
            <c:numRef>
              <c:f>'Net Tuition AY'!$B$37:$O$37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600</c:v>
                </c:pt>
                <c:pt idx="5">
                  <c:v>0</c:v>
                </c:pt>
                <c:pt idx="6">
                  <c:v>750</c:v>
                </c:pt>
                <c:pt idx="7">
                  <c:v>605</c:v>
                </c:pt>
                <c:pt idx="8">
                  <c:v>450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A7-4B5B-9A02-A14A439336A8}"/>
            </c:ext>
          </c:extLst>
        </c:ser>
        <c:ser>
          <c:idx val="2"/>
          <c:order val="2"/>
          <c:tx>
            <c:strRef>
              <c:f>'Net Tuition AY'!$A$38</c:f>
              <c:strCache>
                <c:ptCount val="1"/>
                <c:pt idx="0">
                  <c:v>Arts and Media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24F</c:v>
                </c:pt>
              </c:strCache>
            </c:strRef>
          </c:cat>
          <c:val>
            <c:numRef>
              <c:f>'Net Tuition AY'!$B$38:$O$38</c:f>
              <c:numCache>
                <c:formatCode>_(* #,##0_);_(* \(#,##0\);_(* "-"??_);_(@_)</c:formatCode>
                <c:ptCount val="1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A7-4B5B-9A02-A14A439336A8}"/>
            </c:ext>
          </c:extLst>
        </c:ser>
        <c:ser>
          <c:idx val="3"/>
          <c:order val="3"/>
          <c:tx>
            <c:strRef>
              <c:f>'Net Tuition AY'!$A$40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24F</c:v>
                </c:pt>
              </c:strCache>
            </c:strRef>
          </c:cat>
          <c:val>
            <c:numRef>
              <c:f>'Net Tuition AY'!$B$40:$O$40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498640</c:v>
                </c:pt>
                <c:pt idx="2">
                  <c:v>464150</c:v>
                </c:pt>
                <c:pt idx="3">
                  <c:v>436883</c:v>
                </c:pt>
                <c:pt idx="4">
                  <c:v>434820</c:v>
                </c:pt>
                <c:pt idx="5">
                  <c:v>432870</c:v>
                </c:pt>
                <c:pt idx="6">
                  <c:v>450795</c:v>
                </c:pt>
                <c:pt idx="7">
                  <c:v>482003</c:v>
                </c:pt>
                <c:pt idx="8">
                  <c:v>445503</c:v>
                </c:pt>
                <c:pt idx="9">
                  <c:v>447875</c:v>
                </c:pt>
                <c:pt idx="10">
                  <c:v>434243</c:v>
                </c:pt>
                <c:pt idx="11">
                  <c:v>456550.5</c:v>
                </c:pt>
                <c:pt idx="12">
                  <c:v>431386</c:v>
                </c:pt>
                <c:pt idx="13">
                  <c:v>457800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A7-4B5B-9A02-A14A439336A8}"/>
            </c:ext>
          </c:extLst>
        </c:ser>
        <c:ser>
          <c:idx val="4"/>
          <c:order val="4"/>
          <c:tx>
            <c:strRef>
              <c:f>'Net Tuition AY'!$A$41</c:f>
              <c:strCache>
                <c:ptCount val="1"/>
                <c:pt idx="0">
                  <c:v>Culinary Arts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24F</c:v>
                </c:pt>
              </c:strCache>
            </c:strRef>
          </c:cat>
          <c:val>
            <c:numRef>
              <c:f>'Net Tuition AY'!$B$41:$O$41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33375</c:v>
                </c:pt>
                <c:pt idx="9">
                  <c:v>40000</c:v>
                </c:pt>
                <c:pt idx="10">
                  <c:v>34250</c:v>
                </c:pt>
                <c:pt idx="11">
                  <c:v>26500</c:v>
                </c:pt>
                <c:pt idx="12">
                  <c:v>23000</c:v>
                </c:pt>
                <c:pt idx="13">
                  <c:v>22500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A7-4B5B-9A02-A14A439336A8}"/>
            </c:ext>
          </c:extLst>
        </c:ser>
        <c:ser>
          <c:idx val="5"/>
          <c:order val="5"/>
          <c:tx>
            <c:strRef>
              <c:f>'Net Tuition AY'!$A$42</c:f>
              <c:strCache>
                <c:ptCount val="1"/>
                <c:pt idx="0">
                  <c:v>Diesel Equipment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24F</c:v>
                </c:pt>
              </c:strCache>
            </c:strRef>
          </c:cat>
          <c:val>
            <c:numRef>
              <c:f>'Net Tuition AY'!$B$42:$O$42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5205</c:v>
                </c:pt>
                <c:pt idx="3">
                  <c:v>3500</c:v>
                </c:pt>
                <c:pt idx="4">
                  <c:v>3950</c:v>
                </c:pt>
                <c:pt idx="5">
                  <c:v>3955</c:v>
                </c:pt>
                <c:pt idx="6">
                  <c:v>3850</c:v>
                </c:pt>
                <c:pt idx="7">
                  <c:v>4350</c:v>
                </c:pt>
                <c:pt idx="8">
                  <c:v>4600</c:v>
                </c:pt>
                <c:pt idx="9">
                  <c:v>2750</c:v>
                </c:pt>
                <c:pt idx="10">
                  <c:v>2413</c:v>
                </c:pt>
                <c:pt idx="11">
                  <c:v>0</c:v>
                </c:pt>
                <c:pt idx="12">
                  <c:v>161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A7-4B5B-9A02-A14A439336A8}"/>
            </c:ext>
          </c:extLst>
        </c:ser>
        <c:ser>
          <c:idx val="6"/>
          <c:order val="6"/>
          <c:tx>
            <c:strRef>
              <c:f>'Net Tuition AY'!$A$43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24F</c:v>
                </c:pt>
              </c:strCache>
            </c:strRef>
          </c:cat>
          <c:val>
            <c:numRef>
              <c:f>'Net Tuition AY'!$B$43:$O$43</c:f>
              <c:numCache>
                <c:formatCode>_(* #,##0_);_(* \(#,##0\);_(* "-"??_);_(@_)</c:formatCode>
                <c:ptCount val="14"/>
                <c:pt idx="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A7-4B5B-9A02-A14A439336A8}"/>
            </c:ext>
          </c:extLst>
        </c:ser>
        <c:ser>
          <c:idx val="7"/>
          <c:order val="7"/>
          <c:tx>
            <c:strRef>
              <c:f>'Net Tuition AY'!$A$45</c:f>
              <c:strCache>
                <c:ptCount val="1"/>
                <c:pt idx="0">
                  <c:v>Law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24F</c:v>
                </c:pt>
              </c:strCache>
            </c:strRef>
          </c:cat>
          <c:val>
            <c:numRef>
              <c:f>'Net Tuition AY'!$B$45:$O$45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1066392</c:v>
                </c:pt>
                <c:pt idx="2">
                  <c:v>1075658</c:v>
                </c:pt>
                <c:pt idx="3">
                  <c:v>1043493</c:v>
                </c:pt>
                <c:pt idx="4">
                  <c:v>1043742</c:v>
                </c:pt>
                <c:pt idx="5">
                  <c:v>1011266</c:v>
                </c:pt>
                <c:pt idx="6">
                  <c:v>950257</c:v>
                </c:pt>
                <c:pt idx="7">
                  <c:v>900812</c:v>
                </c:pt>
                <c:pt idx="8">
                  <c:v>907447</c:v>
                </c:pt>
                <c:pt idx="9">
                  <c:v>991401</c:v>
                </c:pt>
                <c:pt idx="10">
                  <c:v>1172289</c:v>
                </c:pt>
                <c:pt idx="11">
                  <c:v>1540408</c:v>
                </c:pt>
                <c:pt idx="12">
                  <c:v>1695514</c:v>
                </c:pt>
                <c:pt idx="13">
                  <c:v>1922587.5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6A7-4B5B-9A02-A14A439336A8}"/>
            </c:ext>
          </c:extLst>
        </c:ser>
        <c:ser>
          <c:idx val="8"/>
          <c:order val="8"/>
          <c:tx>
            <c:strRef>
              <c:f>'Net Tuition AY'!$A$46</c:f>
              <c:strCache>
                <c:ptCount val="1"/>
                <c:pt idx="0">
                  <c:v>MPA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24F</c:v>
                </c:pt>
              </c:strCache>
            </c:strRef>
          </c:cat>
          <c:val>
            <c:numRef>
              <c:f>'Net Tuition AY'!$B$46:$O$46</c:f>
              <c:numCache>
                <c:formatCode>_(* #,##0_);_(* \(#,##0\);_(* "-"??_);_(@_)</c:formatCode>
                <c:ptCount val="14"/>
                <c:pt idx="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69545</c:v>
                </c:pt>
                <c:pt idx="9">
                  <c:v>72088</c:v>
                </c:pt>
                <c:pt idx="10">
                  <c:v>89855</c:v>
                </c:pt>
                <c:pt idx="11">
                  <c:v>94118.5</c:v>
                </c:pt>
                <c:pt idx="12">
                  <c:v>105924.5</c:v>
                </c:pt>
                <c:pt idx="13">
                  <c:v>93221.25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A7-4B5B-9A02-A14A439336A8}"/>
            </c:ext>
          </c:extLst>
        </c:ser>
        <c:ser>
          <c:idx val="9"/>
          <c:order val="9"/>
          <c:tx>
            <c:strRef>
              <c:f>'Net Tuition AY'!$A$54</c:f>
              <c:strCache>
                <c:ptCount val="1"/>
                <c:pt idx="0">
                  <c:v>Z Other to Balance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24F</c:v>
                </c:pt>
              </c:strCache>
            </c:strRef>
          </c:cat>
          <c:val>
            <c:numRef>
              <c:f>'Net Tuition AY'!$B$54:$O$54</c:f>
              <c:numCache>
                <c:formatCode>_(* #,##0_);_(* \(#,##0\);_(* "-"??_);_(@_)</c:formatCode>
                <c:ptCount val="14"/>
                <c:pt idx="5">
                  <c:v>-2630.9500000001863</c:v>
                </c:pt>
                <c:pt idx="6">
                  <c:v>-973.64999999990687</c:v>
                </c:pt>
                <c:pt idx="7">
                  <c:v>-6754.8500000000931</c:v>
                </c:pt>
                <c:pt idx="8">
                  <c:v>-4501</c:v>
                </c:pt>
                <c:pt idx="9">
                  <c:v>-7260</c:v>
                </c:pt>
                <c:pt idx="10">
                  <c:v>-1910</c:v>
                </c:pt>
                <c:pt idx="11">
                  <c:v>244558.5</c:v>
                </c:pt>
                <c:pt idx="12">
                  <c:v>267913.5</c:v>
                </c:pt>
                <c:pt idx="13">
                  <c:v>236704.75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6A7-4B5B-9A02-A14A439336A8}"/>
            </c:ext>
          </c:extLst>
        </c:ser>
        <c:ser>
          <c:idx val="10"/>
          <c:order val="10"/>
          <c:tx>
            <c:strRef>
              <c:f>'Net Tuition AY'!$A$47</c:f>
              <c:strCache>
                <c:ptCount val="1"/>
                <c:pt idx="0">
                  <c:v>Paramedicine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24F</c:v>
                </c:pt>
              </c:strCache>
            </c:strRef>
          </c:cat>
          <c:val>
            <c:numRef>
              <c:f>'Net Tuition AY'!$B$47:$O$47</c:f>
              <c:numCache>
                <c:formatCode>_(* #,##0_);_(* \(#,##0\);_(* "-"??_);_(@_)</c:formatCode>
                <c:ptCount val="1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6A7-4B5B-9A02-A14A439336A8}"/>
            </c:ext>
          </c:extLst>
        </c:ser>
        <c:ser>
          <c:idx val="11"/>
          <c:order val="11"/>
          <c:tx>
            <c:strRef>
              <c:f>'Net Tuition AY'!$A$48</c:f>
              <c:strCache>
                <c:ptCount val="1"/>
                <c:pt idx="0">
                  <c:v>Pharmacy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24F</c:v>
                </c:pt>
              </c:strCache>
            </c:strRef>
          </c:cat>
          <c:val>
            <c:numRef>
              <c:f>'Net Tuition AY'!$B$48:$O$48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1102200</c:v>
                </c:pt>
                <c:pt idx="2">
                  <c:v>1096000</c:v>
                </c:pt>
                <c:pt idx="3">
                  <c:v>1115140</c:v>
                </c:pt>
                <c:pt idx="4">
                  <c:v>1088200</c:v>
                </c:pt>
                <c:pt idx="5">
                  <c:v>1084250</c:v>
                </c:pt>
                <c:pt idx="6">
                  <c:v>1093400</c:v>
                </c:pt>
                <c:pt idx="7">
                  <c:v>1087700</c:v>
                </c:pt>
                <c:pt idx="8">
                  <c:v>1167968</c:v>
                </c:pt>
                <c:pt idx="9">
                  <c:v>1289435</c:v>
                </c:pt>
                <c:pt idx="10">
                  <c:v>1354203</c:v>
                </c:pt>
                <c:pt idx="11">
                  <c:v>1376886</c:v>
                </c:pt>
                <c:pt idx="12">
                  <c:v>1450678</c:v>
                </c:pt>
                <c:pt idx="13">
                  <c:v>1430038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6A7-4B5B-9A02-A14A439336A8}"/>
            </c:ext>
          </c:extLst>
        </c:ser>
        <c:ser>
          <c:idx val="12"/>
          <c:order val="12"/>
          <c:tx>
            <c:strRef>
              <c:f>'Net Tuition AY'!$A$49</c:f>
              <c:strCache>
                <c:ptCount val="1"/>
                <c:pt idx="0">
                  <c:v>Physical Therapy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24F</c:v>
                </c:pt>
              </c:strCache>
            </c:strRef>
          </c:cat>
          <c:val>
            <c:numRef>
              <c:f>'Net Tuition AY'!$B$49:$O$49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431200</c:v>
                </c:pt>
                <c:pt idx="2">
                  <c:v>448800</c:v>
                </c:pt>
                <c:pt idx="3">
                  <c:v>444400</c:v>
                </c:pt>
                <c:pt idx="4">
                  <c:v>442200</c:v>
                </c:pt>
                <c:pt idx="5">
                  <c:v>444400</c:v>
                </c:pt>
                <c:pt idx="6">
                  <c:v>457600</c:v>
                </c:pt>
                <c:pt idx="7">
                  <c:v>455400</c:v>
                </c:pt>
                <c:pt idx="8">
                  <c:v>516535</c:v>
                </c:pt>
                <c:pt idx="9">
                  <c:v>561471</c:v>
                </c:pt>
                <c:pt idx="10">
                  <c:v>595769</c:v>
                </c:pt>
                <c:pt idx="11">
                  <c:v>666696</c:v>
                </c:pt>
                <c:pt idx="12">
                  <c:v>772474</c:v>
                </c:pt>
                <c:pt idx="13">
                  <c:v>794956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6A7-4B5B-9A02-A14A439336A8}"/>
            </c:ext>
          </c:extLst>
        </c:ser>
        <c:ser>
          <c:idx val="13"/>
          <c:order val="13"/>
          <c:tx>
            <c:strRef>
              <c:f>'Net Tuition AY'!$A$50</c:f>
              <c:strCache>
                <c:ptCount val="1"/>
                <c:pt idx="0">
                  <c:v>Public Health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24F</c:v>
                </c:pt>
              </c:strCache>
            </c:strRef>
          </c:cat>
          <c:val>
            <c:numRef>
              <c:f>'Net Tuition AY'!$B$50:$O$50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46725</c:v>
                </c:pt>
                <c:pt idx="2">
                  <c:v>57900</c:v>
                </c:pt>
                <c:pt idx="3">
                  <c:v>55913</c:v>
                </c:pt>
                <c:pt idx="4">
                  <c:v>62700</c:v>
                </c:pt>
                <c:pt idx="5">
                  <c:v>66525</c:v>
                </c:pt>
                <c:pt idx="6">
                  <c:v>66600</c:v>
                </c:pt>
                <c:pt idx="7">
                  <c:v>72690</c:v>
                </c:pt>
                <c:pt idx="8">
                  <c:v>126180</c:v>
                </c:pt>
                <c:pt idx="9">
                  <c:v>180739</c:v>
                </c:pt>
                <c:pt idx="10">
                  <c:v>197819</c:v>
                </c:pt>
                <c:pt idx="11">
                  <c:v>299491.5</c:v>
                </c:pt>
                <c:pt idx="12">
                  <c:v>306554</c:v>
                </c:pt>
                <c:pt idx="13">
                  <c:v>266532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6A7-4B5B-9A02-A14A439336A8}"/>
            </c:ext>
          </c:extLst>
        </c:ser>
        <c:ser>
          <c:idx val="14"/>
          <c:order val="14"/>
          <c:tx>
            <c:strRef>
              <c:f>'Net Tuition AY'!$A$51</c:f>
              <c:strCache>
                <c:ptCount val="1"/>
                <c:pt idx="0">
                  <c:v>Social Work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24F</c:v>
                </c:pt>
              </c:strCache>
            </c:strRef>
          </c:cat>
          <c:val>
            <c:numRef>
              <c:f>'Net Tuition AY'!$B$51:$O$51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222027</c:v>
                </c:pt>
                <c:pt idx="2">
                  <c:v>231897</c:v>
                </c:pt>
                <c:pt idx="3">
                  <c:v>227760</c:v>
                </c:pt>
                <c:pt idx="4">
                  <c:v>197359</c:v>
                </c:pt>
                <c:pt idx="5">
                  <c:v>215094</c:v>
                </c:pt>
                <c:pt idx="6">
                  <c:v>228162</c:v>
                </c:pt>
                <c:pt idx="7">
                  <c:v>254165</c:v>
                </c:pt>
                <c:pt idx="8">
                  <c:v>273299</c:v>
                </c:pt>
                <c:pt idx="9">
                  <c:v>265835</c:v>
                </c:pt>
                <c:pt idx="10">
                  <c:v>304174</c:v>
                </c:pt>
                <c:pt idx="11">
                  <c:v>364121</c:v>
                </c:pt>
                <c:pt idx="12">
                  <c:v>410852</c:v>
                </c:pt>
                <c:pt idx="13">
                  <c:v>374321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8-499C-9952-30929B7DBF74}"/>
            </c:ext>
          </c:extLst>
        </c:ser>
        <c:ser>
          <c:idx val="15"/>
          <c:order val="15"/>
          <c:tx>
            <c:strRef>
              <c:f>'Net Tuition AY'!$A$52</c:f>
              <c:strCache>
                <c:ptCount val="1"/>
                <c:pt idx="0">
                  <c:v>Speech Pathology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24F</c:v>
                </c:pt>
              </c:strCache>
            </c:strRef>
          </c:cat>
          <c:val>
            <c:numRef>
              <c:f>'Net Tuition AY'!$B$52:$O$52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197400</c:v>
                </c:pt>
                <c:pt idx="9">
                  <c:v>285600</c:v>
                </c:pt>
                <c:pt idx="10">
                  <c:v>368256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18-499C-9952-30929B7DBF74}"/>
            </c:ext>
          </c:extLst>
        </c:ser>
        <c:ser>
          <c:idx val="16"/>
          <c:order val="16"/>
          <c:tx>
            <c:strRef>
              <c:f>'Net Tuition AY'!$A$53</c:f>
              <c:strCache>
                <c:ptCount val="1"/>
                <c:pt idx="0">
                  <c:v>Wildlife Bio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24F</c:v>
                </c:pt>
              </c:strCache>
            </c:strRef>
          </c:cat>
          <c:val>
            <c:numRef>
              <c:f>'Net Tuition AY'!$B$53:$O$53</c:f>
              <c:numCache>
                <c:formatCode>_(* #,##0_);_(* \(#,##0\);_(* "-"??_);_(@_)</c:formatCode>
                <c:ptCount val="14"/>
                <c:pt idx="0">
                  <c:v>0</c:v>
                </c:pt>
                <c:pt idx="11">
                  <c:v>88436.5</c:v>
                </c:pt>
                <c:pt idx="12">
                  <c:v>97313</c:v>
                </c:pt>
                <c:pt idx="13">
                  <c:v>97599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18-499C-9952-30929B7DB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7792064"/>
        <c:axId val="1027792480"/>
      </c:barChart>
      <c:catAx>
        <c:axId val="102779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792480"/>
        <c:crosses val="autoZero"/>
        <c:auto val="1"/>
        <c:lblAlgn val="ctr"/>
        <c:lblOffset val="100"/>
        <c:noMultiLvlLbl val="0"/>
      </c:catAx>
      <c:valAx>
        <c:axId val="102779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79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College of Business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40707380382056335"/>
          <c:y val="3.2268770058738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2'!$AU$37</c:f>
              <c:strCache>
                <c:ptCount val="1"/>
                <c:pt idx="0">
                  <c:v>Instruction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'Charts Historical Exp No 2'!$AS$38:$AS$48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2'!$AU$38:$AU$48</c:f>
              <c:numCache>
                <c:formatCode>_(* #,##0_);_(* \(#,##0\);_(* "-"??_);_(@_)</c:formatCode>
                <c:ptCount val="11"/>
                <c:pt idx="0">
                  <c:v>5026637</c:v>
                </c:pt>
                <c:pt idx="1">
                  <c:v>5120692</c:v>
                </c:pt>
                <c:pt idx="2">
                  <c:v>5374010</c:v>
                </c:pt>
                <c:pt idx="3">
                  <c:v>5355616</c:v>
                </c:pt>
                <c:pt idx="4">
                  <c:v>5268289</c:v>
                </c:pt>
                <c:pt idx="5">
                  <c:v>5462129</c:v>
                </c:pt>
                <c:pt idx="6">
                  <c:v>5467283</c:v>
                </c:pt>
                <c:pt idx="7">
                  <c:v>5467165</c:v>
                </c:pt>
                <c:pt idx="8">
                  <c:v>5022022</c:v>
                </c:pt>
                <c:pt idx="9">
                  <c:v>4937543</c:v>
                </c:pt>
                <c:pt idx="10">
                  <c:v>4926843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8-4DEC-8431-366AEEFE7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2'!$AT$37</c:f>
              <c:strCache>
                <c:ptCount val="1"/>
                <c:pt idx="0">
                  <c:v>Adjusted Student Credit Hours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2'!$AS$38:$AS$48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2'!$AT$38:$AT$48</c:f>
              <c:numCache>
                <c:formatCode>_(* #,##0_);_(* \(#,##0\);_(* "-"??_);_(@_)</c:formatCode>
                <c:ptCount val="11"/>
                <c:pt idx="0">
                  <c:v>26627.428033687902</c:v>
                </c:pt>
                <c:pt idx="1">
                  <c:v>27375.159445536421</c:v>
                </c:pt>
                <c:pt idx="2">
                  <c:v>27590.998481787468</c:v>
                </c:pt>
                <c:pt idx="3">
                  <c:v>25744.912859023872</c:v>
                </c:pt>
                <c:pt idx="4">
                  <c:v>25375.661451641787</c:v>
                </c:pt>
                <c:pt idx="5">
                  <c:v>25938.958601200786</c:v>
                </c:pt>
                <c:pt idx="6">
                  <c:v>26696.233614282384</c:v>
                </c:pt>
                <c:pt idx="7">
                  <c:v>27425.580503239049</c:v>
                </c:pt>
                <c:pt idx="8">
                  <c:v>23541.177249054181</c:v>
                </c:pt>
                <c:pt idx="9">
                  <c:v>21589.905307467419</c:v>
                </c:pt>
                <c:pt idx="10">
                  <c:v>19456.259939056286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48-4DEC-8431-366AEEFE7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College of Forestry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41540162634622979"/>
          <c:y val="3.4883602023293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2'!$AR$22</c:f>
              <c:strCache>
                <c:ptCount val="1"/>
                <c:pt idx="0">
                  <c:v>Instruction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'Charts Historical Exp No 2'!$AP$23:$AP$33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2'!$AR$23:$AR$33</c:f>
              <c:numCache>
                <c:formatCode>_(* #,##0_);_(* \(#,##0\);_(* "-"??_);_(@_)</c:formatCode>
                <c:ptCount val="11"/>
                <c:pt idx="0">
                  <c:v>2336454</c:v>
                </c:pt>
                <c:pt idx="1">
                  <c:v>2386502</c:v>
                </c:pt>
                <c:pt idx="2">
                  <c:v>2635583</c:v>
                </c:pt>
                <c:pt idx="3">
                  <c:v>2592821</c:v>
                </c:pt>
                <c:pt idx="4">
                  <c:v>2664602</c:v>
                </c:pt>
                <c:pt idx="5">
                  <c:v>2795733</c:v>
                </c:pt>
                <c:pt idx="6">
                  <c:v>3034066</c:v>
                </c:pt>
                <c:pt idx="7">
                  <c:v>3236544</c:v>
                </c:pt>
                <c:pt idx="8">
                  <c:v>3324935</c:v>
                </c:pt>
                <c:pt idx="9">
                  <c:v>2995336</c:v>
                </c:pt>
                <c:pt idx="10">
                  <c:v>3707264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6-426A-8FF7-D546C4C85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2'!$AQ$22</c:f>
              <c:strCache>
                <c:ptCount val="1"/>
                <c:pt idx="0">
                  <c:v>Adjusted Student Credit Hours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2'!$AP$23:$AP$33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2'!$AQ$23:$AQ$33</c:f>
              <c:numCache>
                <c:formatCode>_(* #,##0_);_(* \(#,##0\);_(* "-"??_);_(@_)</c:formatCode>
                <c:ptCount val="11"/>
                <c:pt idx="0">
                  <c:v>10491.035285350041</c:v>
                </c:pt>
                <c:pt idx="1">
                  <c:v>13023.84888196338</c:v>
                </c:pt>
                <c:pt idx="2">
                  <c:v>12901.137935562372</c:v>
                </c:pt>
                <c:pt idx="3">
                  <c:v>13014.147441809086</c:v>
                </c:pt>
                <c:pt idx="4">
                  <c:v>11765.000387386748</c:v>
                </c:pt>
                <c:pt idx="5">
                  <c:v>11329.077660081128</c:v>
                </c:pt>
                <c:pt idx="6">
                  <c:v>10806.178964850689</c:v>
                </c:pt>
                <c:pt idx="7">
                  <c:v>10657.764840768332</c:v>
                </c:pt>
                <c:pt idx="8">
                  <c:v>10133.357573512929</c:v>
                </c:pt>
                <c:pt idx="9">
                  <c:v>11282.216644634645</c:v>
                </c:pt>
                <c:pt idx="10">
                  <c:v>12912.803989712394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6-426A-8FF7-D546C4C85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College of Education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42379280540143116"/>
          <c:y val="4.8216902887139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749796781113241E-2"/>
          <c:y val="8.8240000000000013E-2"/>
          <c:w val="0.88175426557944969"/>
          <c:h val="0.8107596850393701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2'!$AN$22</c:f>
              <c:strCache>
                <c:ptCount val="1"/>
                <c:pt idx="0">
                  <c:v>Instruction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'Charts Historical Exp No 2'!$AL$23:$AL$33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2'!$AN$23:$AN$33</c:f>
              <c:numCache>
                <c:formatCode>_(* #,##0_);_(* \(#,##0\);_(* "-"??_);_(@_)</c:formatCode>
                <c:ptCount val="11"/>
                <c:pt idx="0">
                  <c:v>4598406</c:v>
                </c:pt>
                <c:pt idx="1">
                  <c:v>4634744</c:v>
                </c:pt>
                <c:pt idx="2">
                  <c:v>4810935.0599999996</c:v>
                </c:pt>
                <c:pt idx="3">
                  <c:v>5079592</c:v>
                </c:pt>
                <c:pt idx="4">
                  <c:v>5027751</c:v>
                </c:pt>
                <c:pt idx="5">
                  <c:v>5949726</c:v>
                </c:pt>
                <c:pt idx="6">
                  <c:v>6069821</c:v>
                </c:pt>
                <c:pt idx="7">
                  <c:v>5886916</c:v>
                </c:pt>
                <c:pt idx="8">
                  <c:v>5543377</c:v>
                </c:pt>
                <c:pt idx="9">
                  <c:v>5930101</c:v>
                </c:pt>
                <c:pt idx="10">
                  <c:v>3266876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5-4E28-8CAA-FC2FF4BE7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2'!$AM$22</c:f>
              <c:strCache>
                <c:ptCount val="1"/>
                <c:pt idx="0">
                  <c:v>Adjusted Student Credit Hours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2'!$AL$23:$AL$33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2'!$AM$23:$AM$33</c:f>
              <c:numCache>
                <c:formatCode>_(* #,##0_);_(* \(#,##0\);_(* "-"??_);_(@_)</c:formatCode>
                <c:ptCount val="11"/>
                <c:pt idx="0">
                  <c:v>26417.988127809767</c:v>
                </c:pt>
                <c:pt idx="1">
                  <c:v>31437.579282798473</c:v>
                </c:pt>
                <c:pt idx="2">
                  <c:v>31286.669848092191</c:v>
                </c:pt>
                <c:pt idx="3">
                  <c:v>29985.438406680471</c:v>
                </c:pt>
                <c:pt idx="4">
                  <c:v>28472.478140389576</c:v>
                </c:pt>
                <c:pt idx="5">
                  <c:v>29131.182233685286</c:v>
                </c:pt>
                <c:pt idx="6">
                  <c:v>29912.231143749701</c:v>
                </c:pt>
                <c:pt idx="7">
                  <c:v>29104.155581923118</c:v>
                </c:pt>
                <c:pt idx="8">
                  <c:v>28012.928045598892</c:v>
                </c:pt>
                <c:pt idx="9">
                  <c:v>26996.807129714558</c:v>
                </c:pt>
                <c:pt idx="10">
                  <c:v>15594.047869956943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65-4E28-8CAA-FC2FF4BE7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Missoula College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42029757551485958"/>
          <c:y val="3.48835697046928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2'!$AR$52</c:f>
              <c:strCache>
                <c:ptCount val="1"/>
                <c:pt idx="0">
                  <c:v>Instruction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'Charts Historical Exp No 2'!$AP$53:$AP$63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2'!$AR$53:$AR$63</c:f>
              <c:numCache>
                <c:formatCode>_(* #,##0_);_(* \(#,##0\);_(* "-"??_);_(@_)</c:formatCode>
                <c:ptCount val="11"/>
                <c:pt idx="0">
                  <c:v>4145653</c:v>
                </c:pt>
                <c:pt idx="1">
                  <c:v>4865738</c:v>
                </c:pt>
                <c:pt idx="2">
                  <c:v>4941543</c:v>
                </c:pt>
                <c:pt idx="3">
                  <c:v>4976864</c:v>
                </c:pt>
                <c:pt idx="4">
                  <c:v>4935946</c:v>
                </c:pt>
                <c:pt idx="5">
                  <c:v>5317172</c:v>
                </c:pt>
                <c:pt idx="6">
                  <c:v>5210087</c:v>
                </c:pt>
                <c:pt idx="7">
                  <c:v>4850288</c:v>
                </c:pt>
                <c:pt idx="8">
                  <c:v>4708939</c:v>
                </c:pt>
                <c:pt idx="9">
                  <c:v>4818582</c:v>
                </c:pt>
                <c:pt idx="10">
                  <c:v>4886124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2-4710-9E26-2697ED28B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2'!$AQ$52</c:f>
              <c:strCache>
                <c:ptCount val="1"/>
                <c:pt idx="0">
                  <c:v>Adjusted Student Credit Hours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2'!$AP$53:$AP$63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2'!$AQ$53:$AQ$63</c:f>
              <c:numCache>
                <c:formatCode>_(* #,##0_);_(* \(#,##0\);_(* "-"??_);_(@_)</c:formatCode>
                <c:ptCount val="11"/>
                <c:pt idx="0">
                  <c:v>41668</c:v>
                </c:pt>
                <c:pt idx="1">
                  <c:v>56988</c:v>
                </c:pt>
                <c:pt idx="2">
                  <c:v>60567</c:v>
                </c:pt>
                <c:pt idx="3">
                  <c:v>52165</c:v>
                </c:pt>
                <c:pt idx="4">
                  <c:v>43720</c:v>
                </c:pt>
                <c:pt idx="5">
                  <c:v>43389.999999999724</c:v>
                </c:pt>
                <c:pt idx="6">
                  <c:v>39482.000000000022</c:v>
                </c:pt>
                <c:pt idx="7">
                  <c:v>37481.999999999847</c:v>
                </c:pt>
                <c:pt idx="8">
                  <c:v>35163.999999999745</c:v>
                </c:pt>
                <c:pt idx="9">
                  <c:v>32894.000000000175</c:v>
                </c:pt>
                <c:pt idx="10">
                  <c:v>31213.000000000153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2-4710-9E26-2697ED28B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UM</a:t>
            </a:r>
            <a:r>
              <a:rPr lang="en-US" baseline="0"/>
              <a:t> - Decline in Base Net Tuition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'Net Tuition AY'!$A$22</c:f>
              <c:strCache>
                <c:ptCount val="1"/>
                <c:pt idx="0">
                  <c:v>Mountain Campus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24F</c:v>
                </c:pt>
              </c:strCache>
            </c:strRef>
          </c:cat>
          <c:val>
            <c:numRef>
              <c:f>'Net Tuition AY'!$C$22:$P$22</c:f>
              <c:numCache>
                <c:formatCode>_(* #,##0_);_(* \(#,##0\);_(* "-"??_);_(@_)</c:formatCode>
                <c:ptCount val="14"/>
                <c:pt idx="0">
                  <c:v>69154146</c:v>
                </c:pt>
                <c:pt idx="1">
                  <c:v>70972403</c:v>
                </c:pt>
                <c:pt idx="2">
                  <c:v>69889226</c:v>
                </c:pt>
                <c:pt idx="3">
                  <c:v>66734065</c:v>
                </c:pt>
                <c:pt idx="4">
                  <c:v>67978838.109999999</c:v>
                </c:pt>
                <c:pt idx="5">
                  <c:v>61539872.159999996</c:v>
                </c:pt>
                <c:pt idx="6">
                  <c:v>60345612.740000002</c:v>
                </c:pt>
                <c:pt idx="7">
                  <c:v>59101336.409999996</c:v>
                </c:pt>
                <c:pt idx="8">
                  <c:v>53728182.670000002</c:v>
                </c:pt>
                <c:pt idx="9">
                  <c:v>49738007.880000003</c:v>
                </c:pt>
                <c:pt idx="10">
                  <c:v>45826936.979999997</c:v>
                </c:pt>
                <c:pt idx="11">
                  <c:v>47323074.310000002</c:v>
                </c:pt>
                <c:pt idx="12">
                  <c:v>50070035.609999999</c:v>
                </c:pt>
                <c:pt idx="13">
                  <c:v>53442847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A-4294-860C-A79CA9D6CF8E}"/>
            </c:ext>
          </c:extLst>
        </c:ser>
        <c:ser>
          <c:idx val="1"/>
          <c:order val="1"/>
          <c:tx>
            <c:strRef>
              <c:f>'Net Tuition AY'!$A$23</c:f>
              <c:strCache>
                <c:ptCount val="1"/>
                <c:pt idx="0">
                  <c:v>Missoula College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AY 11</c:v>
                </c:pt>
                <c:pt idx="1">
                  <c:v>AY 12</c:v>
                </c:pt>
                <c:pt idx="2">
                  <c:v>AY 13</c:v>
                </c:pt>
                <c:pt idx="3">
                  <c:v>AY 14</c:v>
                </c:pt>
                <c:pt idx="4">
                  <c:v>AY 15</c:v>
                </c:pt>
                <c:pt idx="5">
                  <c:v>AY 16</c:v>
                </c:pt>
                <c:pt idx="6">
                  <c:v>AY 17</c:v>
                </c:pt>
                <c:pt idx="7">
                  <c:v>AY 18</c:v>
                </c:pt>
                <c:pt idx="8">
                  <c:v>AY 19</c:v>
                </c:pt>
                <c:pt idx="9">
                  <c:v>AY 20</c:v>
                </c:pt>
                <c:pt idx="10">
                  <c:v>AY 21</c:v>
                </c:pt>
                <c:pt idx="11">
                  <c:v>AY 22</c:v>
                </c:pt>
                <c:pt idx="12">
                  <c:v>AY 23</c:v>
                </c:pt>
                <c:pt idx="13">
                  <c:v>AY 24F</c:v>
                </c:pt>
              </c:strCache>
            </c:strRef>
          </c:cat>
          <c:val>
            <c:numRef>
              <c:f>'Net Tuition AY'!$C$23:$P$23</c:f>
              <c:numCache>
                <c:formatCode>_(* #,##0_);_(* \(#,##0\);_(* "-"??_);_(@_)</c:formatCode>
                <c:ptCount val="14"/>
                <c:pt idx="0">
                  <c:v>5365062</c:v>
                </c:pt>
                <c:pt idx="1">
                  <c:v>5467885</c:v>
                </c:pt>
                <c:pt idx="2">
                  <c:v>4757811</c:v>
                </c:pt>
                <c:pt idx="3">
                  <c:v>4446974</c:v>
                </c:pt>
                <c:pt idx="4">
                  <c:v>4064022.93</c:v>
                </c:pt>
                <c:pt idx="5">
                  <c:v>3845689.59</c:v>
                </c:pt>
                <c:pt idx="6">
                  <c:v>3778768.74</c:v>
                </c:pt>
                <c:pt idx="7">
                  <c:v>3809898.88</c:v>
                </c:pt>
                <c:pt idx="8">
                  <c:v>3574660.69</c:v>
                </c:pt>
                <c:pt idx="9">
                  <c:v>3369095.49</c:v>
                </c:pt>
                <c:pt idx="10">
                  <c:v>2977378.03</c:v>
                </c:pt>
                <c:pt idx="11">
                  <c:v>3021680.79</c:v>
                </c:pt>
                <c:pt idx="12">
                  <c:v>3584396</c:v>
                </c:pt>
                <c:pt idx="13">
                  <c:v>3871571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CA-4294-860C-A79CA9D6C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5189536"/>
        <c:axId val="1005191200"/>
      </c:barChart>
      <c:catAx>
        <c:axId val="100518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191200"/>
        <c:crosses val="autoZero"/>
        <c:auto val="1"/>
        <c:lblAlgn val="ctr"/>
        <c:lblOffset val="100"/>
        <c:noMultiLvlLbl val="0"/>
      </c:catAx>
      <c:valAx>
        <c:axId val="100519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189536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UM</a:t>
            </a:r>
            <a:r>
              <a:rPr lang="en-US" baseline="0"/>
              <a:t> - Rate per SCH Delivered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Tuition AY'!$A$77</c:f>
              <c:strCache>
                <c:ptCount val="1"/>
                <c:pt idx="0">
                  <c:v>Mountain Campus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'Net Tuition AY'!$C$76:$P$76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AY'!$C$77:$P$77</c:f>
              <c:numCache>
                <c:formatCode>_("$"* #,##0.00_);_("$"* \(#,##0.00\);_("$"* "-"??_);_(@_)</c:formatCode>
                <c:ptCount val="14"/>
                <c:pt idx="0">
                  <c:v>256.04420581524386</c:v>
                </c:pt>
                <c:pt idx="1">
                  <c:v>269.32636896266808</c:v>
                </c:pt>
                <c:pt idx="2">
                  <c:v>277.77992618300004</c:v>
                </c:pt>
                <c:pt idx="3">
                  <c:v>288.25778019167689</c:v>
                </c:pt>
                <c:pt idx="4">
                  <c:v>293.53378854807738</c:v>
                </c:pt>
                <c:pt idx="5">
                  <c:v>279.63544419048446</c:v>
                </c:pt>
                <c:pt idx="6">
                  <c:v>289.8859028107924</c:v>
                </c:pt>
                <c:pt idx="7">
                  <c:v>302.68723414616238</c:v>
                </c:pt>
                <c:pt idx="8">
                  <c:v>297.93003905347086</c:v>
                </c:pt>
                <c:pt idx="9">
                  <c:v>296.68933603142591</c:v>
                </c:pt>
                <c:pt idx="10">
                  <c:v>287.12049264842727</c:v>
                </c:pt>
                <c:pt idx="11">
                  <c:v>296.42002797940592</c:v>
                </c:pt>
                <c:pt idx="12">
                  <c:v>313.67602060012649</c:v>
                </c:pt>
                <c:pt idx="13">
                  <c:v>325.88351903463536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03-4AEC-8438-62E13CAAB386}"/>
            </c:ext>
          </c:extLst>
        </c:ser>
        <c:ser>
          <c:idx val="1"/>
          <c:order val="1"/>
          <c:tx>
            <c:strRef>
              <c:f>'Net Tuition AY'!$A$78</c:f>
              <c:strCache>
                <c:ptCount val="1"/>
                <c:pt idx="0">
                  <c:v>Missoula College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'Net Tuition AY'!$C$76:$P$76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AY'!$C$78:$P$78</c:f>
              <c:numCache>
                <c:formatCode>_("$"* #,##0.00_);_("$"* \(#,##0.00\);_("$"* "-"??_);_(@_)</c:formatCode>
                <c:ptCount val="14"/>
                <c:pt idx="0">
                  <c:v>108.59312710711539</c:v>
                </c:pt>
                <c:pt idx="1">
                  <c:v>108.28324234649588</c:v>
                </c:pt>
                <c:pt idx="2">
                  <c:v>107.37772163023179</c:v>
                </c:pt>
                <c:pt idx="3">
                  <c:v>120.68520672517712</c:v>
                </c:pt>
                <c:pt idx="4">
                  <c:v>110.14026250396488</c:v>
                </c:pt>
                <c:pt idx="5">
                  <c:v>113.70233640273455</c:v>
                </c:pt>
                <c:pt idx="6">
                  <c:v>117.26429000363753</c:v>
                </c:pt>
                <c:pt idx="7">
                  <c:v>125.51496180253181</c:v>
                </c:pt>
                <c:pt idx="8">
                  <c:v>127.67875345581535</c:v>
                </c:pt>
                <c:pt idx="9">
                  <c:v>126.82477840510511</c:v>
                </c:pt>
                <c:pt idx="10">
                  <c:v>128.46812724734548</c:v>
                </c:pt>
                <c:pt idx="11">
                  <c:v>130.23437074326156</c:v>
                </c:pt>
                <c:pt idx="12">
                  <c:v>144.41484126984128</c:v>
                </c:pt>
                <c:pt idx="13">
                  <c:v>149.36229514430207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3-4AEC-8438-62E13CAAB386}"/>
            </c:ext>
          </c:extLst>
        </c:ser>
        <c:ser>
          <c:idx val="2"/>
          <c:order val="2"/>
          <c:tx>
            <c:strRef>
              <c:f>'Net Tuition AY'!$A$79</c:f>
              <c:strCache>
                <c:ptCount val="1"/>
                <c:pt idx="0">
                  <c:v>UM 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'Net Tuition AY'!$C$76:$P$76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AY'!$C$79:$P$79</c:f>
              <c:numCache>
                <c:formatCode>_("$"* #,##0.00_);_("$"* \(#,##0.00\);_("$"* "-"??_);_(@_)</c:formatCode>
                <c:ptCount val="14"/>
                <c:pt idx="0">
                  <c:v>232.94431712183641</c:v>
                </c:pt>
                <c:pt idx="1">
                  <c:v>243.08197762331852</c:v>
                </c:pt>
                <c:pt idx="2">
                  <c:v>251.89747945150623</c:v>
                </c:pt>
                <c:pt idx="3">
                  <c:v>264.9236174763214</c:v>
                </c:pt>
                <c:pt idx="4">
                  <c:v>267.99658822268617</c:v>
                </c:pt>
                <c:pt idx="5">
                  <c:v>257.26239009863093</c:v>
                </c:pt>
                <c:pt idx="6">
                  <c:v>266.47876422929392</c:v>
                </c:pt>
                <c:pt idx="7">
                  <c:v>278.59124587358605</c:v>
                </c:pt>
                <c:pt idx="8">
                  <c:v>274.8333235057986</c:v>
                </c:pt>
                <c:pt idx="9">
                  <c:v>273.24616885828124</c:v>
                </c:pt>
                <c:pt idx="10">
                  <c:v>266.82939511656718</c:v>
                </c:pt>
                <c:pt idx="11">
                  <c:v>275.16544806280575</c:v>
                </c:pt>
                <c:pt idx="12">
                  <c:v>290.77673237879247</c:v>
                </c:pt>
                <c:pt idx="13">
                  <c:v>301.66788031798359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03-4AEC-8438-62E13CAAB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7974208"/>
        <c:axId val="987970880"/>
      </c:lineChart>
      <c:catAx>
        <c:axId val="98797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970880"/>
        <c:crosses val="autoZero"/>
        <c:auto val="1"/>
        <c:lblAlgn val="ctr"/>
        <c:lblOffset val="100"/>
        <c:noMultiLvlLbl val="0"/>
      </c:catAx>
      <c:valAx>
        <c:axId val="98797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97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 Tuition</a:t>
            </a:r>
            <a:r>
              <a:rPr lang="en-US" baseline="0"/>
              <a:t> per Student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Tuition AY'!$A$91</c:f>
              <c:strCache>
                <c:ptCount val="1"/>
                <c:pt idx="0">
                  <c:v>Average AY Net Tuition (Excluding Program Tuition) per Student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'Net Tuition AY'!$C$90:$P$90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AY'!$C$91:$P$91</c:f>
              <c:numCache>
                <c:formatCode>_("$"* #,##0_);_("$"* \(#,##0\);_("$"* "-"??_);_(@_)</c:formatCode>
                <c:ptCount val="14"/>
                <c:pt idx="0">
                  <c:v>4337.3888888888887</c:v>
                </c:pt>
                <c:pt idx="1">
                  <c:v>4486.7200881977487</c:v>
                </c:pt>
                <c:pt idx="2">
                  <c:v>4606.2636846280584</c:v>
                </c:pt>
                <c:pt idx="3">
                  <c:v>4612.7986796564546</c:v>
                </c:pt>
                <c:pt idx="4">
                  <c:v>4903.5956866707083</c:v>
                </c:pt>
                <c:pt idx="5">
                  <c:v>4688.2553514433648</c:v>
                </c:pt>
                <c:pt idx="6">
                  <c:v>4811.8948693004604</c:v>
                </c:pt>
                <c:pt idx="7">
                  <c:v>5013.6533443786984</c:v>
                </c:pt>
                <c:pt idx="8">
                  <c:v>4871.1685821272295</c:v>
                </c:pt>
                <c:pt idx="9">
                  <c:v>4824.4742595090374</c:v>
                </c:pt>
                <c:pt idx="10">
                  <c:v>4723.9281867816089</c:v>
                </c:pt>
                <c:pt idx="11">
                  <c:v>4758.9178066810146</c:v>
                </c:pt>
                <c:pt idx="12">
                  <c:v>4960.3543923436209</c:v>
                </c:pt>
                <c:pt idx="13">
                  <c:v>5221.3927410617553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D0-462B-9608-C4059862ECA0}"/>
            </c:ext>
          </c:extLst>
        </c:ser>
        <c:ser>
          <c:idx val="1"/>
          <c:order val="1"/>
          <c:tx>
            <c:strRef>
              <c:f>'Net Tuition AY'!$A$92</c:f>
              <c:strCache>
                <c:ptCount val="1"/>
                <c:pt idx="0">
                  <c:v>Average AY Program Tuition per Student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'Net Tuition AY'!$C$90:$P$90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AY'!$C$92:$P$92</c:f>
              <c:numCache>
                <c:formatCode>_("$"* #,##0_);_("$"* \(#,##0\);_("$"* "-"??_);_(@_)</c:formatCode>
                <c:ptCount val="14"/>
                <c:pt idx="0">
                  <c:v>200.12836438923395</c:v>
                </c:pt>
                <c:pt idx="1">
                  <c:v>203.22670302889637</c:v>
                </c:pt>
                <c:pt idx="2">
                  <c:v>210.55397571245499</c:v>
                </c:pt>
                <c:pt idx="3">
                  <c:v>217.6776054352006</c:v>
                </c:pt>
                <c:pt idx="4">
                  <c:v>227.6083417525426</c:v>
                </c:pt>
                <c:pt idx="5">
                  <c:v>241.59297467905526</c:v>
                </c:pt>
                <c:pt idx="6">
                  <c:v>253.91238303876429</c:v>
                </c:pt>
                <c:pt idx="7">
                  <c:v>314.53072978303749</c:v>
                </c:pt>
                <c:pt idx="8">
                  <c:v>368.60981151127567</c:v>
                </c:pt>
                <c:pt idx="9">
                  <c:v>431.59850732847764</c:v>
                </c:pt>
                <c:pt idx="10">
                  <c:v>510.05713601532568</c:v>
                </c:pt>
                <c:pt idx="11">
                  <c:v>537.77973238514085</c:v>
                </c:pt>
                <c:pt idx="12">
                  <c:v>541.8678908324938</c:v>
                </c:pt>
                <c:pt idx="13">
                  <c:v>634.99647887323943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D0-462B-9608-C4059862ECA0}"/>
            </c:ext>
          </c:extLst>
        </c:ser>
        <c:ser>
          <c:idx val="2"/>
          <c:order val="2"/>
          <c:tx>
            <c:strRef>
              <c:f>'Net Tuition AY'!$A$93</c:f>
              <c:strCache>
                <c:ptCount val="1"/>
                <c:pt idx="0">
                  <c:v>Average AY Total Tuition per Student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'Net Tuition AY'!$C$90:$P$90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AY'!$C$93:$P$93</c:f>
              <c:numCache>
                <c:formatCode>_("$"* #,##0_);_("$"* \(#,##0\);_("$"* "-"??_);_(@_)</c:formatCode>
                <c:ptCount val="14"/>
                <c:pt idx="0">
                  <c:v>4537.5172532781226</c:v>
                </c:pt>
                <c:pt idx="1">
                  <c:v>4689.9467912266446</c:v>
                </c:pt>
                <c:pt idx="2">
                  <c:v>4816.8176603405136</c:v>
                </c:pt>
                <c:pt idx="3">
                  <c:v>4830.476285091655</c:v>
                </c:pt>
                <c:pt idx="4">
                  <c:v>5131.2040284232507</c:v>
                </c:pt>
                <c:pt idx="5">
                  <c:v>4929.8483261224201</c:v>
                </c:pt>
                <c:pt idx="6">
                  <c:v>5065.8072523392257</c:v>
                </c:pt>
                <c:pt idx="7">
                  <c:v>5328.1840741617361</c:v>
                </c:pt>
                <c:pt idx="8">
                  <c:v>5239.7783936385058</c:v>
                </c:pt>
                <c:pt idx="9">
                  <c:v>5256.0727668375148</c:v>
                </c:pt>
                <c:pt idx="10">
                  <c:v>5233.9853227969343</c:v>
                </c:pt>
                <c:pt idx="11">
                  <c:v>5296.6975390661555</c:v>
                </c:pt>
                <c:pt idx="12">
                  <c:v>5502.2222831761146</c:v>
                </c:pt>
                <c:pt idx="13">
                  <c:v>5856.3892199349948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D0-462B-9608-C4059862E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9139120"/>
        <c:axId val="999137040"/>
      </c:lineChart>
      <c:catAx>
        <c:axId val="99913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137040"/>
        <c:crosses val="autoZero"/>
        <c:auto val="1"/>
        <c:lblAlgn val="ctr"/>
        <c:lblOffset val="100"/>
        <c:noMultiLvlLbl val="0"/>
      </c:catAx>
      <c:valAx>
        <c:axId val="99913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13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Inflation Adjusted Cost per SCH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 Inflation Adj Exp SCH'!$B$1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SCH'!$B$2:$B$12</c:f>
              <c:numCache>
                <c:formatCode>_("$"* #,##0_);_("$"* \(#,##0\);_("$"* "-"??_);_(@_)</c:formatCode>
                <c:ptCount val="11"/>
                <c:pt idx="0">
                  <c:v>235.22269663519575</c:v>
                </c:pt>
                <c:pt idx="1">
                  <c:v>192.87837879482669</c:v>
                </c:pt>
                <c:pt idx="2">
                  <c:v>196.02673308402561</c:v>
                </c:pt>
                <c:pt idx="3">
                  <c:v>212.92761297688895</c:v>
                </c:pt>
                <c:pt idx="4">
                  <c:v>216.62440845465545</c:v>
                </c:pt>
                <c:pt idx="5">
                  <c:v>245.03725225905353</c:v>
                </c:pt>
                <c:pt idx="6">
                  <c:v>239.74062714136426</c:v>
                </c:pt>
                <c:pt idx="7">
                  <c:v>231.56841839403975</c:v>
                </c:pt>
                <c:pt idx="8">
                  <c:v>213.85582711126844</c:v>
                </c:pt>
                <c:pt idx="9">
                  <c:v>241.57771980826669</c:v>
                </c:pt>
                <c:pt idx="10">
                  <c:v>249.47454518816619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5A-45B7-A6AF-25ED1928C7C5}"/>
            </c:ext>
          </c:extLst>
        </c:ser>
        <c:ser>
          <c:idx val="1"/>
          <c:order val="1"/>
          <c:tx>
            <c:strRef>
              <c:f>'Charts Inflation Adj Exp SCH'!$C$1</c:f>
              <c:strCache>
                <c:ptCount val="1"/>
                <c:pt idx="0">
                  <c:v>Health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SCH'!$C$2:$C$12</c:f>
              <c:numCache>
                <c:formatCode>_("$"* #,##0_);_("$"* \(#,##0\);_("$"* "-"??_);_(@_)</c:formatCode>
                <c:ptCount val="11"/>
                <c:pt idx="0">
                  <c:v>420.25190123158978</c:v>
                </c:pt>
                <c:pt idx="1">
                  <c:v>379.60384126025832</c:v>
                </c:pt>
                <c:pt idx="2">
                  <c:v>395.27417735269933</c:v>
                </c:pt>
                <c:pt idx="3">
                  <c:v>427.83107592978018</c:v>
                </c:pt>
                <c:pt idx="4">
                  <c:v>415.35708252079263</c:v>
                </c:pt>
                <c:pt idx="5">
                  <c:v>431.66277860517761</c:v>
                </c:pt>
                <c:pt idx="6">
                  <c:v>436.64444444691509</c:v>
                </c:pt>
                <c:pt idx="7">
                  <c:v>415.60882954836654</c:v>
                </c:pt>
                <c:pt idx="8">
                  <c:v>383.94912335881622</c:v>
                </c:pt>
                <c:pt idx="9">
                  <c:v>386.87856256498884</c:v>
                </c:pt>
                <c:pt idx="10">
                  <c:v>343.98437302235004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5A-45B7-A6AF-25ED1928C7C5}"/>
            </c:ext>
          </c:extLst>
        </c:ser>
        <c:ser>
          <c:idx val="2"/>
          <c:order val="2"/>
          <c:tx>
            <c:strRef>
              <c:f>'Charts Inflation Adj Exp SCH'!$D$1</c:f>
              <c:strCache>
                <c:ptCount val="1"/>
                <c:pt idx="0">
                  <c:v>Forestry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SCH'!$D$2:$D$12</c:f>
              <c:numCache>
                <c:formatCode>_("$"* #,##0_);_("$"* \(#,##0\);_("$"* "-"??_);_(@_)</c:formatCode>
                <c:ptCount val="11"/>
                <c:pt idx="0">
                  <c:v>314.34427874865037</c:v>
                </c:pt>
                <c:pt idx="1">
                  <c:v>259.84444493107679</c:v>
                </c:pt>
                <c:pt idx="2">
                  <c:v>288.69939306153492</c:v>
                </c:pt>
                <c:pt idx="3">
                  <c:v>277.2209239008348</c:v>
                </c:pt>
                <c:pt idx="4">
                  <c:v>306.5872093525013</c:v>
                </c:pt>
                <c:pt idx="5">
                  <c:v>331.12889456290799</c:v>
                </c:pt>
                <c:pt idx="6">
                  <c:v>327.57377877175583</c:v>
                </c:pt>
                <c:pt idx="7">
                  <c:v>345.87990858074227</c:v>
                </c:pt>
                <c:pt idx="8">
                  <c:v>378.09979458484281</c:v>
                </c:pt>
                <c:pt idx="9">
                  <c:v>314.62655418765451</c:v>
                </c:pt>
                <c:pt idx="10">
                  <c:v>333.1574616502653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5A-45B7-A6AF-25ED1928C7C5}"/>
            </c:ext>
          </c:extLst>
        </c:ser>
        <c:ser>
          <c:idx val="3"/>
          <c:order val="3"/>
          <c:tx>
            <c:strRef>
              <c:f>'Charts Inflation Adj Exp SCH'!$E$1</c:f>
              <c:strCache>
                <c:ptCount val="1"/>
                <c:pt idx="0">
                  <c:v>H&amp;S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SCH'!$E$2:$E$12</c:f>
              <c:numCache>
                <c:formatCode>_("$"* #,##0_);_("$"* \(#,##0\);_("$"* "-"??_);_(@_)</c:formatCode>
                <c:ptCount val="11"/>
                <c:pt idx="0">
                  <c:v>209.22784498634402</c:v>
                </c:pt>
                <c:pt idx="1">
                  <c:v>184.39688859353797</c:v>
                </c:pt>
                <c:pt idx="2">
                  <c:v>194.96675601071345</c:v>
                </c:pt>
                <c:pt idx="3">
                  <c:v>215.09799088154477</c:v>
                </c:pt>
                <c:pt idx="4">
                  <c:v>222.69601813151769</c:v>
                </c:pt>
                <c:pt idx="5">
                  <c:v>226.26248231062249</c:v>
                </c:pt>
                <c:pt idx="6">
                  <c:v>241.22152157766541</c:v>
                </c:pt>
                <c:pt idx="7">
                  <c:v>255.34355969711712</c:v>
                </c:pt>
                <c:pt idx="8">
                  <c:v>246.62356077871186</c:v>
                </c:pt>
                <c:pt idx="9">
                  <c:v>259.83300282658587</c:v>
                </c:pt>
                <c:pt idx="10">
                  <c:v>283.43926253559522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5A-45B7-A6AF-25ED1928C7C5}"/>
            </c:ext>
          </c:extLst>
        </c:ser>
        <c:ser>
          <c:idx val="4"/>
          <c:order val="4"/>
          <c:tx>
            <c:strRef>
              <c:f>'Charts Inflation Adj Exp SCH'!$F$1</c:f>
              <c:strCache>
                <c:ptCount val="1"/>
                <c:pt idx="0">
                  <c:v>CAM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SCH'!$F$2:$F$12</c:f>
              <c:numCache>
                <c:formatCode>_("$"* #,##0_);_("$"* \(#,##0\);_("$"* "-"??_);_(@_)</c:formatCode>
                <c:ptCount val="11"/>
                <c:pt idx="0">
                  <c:v>254.01038070987067</c:v>
                </c:pt>
                <c:pt idx="1">
                  <c:v>238.84478439258893</c:v>
                </c:pt>
                <c:pt idx="2">
                  <c:v>262.14927157292806</c:v>
                </c:pt>
                <c:pt idx="3">
                  <c:v>272.4490220442965</c:v>
                </c:pt>
                <c:pt idx="4">
                  <c:v>274.09415788944096</c:v>
                </c:pt>
                <c:pt idx="5">
                  <c:v>263.78853936286282</c:v>
                </c:pt>
                <c:pt idx="6">
                  <c:v>272.92570529844511</c:v>
                </c:pt>
                <c:pt idx="7">
                  <c:v>277.8470642801164</c:v>
                </c:pt>
                <c:pt idx="8">
                  <c:v>275.63279227102356</c:v>
                </c:pt>
                <c:pt idx="9">
                  <c:v>267.81191818802978</c:v>
                </c:pt>
                <c:pt idx="10">
                  <c:v>284.67324419597611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5A-45B7-A6AF-25ED1928C7C5}"/>
            </c:ext>
          </c:extLst>
        </c:ser>
        <c:ser>
          <c:idx val="5"/>
          <c:order val="5"/>
          <c:tx>
            <c:strRef>
              <c:f>'Charts Inflation Adj Exp SCH'!$G$1</c:f>
              <c:strCache>
                <c:ptCount val="1"/>
                <c:pt idx="0">
                  <c:v>DHC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SCH'!$G$2:$G$12</c:f>
              <c:numCache>
                <c:formatCode>_("$"* #,##0_);_("$"* \(#,##0\);_("$"* "-"??_);_(@_)</c:formatCode>
                <c:ptCount val="11"/>
                <c:pt idx="0">
                  <c:v>878.80702410641732</c:v>
                </c:pt>
                <c:pt idx="1">
                  <c:v>400.29475405732325</c:v>
                </c:pt>
                <c:pt idx="2">
                  <c:v>361.44518371848096</c:v>
                </c:pt>
                <c:pt idx="3">
                  <c:v>382.89499861309588</c:v>
                </c:pt>
                <c:pt idx="4">
                  <c:v>370.71131469430634</c:v>
                </c:pt>
                <c:pt idx="5">
                  <c:v>397.1715987604174</c:v>
                </c:pt>
                <c:pt idx="6">
                  <c:v>451.75608037402833</c:v>
                </c:pt>
                <c:pt idx="7">
                  <c:v>417.14325325814031</c:v>
                </c:pt>
                <c:pt idx="8">
                  <c:v>376.53768858371109</c:v>
                </c:pt>
                <c:pt idx="9">
                  <c:v>158.44874642412861</c:v>
                </c:pt>
                <c:pt idx="10">
                  <c:v>281.73037373191818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5A-45B7-A6AF-25ED1928C7C5}"/>
            </c:ext>
          </c:extLst>
        </c:ser>
        <c:ser>
          <c:idx val="6"/>
          <c:order val="6"/>
          <c:tx>
            <c:strRef>
              <c:f>'Charts Inflation Adj Exp SCH'!$H$1</c:f>
              <c:strCache>
                <c:ptCount val="1"/>
                <c:pt idx="0">
                  <c:v>MC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SCH'!$H$2:$H$12</c:f>
              <c:numCache>
                <c:formatCode>_("$"* #,##0_);_("$"* \(#,##0\);_("$"* "-"??_);_(@_)</c:formatCode>
                <c:ptCount val="11"/>
                <c:pt idx="0">
                  <c:v>140.3026837213209</c:v>
                </c:pt>
                <c:pt idx="1">
                  <c:v>113.28384243524951</c:v>
                </c:pt>
                <c:pt idx="2">
                  <c:v>106.70701157726154</c:v>
                </c:pt>
                <c:pt idx="3">
                  <c:v>126.41156318604429</c:v>
                </c:pt>
                <c:pt idx="4">
                  <c:v>145.07766499542544</c:v>
                </c:pt>
                <c:pt idx="5">
                  <c:v>159.60412426911833</c:v>
                </c:pt>
                <c:pt idx="6">
                  <c:v>165.76354863299724</c:v>
                </c:pt>
                <c:pt idx="7">
                  <c:v>155.36889294157257</c:v>
                </c:pt>
                <c:pt idx="8">
                  <c:v>161.14401401234332</c:v>
                </c:pt>
                <c:pt idx="9">
                  <c:v>166.98432890496659</c:v>
                </c:pt>
                <c:pt idx="10">
                  <c:v>178.52465318937536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5A-45B7-A6AF-25ED1928C7C5}"/>
            </c:ext>
          </c:extLst>
        </c:ser>
        <c:ser>
          <c:idx val="7"/>
          <c:order val="7"/>
          <c:tx>
            <c:strRef>
              <c:f>'Charts Inflation Adj Exp SCH'!$I$1</c:f>
              <c:strCache>
                <c:ptCount val="1"/>
                <c:pt idx="0">
                  <c:v>COB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SCH'!$I$2:$I$12</c:f>
              <c:numCache>
                <c:formatCode>_("$"* #,##0_);_("$"* \(#,##0\);_("$"* "-"??_);_(@_)</c:formatCode>
                <c:ptCount val="11"/>
                <c:pt idx="0">
                  <c:v>258.57287525063339</c:v>
                </c:pt>
                <c:pt idx="1">
                  <c:v>245.59462708065544</c:v>
                </c:pt>
                <c:pt idx="2">
                  <c:v>245.69310241797498</c:v>
                </c:pt>
                <c:pt idx="3">
                  <c:v>259.75611072445309</c:v>
                </c:pt>
                <c:pt idx="4">
                  <c:v>256.69716237401002</c:v>
                </c:pt>
                <c:pt idx="5">
                  <c:v>257.09268944044214</c:v>
                </c:pt>
                <c:pt idx="6">
                  <c:v>246.32650245380947</c:v>
                </c:pt>
                <c:pt idx="7">
                  <c:v>231.96719125302184</c:v>
                </c:pt>
                <c:pt idx="8">
                  <c:v>243.06362867684936</c:v>
                </c:pt>
                <c:pt idx="9">
                  <c:v>268.0504948622148</c:v>
                </c:pt>
                <c:pt idx="10">
                  <c:v>307.07412517689613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B5A-45B7-A6AF-25ED1928C7C5}"/>
            </c:ext>
          </c:extLst>
        </c:ser>
        <c:ser>
          <c:idx val="8"/>
          <c:order val="8"/>
          <c:tx>
            <c:strRef>
              <c:f>'Charts Inflation Adj Exp SCH'!$J$1</c:f>
              <c:strCache>
                <c:ptCount val="1"/>
                <c:pt idx="0">
                  <c:v>Law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SCH'!$J$2:$J$12</c:f>
              <c:numCache>
                <c:formatCode>_("$"* #,##0_);_("$"* \(#,##0\);_("$"* "-"??_);_(@_)</c:formatCode>
                <c:ptCount val="11"/>
                <c:pt idx="0">
                  <c:v>771.98027947864239</c:v>
                </c:pt>
                <c:pt idx="1">
                  <c:v>769.46684809920964</c:v>
                </c:pt>
                <c:pt idx="2">
                  <c:v>758.77520251282704</c:v>
                </c:pt>
                <c:pt idx="3">
                  <c:v>765.46696562992884</c:v>
                </c:pt>
                <c:pt idx="4">
                  <c:v>647.32679538597893</c:v>
                </c:pt>
                <c:pt idx="5">
                  <c:v>704.341193638184</c:v>
                </c:pt>
                <c:pt idx="6">
                  <c:v>702.34001105004688</c:v>
                </c:pt>
                <c:pt idx="7">
                  <c:v>657.85946503459411</c:v>
                </c:pt>
                <c:pt idx="8">
                  <c:v>627.06945712063703</c:v>
                </c:pt>
                <c:pt idx="9">
                  <c:v>541.92583458565866</c:v>
                </c:pt>
                <c:pt idx="10">
                  <c:v>546.93380995653672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B5A-45B7-A6AF-25ED1928C7C5}"/>
            </c:ext>
          </c:extLst>
        </c:ser>
        <c:ser>
          <c:idx val="9"/>
          <c:order val="9"/>
          <c:tx>
            <c:strRef>
              <c:f>'Charts Inflation Adj Exp SCH'!$K$1</c:f>
              <c:strCache>
                <c:ptCount val="1"/>
                <c:pt idx="0">
                  <c:v>Wtd Avg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SCH'!$K$2:$K$12</c:f>
              <c:numCache>
                <c:formatCode>_("$"* #,##0_);_("$"* \(#,##0\);_("$"* "-"??_);_(@_)</c:formatCode>
                <c:ptCount val="11"/>
                <c:pt idx="0">
                  <c:v>240.60161277153549</c:v>
                </c:pt>
                <c:pt idx="1">
                  <c:v>209.74606647212957</c:v>
                </c:pt>
                <c:pt idx="2">
                  <c:v>216.99960798177719</c:v>
                </c:pt>
                <c:pt idx="3">
                  <c:v>237.52835007511783</c:v>
                </c:pt>
                <c:pt idx="4">
                  <c:v>246.39156228884627</c:v>
                </c:pt>
                <c:pt idx="5">
                  <c:v>253.5198655809952</c:v>
                </c:pt>
                <c:pt idx="6">
                  <c:v>262.68809964687415</c:v>
                </c:pt>
                <c:pt idx="7">
                  <c:v>265.45490119831641</c:v>
                </c:pt>
                <c:pt idx="8">
                  <c:v>259.89603554958876</c:v>
                </c:pt>
                <c:pt idx="9">
                  <c:v>267.83512716857331</c:v>
                </c:pt>
                <c:pt idx="10">
                  <c:v>289.4196681748092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B5A-45B7-A6AF-25ED1928C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124447"/>
        <c:axId val="1552118207"/>
      </c:lineChart>
      <c:catAx>
        <c:axId val="1552124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18207"/>
        <c:crosses val="autoZero"/>
        <c:auto val="1"/>
        <c:lblAlgn val="ctr"/>
        <c:lblOffset val="100"/>
        <c:noMultiLvlLbl val="0"/>
      </c:catAx>
      <c:valAx>
        <c:axId val="1552118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24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461067366579176E-2"/>
          <c:y val="0.13698630136986301"/>
          <c:w val="0.94367343555739747"/>
          <c:h val="0.7578233200302017"/>
        </c:manualLayout>
      </c:layout>
      <c:lineChart>
        <c:grouping val="standard"/>
        <c:varyColors val="0"/>
        <c:ser>
          <c:idx val="0"/>
          <c:order val="0"/>
          <c:tx>
            <c:strRef>
              <c:f>'Charts Inflation Adj Exp SCH'!$B$1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SCH'!$B$2:$B$12</c:f>
              <c:numCache>
                <c:formatCode>_("$"* #,##0_);_("$"* \(#,##0\);_("$"* "-"??_);_(@_)</c:formatCode>
                <c:ptCount val="11"/>
                <c:pt idx="0">
                  <c:v>235.22269663519575</c:v>
                </c:pt>
                <c:pt idx="1">
                  <c:v>192.87837879482669</c:v>
                </c:pt>
                <c:pt idx="2">
                  <c:v>196.02673308402561</c:v>
                </c:pt>
                <c:pt idx="3">
                  <c:v>212.92761297688895</c:v>
                </c:pt>
                <c:pt idx="4">
                  <c:v>216.62440845465545</c:v>
                </c:pt>
                <c:pt idx="5">
                  <c:v>245.03725225905353</c:v>
                </c:pt>
                <c:pt idx="6">
                  <c:v>239.74062714136426</c:v>
                </c:pt>
                <c:pt idx="7">
                  <c:v>231.56841839403975</c:v>
                </c:pt>
                <c:pt idx="8">
                  <c:v>213.85582711126844</c:v>
                </c:pt>
                <c:pt idx="9">
                  <c:v>241.57771980826669</c:v>
                </c:pt>
                <c:pt idx="10">
                  <c:v>249.47454518816619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98-441A-943D-C61B82178003}"/>
            </c:ext>
          </c:extLst>
        </c:ser>
        <c:ser>
          <c:idx val="1"/>
          <c:order val="1"/>
          <c:tx>
            <c:strRef>
              <c:f>'Charts Inflation Adj Exp SCH'!$C$1</c:f>
              <c:strCache>
                <c:ptCount val="1"/>
                <c:pt idx="0">
                  <c:v>Health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SCH'!$C$2:$C$12</c:f>
              <c:numCache>
                <c:formatCode>_("$"* #,##0_);_("$"* \(#,##0\);_("$"* "-"??_);_(@_)</c:formatCode>
                <c:ptCount val="11"/>
                <c:pt idx="0">
                  <c:v>420.25190123158978</c:v>
                </c:pt>
                <c:pt idx="1">
                  <c:v>379.60384126025832</c:v>
                </c:pt>
                <c:pt idx="2">
                  <c:v>395.27417735269933</c:v>
                </c:pt>
                <c:pt idx="3">
                  <c:v>427.83107592978018</c:v>
                </c:pt>
                <c:pt idx="4">
                  <c:v>415.35708252079263</c:v>
                </c:pt>
                <c:pt idx="5">
                  <c:v>431.66277860517761</c:v>
                </c:pt>
                <c:pt idx="6">
                  <c:v>436.64444444691509</c:v>
                </c:pt>
                <c:pt idx="7">
                  <c:v>415.60882954836654</c:v>
                </c:pt>
                <c:pt idx="8">
                  <c:v>383.94912335881622</c:v>
                </c:pt>
                <c:pt idx="9">
                  <c:v>386.87856256498884</c:v>
                </c:pt>
                <c:pt idx="10">
                  <c:v>343.98437302235004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98-441A-943D-C61B82178003}"/>
            </c:ext>
          </c:extLst>
        </c:ser>
        <c:ser>
          <c:idx val="2"/>
          <c:order val="2"/>
          <c:tx>
            <c:strRef>
              <c:f>'Charts Inflation Adj Exp SCH'!$D$1</c:f>
              <c:strCache>
                <c:ptCount val="1"/>
                <c:pt idx="0">
                  <c:v>Forestry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SCH'!$D$2:$D$12</c:f>
              <c:numCache>
                <c:formatCode>_("$"* #,##0_);_("$"* \(#,##0\);_("$"* "-"??_);_(@_)</c:formatCode>
                <c:ptCount val="11"/>
                <c:pt idx="0">
                  <c:v>314.34427874865037</c:v>
                </c:pt>
                <c:pt idx="1">
                  <c:v>259.84444493107679</c:v>
                </c:pt>
                <c:pt idx="2">
                  <c:v>288.69939306153492</c:v>
                </c:pt>
                <c:pt idx="3">
                  <c:v>277.2209239008348</c:v>
                </c:pt>
                <c:pt idx="4">
                  <c:v>306.5872093525013</c:v>
                </c:pt>
                <c:pt idx="5">
                  <c:v>331.12889456290799</c:v>
                </c:pt>
                <c:pt idx="6">
                  <c:v>327.57377877175583</c:v>
                </c:pt>
                <c:pt idx="7">
                  <c:v>345.87990858074227</c:v>
                </c:pt>
                <c:pt idx="8">
                  <c:v>378.09979458484281</c:v>
                </c:pt>
                <c:pt idx="9">
                  <c:v>314.62655418765451</c:v>
                </c:pt>
                <c:pt idx="10">
                  <c:v>333.1574616502653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98-441A-943D-C61B82178003}"/>
            </c:ext>
          </c:extLst>
        </c:ser>
        <c:ser>
          <c:idx val="3"/>
          <c:order val="3"/>
          <c:tx>
            <c:strRef>
              <c:f>'Charts Inflation Adj Exp SCH'!$E$1</c:f>
              <c:strCache>
                <c:ptCount val="1"/>
                <c:pt idx="0">
                  <c:v>H&amp;S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SCH'!$E$2:$E$12</c:f>
              <c:numCache>
                <c:formatCode>_("$"* #,##0_);_("$"* \(#,##0\);_("$"* "-"??_);_(@_)</c:formatCode>
                <c:ptCount val="11"/>
                <c:pt idx="0">
                  <c:v>209.22784498634402</c:v>
                </c:pt>
                <c:pt idx="1">
                  <c:v>184.39688859353797</c:v>
                </c:pt>
                <c:pt idx="2">
                  <c:v>194.96675601071345</c:v>
                </c:pt>
                <c:pt idx="3">
                  <c:v>215.09799088154477</c:v>
                </c:pt>
                <c:pt idx="4">
                  <c:v>222.69601813151769</c:v>
                </c:pt>
                <c:pt idx="5">
                  <c:v>226.26248231062249</c:v>
                </c:pt>
                <c:pt idx="6">
                  <c:v>241.22152157766541</c:v>
                </c:pt>
                <c:pt idx="7">
                  <c:v>255.34355969711712</c:v>
                </c:pt>
                <c:pt idx="8">
                  <c:v>246.62356077871186</c:v>
                </c:pt>
                <c:pt idx="9">
                  <c:v>259.83300282658587</c:v>
                </c:pt>
                <c:pt idx="10">
                  <c:v>283.43926253559522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98-441A-943D-C61B82178003}"/>
            </c:ext>
          </c:extLst>
        </c:ser>
        <c:ser>
          <c:idx val="4"/>
          <c:order val="4"/>
          <c:tx>
            <c:strRef>
              <c:f>'Charts Inflation Adj Exp SCH'!$F$1</c:f>
              <c:strCache>
                <c:ptCount val="1"/>
                <c:pt idx="0">
                  <c:v>CAM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SCH'!$F$2:$F$12</c:f>
              <c:numCache>
                <c:formatCode>_("$"* #,##0_);_("$"* \(#,##0\);_("$"* "-"??_);_(@_)</c:formatCode>
                <c:ptCount val="11"/>
                <c:pt idx="0">
                  <c:v>254.01038070987067</c:v>
                </c:pt>
                <c:pt idx="1">
                  <c:v>238.84478439258893</c:v>
                </c:pt>
                <c:pt idx="2">
                  <c:v>262.14927157292806</c:v>
                </c:pt>
                <c:pt idx="3">
                  <c:v>272.4490220442965</c:v>
                </c:pt>
                <c:pt idx="4">
                  <c:v>274.09415788944096</c:v>
                </c:pt>
                <c:pt idx="5">
                  <c:v>263.78853936286282</c:v>
                </c:pt>
                <c:pt idx="6">
                  <c:v>272.92570529844511</c:v>
                </c:pt>
                <c:pt idx="7">
                  <c:v>277.8470642801164</c:v>
                </c:pt>
                <c:pt idx="8">
                  <c:v>275.63279227102356</c:v>
                </c:pt>
                <c:pt idx="9">
                  <c:v>267.81191818802978</c:v>
                </c:pt>
                <c:pt idx="10">
                  <c:v>284.67324419597611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98-441A-943D-C61B82178003}"/>
            </c:ext>
          </c:extLst>
        </c:ser>
        <c:ser>
          <c:idx val="6"/>
          <c:order val="6"/>
          <c:tx>
            <c:strRef>
              <c:f>'Charts Inflation Adj Exp SCH'!$H$1</c:f>
              <c:strCache>
                <c:ptCount val="1"/>
                <c:pt idx="0">
                  <c:v>MC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SCH'!$H$2:$H$12</c:f>
              <c:numCache>
                <c:formatCode>_("$"* #,##0_);_("$"* \(#,##0\);_("$"* "-"??_);_(@_)</c:formatCode>
                <c:ptCount val="11"/>
                <c:pt idx="0">
                  <c:v>140.3026837213209</c:v>
                </c:pt>
                <c:pt idx="1">
                  <c:v>113.28384243524951</c:v>
                </c:pt>
                <c:pt idx="2">
                  <c:v>106.70701157726154</c:v>
                </c:pt>
                <c:pt idx="3">
                  <c:v>126.41156318604429</c:v>
                </c:pt>
                <c:pt idx="4">
                  <c:v>145.07766499542544</c:v>
                </c:pt>
                <c:pt idx="5">
                  <c:v>159.60412426911833</c:v>
                </c:pt>
                <c:pt idx="6">
                  <c:v>165.76354863299724</c:v>
                </c:pt>
                <c:pt idx="7">
                  <c:v>155.36889294157257</c:v>
                </c:pt>
                <c:pt idx="8">
                  <c:v>161.14401401234332</c:v>
                </c:pt>
                <c:pt idx="9">
                  <c:v>166.98432890496659</c:v>
                </c:pt>
                <c:pt idx="10">
                  <c:v>178.52465318937536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698-441A-943D-C61B82178003}"/>
            </c:ext>
          </c:extLst>
        </c:ser>
        <c:ser>
          <c:idx val="7"/>
          <c:order val="7"/>
          <c:tx>
            <c:strRef>
              <c:f>'Charts Inflation Adj Exp SCH'!$I$1</c:f>
              <c:strCache>
                <c:ptCount val="1"/>
                <c:pt idx="0">
                  <c:v>COB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SCH'!$I$2:$I$12</c:f>
              <c:numCache>
                <c:formatCode>_("$"* #,##0_);_("$"* \(#,##0\);_("$"* "-"??_);_(@_)</c:formatCode>
                <c:ptCount val="11"/>
                <c:pt idx="0">
                  <c:v>258.57287525063339</c:v>
                </c:pt>
                <c:pt idx="1">
                  <c:v>245.59462708065544</c:v>
                </c:pt>
                <c:pt idx="2">
                  <c:v>245.69310241797498</c:v>
                </c:pt>
                <c:pt idx="3">
                  <c:v>259.75611072445309</c:v>
                </c:pt>
                <c:pt idx="4">
                  <c:v>256.69716237401002</c:v>
                </c:pt>
                <c:pt idx="5">
                  <c:v>257.09268944044214</c:v>
                </c:pt>
                <c:pt idx="6">
                  <c:v>246.32650245380947</c:v>
                </c:pt>
                <c:pt idx="7">
                  <c:v>231.96719125302184</c:v>
                </c:pt>
                <c:pt idx="8">
                  <c:v>243.06362867684936</c:v>
                </c:pt>
                <c:pt idx="9">
                  <c:v>268.0504948622148</c:v>
                </c:pt>
                <c:pt idx="10">
                  <c:v>307.07412517689613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698-441A-943D-C61B82178003}"/>
            </c:ext>
          </c:extLst>
        </c:ser>
        <c:ser>
          <c:idx val="9"/>
          <c:order val="9"/>
          <c:tx>
            <c:strRef>
              <c:f>'Charts Inflation Adj Exp SCH'!$K$1</c:f>
              <c:strCache>
                <c:ptCount val="1"/>
                <c:pt idx="0">
                  <c:v>Wtd Avg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SCH'!$K$2:$K$12</c:f>
              <c:numCache>
                <c:formatCode>_("$"* #,##0_);_("$"* \(#,##0\);_("$"* "-"??_);_(@_)</c:formatCode>
                <c:ptCount val="11"/>
                <c:pt idx="0">
                  <c:v>240.60161277153549</c:v>
                </c:pt>
                <c:pt idx="1">
                  <c:v>209.74606647212957</c:v>
                </c:pt>
                <c:pt idx="2">
                  <c:v>216.99960798177719</c:v>
                </c:pt>
                <c:pt idx="3">
                  <c:v>237.52835007511783</c:v>
                </c:pt>
                <c:pt idx="4">
                  <c:v>246.39156228884627</c:v>
                </c:pt>
                <c:pt idx="5">
                  <c:v>253.5198655809952</c:v>
                </c:pt>
                <c:pt idx="6">
                  <c:v>262.68809964687415</c:v>
                </c:pt>
                <c:pt idx="7">
                  <c:v>265.45490119831641</c:v>
                </c:pt>
                <c:pt idx="8">
                  <c:v>259.89603554958876</c:v>
                </c:pt>
                <c:pt idx="9">
                  <c:v>267.83512716857331</c:v>
                </c:pt>
                <c:pt idx="10">
                  <c:v>289.4196681748092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698-441A-943D-C61B82178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124447"/>
        <c:axId val="1552118207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'Charts Inflation Adj Exp SCH'!$G$1</c15:sqref>
                        </c15:formulaRef>
                      </c:ext>
                    </c:extLst>
                    <c:strCache>
                      <c:ptCount val="1"/>
                      <c:pt idx="0">
                        <c:v>DHC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'Charts Inflation Adj Exp SCH'!$A$2:$A$12</c15:sqref>
                        </c15:formulaRef>
                      </c:ext>
                    </c:extLst>
                    <c:strCach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'Charts Inflation Adj Exp SCH'!$G$2:$G$12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11"/>
                      <c:pt idx="0">
                        <c:v>878.80702410641732</c:v>
                      </c:pt>
                      <c:pt idx="1">
                        <c:v>400.29475405732325</c:v>
                      </c:pt>
                      <c:pt idx="2">
                        <c:v>361.44518371848096</c:v>
                      </c:pt>
                      <c:pt idx="3">
                        <c:v>382.89499861309588</c:v>
                      </c:pt>
                      <c:pt idx="4">
                        <c:v>370.71131469430634</c:v>
                      </c:pt>
                      <c:pt idx="5">
                        <c:v>397.1715987604174</c:v>
                      </c:pt>
                      <c:pt idx="6">
                        <c:v>451.75608037402833</c:v>
                      </c:pt>
                      <c:pt idx="7">
                        <c:v>417.14325325814031</c:v>
                      </c:pt>
                      <c:pt idx="8">
                        <c:v>376.53768858371109</c:v>
                      </c:pt>
                      <c:pt idx="9">
                        <c:v>158.44874642412861</c:v>
                      </c:pt>
                      <c:pt idx="10">
                        <c:v>281.73037373191818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9698-441A-943D-C61B82178003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'Charts Inflation Adj Exp SCH'!$J$1</c15:sqref>
                        </c15:formulaRef>
                      </c:ext>
                    </c:extLst>
                    <c:strCache>
                      <c:ptCount val="1"/>
                      <c:pt idx="0">
                        <c:v>Law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'Charts Inflation Adj Exp SCH'!$A$2:$A$12</c15:sqref>
                        </c15:formulaRef>
                      </c:ext>
                    </c:extLst>
                    <c:strCach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'Charts Inflation Adj Exp SCH'!$J$2:$J$12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11"/>
                      <c:pt idx="0">
                        <c:v>771.98027947864239</c:v>
                      </c:pt>
                      <c:pt idx="1">
                        <c:v>769.46684809920964</c:v>
                      </c:pt>
                      <c:pt idx="2">
                        <c:v>758.77520251282704</c:v>
                      </c:pt>
                      <c:pt idx="3">
                        <c:v>765.46696562992884</c:v>
                      </c:pt>
                      <c:pt idx="4">
                        <c:v>647.32679538597893</c:v>
                      </c:pt>
                      <c:pt idx="5">
                        <c:v>704.341193638184</c:v>
                      </c:pt>
                      <c:pt idx="6">
                        <c:v>702.34001105004688</c:v>
                      </c:pt>
                      <c:pt idx="7">
                        <c:v>657.85946503459411</c:v>
                      </c:pt>
                      <c:pt idx="8">
                        <c:v>627.06945712063703</c:v>
                      </c:pt>
                      <c:pt idx="9">
                        <c:v>541.92583458565866</c:v>
                      </c:pt>
                      <c:pt idx="10">
                        <c:v>546.93380995653672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698-441A-943D-C61B82178003}"/>
                  </c:ext>
                </c:extLst>
              </c15:ser>
            </c15:filteredLineSeries>
          </c:ext>
        </c:extLst>
      </c:lineChart>
      <c:catAx>
        <c:axId val="1552124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18207"/>
        <c:crosses val="autoZero"/>
        <c:auto val="1"/>
        <c:lblAlgn val="ctr"/>
        <c:lblOffset val="100"/>
        <c:noMultiLvlLbl val="0"/>
      </c:catAx>
      <c:valAx>
        <c:axId val="1552118207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24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Cost per SCH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 Historical Exp No 2'!$B$2</c:f>
              <c:strCache>
                <c:ptCount val="1"/>
                <c:pt idx="0">
                  <c:v>College of Education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2'!$B$3:$B$17</c:f>
              <c:numCache>
                <c:formatCode>_("$"* #,##0_);_("$"* \(#,##0\);_("$"* "-"??_);_(@_)</c:formatCode>
                <c:ptCount val="15"/>
                <c:pt idx="0">
                  <c:v>198.88618976511012</c:v>
                </c:pt>
                <c:pt idx="1">
                  <c:v>168.88046475337248</c:v>
                </c:pt>
                <c:pt idx="2">
                  <c:v>174.4941544276532</c:v>
                </c:pt>
                <c:pt idx="3">
                  <c:v>191.75757652817808</c:v>
                </c:pt>
                <c:pt idx="4">
                  <c:v>200.28144272804684</c:v>
                </c:pt>
                <c:pt idx="5">
                  <c:v>226.82333820147508</c:v>
                </c:pt>
                <c:pt idx="6">
                  <c:v>224.14045170284615</c:v>
                </c:pt>
                <c:pt idx="7">
                  <c:v>220.03840592364097</c:v>
                </c:pt>
                <c:pt idx="8">
                  <c:v>209.04772933652831</c:v>
                </c:pt>
                <c:pt idx="9">
                  <c:v>240.01760537333999</c:v>
                </c:pt>
                <c:pt idx="10">
                  <c:v>249.47454518816619</c:v>
                </c:pt>
                <c:pt idx="11">
                  <c:v>248.16759162107411</c:v>
                </c:pt>
                <c:pt idx="12">
                  <c:v>288.15767860960034</c:v>
                </c:pt>
                <c:pt idx="13">
                  <c:v>367.27515256805242</c:v>
                </c:pt>
                <c:pt idx="14">
                  <c:v>379.00695300249532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B9-4A79-8FC1-8F387E46A851}"/>
            </c:ext>
          </c:extLst>
        </c:ser>
        <c:ser>
          <c:idx val="1"/>
          <c:order val="1"/>
          <c:tx>
            <c:strRef>
              <c:f>'Charts Historical Exp No 2'!$C$2</c:f>
              <c:strCache>
                <c:ptCount val="1"/>
                <c:pt idx="0">
                  <c:v>College of Health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2'!$C$3:$C$17</c:f>
              <c:numCache>
                <c:formatCode>_("$"* #,##0_);_("$"* \(#,##0\);_("$"* "-"??_);_(@_)</c:formatCode>
                <c:ptCount val="15"/>
                <c:pt idx="0">
                  <c:v>355.33262977220744</c:v>
                </c:pt>
                <c:pt idx="1">
                  <c:v>332.37355858528883</c:v>
                </c:pt>
                <c:pt idx="2">
                  <c:v>351.85524065577653</c:v>
                </c:pt>
                <c:pt idx="3">
                  <c:v>385.29455685318817</c:v>
                </c:pt>
                <c:pt idx="4">
                  <c:v>384.02097126552576</c:v>
                </c:pt>
                <c:pt idx="5">
                  <c:v>399.57676442208424</c:v>
                </c:pt>
                <c:pt idx="6">
                  <c:v>408.23152996158848</c:v>
                </c:pt>
                <c:pt idx="7">
                  <c:v>394.91526943022285</c:v>
                </c:pt>
                <c:pt idx="8">
                  <c:v>375.31683612787515</c:v>
                </c:pt>
                <c:pt idx="9">
                  <c:v>384.38009196720202</c:v>
                </c:pt>
                <c:pt idx="10">
                  <c:v>343.98437302235004</c:v>
                </c:pt>
                <c:pt idx="11">
                  <c:v>365.70733626812313</c:v>
                </c:pt>
                <c:pt idx="12">
                  <c:v>384.69467680810283</c:v>
                </c:pt>
                <c:pt idx="13">
                  <c:v>412.13889702156251</c:v>
                </c:pt>
                <c:pt idx="14">
                  <c:v>467.87680308556094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B9-4A79-8FC1-8F387E46A851}"/>
            </c:ext>
          </c:extLst>
        </c:ser>
        <c:ser>
          <c:idx val="2"/>
          <c:order val="2"/>
          <c:tx>
            <c:strRef>
              <c:f>'Charts Historical Exp No 2'!$D$2</c:f>
              <c:strCache>
                <c:ptCount val="1"/>
                <c:pt idx="0">
                  <c:v>College of Forestry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2'!$D$3:$D$17</c:f>
              <c:numCache>
                <c:formatCode>_("$"* #,##0_);_("$"* \(#,##0\);_("$"* "-"??_);_(@_)</c:formatCode>
                <c:ptCount val="15"/>
                <c:pt idx="0">
                  <c:v>265.78530375298078</c:v>
                </c:pt>
                <c:pt idx="1">
                  <c:v>227.51461774895091</c:v>
                </c:pt>
                <c:pt idx="2">
                  <c:v>256.98717559331931</c:v>
                </c:pt>
                <c:pt idx="3">
                  <c:v>249.65861302308608</c:v>
                </c:pt>
                <c:pt idx="4">
                  <c:v>283.45710923862919</c:v>
                </c:pt>
                <c:pt idx="5">
                  <c:v>306.51568505314077</c:v>
                </c:pt>
                <c:pt idx="6">
                  <c:v>306.25820752781954</c:v>
                </c:pt>
                <c:pt idx="7">
                  <c:v>328.65821795965627</c:v>
                </c:pt>
                <c:pt idx="8">
                  <c:v>369.5990171894847</c:v>
                </c:pt>
                <c:pt idx="9">
                  <c:v>312.5946887110328</c:v>
                </c:pt>
                <c:pt idx="10">
                  <c:v>333.1574616502653</c:v>
                </c:pt>
                <c:pt idx="11">
                  <c:v>344.29503687712167</c:v>
                </c:pt>
                <c:pt idx="12">
                  <c:v>362.96304566056131</c:v>
                </c:pt>
                <c:pt idx="13">
                  <c:v>411.37248472437892</c:v>
                </c:pt>
                <c:pt idx="14">
                  <c:v>399.01384087690667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B9-4A79-8FC1-8F387E46A851}"/>
            </c:ext>
          </c:extLst>
        </c:ser>
        <c:ser>
          <c:idx val="3"/>
          <c:order val="3"/>
          <c:tx>
            <c:strRef>
              <c:f>'Charts Historical Exp No 2'!$E$2</c:f>
              <c:strCache>
                <c:ptCount val="1"/>
                <c:pt idx="0">
                  <c:v>College of Humanities and Sciences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2'!$E$3:$E$17</c:f>
              <c:numCache>
                <c:formatCode>_("$"* #,##0_);_("$"* \(#,##0\);_("$"* "-"??_);_(@_)</c:formatCode>
                <c:ptCount val="15"/>
                <c:pt idx="0">
                  <c:v>176.90694595953667</c:v>
                </c:pt>
                <c:pt idx="1">
                  <c:v>161.45424095397775</c:v>
                </c:pt>
                <c:pt idx="2">
                  <c:v>173.55061065578909</c:v>
                </c:pt>
                <c:pt idx="3">
                  <c:v>193.7121675806419</c:v>
                </c:pt>
                <c:pt idx="4">
                  <c:v>205.89498717780853</c:v>
                </c:pt>
                <c:pt idx="5">
                  <c:v>209.44411951367442</c:v>
                </c:pt>
                <c:pt idx="6">
                  <c:v>225.52498277642613</c:v>
                </c:pt>
                <c:pt idx="7">
                  <c:v>242.62976025951835</c:v>
                </c:pt>
                <c:pt idx="8">
                  <c:v>241.07874953930781</c:v>
                </c:pt>
                <c:pt idx="9">
                  <c:v>258.1549953567669</c:v>
                </c:pt>
                <c:pt idx="10">
                  <c:v>283.43926253559522</c:v>
                </c:pt>
                <c:pt idx="11">
                  <c:v>292.54967829612377</c:v>
                </c:pt>
                <c:pt idx="12">
                  <c:v>322.51774823361899</c:v>
                </c:pt>
                <c:pt idx="13">
                  <c:v>305.69513935403933</c:v>
                </c:pt>
                <c:pt idx="14">
                  <c:v>276.29529882133704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B9-4A79-8FC1-8F387E46A851}"/>
            </c:ext>
          </c:extLst>
        </c:ser>
        <c:ser>
          <c:idx val="4"/>
          <c:order val="4"/>
          <c:tx>
            <c:strRef>
              <c:f>'Charts Historical Exp No 2'!$F$2</c:f>
              <c:strCache>
                <c:ptCount val="1"/>
                <c:pt idx="0">
                  <c:v>College of Arts and Media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2'!$F$3:$F$17</c:f>
              <c:numCache>
                <c:formatCode>_("$"* #,##0_);_("$"* \(#,##0\);_("$"* "-"??_);_(@_)</c:formatCode>
                <c:ptCount val="15"/>
                <c:pt idx="0">
                  <c:v>214.77160793935118</c:v>
                </c:pt>
                <c:pt idx="1">
                  <c:v>209.12773346693717</c:v>
                </c:pt>
                <c:pt idx="2">
                  <c:v>233.35345520111099</c:v>
                </c:pt>
                <c:pt idx="3">
                  <c:v>245.36115097649181</c:v>
                </c:pt>
                <c:pt idx="4">
                  <c:v>253.4154566285512</c:v>
                </c:pt>
                <c:pt idx="5">
                  <c:v>244.18081955277498</c:v>
                </c:pt>
                <c:pt idx="6">
                  <c:v>255.1661418272673</c:v>
                </c:pt>
                <c:pt idx="7">
                  <c:v>264.01279388076432</c:v>
                </c:pt>
                <c:pt idx="8">
                  <c:v>269.43576957089306</c:v>
                </c:pt>
                <c:pt idx="9">
                  <c:v>266.08238270047667</c:v>
                </c:pt>
                <c:pt idx="10">
                  <c:v>284.67324419597611</c:v>
                </c:pt>
                <c:pt idx="11">
                  <c:v>319.92558130443365</c:v>
                </c:pt>
                <c:pt idx="12">
                  <c:v>325.37125404641665</c:v>
                </c:pt>
                <c:pt idx="13">
                  <c:v>340.55276940612248</c:v>
                </c:pt>
                <c:pt idx="14">
                  <c:v>289.93157609390806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B9-4A79-8FC1-8F387E46A851}"/>
            </c:ext>
          </c:extLst>
        </c:ser>
        <c:ser>
          <c:idx val="5"/>
          <c:order val="5"/>
          <c:tx>
            <c:strRef>
              <c:f>'Charts Historical Exp No 2'!$G$2</c:f>
              <c:strCache>
                <c:ptCount val="1"/>
                <c:pt idx="0">
                  <c:v>Davidson Davidson Honors College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2'!$G$3:$G$17</c:f>
              <c:numCache>
                <c:formatCode>_("$"* #,##0_);_("$"* \(#,##0\);_("$"* "-"??_);_(@_)</c:formatCode>
                <c:ptCount val="15"/>
                <c:pt idx="0">
                  <c:v>743.05151273054639</c:v>
                </c:pt>
                <c:pt idx="1">
                  <c:v>350.49010949770008</c:v>
                </c:pt>
                <c:pt idx="2">
                  <c:v>321.74219665166544</c:v>
                </c:pt>
                <c:pt idx="3">
                  <c:v>344.82618751179382</c:v>
                </c:pt>
                <c:pt idx="4">
                  <c:v>342.74344923659982</c:v>
                </c:pt>
                <c:pt idx="5">
                  <c:v>367.64935551274402</c:v>
                </c:pt>
                <c:pt idx="6">
                  <c:v>422.35983580219551</c:v>
                </c:pt>
                <c:pt idx="7">
                  <c:v>396.37329271963159</c:v>
                </c:pt>
                <c:pt idx="8">
                  <c:v>368.07203185113502</c:v>
                </c:pt>
                <c:pt idx="9">
                  <c:v>157.42548079893555</c:v>
                </c:pt>
                <c:pt idx="10">
                  <c:v>281.73037373191818</c:v>
                </c:pt>
                <c:pt idx="11">
                  <c:v>293.54093372000989</c:v>
                </c:pt>
                <c:pt idx="12">
                  <c:v>249.01112121981225</c:v>
                </c:pt>
                <c:pt idx="13">
                  <c:v>333.73824927725872</c:v>
                </c:pt>
                <c:pt idx="14">
                  <c:v>223.61065831410735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DB9-4A79-8FC1-8F387E46A851}"/>
            </c:ext>
          </c:extLst>
        </c:ser>
        <c:ser>
          <c:idx val="6"/>
          <c:order val="6"/>
          <c:tx>
            <c:strRef>
              <c:f>'Charts Historical Exp No 2'!$H$2</c:f>
              <c:strCache>
                <c:ptCount val="1"/>
                <c:pt idx="0">
                  <c:v>Missoula College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2'!$H$3:$H$17</c:f>
              <c:numCache>
                <c:formatCode>_("$"* #,##0_);_("$"* \(#,##0\);_("$"* "-"??_);_(@_)</c:formatCode>
                <c:ptCount val="15"/>
                <c:pt idx="0">
                  <c:v>118.62913986752423</c:v>
                </c:pt>
                <c:pt idx="1">
                  <c:v>99.189074892959923</c:v>
                </c:pt>
                <c:pt idx="2">
                  <c:v>94.985767827364739</c:v>
                </c:pt>
                <c:pt idx="3">
                  <c:v>113.843266558037</c:v>
                </c:pt>
                <c:pt idx="4">
                  <c:v>134.13245654162856</c:v>
                </c:pt>
                <c:pt idx="5">
                  <c:v>147.74055750172946</c:v>
                </c:pt>
                <c:pt idx="6">
                  <c:v>154.97713970923451</c:v>
                </c:pt>
                <c:pt idx="7">
                  <c:v>147.63292753855242</c:v>
                </c:pt>
                <c:pt idx="8">
                  <c:v>157.52103031509611</c:v>
                </c:pt>
                <c:pt idx="9">
                  <c:v>165.90594029306169</c:v>
                </c:pt>
                <c:pt idx="10">
                  <c:v>178.52465318937536</c:v>
                </c:pt>
                <c:pt idx="11">
                  <c:v>193.82249226525417</c:v>
                </c:pt>
                <c:pt idx="12">
                  <c:v>187.21475916924419</c:v>
                </c:pt>
                <c:pt idx="13">
                  <c:v>199.19218771662275</c:v>
                </c:pt>
                <c:pt idx="14">
                  <c:v>183.23602647270823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B9-4A79-8FC1-8F387E46A851}"/>
            </c:ext>
          </c:extLst>
        </c:ser>
        <c:ser>
          <c:idx val="7"/>
          <c:order val="7"/>
          <c:tx>
            <c:strRef>
              <c:f>'Charts Historical Exp No 2'!$I$2</c:f>
              <c:strCache>
                <c:ptCount val="1"/>
                <c:pt idx="0">
                  <c:v>College of Business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2'!$I$3:$I$17</c:f>
              <c:numCache>
                <c:formatCode>_("$"* #,##0_);_("$"* \(#,##0\);_("$"* "-"??_);_(@_)</c:formatCode>
                <c:ptCount val="15"/>
                <c:pt idx="0">
                  <c:v>218.62930180995465</c:v>
                </c:pt>
                <c:pt idx="1">
                  <c:v>215.03776121237672</c:v>
                </c:pt>
                <c:pt idx="2">
                  <c:v>218.70491580734821</c:v>
                </c:pt>
                <c:pt idx="3">
                  <c:v>233.9302149896011</c:v>
                </c:pt>
                <c:pt idx="4">
                  <c:v>237.33095633691758</c:v>
                </c:pt>
                <c:pt idx="5">
                  <c:v>237.98268021886713</c:v>
                </c:pt>
                <c:pt idx="6">
                  <c:v>230.29777716324742</c:v>
                </c:pt>
                <c:pt idx="7">
                  <c:v>220.41732350154109</c:v>
                </c:pt>
                <c:pt idx="8">
                  <c:v>237.59885501158297</c:v>
                </c:pt>
                <c:pt idx="9">
                  <c:v>266.319418641048</c:v>
                </c:pt>
                <c:pt idx="10">
                  <c:v>307.07412517689613</c:v>
                </c:pt>
                <c:pt idx="11">
                  <c:v>279.92209831980529</c:v>
                </c:pt>
                <c:pt idx="12">
                  <c:v>287.030122455021</c:v>
                </c:pt>
                <c:pt idx="13">
                  <c:v>315.4574860917412</c:v>
                </c:pt>
                <c:pt idx="14">
                  <c:v>299.54698946628054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DB9-4A79-8FC1-8F387E46A851}"/>
            </c:ext>
          </c:extLst>
        </c:ser>
        <c:ser>
          <c:idx val="8"/>
          <c:order val="8"/>
          <c:tx>
            <c:strRef>
              <c:f>'Charts Historical Exp No 2'!$J$2</c:f>
              <c:strCache>
                <c:ptCount val="1"/>
                <c:pt idx="0">
                  <c:v>School of Law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2'!$J$3:$J$17</c:f>
              <c:numCache>
                <c:formatCode>_("$"* #,##0_);_("$"* \(#,##0\);_("$"* "-"??_);_(@_)</c:formatCode>
                <c:ptCount val="15"/>
                <c:pt idx="0">
                  <c:v>652.7270478385409</c:v>
                </c:pt>
                <c:pt idx="1">
                  <c:v>673.72983810455275</c:v>
                </c:pt>
                <c:pt idx="2">
                  <c:v>675.42745461351888</c:v>
                </c:pt>
                <c:pt idx="3">
                  <c:v>689.36146040159292</c:v>
                </c:pt>
                <c:pt idx="4">
                  <c:v>598.49001052697758</c:v>
                </c:pt>
                <c:pt idx="5">
                  <c:v>651.98666448040728</c:v>
                </c:pt>
                <c:pt idx="6">
                  <c:v>656.63800584334967</c:v>
                </c:pt>
                <c:pt idx="7">
                  <c:v>625.10401466609096</c:v>
                </c:pt>
                <c:pt idx="8">
                  <c:v>612.971121330046</c:v>
                </c:pt>
                <c:pt idx="9">
                  <c:v>538.42606516210503</c:v>
                </c:pt>
                <c:pt idx="10">
                  <c:v>546.93380995653672</c:v>
                </c:pt>
                <c:pt idx="11">
                  <c:v>510.57590071058064</c:v>
                </c:pt>
                <c:pt idx="12">
                  <c:v>497.72824727615739</c:v>
                </c:pt>
                <c:pt idx="13">
                  <c:v>551.87888082040342</c:v>
                </c:pt>
                <c:pt idx="14">
                  <c:v>638.51158087646138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DB9-4A79-8FC1-8F387E46A851}"/>
            </c:ext>
          </c:extLst>
        </c:ser>
        <c:ser>
          <c:idx val="9"/>
          <c:order val="9"/>
          <c:tx>
            <c:strRef>
              <c:f>'Charts Historical Exp No 2'!$K$2</c:f>
              <c:strCache>
                <c:ptCount val="1"/>
                <c:pt idx="0">
                  <c:v>University of Montana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2'!$K$3:$K$17</c:f>
              <c:numCache>
                <c:formatCode>_("$"* #,##0_);_("$"* \(#,##0\);_("$"* "-"??_);_(@_)</c:formatCode>
                <c:ptCount val="15"/>
                <c:pt idx="0">
                  <c:v>203.43418683650586</c:v>
                </c:pt>
                <c:pt idx="1">
                  <c:v>183.64947594092425</c:v>
                </c:pt>
                <c:pt idx="2">
                  <c:v>193.16326151128467</c:v>
                </c:pt>
                <c:pt idx="3">
                  <c:v>213.91241901577612</c:v>
                </c:pt>
                <c:pt idx="4">
                  <c:v>227.80284974930316</c:v>
                </c:pt>
                <c:pt idx="5">
                  <c:v>234.67542865962713</c:v>
                </c:pt>
                <c:pt idx="6">
                  <c:v>245.59470797202141</c:v>
                </c:pt>
                <c:pt idx="7">
                  <c:v>252.23764842105322</c:v>
                </c:pt>
                <c:pt idx="8">
                  <c:v>254.05282067408484</c:v>
                </c:pt>
                <c:pt idx="9">
                  <c:v>266.1054417968935</c:v>
                </c:pt>
                <c:pt idx="10">
                  <c:v>289.4196681748092</c:v>
                </c:pt>
                <c:pt idx="11">
                  <c:v>301.39566235451207</c:v>
                </c:pt>
                <c:pt idx="12">
                  <c:v>318.6108991895606</c:v>
                </c:pt>
                <c:pt idx="13">
                  <c:v>327.68204908996825</c:v>
                </c:pt>
                <c:pt idx="14">
                  <c:v>313.03859858516864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DB9-4A79-8FC1-8F387E46A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124447"/>
        <c:axId val="1552118207"/>
      </c:lineChart>
      <c:catAx>
        <c:axId val="1552124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18207"/>
        <c:crosses val="autoZero"/>
        <c:auto val="1"/>
        <c:lblAlgn val="ctr"/>
        <c:lblOffset val="100"/>
        <c:noMultiLvlLbl val="0"/>
      </c:catAx>
      <c:valAx>
        <c:axId val="1552118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24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461067366579176E-2"/>
          <c:y val="0.13698630136986301"/>
          <c:w val="0.94367343555739747"/>
          <c:h val="0.7578233200302017"/>
        </c:manualLayout>
      </c:layout>
      <c:lineChart>
        <c:grouping val="standard"/>
        <c:varyColors val="0"/>
        <c:ser>
          <c:idx val="0"/>
          <c:order val="0"/>
          <c:tx>
            <c:strRef>
              <c:f>'Charts Historical Exp No 2'!$B$2</c:f>
              <c:strCache>
                <c:ptCount val="1"/>
                <c:pt idx="0">
                  <c:v>College of Education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2'!$B$3:$B$17</c:f>
              <c:numCache>
                <c:formatCode>_("$"* #,##0_);_("$"* \(#,##0\);_("$"* "-"??_);_(@_)</c:formatCode>
                <c:ptCount val="15"/>
                <c:pt idx="0">
                  <c:v>198.88618976511012</c:v>
                </c:pt>
                <c:pt idx="1">
                  <c:v>168.88046475337248</c:v>
                </c:pt>
                <c:pt idx="2">
                  <c:v>174.4941544276532</c:v>
                </c:pt>
                <c:pt idx="3">
                  <c:v>191.75757652817808</c:v>
                </c:pt>
                <c:pt idx="4">
                  <c:v>200.28144272804684</c:v>
                </c:pt>
                <c:pt idx="5">
                  <c:v>226.82333820147508</c:v>
                </c:pt>
                <c:pt idx="6">
                  <c:v>224.14045170284615</c:v>
                </c:pt>
                <c:pt idx="7">
                  <c:v>220.03840592364097</c:v>
                </c:pt>
                <c:pt idx="8">
                  <c:v>209.04772933652831</c:v>
                </c:pt>
                <c:pt idx="9">
                  <c:v>240.01760537333999</c:v>
                </c:pt>
                <c:pt idx="10">
                  <c:v>249.47454518816619</c:v>
                </c:pt>
                <c:pt idx="11">
                  <c:v>248.16759162107411</c:v>
                </c:pt>
                <c:pt idx="12">
                  <c:v>288.15767860960034</c:v>
                </c:pt>
                <c:pt idx="13">
                  <c:v>367.27515256805242</c:v>
                </c:pt>
                <c:pt idx="14">
                  <c:v>379.00695300249532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4-4D2F-A120-E48165E5BCED}"/>
            </c:ext>
          </c:extLst>
        </c:ser>
        <c:ser>
          <c:idx val="1"/>
          <c:order val="1"/>
          <c:tx>
            <c:strRef>
              <c:f>'Charts Historical Exp No 2'!$C$2</c:f>
              <c:strCache>
                <c:ptCount val="1"/>
                <c:pt idx="0">
                  <c:v>College of Health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2'!$C$3:$C$17</c:f>
              <c:numCache>
                <c:formatCode>_("$"* #,##0_);_("$"* \(#,##0\);_("$"* "-"??_);_(@_)</c:formatCode>
                <c:ptCount val="15"/>
                <c:pt idx="0">
                  <c:v>355.33262977220744</c:v>
                </c:pt>
                <c:pt idx="1">
                  <c:v>332.37355858528883</c:v>
                </c:pt>
                <c:pt idx="2">
                  <c:v>351.85524065577653</c:v>
                </c:pt>
                <c:pt idx="3">
                  <c:v>385.29455685318817</c:v>
                </c:pt>
                <c:pt idx="4">
                  <c:v>384.02097126552576</c:v>
                </c:pt>
                <c:pt idx="5">
                  <c:v>399.57676442208424</c:v>
                </c:pt>
                <c:pt idx="6">
                  <c:v>408.23152996158848</c:v>
                </c:pt>
                <c:pt idx="7">
                  <c:v>394.91526943022285</c:v>
                </c:pt>
                <c:pt idx="8">
                  <c:v>375.31683612787515</c:v>
                </c:pt>
                <c:pt idx="9">
                  <c:v>384.38009196720202</c:v>
                </c:pt>
                <c:pt idx="10">
                  <c:v>343.98437302235004</c:v>
                </c:pt>
                <c:pt idx="11">
                  <c:v>365.70733626812313</c:v>
                </c:pt>
                <c:pt idx="12">
                  <c:v>384.69467680810283</c:v>
                </c:pt>
                <c:pt idx="13">
                  <c:v>412.13889702156251</c:v>
                </c:pt>
                <c:pt idx="14">
                  <c:v>467.87680308556094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4-4D2F-A120-E48165E5BCED}"/>
            </c:ext>
          </c:extLst>
        </c:ser>
        <c:ser>
          <c:idx val="2"/>
          <c:order val="2"/>
          <c:tx>
            <c:strRef>
              <c:f>'Charts Historical Exp No 2'!$D$2</c:f>
              <c:strCache>
                <c:ptCount val="1"/>
                <c:pt idx="0">
                  <c:v>College of Forestry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2'!$D$3:$D$17</c:f>
              <c:numCache>
                <c:formatCode>_("$"* #,##0_);_("$"* \(#,##0\);_("$"* "-"??_);_(@_)</c:formatCode>
                <c:ptCount val="15"/>
                <c:pt idx="0">
                  <c:v>265.78530375298078</c:v>
                </c:pt>
                <c:pt idx="1">
                  <c:v>227.51461774895091</c:v>
                </c:pt>
                <c:pt idx="2">
                  <c:v>256.98717559331931</c:v>
                </c:pt>
                <c:pt idx="3">
                  <c:v>249.65861302308608</c:v>
                </c:pt>
                <c:pt idx="4">
                  <c:v>283.45710923862919</c:v>
                </c:pt>
                <c:pt idx="5">
                  <c:v>306.51568505314077</c:v>
                </c:pt>
                <c:pt idx="6">
                  <c:v>306.25820752781954</c:v>
                </c:pt>
                <c:pt idx="7">
                  <c:v>328.65821795965627</c:v>
                </c:pt>
                <c:pt idx="8">
                  <c:v>369.5990171894847</c:v>
                </c:pt>
                <c:pt idx="9">
                  <c:v>312.5946887110328</c:v>
                </c:pt>
                <c:pt idx="10">
                  <c:v>333.1574616502653</c:v>
                </c:pt>
                <c:pt idx="11">
                  <c:v>344.29503687712167</c:v>
                </c:pt>
                <c:pt idx="12">
                  <c:v>362.96304566056131</c:v>
                </c:pt>
                <c:pt idx="13">
                  <c:v>411.37248472437892</c:v>
                </c:pt>
                <c:pt idx="14">
                  <c:v>399.01384087690667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F4-4D2F-A120-E48165E5BCED}"/>
            </c:ext>
          </c:extLst>
        </c:ser>
        <c:ser>
          <c:idx val="3"/>
          <c:order val="3"/>
          <c:tx>
            <c:strRef>
              <c:f>'Charts Historical Exp No 2'!$E$2</c:f>
              <c:strCache>
                <c:ptCount val="1"/>
                <c:pt idx="0">
                  <c:v>College of Humanities and Sciences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2'!$E$3:$E$17</c:f>
              <c:numCache>
                <c:formatCode>_("$"* #,##0_);_("$"* \(#,##0\);_("$"* "-"??_);_(@_)</c:formatCode>
                <c:ptCount val="15"/>
                <c:pt idx="0">
                  <c:v>176.90694595953667</c:v>
                </c:pt>
                <c:pt idx="1">
                  <c:v>161.45424095397775</c:v>
                </c:pt>
                <c:pt idx="2">
                  <c:v>173.55061065578909</c:v>
                </c:pt>
                <c:pt idx="3">
                  <c:v>193.7121675806419</c:v>
                </c:pt>
                <c:pt idx="4">
                  <c:v>205.89498717780853</c:v>
                </c:pt>
                <c:pt idx="5">
                  <c:v>209.44411951367442</c:v>
                </c:pt>
                <c:pt idx="6">
                  <c:v>225.52498277642613</c:v>
                </c:pt>
                <c:pt idx="7">
                  <c:v>242.62976025951835</c:v>
                </c:pt>
                <c:pt idx="8">
                  <c:v>241.07874953930781</c:v>
                </c:pt>
                <c:pt idx="9">
                  <c:v>258.1549953567669</c:v>
                </c:pt>
                <c:pt idx="10">
                  <c:v>283.43926253559522</c:v>
                </c:pt>
                <c:pt idx="11">
                  <c:v>292.54967829612377</c:v>
                </c:pt>
                <c:pt idx="12">
                  <c:v>322.51774823361899</c:v>
                </c:pt>
                <c:pt idx="13">
                  <c:v>305.69513935403933</c:v>
                </c:pt>
                <c:pt idx="14">
                  <c:v>276.29529882133704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F4-4D2F-A120-E48165E5BCED}"/>
            </c:ext>
          </c:extLst>
        </c:ser>
        <c:ser>
          <c:idx val="4"/>
          <c:order val="4"/>
          <c:tx>
            <c:strRef>
              <c:f>'Charts Historical Exp No 2'!$F$2</c:f>
              <c:strCache>
                <c:ptCount val="1"/>
                <c:pt idx="0">
                  <c:v>College of Arts and Media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2'!$F$3:$F$17</c:f>
              <c:numCache>
                <c:formatCode>_("$"* #,##0_);_("$"* \(#,##0\);_("$"* "-"??_);_(@_)</c:formatCode>
                <c:ptCount val="15"/>
                <c:pt idx="0">
                  <c:v>214.77160793935118</c:v>
                </c:pt>
                <c:pt idx="1">
                  <c:v>209.12773346693717</c:v>
                </c:pt>
                <c:pt idx="2">
                  <c:v>233.35345520111099</c:v>
                </c:pt>
                <c:pt idx="3">
                  <c:v>245.36115097649181</c:v>
                </c:pt>
                <c:pt idx="4">
                  <c:v>253.4154566285512</c:v>
                </c:pt>
                <c:pt idx="5">
                  <c:v>244.18081955277498</c:v>
                </c:pt>
                <c:pt idx="6">
                  <c:v>255.1661418272673</c:v>
                </c:pt>
                <c:pt idx="7">
                  <c:v>264.01279388076432</c:v>
                </c:pt>
                <c:pt idx="8">
                  <c:v>269.43576957089306</c:v>
                </c:pt>
                <c:pt idx="9">
                  <c:v>266.08238270047667</c:v>
                </c:pt>
                <c:pt idx="10">
                  <c:v>284.67324419597611</c:v>
                </c:pt>
                <c:pt idx="11">
                  <c:v>319.92558130443365</c:v>
                </c:pt>
                <c:pt idx="12">
                  <c:v>325.37125404641665</c:v>
                </c:pt>
                <c:pt idx="13">
                  <c:v>340.55276940612248</c:v>
                </c:pt>
                <c:pt idx="14">
                  <c:v>289.93157609390806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F4-4D2F-A120-E48165E5BCED}"/>
            </c:ext>
          </c:extLst>
        </c:ser>
        <c:ser>
          <c:idx val="6"/>
          <c:order val="6"/>
          <c:tx>
            <c:strRef>
              <c:f>'Charts Historical Exp No 2'!$H$2</c:f>
              <c:strCache>
                <c:ptCount val="1"/>
                <c:pt idx="0">
                  <c:v>Missoula College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2'!$H$3:$H$17</c:f>
              <c:numCache>
                <c:formatCode>_("$"* #,##0_);_("$"* \(#,##0\);_("$"* "-"??_);_(@_)</c:formatCode>
                <c:ptCount val="15"/>
                <c:pt idx="0">
                  <c:v>118.62913986752423</c:v>
                </c:pt>
                <c:pt idx="1">
                  <c:v>99.189074892959923</c:v>
                </c:pt>
                <c:pt idx="2">
                  <c:v>94.985767827364739</c:v>
                </c:pt>
                <c:pt idx="3">
                  <c:v>113.843266558037</c:v>
                </c:pt>
                <c:pt idx="4">
                  <c:v>134.13245654162856</c:v>
                </c:pt>
                <c:pt idx="5">
                  <c:v>147.74055750172946</c:v>
                </c:pt>
                <c:pt idx="6">
                  <c:v>154.97713970923451</c:v>
                </c:pt>
                <c:pt idx="7">
                  <c:v>147.63292753855242</c:v>
                </c:pt>
                <c:pt idx="8">
                  <c:v>157.52103031509611</c:v>
                </c:pt>
                <c:pt idx="9">
                  <c:v>165.90594029306169</c:v>
                </c:pt>
                <c:pt idx="10">
                  <c:v>178.52465318937536</c:v>
                </c:pt>
                <c:pt idx="11">
                  <c:v>193.82249226525417</c:v>
                </c:pt>
                <c:pt idx="12">
                  <c:v>187.21475916924419</c:v>
                </c:pt>
                <c:pt idx="13">
                  <c:v>199.19218771662275</c:v>
                </c:pt>
                <c:pt idx="14">
                  <c:v>183.23602647270823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F4-4D2F-A120-E48165E5BCED}"/>
            </c:ext>
          </c:extLst>
        </c:ser>
        <c:ser>
          <c:idx val="7"/>
          <c:order val="7"/>
          <c:tx>
            <c:strRef>
              <c:f>'Charts Historical Exp No 2'!$I$2</c:f>
              <c:strCache>
                <c:ptCount val="1"/>
                <c:pt idx="0">
                  <c:v>College of Business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2'!$I$3:$I$17</c:f>
              <c:numCache>
                <c:formatCode>_("$"* #,##0_);_("$"* \(#,##0\);_("$"* "-"??_);_(@_)</c:formatCode>
                <c:ptCount val="15"/>
                <c:pt idx="0">
                  <c:v>218.62930180995465</c:v>
                </c:pt>
                <c:pt idx="1">
                  <c:v>215.03776121237672</c:v>
                </c:pt>
                <c:pt idx="2">
                  <c:v>218.70491580734821</c:v>
                </c:pt>
                <c:pt idx="3">
                  <c:v>233.9302149896011</c:v>
                </c:pt>
                <c:pt idx="4">
                  <c:v>237.33095633691758</c:v>
                </c:pt>
                <c:pt idx="5">
                  <c:v>237.98268021886713</c:v>
                </c:pt>
                <c:pt idx="6">
                  <c:v>230.29777716324742</c:v>
                </c:pt>
                <c:pt idx="7">
                  <c:v>220.41732350154109</c:v>
                </c:pt>
                <c:pt idx="8">
                  <c:v>237.59885501158297</c:v>
                </c:pt>
                <c:pt idx="9">
                  <c:v>266.319418641048</c:v>
                </c:pt>
                <c:pt idx="10">
                  <c:v>307.07412517689613</c:v>
                </c:pt>
                <c:pt idx="11">
                  <c:v>279.92209831980529</c:v>
                </c:pt>
                <c:pt idx="12">
                  <c:v>287.030122455021</c:v>
                </c:pt>
                <c:pt idx="13">
                  <c:v>315.4574860917412</c:v>
                </c:pt>
                <c:pt idx="14">
                  <c:v>299.54698946628054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8F4-4D2F-A120-E48165E5BCED}"/>
            </c:ext>
          </c:extLst>
        </c:ser>
        <c:ser>
          <c:idx val="9"/>
          <c:order val="9"/>
          <c:tx>
            <c:strRef>
              <c:f>'Charts Historical Exp No 2'!$K$2</c:f>
              <c:strCache>
                <c:ptCount val="1"/>
                <c:pt idx="0">
                  <c:v>University of Montana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2'!$K$3:$K$17</c:f>
              <c:numCache>
                <c:formatCode>_("$"* #,##0_);_("$"* \(#,##0\);_("$"* "-"??_);_(@_)</c:formatCode>
                <c:ptCount val="15"/>
                <c:pt idx="0">
                  <c:v>203.43418683650586</c:v>
                </c:pt>
                <c:pt idx="1">
                  <c:v>183.64947594092425</c:v>
                </c:pt>
                <c:pt idx="2">
                  <c:v>193.16326151128467</c:v>
                </c:pt>
                <c:pt idx="3">
                  <c:v>213.91241901577612</c:v>
                </c:pt>
                <c:pt idx="4">
                  <c:v>227.80284974930316</c:v>
                </c:pt>
                <c:pt idx="5">
                  <c:v>234.67542865962713</c:v>
                </c:pt>
                <c:pt idx="6">
                  <c:v>245.59470797202141</c:v>
                </c:pt>
                <c:pt idx="7">
                  <c:v>252.23764842105322</c:v>
                </c:pt>
                <c:pt idx="8">
                  <c:v>254.05282067408484</c:v>
                </c:pt>
                <c:pt idx="9">
                  <c:v>266.1054417968935</c:v>
                </c:pt>
                <c:pt idx="10">
                  <c:v>289.4196681748092</c:v>
                </c:pt>
                <c:pt idx="11">
                  <c:v>301.39566235451207</c:v>
                </c:pt>
                <c:pt idx="12">
                  <c:v>318.6108991895606</c:v>
                </c:pt>
                <c:pt idx="13">
                  <c:v>327.68204908996825</c:v>
                </c:pt>
                <c:pt idx="14">
                  <c:v>313.03859858516864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8F4-4D2F-A120-E48165E5B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124447"/>
        <c:axId val="1552118207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'Charts Historical Exp No 2'!$G$2</c15:sqref>
                        </c15:formulaRef>
                      </c:ext>
                    </c:extLst>
                    <c:strCache>
                      <c:ptCount val="1"/>
                      <c:pt idx="0">
                        <c:v>Davidson Davidson Honors College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'Charts Historical Exp No 2'!$A$3:$A$17</c15:sqref>
                        </c15:formulaRef>
                      </c:ext>
                    </c:extLst>
                    <c:strCache>
                      <c:ptCount val="15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2024F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'Charts Historical Exp No 2'!$G$3:$G$17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15"/>
                      <c:pt idx="0">
                        <c:v>743.05151273054639</c:v>
                      </c:pt>
                      <c:pt idx="1">
                        <c:v>350.49010949770008</c:v>
                      </c:pt>
                      <c:pt idx="2">
                        <c:v>321.74219665166544</c:v>
                      </c:pt>
                      <c:pt idx="3">
                        <c:v>344.82618751179382</c:v>
                      </c:pt>
                      <c:pt idx="4">
                        <c:v>342.74344923659982</c:v>
                      </c:pt>
                      <c:pt idx="5">
                        <c:v>367.64935551274402</c:v>
                      </c:pt>
                      <c:pt idx="6">
                        <c:v>422.35983580219551</c:v>
                      </c:pt>
                      <c:pt idx="7">
                        <c:v>396.37329271963159</c:v>
                      </c:pt>
                      <c:pt idx="8">
                        <c:v>368.07203185113502</c:v>
                      </c:pt>
                      <c:pt idx="9">
                        <c:v>157.42548079893555</c:v>
                      </c:pt>
                      <c:pt idx="10">
                        <c:v>281.73037373191818</c:v>
                      </c:pt>
                      <c:pt idx="11">
                        <c:v>293.54093372000989</c:v>
                      </c:pt>
                      <c:pt idx="12">
                        <c:v>249.01112121981225</c:v>
                      </c:pt>
                      <c:pt idx="13">
                        <c:v>333.73824927725872</c:v>
                      </c:pt>
                      <c:pt idx="14">
                        <c:v>223.61065831410735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88F4-4D2F-A120-E48165E5BCED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'Charts Historical Exp No 2'!$J$2</c15:sqref>
                        </c15:formulaRef>
                      </c:ext>
                    </c:extLst>
                    <c:strCache>
                      <c:ptCount val="1"/>
                      <c:pt idx="0">
                        <c:v>School of Law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'Charts Historical Exp No 2'!$A$3:$A$17</c15:sqref>
                        </c15:formulaRef>
                      </c:ext>
                    </c:extLst>
                    <c:strCache>
                      <c:ptCount val="15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2024F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'Charts Historical Exp No 2'!$J$3:$J$17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15"/>
                      <c:pt idx="0">
                        <c:v>652.7270478385409</c:v>
                      </c:pt>
                      <c:pt idx="1">
                        <c:v>673.72983810455275</c:v>
                      </c:pt>
                      <c:pt idx="2">
                        <c:v>675.42745461351888</c:v>
                      </c:pt>
                      <c:pt idx="3">
                        <c:v>689.36146040159292</c:v>
                      </c:pt>
                      <c:pt idx="4">
                        <c:v>598.49001052697758</c:v>
                      </c:pt>
                      <c:pt idx="5">
                        <c:v>651.98666448040728</c:v>
                      </c:pt>
                      <c:pt idx="6">
                        <c:v>656.63800584334967</c:v>
                      </c:pt>
                      <c:pt idx="7">
                        <c:v>625.10401466609096</c:v>
                      </c:pt>
                      <c:pt idx="8">
                        <c:v>612.971121330046</c:v>
                      </c:pt>
                      <c:pt idx="9">
                        <c:v>538.42606516210503</c:v>
                      </c:pt>
                      <c:pt idx="10">
                        <c:v>546.93380995653672</c:v>
                      </c:pt>
                      <c:pt idx="11">
                        <c:v>510.57590071058064</c:v>
                      </c:pt>
                      <c:pt idx="12">
                        <c:v>497.72824727615739</c:v>
                      </c:pt>
                      <c:pt idx="13">
                        <c:v>551.87888082040342</c:v>
                      </c:pt>
                      <c:pt idx="14">
                        <c:v>638.51158087646138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8F4-4D2F-A120-E48165E5BCED}"/>
                  </c:ext>
                </c:extLst>
              </c15:ser>
            </c15:filteredLineSeries>
          </c:ext>
        </c:extLst>
      </c:lineChart>
      <c:catAx>
        <c:axId val="1552124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18207"/>
        <c:crosses val="autoZero"/>
        <c:auto val="1"/>
        <c:lblAlgn val="ctr"/>
        <c:lblOffset val="100"/>
        <c:noMultiLvlLbl val="0"/>
      </c:catAx>
      <c:valAx>
        <c:axId val="1552118207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24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13" Type="http://schemas.openxmlformats.org/officeDocument/2006/relationships/chart" Target="../charts/chart20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12" Type="http://schemas.openxmlformats.org/officeDocument/2006/relationships/chart" Target="../charts/chart19.xml"/><Relationship Id="rId2" Type="http://schemas.openxmlformats.org/officeDocument/2006/relationships/chart" Target="../charts/chart9.xml"/><Relationship Id="rId16" Type="http://schemas.openxmlformats.org/officeDocument/2006/relationships/chart" Target="../charts/chart23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11" Type="http://schemas.openxmlformats.org/officeDocument/2006/relationships/chart" Target="../charts/chart18.xml"/><Relationship Id="rId5" Type="http://schemas.openxmlformats.org/officeDocument/2006/relationships/chart" Target="../charts/chart12.xml"/><Relationship Id="rId15" Type="http://schemas.openxmlformats.org/officeDocument/2006/relationships/chart" Target="../charts/chart22.xml"/><Relationship Id="rId10" Type="http://schemas.openxmlformats.org/officeDocument/2006/relationships/chart" Target="../charts/chart17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Relationship Id="rId14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94</xdr:row>
      <xdr:rowOff>152399</xdr:rowOff>
    </xdr:from>
    <xdr:to>
      <xdr:col>4</xdr:col>
      <xdr:colOff>400050</xdr:colOff>
      <xdr:row>114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685800</xdr:colOff>
      <xdr:row>94</xdr:row>
      <xdr:rowOff>161925</xdr:rowOff>
    </xdr:from>
    <xdr:to>
      <xdr:col>12</xdr:col>
      <xdr:colOff>190500</xdr:colOff>
      <xdr:row>114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390525</xdr:colOff>
      <xdr:row>94</xdr:row>
      <xdr:rowOff>190499</xdr:rowOff>
    </xdr:from>
    <xdr:to>
      <xdr:col>26</xdr:col>
      <xdr:colOff>114300</xdr:colOff>
      <xdr:row>114</xdr:row>
      <xdr:rowOff>180974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115</xdr:row>
      <xdr:rowOff>171449</xdr:rowOff>
    </xdr:from>
    <xdr:to>
      <xdr:col>4</xdr:col>
      <xdr:colOff>419100</xdr:colOff>
      <xdr:row>136</xdr:row>
      <xdr:rowOff>28574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28575</xdr:colOff>
      <xdr:row>116</xdr:row>
      <xdr:rowOff>28575</xdr:rowOff>
    </xdr:from>
    <xdr:to>
      <xdr:col>12</xdr:col>
      <xdr:colOff>209550</xdr:colOff>
      <xdr:row>136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</xdr:row>
      <xdr:rowOff>142875</xdr:rowOff>
    </xdr:from>
    <xdr:to>
      <xdr:col>18</xdr:col>
      <xdr:colOff>38100</xdr:colOff>
      <xdr:row>47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314325</xdr:colOff>
      <xdr:row>17</xdr:row>
      <xdr:rowOff>133350</xdr:rowOff>
    </xdr:from>
    <xdr:to>
      <xdr:col>36</xdr:col>
      <xdr:colOff>200025</xdr:colOff>
      <xdr:row>46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0.36667</cdr:x>
      <cdr:y>0.0137</cdr:y>
    </cdr:from>
    <cdr:to>
      <cdr:x>0.66228</cdr:x>
      <cdr:y>0.17808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81449" y="76200"/>
          <a:ext cx="320992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0.34649</cdr:x>
      <cdr:y>0.04281</cdr:y>
    </cdr:from>
    <cdr:to>
      <cdr:x>0.67105</cdr:x>
      <cdr:y>0.20719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62375" y="238125"/>
          <a:ext cx="35242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Inflation Adjusted Cost per SCH - Ex Law and</a:t>
          </a:r>
          <a:r>
            <a:rPr lang="en-US" sz="1400" baseline="0"/>
            <a:t> DHC</a:t>
          </a:r>
          <a:endParaRPr lang="en-US" sz="14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17</xdr:col>
      <xdr:colOff>574675</xdr:colOff>
      <xdr:row>49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203200</xdr:colOff>
      <xdr:row>19</xdr:row>
      <xdr:rowOff>142874</xdr:rowOff>
    </xdr:from>
    <xdr:to>
      <xdr:col>35</xdr:col>
      <xdr:colOff>317500</xdr:colOff>
      <xdr:row>48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244930</xdr:colOff>
      <xdr:row>50</xdr:row>
      <xdr:rowOff>136070</xdr:rowOff>
    </xdr:from>
    <xdr:to>
      <xdr:col>16</xdr:col>
      <xdr:colOff>394609</xdr:colOff>
      <xdr:row>86</xdr:row>
      <xdr:rowOff>63499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585107</xdr:colOff>
      <xdr:row>50</xdr:row>
      <xdr:rowOff>95250</xdr:rowOff>
    </xdr:from>
    <xdr:to>
      <xdr:col>30</xdr:col>
      <xdr:colOff>693964</xdr:colOff>
      <xdr:row>86</xdr:row>
      <xdr:rowOff>54429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48</xdr:col>
      <xdr:colOff>59926</xdr:colOff>
      <xdr:row>19</xdr:row>
      <xdr:rowOff>21431</xdr:rowOff>
    </xdr:from>
    <xdr:to>
      <xdr:col>58</xdr:col>
      <xdr:colOff>69850</xdr:colOff>
      <xdr:row>60</xdr:row>
      <xdr:rowOff>28575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36</xdr:col>
      <xdr:colOff>36513</xdr:colOff>
      <xdr:row>66</xdr:row>
      <xdr:rowOff>54429</xdr:rowOff>
    </xdr:from>
    <xdr:to>
      <xdr:col>45</xdr:col>
      <xdr:colOff>462644</xdr:colOff>
      <xdr:row>93</xdr:row>
      <xdr:rowOff>123825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48</xdr:col>
      <xdr:colOff>260349</xdr:colOff>
      <xdr:row>65</xdr:row>
      <xdr:rowOff>95250</xdr:rowOff>
    </xdr:from>
    <xdr:to>
      <xdr:col>57</xdr:col>
      <xdr:colOff>307975</xdr:colOff>
      <xdr:row>93</xdr:row>
      <xdr:rowOff>31750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48</xdr:col>
      <xdr:colOff>219075</xdr:colOff>
      <xdr:row>149</xdr:row>
      <xdr:rowOff>161926</xdr:rowOff>
    </xdr:from>
    <xdr:to>
      <xdr:col>57</xdr:col>
      <xdr:colOff>295274</xdr:colOff>
      <xdr:row>174</xdr:row>
      <xdr:rowOff>133350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48</xdr:col>
      <xdr:colOff>266700</xdr:colOff>
      <xdr:row>121</xdr:row>
      <xdr:rowOff>180974</xdr:rowOff>
    </xdr:from>
    <xdr:to>
      <xdr:col>57</xdr:col>
      <xdr:colOff>352425</xdr:colOff>
      <xdr:row>148</xdr:row>
      <xdr:rowOff>95249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378277</xdr:colOff>
      <xdr:row>176</xdr:row>
      <xdr:rowOff>81643</xdr:rowOff>
    </xdr:from>
    <xdr:to>
      <xdr:col>44</xdr:col>
      <xdr:colOff>721178</xdr:colOff>
      <xdr:row>196</xdr:row>
      <xdr:rowOff>95250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15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35</xdr:col>
      <xdr:colOff>366939</xdr:colOff>
      <xdr:row>198</xdr:row>
      <xdr:rowOff>65767</xdr:rowOff>
    </xdr:from>
    <xdr:to>
      <xdr:col>44</xdr:col>
      <xdr:colOff>1006929</xdr:colOff>
      <xdr:row>229</xdr:row>
      <xdr:rowOff>13606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15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48</xdr:col>
      <xdr:colOff>295275</xdr:colOff>
      <xdr:row>94</xdr:row>
      <xdr:rowOff>104776</xdr:rowOff>
    </xdr:from>
    <xdr:to>
      <xdr:col>57</xdr:col>
      <xdr:colOff>314324</xdr:colOff>
      <xdr:row>120</xdr:row>
      <xdr:rowOff>133350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15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35</xdr:col>
      <xdr:colOff>520699</xdr:colOff>
      <xdr:row>94</xdr:row>
      <xdr:rowOff>136524</xdr:rowOff>
    </xdr:from>
    <xdr:to>
      <xdr:col>45</xdr:col>
      <xdr:colOff>176892</xdr:colOff>
      <xdr:row>123</xdr:row>
      <xdr:rowOff>13607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15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48</xdr:col>
      <xdr:colOff>190500</xdr:colOff>
      <xdr:row>175</xdr:row>
      <xdr:rowOff>142876</xdr:rowOff>
    </xdr:from>
    <xdr:to>
      <xdr:col>57</xdr:col>
      <xdr:colOff>340179</xdr:colOff>
      <xdr:row>203</xdr:row>
      <xdr:rowOff>136071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15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35</xdr:col>
      <xdr:colOff>468991</xdr:colOff>
      <xdr:row>149</xdr:row>
      <xdr:rowOff>136069</xdr:rowOff>
    </xdr:from>
    <xdr:to>
      <xdr:col>44</xdr:col>
      <xdr:colOff>857250</xdr:colOff>
      <xdr:row>175</xdr:row>
      <xdr:rowOff>68034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15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35</xdr:col>
      <xdr:colOff>507545</xdr:colOff>
      <xdr:row>123</xdr:row>
      <xdr:rowOff>122464</xdr:rowOff>
    </xdr:from>
    <xdr:to>
      <xdr:col>44</xdr:col>
      <xdr:colOff>639535</xdr:colOff>
      <xdr:row>149</xdr:row>
      <xdr:rowOff>13607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0.36667</cdr:x>
      <cdr:y>0.0137</cdr:y>
    </cdr:from>
    <cdr:to>
      <cdr:x>0.66228</cdr:x>
      <cdr:y>0.17808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81449" y="76200"/>
          <a:ext cx="320992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0.34649</cdr:x>
      <cdr:y>0.04281</cdr:y>
    </cdr:from>
    <cdr:to>
      <cdr:x>0.67105</cdr:x>
      <cdr:y>0.20719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62375" y="238125"/>
          <a:ext cx="35242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Actual Cost per SCH - Ex Law and</a:t>
          </a:r>
          <a:r>
            <a:rPr lang="en-US" sz="1400" baseline="0"/>
            <a:t> DHC</a:t>
          </a:r>
          <a:endParaRPr lang="en-US" sz="1400"/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70C0"/>
      </a:accent1>
      <a:accent2>
        <a:srgbClr val="AEABAB"/>
      </a:accent2>
      <a:accent3>
        <a:srgbClr val="C00000"/>
      </a:accent3>
      <a:accent4>
        <a:srgbClr val="C490AA"/>
      </a:accent4>
      <a:accent5>
        <a:srgbClr val="A8D08D"/>
      </a:accent5>
      <a:accent6>
        <a:srgbClr val="FFD965"/>
      </a:accent6>
      <a:hlink>
        <a:srgbClr val="F4B183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3"/>
  <sheetViews>
    <sheetView topLeftCell="A40" zoomScaleNormal="100" zoomScaleSheetLayoutView="100" workbookViewId="0">
      <selection activeCell="D87" sqref="D87"/>
    </sheetView>
  </sheetViews>
  <sheetFormatPr defaultRowHeight="15" x14ac:dyDescent="0.25"/>
  <cols>
    <col min="1" max="1" width="32.85546875" bestFit="1" customWidth="1"/>
    <col min="2" max="2" width="17" bestFit="1" customWidth="1"/>
    <col min="3" max="4" width="14.28515625" style="4" customWidth="1"/>
    <col min="5" max="5" width="20.28515625" customWidth="1"/>
    <col min="6" max="6" width="13.85546875" bestFit="1" customWidth="1"/>
    <col min="7" max="7" width="15.140625" style="1" bestFit="1" customWidth="1"/>
    <col min="8" max="8" width="10.5703125" bestFit="1" customWidth="1"/>
    <col min="9" max="9" width="14" bestFit="1" customWidth="1"/>
    <col min="10" max="10" width="16.42578125" bestFit="1" customWidth="1"/>
    <col min="11" max="11" width="2.140625" customWidth="1"/>
    <col min="12" max="12" width="17.7109375" bestFit="1" customWidth="1"/>
    <col min="13" max="13" width="17.7109375" customWidth="1"/>
    <col min="14" max="14" width="12.7109375" customWidth="1"/>
    <col min="15" max="16" width="16.140625" bestFit="1" customWidth="1"/>
    <col min="17" max="17" width="13.42578125" bestFit="1" customWidth="1"/>
    <col min="18" max="18" width="14" bestFit="1" customWidth="1"/>
    <col min="19" max="19" width="1.7109375" customWidth="1"/>
    <col min="20" max="20" width="25.28515625" bestFit="1" customWidth="1"/>
    <col min="21" max="21" width="16" customWidth="1"/>
    <col min="22" max="22" width="15.28515625" bestFit="1" customWidth="1"/>
    <col min="23" max="23" width="15" style="4" customWidth="1"/>
    <col min="24" max="24" width="16.140625" style="4" bestFit="1" customWidth="1"/>
    <col min="25" max="25" width="1.7109375" customWidth="1"/>
    <col min="26" max="26" width="25.28515625" style="4" bestFit="1" customWidth="1"/>
    <col min="27" max="27" width="18.85546875" customWidth="1"/>
    <col min="28" max="29" width="14.7109375" customWidth="1"/>
    <col min="30" max="30" width="1.7109375" style="1" customWidth="1"/>
    <col min="31" max="31" width="25.28515625" style="1" bestFit="1" customWidth="1"/>
    <col min="32" max="32" width="14.7109375" style="5" bestFit="1" customWidth="1"/>
    <col min="33" max="35" width="13" style="5" bestFit="1" customWidth="1"/>
    <col min="36" max="36" width="14.140625" bestFit="1" customWidth="1"/>
    <col min="37" max="37" width="13.7109375" style="18" bestFit="1" customWidth="1"/>
    <col min="38" max="38" width="12.5703125" bestFit="1" customWidth="1"/>
    <col min="39" max="39" width="12.28515625" bestFit="1" customWidth="1"/>
    <col min="40" max="40" width="14.28515625" bestFit="1" customWidth="1"/>
    <col min="41" max="41" width="11.5703125" bestFit="1" customWidth="1"/>
    <col min="42" max="42" width="14.42578125" style="18" bestFit="1" customWidth="1"/>
    <col min="43" max="44" width="14.42578125" style="18" customWidth="1"/>
    <col min="45" max="45" width="14.28515625" bestFit="1" customWidth="1"/>
    <col min="46" max="46" width="14" bestFit="1" customWidth="1"/>
  </cols>
  <sheetData>
    <row r="1" spans="1:45" ht="19.5" thickBot="1" x14ac:dyDescent="0.35">
      <c r="A1" s="73" t="s">
        <v>0</v>
      </c>
      <c r="B1" s="74"/>
      <c r="C1" s="73"/>
      <c r="D1" s="73"/>
      <c r="E1" s="75"/>
      <c r="F1" s="73"/>
      <c r="G1" s="73"/>
      <c r="H1" s="73"/>
      <c r="I1" s="73"/>
      <c r="J1" s="73"/>
      <c r="O1" s="4"/>
      <c r="P1" s="4"/>
      <c r="Q1" s="4"/>
      <c r="R1" s="4"/>
      <c r="S1" s="4"/>
      <c r="T1" s="462" t="s">
        <v>1</v>
      </c>
      <c r="U1" s="462"/>
      <c r="V1" s="462"/>
      <c r="W1" s="462"/>
      <c r="X1" s="462"/>
      <c r="Z1" s="463" t="s">
        <v>2</v>
      </c>
      <c r="AA1" s="463"/>
      <c r="AB1" s="463"/>
      <c r="AC1" s="463"/>
      <c r="AE1" s="463" t="s">
        <v>3</v>
      </c>
      <c r="AF1" s="463"/>
      <c r="AG1" s="463"/>
      <c r="AH1" s="463"/>
      <c r="AI1" s="463"/>
      <c r="AJ1" s="463"/>
      <c r="AK1" s="463"/>
      <c r="AN1" s="18"/>
      <c r="AO1" s="18"/>
      <c r="AQ1"/>
      <c r="AR1"/>
    </row>
    <row r="2" spans="1:45" ht="18.75" x14ac:dyDescent="0.3">
      <c r="A2" s="73" t="s">
        <v>4</v>
      </c>
      <c r="B2" s="74"/>
      <c r="C2" s="73"/>
      <c r="D2" s="73"/>
      <c r="E2" s="75"/>
      <c r="F2" s="73"/>
      <c r="G2" s="73"/>
      <c r="H2" s="73"/>
      <c r="I2" s="73"/>
      <c r="J2" s="73"/>
      <c r="O2" s="4"/>
      <c r="P2" s="4"/>
      <c r="Q2" s="4"/>
      <c r="R2" s="4"/>
      <c r="S2" s="4"/>
      <c r="T2" s="4"/>
      <c r="U2" s="4"/>
      <c r="V2" s="4"/>
      <c r="X2" s="6" t="s">
        <v>5</v>
      </c>
      <c r="Z2" s="1"/>
      <c r="AA2" s="1"/>
      <c r="AH2"/>
      <c r="AI2" s="18"/>
      <c r="AK2"/>
      <c r="AN2" s="18"/>
      <c r="AO2" s="18"/>
      <c r="AQ2"/>
      <c r="AR2"/>
    </row>
    <row r="3" spans="1:45" ht="18.75" x14ac:dyDescent="0.3">
      <c r="A3" s="73"/>
      <c r="B3" s="74"/>
      <c r="C3" s="73"/>
      <c r="D3" s="73"/>
      <c r="E3" s="75"/>
      <c r="F3" s="73"/>
      <c r="G3" s="73"/>
      <c r="H3" s="73"/>
      <c r="I3" s="73"/>
      <c r="J3" s="73"/>
      <c r="O3" s="4"/>
      <c r="P3" s="4"/>
      <c r="Q3" s="4"/>
      <c r="R3" s="4"/>
      <c r="S3" s="4"/>
      <c r="T3" s="4"/>
      <c r="U3" s="119" t="s">
        <v>6</v>
      </c>
      <c r="V3" s="4"/>
      <c r="X3" s="119" t="s">
        <v>7</v>
      </c>
      <c r="Z3" s="1"/>
      <c r="AA3" s="1"/>
      <c r="AH3"/>
      <c r="AI3" s="18"/>
      <c r="AJ3" s="58" t="s">
        <v>8</v>
      </c>
      <c r="AK3"/>
      <c r="AN3" s="18"/>
      <c r="AO3" s="18"/>
      <c r="AQ3"/>
      <c r="AR3"/>
    </row>
    <row r="4" spans="1:45" x14ac:dyDescent="0.25">
      <c r="B4" s="9" t="s">
        <v>9</v>
      </c>
      <c r="C4" s="8" t="s">
        <v>10</v>
      </c>
      <c r="D4"/>
      <c r="E4" s="1"/>
      <c r="G4"/>
      <c r="O4" s="12"/>
      <c r="P4" s="12"/>
      <c r="Q4" s="12"/>
      <c r="R4" s="12"/>
      <c r="S4" s="12"/>
      <c r="T4" s="12"/>
      <c r="U4" s="120" t="s">
        <v>11</v>
      </c>
      <c r="V4" s="142" t="s">
        <v>6</v>
      </c>
      <c r="W4" s="12"/>
      <c r="X4" s="143" t="s">
        <v>12</v>
      </c>
      <c r="Z4" s="18"/>
      <c r="AA4" s="91" t="s">
        <v>13</v>
      </c>
      <c r="AC4" s="91" t="s">
        <v>13</v>
      </c>
      <c r="AD4" s="18"/>
      <c r="AE4" s="18"/>
      <c r="AF4" s="18"/>
      <c r="AG4" s="18"/>
      <c r="AH4"/>
      <c r="AI4" s="18"/>
      <c r="AJ4" s="142" t="s">
        <v>14</v>
      </c>
      <c r="AN4" s="18"/>
      <c r="AO4" s="18"/>
      <c r="AQ4"/>
      <c r="AR4"/>
    </row>
    <row r="5" spans="1:45" x14ac:dyDescent="0.25">
      <c r="B5" s="1"/>
      <c r="C5"/>
      <c r="D5" s="62" t="s">
        <v>15</v>
      </c>
      <c r="E5" s="27"/>
      <c r="F5" s="27"/>
      <c r="G5" s="27"/>
      <c r="H5" s="27"/>
      <c r="P5" s="26"/>
      <c r="Q5" s="26"/>
      <c r="R5" s="26"/>
      <c r="S5" s="26"/>
      <c r="T5" s="26"/>
      <c r="U5" s="26"/>
      <c r="V5" s="26"/>
      <c r="W5" s="26"/>
      <c r="X5" s="26"/>
      <c r="Z5"/>
      <c r="AD5" s="18"/>
      <c r="AE5" s="18"/>
      <c r="AF5" s="18"/>
      <c r="AG5" s="18"/>
      <c r="AH5" s="18"/>
      <c r="AI5"/>
      <c r="AJ5" s="1"/>
      <c r="AN5" s="18"/>
      <c r="AO5" s="18"/>
      <c r="AQ5"/>
      <c r="AR5"/>
    </row>
    <row r="6" spans="1:45" x14ac:dyDescent="0.25">
      <c r="A6" s="59" t="s">
        <v>16</v>
      </c>
      <c r="B6" s="14">
        <f>+'Net Tuition AY'!L33</f>
        <v>53652978.240000002</v>
      </c>
      <c r="C6" s="1">
        <f>+'Net Tuition AY'!M33</f>
        <v>49317810.269999996</v>
      </c>
      <c r="D6" s="27"/>
      <c r="E6" s="27"/>
      <c r="F6" s="27"/>
      <c r="G6" s="27"/>
      <c r="H6" s="27"/>
      <c r="O6" s="6"/>
      <c r="P6" s="26"/>
      <c r="Q6" s="26"/>
      <c r="R6" s="26"/>
      <c r="S6" s="26"/>
      <c r="T6" s="59" t="s">
        <v>16</v>
      </c>
      <c r="U6" s="26"/>
      <c r="V6" s="140">
        <f>+B6</f>
        <v>53652978.240000002</v>
      </c>
      <c r="W6" s="26"/>
      <c r="X6" s="140">
        <f>+V6</f>
        <v>53652978.240000002</v>
      </c>
      <c r="Z6" s="59" t="s">
        <v>16</v>
      </c>
      <c r="AA6" s="1">
        <f>34627554+267214+32305216+261451-17661479</f>
        <v>49799956</v>
      </c>
      <c r="AC6" s="1">
        <f>+AA6</f>
        <v>49799956</v>
      </c>
      <c r="AD6" s="18"/>
      <c r="AE6" s="59" t="s">
        <v>16</v>
      </c>
      <c r="AF6" s="18"/>
      <c r="AG6" s="18"/>
      <c r="AH6" s="18"/>
      <c r="AI6"/>
      <c r="AJ6" s="14">
        <f>+B6</f>
        <v>53652978.240000002</v>
      </c>
      <c r="AL6" s="26"/>
      <c r="AM6" s="26"/>
      <c r="AO6" s="18"/>
      <c r="AS6" s="18"/>
    </row>
    <row r="7" spans="1:45" x14ac:dyDescent="0.25">
      <c r="A7" t="s">
        <v>17</v>
      </c>
      <c r="B7" s="14">
        <f>+'Net Tuition AY'!L55</f>
        <v>4799807</v>
      </c>
      <c r="C7" s="1">
        <f>+'Net Tuition AY'!M55</f>
        <v>5324996.5</v>
      </c>
      <c r="D7" s="62" t="s">
        <v>18</v>
      </c>
      <c r="E7" s="27" t="s">
        <v>19</v>
      </c>
      <c r="F7" s="27"/>
      <c r="G7" s="27"/>
      <c r="H7" s="27"/>
      <c r="I7" s="27"/>
      <c r="O7" s="18"/>
      <c r="P7" s="18"/>
      <c r="Q7" s="18"/>
      <c r="R7" s="18"/>
      <c r="S7" s="18"/>
      <c r="T7" t="s">
        <v>17</v>
      </c>
      <c r="U7" s="18"/>
      <c r="V7" s="140">
        <f>+B7</f>
        <v>4799807</v>
      </c>
      <c r="W7" s="18"/>
      <c r="X7" s="140">
        <f>+V7</f>
        <v>4799807</v>
      </c>
      <c r="Z7" t="s">
        <v>17</v>
      </c>
      <c r="AA7" s="1">
        <v>4814923</v>
      </c>
      <c r="AC7" s="1">
        <f>+AA7</f>
        <v>4814923</v>
      </c>
      <c r="AD7" s="18"/>
      <c r="AE7" t="s">
        <v>17</v>
      </c>
      <c r="AF7" s="18"/>
      <c r="AG7" s="18"/>
      <c r="AH7" s="18"/>
      <c r="AI7"/>
      <c r="AJ7" s="14">
        <f>+B7</f>
        <v>4799807</v>
      </c>
      <c r="AL7" s="26"/>
      <c r="AM7" s="26"/>
      <c r="AO7" s="18"/>
      <c r="AS7" s="18"/>
    </row>
    <row r="8" spans="1:45" x14ac:dyDescent="0.25">
      <c r="B8" s="23">
        <f>SUM(B6:B7)</f>
        <v>58452785.240000002</v>
      </c>
      <c r="C8" s="23">
        <f>SUM(C6:C7)</f>
        <v>54642806.769999996</v>
      </c>
      <c r="D8" s="62"/>
      <c r="E8" s="27" t="s">
        <v>20</v>
      </c>
      <c r="F8" s="27"/>
      <c r="G8" s="27"/>
      <c r="H8" s="27"/>
      <c r="I8" s="27"/>
      <c r="O8" s="18"/>
      <c r="P8" s="18"/>
      <c r="Q8" s="18"/>
      <c r="R8" s="18"/>
      <c r="S8" s="18"/>
      <c r="U8" s="18"/>
      <c r="V8" s="23">
        <f>SUM(V6:V7)</f>
        <v>58452785.240000002</v>
      </c>
      <c r="W8" s="18"/>
      <c r="X8" s="23">
        <f>SUM(X6:X7)</f>
        <v>58452785.240000002</v>
      </c>
      <c r="Z8"/>
      <c r="AA8" s="23">
        <f>SUM(AA6:AA7)</f>
        <v>54614879</v>
      </c>
      <c r="AC8" s="23">
        <f>SUM(AC6:AC7)</f>
        <v>54614879</v>
      </c>
      <c r="AD8" s="18"/>
      <c r="AE8"/>
      <c r="AF8" s="18"/>
      <c r="AG8" s="18"/>
      <c r="AH8" s="18"/>
      <c r="AI8"/>
      <c r="AJ8" s="23">
        <f>SUM(AJ6:AJ7)</f>
        <v>58452785.240000002</v>
      </c>
      <c r="AL8" s="18"/>
      <c r="AM8" s="18"/>
      <c r="AO8" s="18"/>
      <c r="AS8" s="18"/>
    </row>
    <row r="9" spans="1:45" x14ac:dyDescent="0.25">
      <c r="B9" s="14"/>
      <c r="C9" s="1"/>
      <c r="D9" s="62"/>
      <c r="E9" s="27" t="s">
        <v>21</v>
      </c>
      <c r="F9" s="27"/>
      <c r="G9" s="27"/>
      <c r="H9" s="27"/>
      <c r="I9" s="27"/>
      <c r="O9" s="18"/>
      <c r="P9" s="18"/>
      <c r="Q9" s="18"/>
      <c r="R9" s="18"/>
      <c r="S9" s="18"/>
      <c r="U9" s="18"/>
      <c r="V9" s="18"/>
      <c r="W9" s="18"/>
      <c r="X9" s="18"/>
      <c r="Z9"/>
      <c r="AA9" s="1"/>
      <c r="AC9" s="1"/>
      <c r="AD9" s="18"/>
      <c r="AE9"/>
      <c r="AF9" s="18"/>
      <c r="AG9" s="18"/>
      <c r="AH9" s="18"/>
      <c r="AI9"/>
      <c r="AJ9" s="14"/>
      <c r="AL9" s="18"/>
      <c r="AM9" s="18"/>
      <c r="AO9" s="18"/>
      <c r="AS9" s="18"/>
    </row>
    <row r="10" spans="1:45" x14ac:dyDescent="0.25">
      <c r="A10" s="59" t="s">
        <v>22</v>
      </c>
      <c r="B10" s="14">
        <f>+'Net Tuition Summer'!J30</f>
        <v>4117101.129999999</v>
      </c>
      <c r="C10" s="1">
        <f>+'Net Tuition Summer'!K30</f>
        <v>2993739.5700000003</v>
      </c>
      <c r="D10"/>
      <c r="F10" s="27"/>
      <c r="G10" s="27"/>
      <c r="H10" s="27"/>
      <c r="I10" s="27"/>
      <c r="O10" s="3"/>
      <c r="P10" s="18"/>
      <c r="Q10" s="18"/>
      <c r="R10" s="18"/>
      <c r="S10" s="18"/>
      <c r="T10" s="59" t="s">
        <v>22</v>
      </c>
      <c r="U10" s="18"/>
      <c r="V10" s="140">
        <f>+B10</f>
        <v>4117101.129999999</v>
      </c>
      <c r="W10" s="18"/>
      <c r="X10" s="140">
        <f>+V10</f>
        <v>4117101.129999999</v>
      </c>
      <c r="Z10" s="59" t="s">
        <v>22</v>
      </c>
      <c r="AA10" s="1">
        <f>3708021+56897</f>
        <v>3764918</v>
      </c>
      <c r="AC10" s="1">
        <f>+AA10</f>
        <v>3764918</v>
      </c>
      <c r="AD10" s="18"/>
      <c r="AE10" s="59" t="s">
        <v>22</v>
      </c>
      <c r="AF10" s="18"/>
      <c r="AG10" s="18"/>
      <c r="AH10" s="18"/>
      <c r="AI10"/>
      <c r="AJ10" s="14">
        <f>+B10</f>
        <v>4117101.129999999</v>
      </c>
      <c r="AL10" s="18"/>
      <c r="AM10" s="18"/>
      <c r="AO10" s="18"/>
      <c r="AS10" s="18"/>
    </row>
    <row r="11" spans="1:45" x14ac:dyDescent="0.25">
      <c r="A11" t="s">
        <v>23</v>
      </c>
      <c r="B11" s="14">
        <f>+'Net Tuition Summer'!J51</f>
        <v>159341.5</v>
      </c>
      <c r="C11" s="1">
        <f>+'Net Tuition Summer'!K51</f>
        <v>168185</v>
      </c>
      <c r="D11"/>
      <c r="F11" s="27"/>
      <c r="G11" s="27"/>
      <c r="H11" s="27"/>
      <c r="I11" s="27"/>
      <c r="O11" s="3"/>
      <c r="P11" s="18"/>
      <c r="Q11" s="18"/>
      <c r="R11" s="18"/>
      <c r="S11" s="18"/>
      <c r="T11" t="s">
        <v>23</v>
      </c>
      <c r="V11" s="140">
        <f>+B11</f>
        <v>159341.5</v>
      </c>
      <c r="W11" s="18"/>
      <c r="X11" s="140">
        <f>+V11</f>
        <v>159341.5</v>
      </c>
      <c r="Z11" t="s">
        <v>23</v>
      </c>
      <c r="AA11" s="1"/>
      <c r="AC11" s="1"/>
      <c r="AD11" s="18"/>
      <c r="AE11" t="s">
        <v>23</v>
      </c>
      <c r="AF11" s="18"/>
      <c r="AG11" s="18"/>
      <c r="AH11" s="18"/>
      <c r="AI11"/>
      <c r="AJ11" s="14">
        <f>+B11</f>
        <v>159341.5</v>
      </c>
      <c r="AL11" s="18"/>
      <c r="AM11" s="18"/>
      <c r="AO11" s="18"/>
      <c r="AS11" s="18"/>
    </row>
    <row r="12" spans="1:45" x14ac:dyDescent="0.25">
      <c r="B12" s="23">
        <f>SUM(B10:B11)</f>
        <v>4276442.629999999</v>
      </c>
      <c r="C12" s="23">
        <f>SUM(C10:C11)</f>
        <v>3161924.5700000003</v>
      </c>
      <c r="D12"/>
      <c r="F12" s="27"/>
      <c r="G12" s="27"/>
      <c r="H12" s="27"/>
      <c r="I12" s="27"/>
      <c r="O12" s="3"/>
      <c r="P12" s="18"/>
      <c r="Q12" s="18"/>
      <c r="R12" s="18"/>
      <c r="S12" s="18"/>
      <c r="V12" s="23">
        <f>SUM(V10:V11)</f>
        <v>4276442.629999999</v>
      </c>
      <c r="W12" s="18"/>
      <c r="X12" s="23">
        <f>SUM(X10:X11)</f>
        <v>4276442.629999999</v>
      </c>
      <c r="Z12"/>
      <c r="AA12" s="23">
        <f>SUM(AA10:AA11)</f>
        <v>3764918</v>
      </c>
      <c r="AC12" s="23">
        <f>SUM(AC10:AC11)</f>
        <v>3764918</v>
      </c>
      <c r="AD12" s="18"/>
      <c r="AE12"/>
      <c r="AF12" s="18"/>
      <c r="AG12" s="18"/>
      <c r="AH12" s="18"/>
      <c r="AI12"/>
      <c r="AJ12" s="23">
        <f>SUM(AJ10:AJ11)</f>
        <v>4276442.629999999</v>
      </c>
      <c r="AL12" s="18"/>
      <c r="AM12" s="18"/>
      <c r="AO12" s="18"/>
      <c r="AS12" s="18"/>
    </row>
    <row r="13" spans="1:45" x14ac:dyDescent="0.25">
      <c r="B13" s="18"/>
      <c r="C13" s="1"/>
      <c r="D13" s="27"/>
      <c r="F13" s="27"/>
      <c r="G13" s="27"/>
      <c r="H13" s="27"/>
      <c r="I13" s="27"/>
      <c r="O13" s="3"/>
      <c r="P13" s="18"/>
      <c r="Q13" s="18"/>
      <c r="R13" s="18"/>
      <c r="S13" s="18"/>
      <c r="U13" s="18"/>
      <c r="V13" s="18"/>
      <c r="W13" s="18"/>
      <c r="X13" s="18"/>
      <c r="Z13"/>
      <c r="AA13" s="1"/>
      <c r="AC13" s="1"/>
      <c r="AD13" s="18"/>
      <c r="AE13"/>
      <c r="AF13" s="18"/>
      <c r="AG13" s="18"/>
      <c r="AH13" s="18"/>
      <c r="AI13"/>
      <c r="AJ13" s="18"/>
      <c r="AL13" s="18"/>
      <c r="AM13" s="18"/>
      <c r="AO13" s="18"/>
      <c r="AS13" s="18"/>
    </row>
    <row r="14" spans="1:45" x14ac:dyDescent="0.25">
      <c r="A14" t="s">
        <v>24</v>
      </c>
      <c r="B14" s="19">
        <f>+B12+B8</f>
        <v>62729227.870000005</v>
      </c>
      <c r="C14" s="23">
        <f>+C12+C8</f>
        <v>57804731.339999996</v>
      </c>
      <c r="D14" s="27"/>
      <c r="E14" s="27"/>
      <c r="F14" s="27"/>
      <c r="G14" s="27"/>
      <c r="H14" s="27"/>
      <c r="I14" s="27"/>
      <c r="O14" s="3"/>
      <c r="P14" s="18"/>
      <c r="Q14" s="18"/>
      <c r="R14" s="18"/>
      <c r="S14" s="18"/>
      <c r="T14" t="s">
        <v>24</v>
      </c>
      <c r="U14" s="18">
        <v>64305703</v>
      </c>
      <c r="V14" s="18">
        <f>+V12+V8</f>
        <v>62729227.870000005</v>
      </c>
      <c r="W14" s="18"/>
      <c r="X14" s="18">
        <f>+X12+X8</f>
        <v>62729227.870000005</v>
      </c>
      <c r="Z14" t="s">
        <v>24</v>
      </c>
      <c r="AA14" s="23">
        <f>+AA12+AA8</f>
        <v>58379797</v>
      </c>
      <c r="AC14" s="23">
        <f>+AC12+AC8</f>
        <v>58379797</v>
      </c>
      <c r="AD14" s="18"/>
      <c r="AE14" t="s">
        <v>24</v>
      </c>
      <c r="AF14" s="18"/>
      <c r="AG14" s="18"/>
      <c r="AH14" s="18"/>
      <c r="AI14"/>
      <c r="AJ14" s="19">
        <f>+AJ12+AJ8</f>
        <v>62729227.870000005</v>
      </c>
      <c r="AL14" s="18"/>
      <c r="AM14" s="18"/>
      <c r="AO14" s="18"/>
      <c r="AS14" s="18"/>
    </row>
    <row r="15" spans="1:45" x14ac:dyDescent="0.25">
      <c r="B15" s="14"/>
      <c r="C15" s="1"/>
      <c r="D15" s="3"/>
      <c r="E15" s="1"/>
      <c r="G15"/>
      <c r="I15" s="27"/>
      <c r="O15" s="3"/>
      <c r="P15" s="18"/>
      <c r="Q15" s="18"/>
      <c r="R15" s="18"/>
      <c r="S15" s="18"/>
      <c r="U15" s="18"/>
      <c r="V15" s="18"/>
      <c r="W15" s="18"/>
      <c r="X15" s="18"/>
      <c r="Z15"/>
      <c r="AA15" s="1"/>
      <c r="AC15" s="1"/>
      <c r="AD15" s="18"/>
      <c r="AE15"/>
      <c r="AF15" s="18"/>
      <c r="AG15" s="18"/>
      <c r="AH15" s="18"/>
      <c r="AI15"/>
      <c r="AJ15" s="14"/>
      <c r="AL15" s="18"/>
      <c r="AM15" s="18"/>
      <c r="AO15" s="18"/>
      <c r="AS15" s="18"/>
    </row>
    <row r="16" spans="1:45" x14ac:dyDescent="0.25">
      <c r="A16" s="59" t="s">
        <v>25</v>
      </c>
      <c r="B16" s="14">
        <f>+Appropriations!H4</f>
        <v>60147648</v>
      </c>
      <c r="C16" s="1">
        <v>61862743</v>
      </c>
      <c r="D16"/>
      <c r="E16" s="1"/>
      <c r="G16"/>
      <c r="I16" s="27"/>
      <c r="O16" s="3"/>
      <c r="P16" s="18"/>
      <c r="Q16" s="18"/>
      <c r="R16" s="18"/>
      <c r="S16" s="18"/>
      <c r="T16" s="59" t="s">
        <v>25</v>
      </c>
      <c r="U16" s="18">
        <v>60336444</v>
      </c>
      <c r="V16" s="18">
        <f>+B16</f>
        <v>60147648</v>
      </c>
      <c r="W16" s="18"/>
      <c r="X16" s="18">
        <f>+V16</f>
        <v>60147648</v>
      </c>
      <c r="Z16" s="59" t="s">
        <v>25</v>
      </c>
      <c r="AA16" s="1">
        <v>61862743</v>
      </c>
      <c r="AC16" s="1">
        <f>+AA16</f>
        <v>61862743</v>
      </c>
      <c r="AD16" s="18"/>
      <c r="AE16" s="59" t="s">
        <v>25</v>
      </c>
      <c r="AF16" s="18"/>
      <c r="AG16" s="18"/>
      <c r="AH16" s="18"/>
      <c r="AI16"/>
      <c r="AJ16" s="14">
        <f>+B16</f>
        <v>60147648</v>
      </c>
      <c r="AL16" s="18"/>
      <c r="AM16" s="18"/>
      <c r="AO16" s="18"/>
      <c r="AS16" s="18"/>
    </row>
    <row r="17" spans="1:49" x14ac:dyDescent="0.25">
      <c r="B17" s="22"/>
      <c r="C17" s="1"/>
      <c r="D17"/>
      <c r="E17" s="1"/>
      <c r="G17"/>
      <c r="O17" s="3"/>
      <c r="P17" s="18"/>
      <c r="Q17" s="18"/>
      <c r="R17" s="18"/>
      <c r="S17" s="18"/>
      <c r="U17" s="18"/>
      <c r="V17" s="18"/>
      <c r="W17" s="18"/>
      <c r="X17" s="18"/>
      <c r="Z17"/>
      <c r="AA17" s="1"/>
      <c r="AC17" s="1"/>
      <c r="AD17" s="18"/>
      <c r="AE17"/>
      <c r="AF17" s="18"/>
      <c r="AG17" s="18"/>
      <c r="AH17" s="18"/>
      <c r="AI17"/>
      <c r="AJ17" s="22"/>
      <c r="AL17" s="18"/>
      <c r="AM17" s="18"/>
      <c r="AO17" s="18"/>
      <c r="AS17" s="18"/>
    </row>
    <row r="18" spans="1:49" x14ac:dyDescent="0.25">
      <c r="A18" t="s">
        <v>26</v>
      </c>
      <c r="B18" s="45">
        <f>123470642-122813092</f>
        <v>657550</v>
      </c>
      <c r="C18" s="1">
        <v>725980</v>
      </c>
      <c r="D18"/>
      <c r="E18" s="1"/>
      <c r="G18"/>
      <c r="O18" s="3"/>
      <c r="P18" s="18"/>
      <c r="Q18" s="18"/>
      <c r="R18" s="18"/>
      <c r="S18" s="18"/>
      <c r="T18" t="s">
        <v>26</v>
      </c>
      <c r="U18" s="18">
        <v>339925</v>
      </c>
      <c r="V18" s="18">
        <f>+B18</f>
        <v>657550</v>
      </c>
      <c r="W18" s="18"/>
      <c r="X18" s="18">
        <f>+V18</f>
        <v>657550</v>
      </c>
      <c r="Z18" t="s">
        <v>26</v>
      </c>
      <c r="AA18" s="1">
        <v>725980</v>
      </c>
      <c r="AC18" s="1">
        <f>+AA18</f>
        <v>725980</v>
      </c>
      <c r="AD18" s="18"/>
      <c r="AE18" t="s">
        <v>26</v>
      </c>
      <c r="AF18" s="18"/>
      <c r="AG18" s="18"/>
      <c r="AH18" s="18"/>
      <c r="AI18"/>
      <c r="AJ18" s="45">
        <f>123470642-122813092</f>
        <v>657550</v>
      </c>
      <c r="AL18" s="18"/>
      <c r="AM18" s="18"/>
      <c r="AO18" s="18"/>
      <c r="AS18" s="18"/>
    </row>
    <row r="19" spans="1:49" x14ac:dyDescent="0.25">
      <c r="B19" s="4"/>
      <c r="C19" s="1"/>
      <c r="D19"/>
      <c r="E19" s="1"/>
      <c r="G19"/>
      <c r="O19" s="3"/>
      <c r="P19" s="18"/>
      <c r="Q19" s="18"/>
      <c r="R19" s="18"/>
      <c r="S19" s="18"/>
      <c r="U19" s="18"/>
      <c r="V19" s="18"/>
      <c r="W19" s="18"/>
      <c r="X19" s="18"/>
      <c r="Z19"/>
      <c r="AA19" s="1"/>
      <c r="AC19" s="1"/>
      <c r="AD19" s="18"/>
      <c r="AE19"/>
      <c r="AF19" s="18"/>
      <c r="AG19" s="18"/>
      <c r="AH19" s="18"/>
      <c r="AI19"/>
      <c r="AJ19" s="4"/>
      <c r="AL19" s="18"/>
      <c r="AM19" s="18"/>
      <c r="AO19" s="18"/>
      <c r="AS19" s="18"/>
    </row>
    <row r="20" spans="1:49" ht="15.75" thickBot="1" x14ac:dyDescent="0.3">
      <c r="A20" t="s">
        <v>27</v>
      </c>
      <c r="B20" s="19">
        <f>SUM(B14:B19)</f>
        <v>123534425.87</v>
      </c>
      <c r="C20" s="19">
        <f>SUM(C14:C19)</f>
        <v>120393454.34</v>
      </c>
      <c r="D20" s="3"/>
      <c r="E20" s="1"/>
      <c r="G20"/>
      <c r="O20" s="3"/>
      <c r="P20" s="18"/>
      <c r="Q20" s="18"/>
      <c r="R20" s="18"/>
      <c r="S20" s="18"/>
      <c r="T20" t="s">
        <v>27</v>
      </c>
      <c r="U20" s="23">
        <f>SUM(U13:U19)</f>
        <v>124982072</v>
      </c>
      <c r="V20" s="23">
        <f>SUM(V13:V19)</f>
        <v>123534425.87</v>
      </c>
      <c r="W20" s="18"/>
      <c r="X20" s="23">
        <f>SUM(X13:X19)</f>
        <v>123534425.87</v>
      </c>
      <c r="Z20" t="s">
        <v>27</v>
      </c>
      <c r="AA20" s="19">
        <f>SUM(AA14:AA19)</f>
        <v>120968520</v>
      </c>
      <c r="AC20" s="19">
        <f>SUM(AC14:AC19)</f>
        <v>120968520</v>
      </c>
      <c r="AD20" s="18"/>
      <c r="AE20" s="59" t="s">
        <v>28</v>
      </c>
      <c r="AF20" s="18"/>
      <c r="AG20" s="18"/>
      <c r="AH20" s="18"/>
      <c r="AI20"/>
      <c r="AJ20" s="19">
        <f>SUM(AJ14:AJ19)</f>
        <v>123534425.87</v>
      </c>
      <c r="AL20" s="18"/>
      <c r="AM20" s="18"/>
      <c r="AO20" s="18"/>
      <c r="AS20" s="18"/>
    </row>
    <row r="21" spans="1:49" ht="15.75" thickBot="1" x14ac:dyDescent="0.3">
      <c r="A21" s="59" t="s">
        <v>29</v>
      </c>
      <c r="B21" s="18">
        <f>+B20*-D21</f>
        <v>-617672.12935000006</v>
      </c>
      <c r="C21" s="1">
        <f>+C20*-D21</f>
        <v>-601967.27170000004</v>
      </c>
      <c r="D21" s="98">
        <v>5.0000000000000001E-3</v>
      </c>
      <c r="E21" s="1"/>
      <c r="G21"/>
      <c r="O21" s="3"/>
      <c r="P21" s="18"/>
      <c r="Q21" s="18"/>
      <c r="R21" s="18"/>
      <c r="S21" s="18"/>
      <c r="T21" s="18"/>
      <c r="U21" s="18"/>
      <c r="V21" s="18"/>
      <c r="W21" s="18"/>
      <c r="X21" s="18"/>
      <c r="Z21"/>
      <c r="AA21" s="18"/>
      <c r="AD21" s="18"/>
      <c r="AE21" s="18"/>
      <c r="AF21" s="18"/>
      <c r="AG21" s="18"/>
      <c r="AH21" s="18"/>
      <c r="AI21"/>
      <c r="AJ21" s="18"/>
      <c r="AK21" s="3"/>
      <c r="AL21" s="18"/>
      <c r="AM21" s="18"/>
      <c r="AO21" s="18"/>
      <c r="AS21" s="18"/>
    </row>
    <row r="22" spans="1:49" ht="15.75" thickBot="1" x14ac:dyDescent="0.3">
      <c r="A22" t="s">
        <v>30</v>
      </c>
      <c r="B22" s="24">
        <f>B21+B20</f>
        <v>122916753.74065</v>
      </c>
      <c r="C22" s="24">
        <f>C21+C20</f>
        <v>119791487.06830001</v>
      </c>
      <c r="D22"/>
      <c r="F22" s="1"/>
      <c r="G22"/>
      <c r="P22" s="18"/>
      <c r="Q22" s="18"/>
      <c r="R22" s="18"/>
      <c r="S22" s="18"/>
      <c r="T22" s="18"/>
      <c r="U22" s="18"/>
      <c r="V22" s="18"/>
      <c r="W22" s="18"/>
      <c r="X22" s="18"/>
      <c r="Z22"/>
      <c r="AA22" s="18"/>
      <c r="AD22" s="18"/>
      <c r="AE22" s="18"/>
      <c r="AF22" s="18"/>
      <c r="AG22" s="18"/>
      <c r="AH22"/>
      <c r="AI22" s="18"/>
      <c r="AJ22" s="3"/>
      <c r="AL22" s="18"/>
      <c r="AM22" s="18"/>
      <c r="AO22" s="18"/>
      <c r="AS22" s="18"/>
    </row>
    <row r="23" spans="1:49" ht="15.75" thickTop="1" x14ac:dyDescent="0.25">
      <c r="B23" s="6"/>
      <c r="C23" s="6"/>
      <c r="D23"/>
      <c r="F23" s="6" t="s">
        <v>31</v>
      </c>
      <c r="G23"/>
      <c r="P23" s="105"/>
      <c r="Q23" s="38"/>
      <c r="R23" s="38"/>
      <c r="S23" s="38"/>
      <c r="T23" s="38"/>
      <c r="U23" s="38"/>
      <c r="V23" s="38"/>
      <c r="W23" s="37"/>
      <c r="X23" s="37"/>
      <c r="Z23" s="34"/>
      <c r="AD23" s="3"/>
      <c r="AE23" s="3"/>
      <c r="AF23"/>
      <c r="AG23" s="18"/>
      <c r="AH23" s="18"/>
      <c r="AI23" s="18"/>
      <c r="AJ23" s="18"/>
      <c r="AL23" s="18"/>
      <c r="AN23" s="18"/>
      <c r="AO23" s="18"/>
    </row>
    <row r="24" spans="1:49" x14ac:dyDescent="0.25">
      <c r="C24"/>
      <c r="D24" s="6" t="s">
        <v>32</v>
      </c>
      <c r="E24" s="6"/>
      <c r="F24" s="6" t="s">
        <v>32</v>
      </c>
      <c r="G24"/>
      <c r="U24" s="6" t="s">
        <v>33</v>
      </c>
      <c r="V24" s="6" t="s">
        <v>33</v>
      </c>
      <c r="W24" s="6"/>
      <c r="X24" s="6" t="s">
        <v>33</v>
      </c>
      <c r="Z24" s="84"/>
      <c r="AD24" s="70"/>
      <c r="AE24" s="70"/>
      <c r="AF24" s="6" t="s">
        <v>33</v>
      </c>
      <c r="AG24" s="58" t="s">
        <v>34</v>
      </c>
      <c r="AH24" s="58" t="s">
        <v>34</v>
      </c>
      <c r="AI24" s="146" t="s">
        <v>35</v>
      </c>
      <c r="AJ24" s="58" t="s">
        <v>35</v>
      </c>
      <c r="AK24" s="58" t="s">
        <v>35</v>
      </c>
      <c r="AN24" s="3"/>
      <c r="AO24" s="3"/>
      <c r="AP24" s="3"/>
      <c r="AQ24"/>
      <c r="AS24" s="18"/>
      <c r="AT24" s="18"/>
      <c r="AU24" s="18"/>
      <c r="AV24" s="18"/>
    </row>
    <row r="25" spans="1:49" x14ac:dyDescent="0.25">
      <c r="B25" s="58" t="s">
        <v>36</v>
      </c>
      <c r="C25" s="58"/>
      <c r="D25" s="6" t="s">
        <v>37</v>
      </c>
      <c r="E25" s="15" t="s">
        <v>31</v>
      </c>
      <c r="F25" s="6" t="s">
        <v>37</v>
      </c>
      <c r="G25" s="6"/>
      <c r="H25" s="6"/>
      <c r="I25" s="6"/>
      <c r="J25" s="6" t="s">
        <v>38</v>
      </c>
      <c r="K25" s="6"/>
      <c r="L25" s="69" t="s">
        <v>39</v>
      </c>
      <c r="M25" s="69" t="s">
        <v>40</v>
      </c>
      <c r="N25" s="7" t="s">
        <v>41</v>
      </c>
      <c r="O25" s="6"/>
      <c r="P25" s="7"/>
      <c r="Q25" s="7"/>
      <c r="R25" s="7"/>
      <c r="S25" s="7"/>
      <c r="T25" s="7"/>
      <c r="U25" s="6" t="s">
        <v>11</v>
      </c>
      <c r="V25" s="6" t="s">
        <v>42</v>
      </c>
      <c r="W25" s="6" t="s">
        <v>43</v>
      </c>
      <c r="X25" s="6" t="s">
        <v>5</v>
      </c>
      <c r="Z25" s="58"/>
      <c r="AA25" s="18"/>
      <c r="AD25" s="6"/>
      <c r="AE25" s="6"/>
      <c r="AF25" s="6" t="s">
        <v>42</v>
      </c>
      <c r="AG25" s="6" t="s">
        <v>11</v>
      </c>
      <c r="AH25" s="39" t="s">
        <v>11</v>
      </c>
      <c r="AI25" s="147" t="s">
        <v>44</v>
      </c>
      <c r="AJ25" s="39" t="s">
        <v>44</v>
      </c>
      <c r="AK25" s="6" t="s">
        <v>45</v>
      </c>
      <c r="AL25" s="18"/>
      <c r="AO25" s="3"/>
      <c r="AP25" s="3"/>
      <c r="AQ25" s="3"/>
      <c r="AR25"/>
      <c r="AS25" s="18"/>
      <c r="AT25" s="18"/>
      <c r="AU25" s="18"/>
      <c r="AV25" s="18"/>
      <c r="AW25" s="18"/>
    </row>
    <row r="26" spans="1:49" x14ac:dyDescent="0.25">
      <c r="B26" s="6" t="s">
        <v>46</v>
      </c>
      <c r="C26" s="6"/>
      <c r="D26" s="6" t="s">
        <v>47</v>
      </c>
      <c r="E26" s="15" t="s">
        <v>48</v>
      </c>
      <c r="F26" s="6" t="s">
        <v>47</v>
      </c>
      <c r="G26" s="6" t="s">
        <v>49</v>
      </c>
      <c r="H26" s="6" t="s">
        <v>50</v>
      </c>
      <c r="I26" s="6" t="s">
        <v>51</v>
      </c>
      <c r="J26" s="6" t="s">
        <v>52</v>
      </c>
      <c r="K26" s="6"/>
      <c r="L26" s="6" t="s">
        <v>53</v>
      </c>
      <c r="M26" s="6" t="s">
        <v>52</v>
      </c>
      <c r="N26" s="6" t="s">
        <v>40</v>
      </c>
      <c r="O26" s="6" t="s">
        <v>40</v>
      </c>
      <c r="P26" s="6" t="s">
        <v>54</v>
      </c>
      <c r="Q26" s="6" t="s">
        <v>55</v>
      </c>
      <c r="R26" s="6" t="s">
        <v>56</v>
      </c>
      <c r="S26" s="6"/>
      <c r="T26" s="6"/>
      <c r="U26" s="6" t="s">
        <v>57</v>
      </c>
      <c r="V26" s="6" t="s">
        <v>57</v>
      </c>
      <c r="W26" s="6" t="s">
        <v>58</v>
      </c>
      <c r="X26" s="6" t="s">
        <v>57</v>
      </c>
      <c r="Z26" s="26"/>
      <c r="AA26" s="119" t="s">
        <v>13</v>
      </c>
      <c r="AC26" s="58" t="s">
        <v>59</v>
      </c>
      <c r="AD26" s="6"/>
      <c r="AE26" s="6"/>
      <c r="AF26" s="6" t="s">
        <v>57</v>
      </c>
      <c r="AG26" s="6" t="s">
        <v>60</v>
      </c>
      <c r="AH26" s="39" t="s">
        <v>61</v>
      </c>
      <c r="AI26" s="148" t="s">
        <v>62</v>
      </c>
      <c r="AJ26" s="39" t="s">
        <v>63</v>
      </c>
      <c r="AK26" s="6" t="s">
        <v>33</v>
      </c>
      <c r="AN26" s="18"/>
      <c r="AO26" s="18"/>
      <c r="AP26"/>
      <c r="AS26" s="18"/>
      <c r="AT26" s="18"/>
      <c r="AU26" s="18"/>
    </row>
    <row r="27" spans="1:49" x14ac:dyDescent="0.25">
      <c r="B27" s="8" t="s">
        <v>64</v>
      </c>
      <c r="C27" s="8" t="s">
        <v>65</v>
      </c>
      <c r="D27" s="8" t="s">
        <v>64</v>
      </c>
      <c r="E27" s="16" t="s">
        <v>66</v>
      </c>
      <c r="F27" s="8" t="s">
        <v>64</v>
      </c>
      <c r="G27" s="8" t="s">
        <v>64</v>
      </c>
      <c r="H27" s="8" t="s">
        <v>53</v>
      </c>
      <c r="I27" s="8" t="s">
        <v>67</v>
      </c>
      <c r="J27" s="8" t="s">
        <v>53</v>
      </c>
      <c r="K27" s="6"/>
      <c r="L27" s="8" t="s">
        <v>68</v>
      </c>
      <c r="M27" s="8" t="s">
        <v>53</v>
      </c>
      <c r="N27" s="8" t="s">
        <v>68</v>
      </c>
      <c r="O27" s="8" t="s">
        <v>57</v>
      </c>
      <c r="P27" s="8" t="s">
        <v>64</v>
      </c>
      <c r="Q27" s="8" t="s">
        <v>69</v>
      </c>
      <c r="R27" s="8" t="s">
        <v>70</v>
      </c>
      <c r="S27" s="6"/>
      <c r="T27" s="6"/>
      <c r="U27" s="91" t="s">
        <v>71</v>
      </c>
      <c r="V27" s="91" t="s">
        <v>71</v>
      </c>
      <c r="W27" s="8" t="s">
        <v>64</v>
      </c>
      <c r="X27" s="8" t="s">
        <v>71</v>
      </c>
      <c r="Z27" s="116"/>
      <c r="AA27" s="120" t="s">
        <v>11</v>
      </c>
      <c r="AB27" s="124"/>
      <c r="AC27" s="8" t="s">
        <v>72</v>
      </c>
      <c r="AD27" s="6"/>
      <c r="AE27" s="6"/>
      <c r="AF27" s="91" t="s">
        <v>71</v>
      </c>
      <c r="AG27" s="8" t="s">
        <v>64</v>
      </c>
      <c r="AH27" s="40" t="s">
        <v>73</v>
      </c>
      <c r="AI27" s="149" t="s">
        <v>74</v>
      </c>
      <c r="AJ27" s="40" t="s">
        <v>74</v>
      </c>
      <c r="AK27" s="40" t="s">
        <v>74</v>
      </c>
      <c r="AM27" s="3"/>
      <c r="AN27" s="12"/>
      <c r="AO27" s="12"/>
      <c r="AP27"/>
      <c r="AS27" s="18"/>
      <c r="AT27" s="18"/>
      <c r="AU27" s="18"/>
    </row>
    <row r="28" spans="1:49" x14ac:dyDescent="0.25">
      <c r="A28" s="5" t="s">
        <v>75</v>
      </c>
      <c r="B28" s="1">
        <f>+'Weighted Rev Allocation'!I24</f>
        <v>3270751.8829945368</v>
      </c>
      <c r="C28" s="51">
        <f>+B28/$B$41</f>
        <v>6.096123626844796E-2</v>
      </c>
      <c r="D28" s="14"/>
      <c r="E28" s="1">
        <f>+'Summer Credit Hour Allocation'!AN46</f>
        <v>651433.16852129425</v>
      </c>
      <c r="F28" s="14"/>
      <c r="G28" s="1">
        <f>$B$16*C28</f>
        <v>3666674.9807194415</v>
      </c>
      <c r="H28" s="14"/>
      <c r="I28" s="14">
        <f t="shared" ref="I28:I40" si="0">-(+B28+SUM(D28:H28))*$D$21</f>
        <v>-37944.300161176361</v>
      </c>
      <c r="J28" s="14">
        <f>+B28+SUM(D28:I28)</f>
        <v>7550915.7320740968</v>
      </c>
      <c r="K28" s="14"/>
      <c r="L28" s="1">
        <f t="shared" ref="L28:L40" si="1">+D28+F28</f>
        <v>0</v>
      </c>
      <c r="M28" s="1">
        <f>+J28-L28</f>
        <v>7550915.7320740968</v>
      </c>
      <c r="N28" s="111">
        <v>0.47547011381927662</v>
      </c>
      <c r="O28" s="1">
        <f>+M28*N28</f>
        <v>3590234.7625690373</v>
      </c>
      <c r="P28" s="14">
        <f>+O28+L28</f>
        <v>3590234.7625690373</v>
      </c>
      <c r="Q28" s="118">
        <f>+P28/J28</f>
        <v>0.47547011381927662</v>
      </c>
      <c r="R28" s="18">
        <f t="shared" ref="R28:R40" si="2">+J28-P28</f>
        <v>3960680.9695050595</v>
      </c>
      <c r="S28" s="22"/>
      <c r="T28" s="5" t="s">
        <v>76</v>
      </c>
      <c r="U28" s="18">
        <v>3586407.2499999995</v>
      </c>
      <c r="V28" s="14">
        <f>+'Historical College Expenses'!F19</f>
        <v>3890318</v>
      </c>
      <c r="W28" s="1">
        <f t="shared" ref="W28:W36" si="3">+P28-V28</f>
        <v>-300083.23743096273</v>
      </c>
      <c r="X28" s="72">
        <f>+P28</f>
        <v>3590234.7625690373</v>
      </c>
      <c r="Y28" s="34"/>
      <c r="Z28" s="5" t="s">
        <v>76</v>
      </c>
      <c r="AA28" s="18">
        <v>3439077.523</v>
      </c>
      <c r="AB28" s="63">
        <f t="shared" ref="AB28:AB36" si="4">+AC28-AA28</f>
        <v>151157.23956903722</v>
      </c>
      <c r="AC28" s="3">
        <f t="shared" ref="AC28:AC36" si="5">+P28</f>
        <v>3590234.7625690373</v>
      </c>
      <c r="AD28" s="12"/>
      <c r="AE28" s="5" t="s">
        <v>76</v>
      </c>
      <c r="AF28" s="18">
        <f t="shared" ref="AF28:AF36" si="6">+V28</f>
        <v>3890318</v>
      </c>
      <c r="AG28" s="18">
        <f>+AH28-AF28</f>
        <v>-451240.47699999996</v>
      </c>
      <c r="AH28" s="18">
        <f t="shared" ref="AH28:AH36" si="7">+AA28</f>
        <v>3439077.523</v>
      </c>
      <c r="AI28" s="150">
        <f>+AJ28-AH28</f>
        <v>151157.23956903722</v>
      </c>
      <c r="AJ28" s="18">
        <f t="shared" ref="AJ28:AJ36" si="8">+AC28</f>
        <v>3590234.7625690373</v>
      </c>
      <c r="AK28" s="3">
        <f>+AI28+AG28</f>
        <v>-300083.23743096273</v>
      </c>
      <c r="AN28" s="12"/>
      <c r="AO28" s="12"/>
      <c r="AP28"/>
      <c r="AS28" s="18"/>
      <c r="AT28" s="18"/>
      <c r="AU28" s="18"/>
    </row>
    <row r="29" spans="1:49" x14ac:dyDescent="0.25">
      <c r="A29" s="5" t="s">
        <v>77</v>
      </c>
      <c r="B29" s="1">
        <f>+'Weighted Rev Allocation'!I25</f>
        <v>7216191.3535718806</v>
      </c>
      <c r="C29" s="51">
        <f t="shared" ref="C29:C40" si="9">+B29/$B$41</f>
        <v>0.1344974983735755</v>
      </c>
      <c r="D29" s="14">
        <f>SUM(C44:C49)</f>
        <v>2252236</v>
      </c>
      <c r="E29" s="1">
        <f>+'Summer Credit Hour Allocation'!AN47</f>
        <v>516928.12470240699</v>
      </c>
      <c r="F29" s="14">
        <f>SUM(D44:D49)</f>
        <v>69820</v>
      </c>
      <c r="G29" s="1">
        <f t="shared" ref="G29:G40" si="10">$B$16*C29</f>
        <v>8089708.1890543913</v>
      </c>
      <c r="H29" s="14"/>
      <c r="I29" s="14">
        <f t="shared" si="0"/>
        <v>-90724.418336643386</v>
      </c>
      <c r="J29" s="14">
        <f t="shared" ref="J29:J40" si="11">+B29+SUM(D29:I29)</f>
        <v>18054159.248992033</v>
      </c>
      <c r="K29" s="14"/>
      <c r="L29" s="1">
        <f t="shared" si="1"/>
        <v>2322056</v>
      </c>
      <c r="M29" s="1">
        <f t="shared" ref="M29:M40" si="12">+J29-L29</f>
        <v>15732103.248992033</v>
      </c>
      <c r="N29" s="111">
        <v>0.44760199133675427</v>
      </c>
      <c r="O29" s="1">
        <f t="shared" ref="O29:O36" si="13">+M29*N29</f>
        <v>7041720.7421642561</v>
      </c>
      <c r="P29" s="14">
        <f t="shared" ref="P29:P36" si="14">+O29+L29</f>
        <v>9363776.7421642561</v>
      </c>
      <c r="Q29" s="118">
        <f t="shared" ref="Q29:Q36" si="15">+P29/J29</f>
        <v>0.51864928258495546</v>
      </c>
      <c r="R29" s="18">
        <f t="shared" si="2"/>
        <v>8690382.5068277773</v>
      </c>
      <c r="S29" s="22"/>
      <c r="T29" s="5" t="s">
        <v>78</v>
      </c>
      <c r="U29" s="18">
        <v>10400802.720000001</v>
      </c>
      <c r="V29" s="14">
        <f>+'Historical College Expenses'!F38</f>
        <v>10246452</v>
      </c>
      <c r="W29" s="1">
        <f t="shared" si="3"/>
        <v>-882675.25783574395</v>
      </c>
      <c r="X29" s="72">
        <f t="shared" ref="X29:X36" si="16">+P29</f>
        <v>9363776.7421642561</v>
      </c>
      <c r="Y29" s="34"/>
      <c r="Z29" s="5" t="s">
        <v>78</v>
      </c>
      <c r="AA29" s="18">
        <v>10006237.092999998</v>
      </c>
      <c r="AB29" s="63">
        <f t="shared" si="4"/>
        <v>-642460.35083574243</v>
      </c>
      <c r="AC29" s="3">
        <f t="shared" si="5"/>
        <v>9363776.7421642561</v>
      </c>
      <c r="AD29" s="12"/>
      <c r="AE29" s="5" t="s">
        <v>78</v>
      </c>
      <c r="AF29" s="18">
        <f t="shared" si="6"/>
        <v>10246452</v>
      </c>
      <c r="AG29" s="18">
        <f t="shared" ref="AG29:AG36" si="17">+AH29-AF29</f>
        <v>-240214.90700000152</v>
      </c>
      <c r="AH29" s="18">
        <f t="shared" si="7"/>
        <v>10006237.092999998</v>
      </c>
      <c r="AI29" s="150">
        <f t="shared" ref="AI29:AI36" si="18">+AJ29-AH29</f>
        <v>-642460.35083574243</v>
      </c>
      <c r="AJ29" s="18">
        <f t="shared" si="8"/>
        <v>9363776.7421642561</v>
      </c>
      <c r="AK29" s="3">
        <f t="shared" ref="AK29:AK36" si="19">+AI29+AG29</f>
        <v>-882675.25783574395</v>
      </c>
      <c r="AM29" s="18"/>
      <c r="AN29" s="18"/>
      <c r="AO29" s="18"/>
      <c r="AP29" s="12"/>
      <c r="AS29" s="18"/>
      <c r="AT29" s="18"/>
      <c r="AU29" s="18"/>
    </row>
    <row r="30" spans="1:49" x14ac:dyDescent="0.25">
      <c r="A30" s="5" t="s">
        <v>79</v>
      </c>
      <c r="B30" s="1">
        <f>+'Weighted Rev Allocation'!I26</f>
        <v>3557850.1507619577</v>
      </c>
      <c r="C30" s="51">
        <f t="shared" si="9"/>
        <v>6.6312258284097786E-2</v>
      </c>
      <c r="D30" s="14">
        <f>+C50</f>
        <v>0</v>
      </c>
      <c r="E30" s="1">
        <f>+'Summer Credit Hour Allocation'!AN48</f>
        <v>12447.767551362311</v>
      </c>
      <c r="F30" s="14">
        <f>+D50</f>
        <v>3889.5</v>
      </c>
      <c r="G30" s="1">
        <f t="shared" si="10"/>
        <v>3988526.3693569978</v>
      </c>
      <c r="H30" s="14"/>
      <c r="I30" s="14">
        <f t="shared" si="0"/>
        <v>-37813.568938351593</v>
      </c>
      <c r="J30" s="14">
        <f t="shared" si="11"/>
        <v>7524900.2187319659</v>
      </c>
      <c r="K30" s="14"/>
      <c r="L30" s="1">
        <f t="shared" si="1"/>
        <v>3889.5</v>
      </c>
      <c r="M30" s="1">
        <f t="shared" si="12"/>
        <v>7521010.7187319659</v>
      </c>
      <c r="N30" s="111">
        <v>0.59551161988393908</v>
      </c>
      <c r="O30" s="1">
        <f t="shared" si="13"/>
        <v>4478849.2762765419</v>
      </c>
      <c r="P30" s="14">
        <f t="shared" si="14"/>
        <v>4482738.7762765419</v>
      </c>
      <c r="Q30" s="118">
        <f t="shared" si="15"/>
        <v>0.59572069342760481</v>
      </c>
      <c r="R30" s="18">
        <f t="shared" si="2"/>
        <v>3042161.442455424</v>
      </c>
      <c r="S30" s="22"/>
      <c r="T30" s="5" t="s">
        <v>80</v>
      </c>
      <c r="U30" s="18">
        <v>4333909.6300000008</v>
      </c>
      <c r="V30" s="14">
        <f>+'Historical College Expenses'!F57</f>
        <v>4301997</v>
      </c>
      <c r="W30" s="1">
        <f t="shared" si="3"/>
        <v>180741.77627654187</v>
      </c>
      <c r="X30" s="72">
        <f t="shared" si="16"/>
        <v>4482738.7762765419</v>
      </c>
      <c r="Y30" s="34"/>
      <c r="Z30" s="5" t="s">
        <v>80</v>
      </c>
      <c r="AA30" s="18">
        <v>3965852.9334999998</v>
      </c>
      <c r="AB30" s="63">
        <f t="shared" si="4"/>
        <v>516885.84277654206</v>
      </c>
      <c r="AC30" s="3">
        <f t="shared" si="5"/>
        <v>4482738.7762765419</v>
      </c>
      <c r="AD30" s="12"/>
      <c r="AE30" s="5" t="s">
        <v>80</v>
      </c>
      <c r="AF30" s="18">
        <f t="shared" si="6"/>
        <v>4301997</v>
      </c>
      <c r="AG30" s="18">
        <f t="shared" si="17"/>
        <v>-336144.06650000019</v>
      </c>
      <c r="AH30" s="18">
        <f t="shared" si="7"/>
        <v>3965852.9334999998</v>
      </c>
      <c r="AI30" s="150">
        <f t="shared" si="18"/>
        <v>516885.84277654206</v>
      </c>
      <c r="AJ30" s="18">
        <f t="shared" si="8"/>
        <v>4482738.7762765419</v>
      </c>
      <c r="AK30" s="3">
        <f t="shared" si="19"/>
        <v>180741.77627654187</v>
      </c>
      <c r="AM30" s="18"/>
      <c r="AN30" s="18"/>
      <c r="AO30" s="138"/>
      <c r="AP30" s="12"/>
      <c r="AS30" s="18"/>
      <c r="AT30" s="18"/>
      <c r="AU30" s="18"/>
    </row>
    <row r="31" spans="1:49" x14ac:dyDescent="0.25">
      <c r="A31" s="5" t="s">
        <v>81</v>
      </c>
      <c r="B31" s="1">
        <f>+'Weighted Rev Allocation'!I27</f>
        <v>21338145.189134762</v>
      </c>
      <c r="C31" s="51">
        <f t="shared" si="9"/>
        <v>0.39770663044435617</v>
      </c>
      <c r="D31" s="14"/>
      <c r="E31" s="1">
        <f>+'Summer Credit Hour Allocation'!AN49</f>
        <v>1607145.0994092226</v>
      </c>
      <c r="F31" s="14"/>
      <c r="G31" s="1">
        <f t="shared" si="10"/>
        <v>23921118.415233217</v>
      </c>
      <c r="H31" s="14"/>
      <c r="I31" s="14">
        <f t="shared" si="0"/>
        <v>-234332.043518886</v>
      </c>
      <c r="J31" s="14">
        <f t="shared" si="11"/>
        <v>46632076.660258316</v>
      </c>
      <c r="K31" s="14"/>
      <c r="L31" s="1">
        <f t="shared" si="1"/>
        <v>0</v>
      </c>
      <c r="M31" s="1">
        <f t="shared" si="12"/>
        <v>46632076.660258316</v>
      </c>
      <c r="N31" s="111">
        <v>0.49678722035890399</v>
      </c>
      <c r="O31" s="1">
        <f t="shared" si="13"/>
        <v>23166219.743613053</v>
      </c>
      <c r="P31" s="14">
        <f t="shared" si="14"/>
        <v>23166219.743613053</v>
      </c>
      <c r="Q31" s="118">
        <f t="shared" si="15"/>
        <v>0.49678722035890405</v>
      </c>
      <c r="R31" s="18">
        <f t="shared" si="2"/>
        <v>23465856.916645262</v>
      </c>
      <c r="S31" s="22"/>
      <c r="T31" s="5" t="s">
        <v>82</v>
      </c>
      <c r="U31" s="18">
        <v>29768561.050000001</v>
      </c>
      <c r="V31" s="14">
        <f>+'Historical College Expenses'!F76</f>
        <v>30713831</v>
      </c>
      <c r="W31" s="1">
        <f t="shared" si="3"/>
        <v>-7547611.2563869469</v>
      </c>
      <c r="X31" s="72">
        <f t="shared" si="16"/>
        <v>23166219.743613053</v>
      </c>
      <c r="Y31" s="34"/>
      <c r="Z31" s="5" t="s">
        <v>82</v>
      </c>
      <c r="AA31" s="18">
        <v>25715517.869000003</v>
      </c>
      <c r="AB31" s="63">
        <f t="shared" si="4"/>
        <v>-2549298.1253869496</v>
      </c>
      <c r="AC31" s="3">
        <f t="shared" si="5"/>
        <v>23166219.743613053</v>
      </c>
      <c r="AD31" s="12"/>
      <c r="AE31" s="5" t="s">
        <v>82</v>
      </c>
      <c r="AF31" s="18">
        <f t="shared" si="6"/>
        <v>30713831</v>
      </c>
      <c r="AG31" s="18">
        <f t="shared" si="17"/>
        <v>-4998313.1309999973</v>
      </c>
      <c r="AH31" s="18">
        <f t="shared" si="7"/>
        <v>25715517.869000003</v>
      </c>
      <c r="AI31" s="150">
        <f t="shared" si="18"/>
        <v>-2549298.1253869496</v>
      </c>
      <c r="AJ31" s="18">
        <f t="shared" si="8"/>
        <v>23166219.743613053</v>
      </c>
      <c r="AK31" s="3">
        <f t="shared" si="19"/>
        <v>-7547611.2563869469</v>
      </c>
      <c r="AM31" s="18"/>
      <c r="AN31" s="18"/>
      <c r="AO31" s="18"/>
      <c r="AP31" s="12"/>
      <c r="AS31" s="18"/>
      <c r="AT31" s="18"/>
      <c r="AU31" s="18"/>
    </row>
    <row r="32" spans="1:49" x14ac:dyDescent="0.25">
      <c r="A32" s="5" t="s">
        <v>83</v>
      </c>
      <c r="B32" s="1">
        <f>+'Weighted Rev Allocation'!I28</f>
        <v>5405621.676861966</v>
      </c>
      <c r="C32" s="51">
        <f t="shared" si="9"/>
        <v>0.10075156783807211</v>
      </c>
      <c r="D32" s="14"/>
      <c r="E32" s="1">
        <f>+'Summer Credit Hour Allocation'!AN50</f>
        <v>514853.49677718</v>
      </c>
      <c r="F32" s="14"/>
      <c r="G32" s="1">
        <f t="shared" si="10"/>
        <v>6059969.8377724821</v>
      </c>
      <c r="H32" s="14"/>
      <c r="I32" s="14">
        <f t="shared" si="0"/>
        <v>-59902.225057058138</v>
      </c>
      <c r="J32" s="14">
        <f t="shared" si="11"/>
        <v>11920542.78635457</v>
      </c>
      <c r="K32" s="14"/>
      <c r="L32" s="1">
        <f t="shared" si="1"/>
        <v>0</v>
      </c>
      <c r="M32" s="1">
        <f t="shared" si="12"/>
        <v>11920542.78635457</v>
      </c>
      <c r="N32" s="111">
        <v>0.57480106629727035</v>
      </c>
      <c r="O32" s="1">
        <f t="shared" si="13"/>
        <v>6851940.704438841</v>
      </c>
      <c r="P32" s="14">
        <f t="shared" si="14"/>
        <v>6851940.704438841</v>
      </c>
      <c r="Q32" s="118">
        <f t="shared" si="15"/>
        <v>0.57480106629727035</v>
      </c>
      <c r="R32" s="18">
        <f t="shared" si="2"/>
        <v>5068602.0819157287</v>
      </c>
      <c r="S32" s="22"/>
      <c r="T32" s="5" t="s">
        <v>84</v>
      </c>
      <c r="U32" s="18">
        <v>8395462.7100000009</v>
      </c>
      <c r="V32" s="14">
        <f>+'Historical College Expenses'!F95</f>
        <v>8390374</v>
      </c>
      <c r="W32" s="1">
        <f t="shared" si="3"/>
        <v>-1538433.295561159</v>
      </c>
      <c r="X32" s="72">
        <f t="shared" si="16"/>
        <v>6851940.704438841</v>
      </c>
      <c r="Y32" s="34"/>
      <c r="Z32" s="5" t="s">
        <v>84</v>
      </c>
      <c r="AA32" s="18">
        <v>7217339.8445000006</v>
      </c>
      <c r="AB32" s="63">
        <f t="shared" si="4"/>
        <v>-365399.14006115962</v>
      </c>
      <c r="AC32" s="3">
        <f t="shared" si="5"/>
        <v>6851940.704438841</v>
      </c>
      <c r="AD32" s="12"/>
      <c r="AE32" s="5" t="s">
        <v>84</v>
      </c>
      <c r="AF32" s="18">
        <f t="shared" si="6"/>
        <v>8390374</v>
      </c>
      <c r="AG32" s="18">
        <f t="shared" si="17"/>
        <v>-1173034.1554999994</v>
      </c>
      <c r="AH32" s="18">
        <f t="shared" si="7"/>
        <v>7217339.8445000006</v>
      </c>
      <c r="AI32" s="150">
        <f t="shared" si="18"/>
        <v>-365399.14006115962</v>
      </c>
      <c r="AJ32" s="18">
        <f t="shared" si="8"/>
        <v>6851940.704438841</v>
      </c>
      <c r="AK32" s="3">
        <f t="shared" si="19"/>
        <v>-1538433.295561159</v>
      </c>
      <c r="AM32" s="18"/>
      <c r="AN32" s="18"/>
      <c r="AO32" s="18"/>
      <c r="AP32" s="12"/>
      <c r="AS32" s="18"/>
      <c r="AT32" s="18"/>
      <c r="AU32" s="18"/>
    </row>
    <row r="33" spans="1:47" x14ac:dyDescent="0.25">
      <c r="A33" s="5" t="s">
        <v>85</v>
      </c>
      <c r="B33" s="1">
        <f>+'Weighted Rev Allocation'!I29</f>
        <v>312348.41680717049</v>
      </c>
      <c r="C33" s="51">
        <f t="shared" si="9"/>
        <v>5.821641725273414E-3</v>
      </c>
      <c r="D33" s="14"/>
      <c r="E33" s="1">
        <f>+'Summer Credit Hour Allocation'!AN51</f>
        <v>33539.818124503996</v>
      </c>
      <c r="F33" s="14"/>
      <c r="G33" s="1">
        <f t="shared" si="10"/>
        <v>350158.05727385799</v>
      </c>
      <c r="H33" s="14"/>
      <c r="I33" s="14">
        <f t="shared" si="0"/>
        <v>-3480.2314610276626</v>
      </c>
      <c r="J33" s="14">
        <f t="shared" si="11"/>
        <v>692566.06074450491</v>
      </c>
      <c r="K33" s="14"/>
      <c r="L33" s="1">
        <f t="shared" si="1"/>
        <v>0</v>
      </c>
      <c r="M33" s="1">
        <f t="shared" si="12"/>
        <v>692566.06074450491</v>
      </c>
      <c r="N33" s="111">
        <v>0.83023922243875892</v>
      </c>
      <c r="O33" s="1">
        <f t="shared" si="13"/>
        <v>574995.50775999203</v>
      </c>
      <c r="P33" s="14">
        <f t="shared" si="14"/>
        <v>574995.50775999203</v>
      </c>
      <c r="Q33" s="118">
        <f t="shared" si="15"/>
        <v>0.83023922243875892</v>
      </c>
      <c r="R33" s="18">
        <f t="shared" si="2"/>
        <v>117570.55298451288</v>
      </c>
      <c r="S33" s="22"/>
      <c r="T33" s="5" t="s">
        <v>86</v>
      </c>
      <c r="U33" s="18">
        <v>556666.54999999993</v>
      </c>
      <c r="V33" s="14">
        <f>+'Historical College Expenses'!F114</f>
        <v>565685</v>
      </c>
      <c r="W33" s="1">
        <f t="shared" si="3"/>
        <v>9310.5077599920332</v>
      </c>
      <c r="X33" s="72">
        <f t="shared" si="16"/>
        <v>574995.50775999203</v>
      </c>
      <c r="Y33" s="34"/>
      <c r="Z33" s="5" t="s">
        <v>86</v>
      </c>
      <c r="AA33" s="18">
        <v>577348.54850000003</v>
      </c>
      <c r="AB33" s="63">
        <f t="shared" si="4"/>
        <v>-2353.0407400080003</v>
      </c>
      <c r="AC33" s="3">
        <f t="shared" si="5"/>
        <v>574995.50775999203</v>
      </c>
      <c r="AD33" s="12"/>
      <c r="AE33" s="5" t="s">
        <v>86</v>
      </c>
      <c r="AF33" s="18">
        <f t="shared" si="6"/>
        <v>565685</v>
      </c>
      <c r="AG33" s="18">
        <f t="shared" si="17"/>
        <v>11663.548500000034</v>
      </c>
      <c r="AH33" s="18">
        <f t="shared" si="7"/>
        <v>577348.54850000003</v>
      </c>
      <c r="AI33" s="150">
        <f t="shared" si="18"/>
        <v>-2353.0407400080003</v>
      </c>
      <c r="AJ33" s="18">
        <f t="shared" si="8"/>
        <v>574995.50775999203</v>
      </c>
      <c r="AK33" s="3">
        <f t="shared" si="19"/>
        <v>9310.5077599920332</v>
      </c>
      <c r="AM33" s="18"/>
      <c r="AN33" s="18"/>
      <c r="AO33" s="18"/>
      <c r="AP33" s="12"/>
      <c r="AS33" s="18"/>
      <c r="AT33" s="18"/>
      <c r="AU33" s="18"/>
    </row>
    <row r="34" spans="1:47" x14ac:dyDescent="0.25">
      <c r="A34" s="5" t="s">
        <v>87</v>
      </c>
      <c r="B34" s="1">
        <f>+'Weighted Rev Allocation'!I30</f>
        <v>4041274.0762315765</v>
      </c>
      <c r="C34" s="51">
        <f t="shared" si="9"/>
        <v>7.5322455692099471E-2</v>
      </c>
      <c r="D34" s="14">
        <f>+C51</f>
        <v>434243</v>
      </c>
      <c r="E34" s="1">
        <f>+'Summer Credit Hour Allocation'!AN52</f>
        <v>519002.75262763409</v>
      </c>
      <c r="F34" s="14">
        <f>+D51</f>
        <v>17962</v>
      </c>
      <c r="G34" s="1">
        <f t="shared" si="10"/>
        <v>4530468.5514639951</v>
      </c>
      <c r="H34" s="14"/>
      <c r="I34" s="14">
        <f t="shared" si="0"/>
        <v>-47714.751901616029</v>
      </c>
      <c r="J34" s="14">
        <f t="shared" si="11"/>
        <v>9495235.6284215897</v>
      </c>
      <c r="K34" s="14"/>
      <c r="L34" s="1">
        <f t="shared" si="1"/>
        <v>452205</v>
      </c>
      <c r="M34" s="1">
        <f t="shared" si="12"/>
        <v>9043030.6284215897</v>
      </c>
      <c r="N34" s="111">
        <v>0.58623047758368829</v>
      </c>
      <c r="O34" s="1">
        <f t="shared" si="13"/>
        <v>5301300.1641035099</v>
      </c>
      <c r="P34" s="14">
        <f t="shared" si="14"/>
        <v>5753505.1641035099</v>
      </c>
      <c r="Q34" s="118">
        <f t="shared" si="15"/>
        <v>0.60593600719942586</v>
      </c>
      <c r="R34" s="18">
        <f t="shared" si="2"/>
        <v>3741730.4643180799</v>
      </c>
      <c r="S34" s="22"/>
      <c r="T34" s="5" t="s">
        <v>88</v>
      </c>
      <c r="U34" s="18">
        <v>5407794.1900000013</v>
      </c>
      <c r="V34" s="14">
        <f>+'Historical College Expenses'!F152</f>
        <v>5974514</v>
      </c>
      <c r="W34" s="1">
        <f t="shared" si="3"/>
        <v>-221008.83589649014</v>
      </c>
      <c r="X34" s="72">
        <f t="shared" si="16"/>
        <v>5753505.1641035099</v>
      </c>
      <c r="Y34" s="34"/>
      <c r="Z34" s="5" t="s">
        <v>88</v>
      </c>
      <c r="AA34" s="18">
        <v>5686261.2779999999</v>
      </c>
      <c r="AB34" s="63">
        <f t="shared" si="4"/>
        <v>67243.886103509925</v>
      </c>
      <c r="AC34" s="3">
        <f t="shared" si="5"/>
        <v>5753505.1641035099</v>
      </c>
      <c r="AD34" s="12"/>
      <c r="AE34" s="5" t="s">
        <v>88</v>
      </c>
      <c r="AF34" s="18">
        <f t="shared" si="6"/>
        <v>5974514</v>
      </c>
      <c r="AG34" s="18">
        <f t="shared" si="17"/>
        <v>-288252.72200000007</v>
      </c>
      <c r="AH34" s="18">
        <f t="shared" si="7"/>
        <v>5686261.2779999999</v>
      </c>
      <c r="AI34" s="150">
        <f t="shared" si="18"/>
        <v>67243.886103509925</v>
      </c>
      <c r="AJ34" s="18">
        <f t="shared" si="8"/>
        <v>5753505.1641035099</v>
      </c>
      <c r="AK34" s="3">
        <f t="shared" si="19"/>
        <v>-221008.83589649014</v>
      </c>
      <c r="AM34" s="18"/>
      <c r="AN34" s="18"/>
      <c r="AO34" s="18"/>
      <c r="AP34" s="12"/>
      <c r="AS34" s="18"/>
      <c r="AT34" s="18"/>
      <c r="AU34" s="18"/>
    </row>
    <row r="35" spans="1:47" x14ac:dyDescent="0.25">
      <c r="A35" s="5" t="s">
        <v>89</v>
      </c>
      <c r="B35" s="1">
        <f>+'Weighted Rev Allocation'!I31</f>
        <v>1788238.8710011875</v>
      </c>
      <c r="C35" s="51">
        <f t="shared" si="9"/>
        <v>3.3329722406127284E-2</v>
      </c>
      <c r="D35" s="14">
        <f>+C52+C53</f>
        <v>1262144</v>
      </c>
      <c r="E35" s="1">
        <f>+'Summer Credit Hour Allocation'!AN53</f>
        <v>66042.322286394468</v>
      </c>
      <c r="F35" s="14">
        <f>+D52+D53</f>
        <v>27127</v>
      </c>
      <c r="G35" s="1">
        <f t="shared" si="10"/>
        <v>2004704.4112214569</v>
      </c>
      <c r="H35" s="14"/>
      <c r="I35" s="14">
        <f t="shared" si="0"/>
        <v>-25741.283022545194</v>
      </c>
      <c r="J35" s="14">
        <f t="shared" si="11"/>
        <v>5122515.3214864936</v>
      </c>
      <c r="K35" s="14"/>
      <c r="L35" s="1">
        <f t="shared" si="1"/>
        <v>1289271</v>
      </c>
      <c r="M35" s="1">
        <f t="shared" si="12"/>
        <v>3833244.3214864936</v>
      </c>
      <c r="N35" s="111">
        <v>0.89802092031493796</v>
      </c>
      <c r="O35" s="1">
        <f t="shared" si="13"/>
        <v>3442333.5933733108</v>
      </c>
      <c r="P35" s="14">
        <f t="shared" si="14"/>
        <v>4731604.5933733108</v>
      </c>
      <c r="Q35" s="118">
        <f t="shared" si="15"/>
        <v>0.92368773862451914</v>
      </c>
      <c r="R35" s="18">
        <f t="shared" si="2"/>
        <v>390910.72811318282</v>
      </c>
      <c r="S35" s="22"/>
      <c r="T35" s="5" t="s">
        <v>90</v>
      </c>
      <c r="U35" s="18">
        <v>5938188.6999999983</v>
      </c>
      <c r="V35" s="14">
        <f>+'Historical College Expenses'!F171</f>
        <v>4999729</v>
      </c>
      <c r="W35" s="1">
        <f t="shared" si="3"/>
        <v>-268124.40662668925</v>
      </c>
      <c r="X35" s="72">
        <f t="shared" si="16"/>
        <v>4731604.5933733108</v>
      </c>
      <c r="Y35" s="34"/>
      <c r="Z35" s="5" t="s">
        <v>90</v>
      </c>
      <c r="AA35" s="18">
        <v>4826502.9780000001</v>
      </c>
      <c r="AB35" s="63">
        <f t="shared" si="4"/>
        <v>-94898.384626689367</v>
      </c>
      <c r="AC35" s="3">
        <f t="shared" si="5"/>
        <v>4731604.5933733108</v>
      </c>
      <c r="AD35" s="12"/>
      <c r="AE35" s="5" t="s">
        <v>90</v>
      </c>
      <c r="AF35" s="18">
        <f t="shared" si="6"/>
        <v>4999729</v>
      </c>
      <c r="AG35" s="18">
        <f t="shared" si="17"/>
        <v>-173226.02199999988</v>
      </c>
      <c r="AH35" s="18">
        <f t="shared" si="7"/>
        <v>4826502.9780000001</v>
      </c>
      <c r="AI35" s="150">
        <f t="shared" si="18"/>
        <v>-94898.384626689367</v>
      </c>
      <c r="AJ35" s="18">
        <f t="shared" si="8"/>
        <v>4731604.5933733108</v>
      </c>
      <c r="AK35" s="3">
        <f t="shared" si="19"/>
        <v>-268124.40662668925</v>
      </c>
      <c r="AM35" s="18"/>
      <c r="AN35" s="18"/>
      <c r="AO35" s="18"/>
      <c r="AP35" s="12"/>
      <c r="AS35" s="18"/>
      <c r="AT35" s="18"/>
      <c r="AU35" s="18"/>
    </row>
    <row r="36" spans="1:47" x14ac:dyDescent="0.25">
      <c r="A36" s="5" t="s">
        <v>91</v>
      </c>
      <c r="B36" s="1">
        <f>+'Weighted Rev Allocation'!I32</f>
        <v>3223310.1377997492</v>
      </c>
      <c r="C36" s="51">
        <f t="shared" si="9"/>
        <v>6.0077003058083167E-2</v>
      </c>
      <c r="D36" s="18">
        <f>+C54+C55</f>
        <v>36663</v>
      </c>
      <c r="E36" s="5">
        <f>+'Summer Credit Hour Allocation'!AN56</f>
        <v>195708.57999999996</v>
      </c>
      <c r="F36" s="18">
        <f>+D54+D55</f>
        <v>5600</v>
      </c>
      <c r="G36" s="1">
        <f t="shared" si="10"/>
        <v>3613490.4328325097</v>
      </c>
      <c r="H36" s="18"/>
      <c r="I36" s="14">
        <f t="shared" si="0"/>
        <v>-35373.860753161294</v>
      </c>
      <c r="J36" s="14">
        <f t="shared" si="11"/>
        <v>7039398.2898790976</v>
      </c>
      <c r="K36" s="14"/>
      <c r="L36" s="1">
        <f t="shared" si="1"/>
        <v>42263</v>
      </c>
      <c r="M36" s="1">
        <f t="shared" si="12"/>
        <v>6997135.2898790976</v>
      </c>
      <c r="N36" s="111">
        <v>0.70767577942586568</v>
      </c>
      <c r="O36" s="1">
        <f t="shared" si="13"/>
        <v>4951703.1700134212</v>
      </c>
      <c r="P36" s="14">
        <f t="shared" si="14"/>
        <v>4993966.1700134212</v>
      </c>
      <c r="Q36" s="118">
        <f t="shared" si="15"/>
        <v>0.70943082979031058</v>
      </c>
      <c r="R36" s="18">
        <f t="shared" si="2"/>
        <v>2045432.1198656764</v>
      </c>
      <c r="S36" s="22"/>
      <c r="T36" s="5" t="s">
        <v>91</v>
      </c>
      <c r="U36" s="18">
        <v>4751531.91</v>
      </c>
      <c r="V36" s="14">
        <f>+'Historical College Expenses'!F133</f>
        <v>5572290</v>
      </c>
      <c r="W36" s="1">
        <f t="shared" si="3"/>
        <v>-578323.82998657878</v>
      </c>
      <c r="X36" s="72">
        <f t="shared" si="16"/>
        <v>4993966.1700134212</v>
      </c>
      <c r="Y36" s="34"/>
      <c r="Z36" s="5" t="s">
        <v>91</v>
      </c>
      <c r="AA36" s="18">
        <v>5337296.0924999993</v>
      </c>
      <c r="AB36" s="63">
        <f t="shared" si="4"/>
        <v>-343329.92248657811</v>
      </c>
      <c r="AC36" s="3">
        <f t="shared" si="5"/>
        <v>4993966.1700134212</v>
      </c>
      <c r="AD36" s="12"/>
      <c r="AE36" s="5" t="s">
        <v>91</v>
      </c>
      <c r="AF36" s="18">
        <f t="shared" si="6"/>
        <v>5572290</v>
      </c>
      <c r="AG36" s="18">
        <f t="shared" si="17"/>
        <v>-234993.90750000067</v>
      </c>
      <c r="AH36" s="18">
        <f t="shared" si="7"/>
        <v>5337296.0924999993</v>
      </c>
      <c r="AI36" s="150">
        <f t="shared" si="18"/>
        <v>-343329.92248657811</v>
      </c>
      <c r="AJ36" s="18">
        <f t="shared" si="8"/>
        <v>4993966.1700134212</v>
      </c>
      <c r="AK36" s="3">
        <f t="shared" si="19"/>
        <v>-578323.82998657878</v>
      </c>
      <c r="AM36" s="18"/>
      <c r="AN36" s="18"/>
      <c r="AO36" s="18"/>
      <c r="AP36" s="12"/>
      <c r="AS36" s="18"/>
      <c r="AT36" s="18"/>
      <c r="AU36" s="18"/>
    </row>
    <row r="37" spans="1:47" x14ac:dyDescent="0.25">
      <c r="A37" s="5" t="s">
        <v>92</v>
      </c>
      <c r="B37" s="1">
        <f>+'Weighted Rev Allocation'!I33</f>
        <v>1068489.7479526529</v>
      </c>
      <c r="C37" s="51">
        <f t="shared" si="9"/>
        <v>1.9914826408575021E-2</v>
      </c>
      <c r="D37" s="18"/>
      <c r="E37" s="5"/>
      <c r="F37" s="18"/>
      <c r="G37" s="1">
        <f t="shared" si="10"/>
        <v>1197829.9688040745</v>
      </c>
      <c r="H37" s="18"/>
      <c r="I37" s="14">
        <f t="shared" si="0"/>
        <v>-11331.598583783638</v>
      </c>
      <c r="J37" s="14">
        <f t="shared" si="11"/>
        <v>2254988.1181729436</v>
      </c>
      <c r="K37" s="14"/>
      <c r="L37" s="1">
        <f t="shared" si="1"/>
        <v>0</v>
      </c>
      <c r="M37" s="1">
        <f t="shared" si="12"/>
        <v>2254988.1181729436</v>
      </c>
      <c r="N37" s="111"/>
      <c r="O37" s="5"/>
      <c r="P37" s="14"/>
      <c r="Q37" s="1"/>
      <c r="R37" s="18">
        <f t="shared" si="2"/>
        <v>2254988.1181729436</v>
      </c>
      <c r="S37" s="1"/>
      <c r="T37" s="5" t="s">
        <v>92</v>
      </c>
      <c r="U37" s="18"/>
      <c r="V37" s="5"/>
      <c r="W37" s="5"/>
      <c r="X37" s="5"/>
      <c r="Z37" s="5" t="s">
        <v>92</v>
      </c>
      <c r="AA37" s="18"/>
      <c r="AD37" s="12"/>
      <c r="AE37" s="5" t="s">
        <v>92</v>
      </c>
      <c r="AF37" s="18"/>
      <c r="AG37" s="18"/>
      <c r="AH37" s="18"/>
      <c r="AI37" s="150"/>
      <c r="AJ37" s="18"/>
      <c r="AK37"/>
      <c r="AM37" s="18"/>
      <c r="AN37" s="18"/>
      <c r="AO37" s="18"/>
      <c r="AP37" s="12"/>
      <c r="AS37" s="18"/>
      <c r="AT37" s="18"/>
      <c r="AU37" s="18"/>
    </row>
    <row r="38" spans="1:47" x14ac:dyDescent="0.25">
      <c r="A38" s="5" t="s">
        <v>93</v>
      </c>
      <c r="B38" s="1">
        <f>+'Weighted Rev Allocation'!I34</f>
        <v>0</v>
      </c>
      <c r="C38" s="51">
        <f t="shared" si="9"/>
        <v>0</v>
      </c>
      <c r="D38" s="18"/>
      <c r="E38" s="5"/>
      <c r="F38" s="18"/>
      <c r="G38" s="1">
        <f t="shared" si="10"/>
        <v>0</v>
      </c>
      <c r="H38" s="18"/>
      <c r="I38" s="14">
        <f t="shared" si="0"/>
        <v>0</v>
      </c>
      <c r="J38" s="14">
        <f t="shared" si="11"/>
        <v>0</v>
      </c>
      <c r="K38" s="14"/>
      <c r="L38" s="1">
        <f t="shared" si="1"/>
        <v>0</v>
      </c>
      <c r="M38" s="1">
        <f t="shared" si="12"/>
        <v>0</v>
      </c>
      <c r="N38" s="111"/>
      <c r="O38" s="5"/>
      <c r="P38" s="1"/>
      <c r="Q38" s="1"/>
      <c r="R38" s="18">
        <f t="shared" si="2"/>
        <v>0</v>
      </c>
      <c r="S38" s="1"/>
      <c r="T38" s="5" t="s">
        <v>94</v>
      </c>
      <c r="U38" s="18"/>
      <c r="V38" s="5"/>
      <c r="W38" s="5"/>
      <c r="X38" s="5"/>
      <c r="Z38" s="5" t="s">
        <v>94</v>
      </c>
      <c r="AA38" s="18"/>
      <c r="AD38" s="117"/>
      <c r="AE38" s="5" t="s">
        <v>94</v>
      </c>
      <c r="AF38" s="18"/>
      <c r="AG38" s="18"/>
      <c r="AH38" s="18"/>
      <c r="AI38" s="150"/>
      <c r="AJ38" s="3"/>
      <c r="AK38"/>
      <c r="AM38" s="18"/>
      <c r="AN38" s="18"/>
      <c r="AO38" s="18"/>
      <c r="AP38" s="12"/>
      <c r="AS38" s="18"/>
      <c r="AT38" s="18"/>
      <c r="AU38" s="18"/>
    </row>
    <row r="39" spans="1:47" x14ac:dyDescent="0.25">
      <c r="A39" s="5" t="s">
        <v>95</v>
      </c>
      <c r="B39" s="1">
        <f>+'Weighted Rev Allocation'!I35</f>
        <v>0</v>
      </c>
      <c r="C39" s="51">
        <f t="shared" si="9"/>
        <v>0</v>
      </c>
      <c r="D39" s="18"/>
      <c r="E39" s="5"/>
      <c r="F39" s="18"/>
      <c r="G39" s="1">
        <f t="shared" si="10"/>
        <v>0</v>
      </c>
      <c r="H39" s="18"/>
      <c r="I39" s="14">
        <f t="shared" si="0"/>
        <v>0</v>
      </c>
      <c r="J39" s="14">
        <f t="shared" si="11"/>
        <v>0</v>
      </c>
      <c r="K39" s="14"/>
      <c r="L39" s="1">
        <f t="shared" si="1"/>
        <v>0</v>
      </c>
      <c r="M39" s="1">
        <f t="shared" si="12"/>
        <v>0</v>
      </c>
      <c r="N39" s="111"/>
      <c r="O39" s="5"/>
      <c r="P39" s="1"/>
      <c r="Q39" s="1"/>
      <c r="R39" s="18">
        <f t="shared" si="2"/>
        <v>0</v>
      </c>
      <c r="S39" s="1"/>
      <c r="T39" s="5" t="s">
        <v>96</v>
      </c>
      <c r="U39" s="18"/>
      <c r="V39" s="5"/>
      <c r="W39" s="5"/>
      <c r="X39" s="5"/>
      <c r="Z39" s="5" t="s">
        <v>96</v>
      </c>
      <c r="AA39" s="18"/>
      <c r="AD39" s="12"/>
      <c r="AE39" s="5" t="s">
        <v>96</v>
      </c>
      <c r="AF39" s="18"/>
      <c r="AG39" s="18"/>
      <c r="AH39" s="18"/>
      <c r="AI39" s="150"/>
      <c r="AJ39" s="3"/>
      <c r="AK39"/>
      <c r="AM39" s="18"/>
      <c r="AN39" s="18"/>
      <c r="AO39" s="18"/>
      <c r="AP39" s="12"/>
      <c r="AS39" s="18"/>
      <c r="AT39" s="18"/>
      <c r="AU39" s="18"/>
    </row>
    <row r="40" spans="1:47" x14ac:dyDescent="0.25">
      <c r="A40" s="53" t="s">
        <v>97</v>
      </c>
      <c r="B40" s="1">
        <f>+'Weighted Rev Allocation'!I36</f>
        <v>2430756.7368825679</v>
      </c>
      <c r="C40" s="51">
        <f t="shared" si="9"/>
        <v>4.5305159501292359E-2</v>
      </c>
      <c r="D40" s="18"/>
      <c r="E40" s="5"/>
      <c r="F40" s="18"/>
      <c r="G40" s="1">
        <f t="shared" si="10"/>
        <v>2724998.7862675884</v>
      </c>
      <c r="H40" s="18">
        <f>+B18</f>
        <v>657550</v>
      </c>
      <c r="I40" s="14">
        <f t="shared" si="0"/>
        <v>-29066.527615750783</v>
      </c>
      <c r="J40" s="14">
        <f t="shared" si="11"/>
        <v>5784238.9955344051</v>
      </c>
      <c r="K40" s="14"/>
      <c r="L40" s="1">
        <f t="shared" si="1"/>
        <v>0</v>
      </c>
      <c r="M40" s="1">
        <f t="shared" si="12"/>
        <v>5784238.9955344051</v>
      </c>
      <c r="N40" s="111"/>
      <c r="O40" s="5"/>
      <c r="P40" s="5"/>
      <c r="Q40" s="5"/>
      <c r="R40" s="18">
        <f t="shared" si="2"/>
        <v>5784238.9955344051</v>
      </c>
      <c r="S40" s="5"/>
      <c r="T40" s="53" t="s">
        <v>98</v>
      </c>
      <c r="U40" s="18"/>
      <c r="V40" s="5"/>
      <c r="W40" s="5"/>
      <c r="X40" s="5"/>
      <c r="Z40" s="53" t="s">
        <v>98</v>
      </c>
      <c r="AA40" s="18">
        <v>4700000</v>
      </c>
      <c r="AC40" s="3">
        <f>+AA40</f>
        <v>4700000</v>
      </c>
      <c r="AD40" s="12"/>
      <c r="AE40" s="53" t="s">
        <v>98</v>
      </c>
      <c r="AF40" s="18"/>
      <c r="AG40" s="18"/>
      <c r="AH40" s="18">
        <v>4700000</v>
      </c>
      <c r="AI40" s="150"/>
      <c r="AJ40" s="3">
        <v>4700000</v>
      </c>
      <c r="AK40"/>
      <c r="AM40" s="18"/>
      <c r="AN40" s="18"/>
      <c r="AO40" s="18"/>
      <c r="AP40" s="12"/>
      <c r="AS40" s="18"/>
      <c r="AT40" s="18"/>
      <c r="AU40" s="18"/>
    </row>
    <row r="41" spans="1:47" x14ac:dyDescent="0.25">
      <c r="B41" s="25">
        <f t="shared" ref="B41:J41" si="20">SUM(B28:B40)</f>
        <v>53652978.239999995</v>
      </c>
      <c r="C41" s="61">
        <f>SUM(C28:C40)</f>
        <v>1.0000000000000004</v>
      </c>
      <c r="D41" s="25">
        <f t="shared" si="20"/>
        <v>3985286</v>
      </c>
      <c r="E41" s="25">
        <f t="shared" si="20"/>
        <v>4117101.1299999985</v>
      </c>
      <c r="F41" s="25">
        <f t="shared" si="20"/>
        <v>124398.5</v>
      </c>
      <c r="G41" s="25">
        <f t="shared" si="20"/>
        <v>60147648.000000007</v>
      </c>
      <c r="H41" s="25">
        <f t="shared" si="20"/>
        <v>657550</v>
      </c>
      <c r="I41" s="25">
        <f t="shared" si="20"/>
        <v>-613424.80935</v>
      </c>
      <c r="J41" s="25">
        <f t="shared" si="20"/>
        <v>122071537.06065002</v>
      </c>
      <c r="K41" s="3"/>
      <c r="L41" s="25">
        <f>SUM(L28:L40)</f>
        <v>4109684.5</v>
      </c>
      <c r="M41" s="25">
        <f>SUM(M28:M40)</f>
        <v>117961852.56065002</v>
      </c>
      <c r="N41" s="3"/>
      <c r="O41" s="25">
        <f>SUM(O28:O40)</f>
        <v>59399297.664311968</v>
      </c>
      <c r="P41" s="25">
        <f>SUM(P28:P40)</f>
        <v>63508982.164311968</v>
      </c>
      <c r="Q41" s="3"/>
      <c r="R41" s="78">
        <f>SUM(R28:R40)</f>
        <v>58562554.896338053</v>
      </c>
      <c r="S41" s="3"/>
      <c r="T41" s="3" t="s">
        <v>99</v>
      </c>
      <c r="U41" s="79">
        <f>SUM(U28:U40)</f>
        <v>73139324.710000008</v>
      </c>
      <c r="V41" s="79">
        <f>SUM(V28:V40)</f>
        <v>74655190</v>
      </c>
      <c r="W41" s="79">
        <f t="shared" ref="W41:X41" si="21">SUM(W28:W40)</f>
        <v>-11146207.83568804</v>
      </c>
      <c r="X41" s="79">
        <f t="shared" si="21"/>
        <v>63508982.164311968</v>
      </c>
      <c r="Z41" s="3" t="s">
        <v>99</v>
      </c>
      <c r="AA41" s="23">
        <f>SUM(AA28:AA40)</f>
        <v>71471434.159999996</v>
      </c>
      <c r="AB41" s="23">
        <f>SUM(AB28:AB40)</f>
        <v>-3262451.9956880379</v>
      </c>
      <c r="AC41" s="23">
        <f>SUM(AC28:AC40)</f>
        <v>68208982.164311975</v>
      </c>
      <c r="AD41" s="5"/>
      <c r="AE41" s="3" t="s">
        <v>99</v>
      </c>
      <c r="AF41" s="23">
        <f t="shared" ref="AF41:AH41" si="22">SUM(AF28:AF40)</f>
        <v>74655190</v>
      </c>
      <c r="AG41" s="23">
        <f t="shared" si="22"/>
        <v>-7883755.8399999989</v>
      </c>
      <c r="AH41" s="23">
        <f t="shared" si="22"/>
        <v>71471434.159999996</v>
      </c>
      <c r="AI41" s="151">
        <f t="shared" ref="AI41" si="23">SUM(AI28:AI40)</f>
        <v>-3262451.9956880379</v>
      </c>
      <c r="AJ41" s="23">
        <f t="shared" ref="AJ41:AK41" si="24">SUM(AJ28:AJ40)</f>
        <v>68208982.164311975</v>
      </c>
      <c r="AK41" s="23">
        <f t="shared" si="24"/>
        <v>-11146207.83568804</v>
      </c>
      <c r="AM41" s="18"/>
      <c r="AN41" s="18"/>
      <c r="AO41" s="18"/>
      <c r="AP41" s="12"/>
      <c r="AS41" s="18"/>
      <c r="AT41" s="18"/>
      <c r="AU41" s="18"/>
    </row>
    <row r="42" spans="1:47" x14ac:dyDescent="0.25">
      <c r="B42" s="1"/>
      <c r="C42" s="3"/>
      <c r="D42"/>
      <c r="E42" s="48">
        <v>2020</v>
      </c>
      <c r="F42" s="48"/>
      <c r="G42" s="48"/>
      <c r="H42" s="187"/>
      <c r="I42" s="48">
        <v>2021</v>
      </c>
      <c r="J42" s="3"/>
      <c r="K42" s="3"/>
      <c r="L42" s="3"/>
      <c r="M42" s="3"/>
      <c r="N42" s="3"/>
      <c r="O42" s="35"/>
      <c r="P42" s="139">
        <f>+P41/B20</f>
        <v>0.5140994643156791</v>
      </c>
      <c r="Q42" s="12"/>
      <c r="S42" s="12"/>
      <c r="T42" s="12"/>
      <c r="U42" s="139">
        <f>+U41/U20</f>
        <v>0.58519852919385118</v>
      </c>
      <c r="V42" s="139">
        <f>+V41/V20</f>
        <v>0.60432700823463181</v>
      </c>
      <c r="W42" s="3"/>
      <c r="X42" s="3"/>
      <c r="Z42" s="18"/>
      <c r="AA42" s="139">
        <f>+AA41/AA20</f>
        <v>0.59082672219185617</v>
      </c>
      <c r="AC42" s="139">
        <f>+AC41/AC20</f>
        <v>0.56385729249487371</v>
      </c>
      <c r="AD42" s="5"/>
      <c r="AE42" s="18"/>
      <c r="AF42"/>
      <c r="AG42" s="3"/>
      <c r="AH42" s="12"/>
      <c r="AI42" s="12"/>
      <c r="AJ42" s="139">
        <f>+AJ41/AJ20</f>
        <v>0.55214553905881181</v>
      </c>
      <c r="AM42" s="3"/>
      <c r="AN42" s="18"/>
      <c r="AO42" s="18"/>
      <c r="AP42" s="12"/>
      <c r="AS42" s="18"/>
      <c r="AT42" s="18"/>
      <c r="AU42" s="18"/>
    </row>
    <row r="43" spans="1:47" ht="15.75" thickBot="1" x14ac:dyDescent="0.3">
      <c r="A43" s="13" t="s">
        <v>100</v>
      </c>
      <c r="C43" s="42" t="s">
        <v>101</v>
      </c>
      <c r="D43" s="42" t="s">
        <v>31</v>
      </c>
      <c r="E43" s="42" t="s">
        <v>38</v>
      </c>
      <c r="F43" s="3"/>
      <c r="G43" s="42" t="s">
        <v>101</v>
      </c>
      <c r="H43" s="42" t="s">
        <v>31</v>
      </c>
      <c r="I43" s="42" t="s">
        <v>38</v>
      </c>
      <c r="J43" s="3"/>
      <c r="Q43" s="35"/>
      <c r="R43" s="3"/>
      <c r="S43" s="35"/>
      <c r="T43" s="59" t="s">
        <v>102</v>
      </c>
      <c r="U43" s="3">
        <f>SUM(U28:U36)</f>
        <v>73139324.710000008</v>
      </c>
      <c r="V43" s="3">
        <f>SUM(V28:V36)</f>
        <v>74655190</v>
      </c>
      <c r="W43" s="137"/>
      <c r="X43" s="137"/>
      <c r="Z43" s="59" t="s">
        <v>102</v>
      </c>
      <c r="AA43" s="3">
        <f>SUM(AA28:AA36)</f>
        <v>66771434.160000004</v>
      </c>
      <c r="AC43" s="3">
        <f>SUM(AC28:AC36)</f>
        <v>63508982.164311968</v>
      </c>
      <c r="AD43" s="5"/>
      <c r="AE43" s="59" t="s">
        <v>102</v>
      </c>
      <c r="AF43" s="3">
        <f t="shared" ref="AF43:AJ43" si="25">SUM(AF28:AF36)</f>
        <v>74655190</v>
      </c>
      <c r="AG43" s="3"/>
      <c r="AH43" s="3">
        <f t="shared" si="25"/>
        <v>66771434.160000004</v>
      </c>
      <c r="AI43" s="3"/>
      <c r="AJ43" s="3">
        <f t="shared" si="25"/>
        <v>63508982.164311968</v>
      </c>
      <c r="AK43" s="3"/>
      <c r="AL43" s="18"/>
      <c r="AM43" s="18"/>
      <c r="AN43" s="18"/>
      <c r="AO43" s="18"/>
      <c r="AP43"/>
      <c r="AQ43"/>
      <c r="AR43"/>
    </row>
    <row r="44" spans="1:47" x14ac:dyDescent="0.25">
      <c r="A44" s="1" t="s">
        <v>103</v>
      </c>
      <c r="B44" t="s">
        <v>104</v>
      </c>
      <c r="C44" s="1">
        <f>+'Net Tuition AY'!L48</f>
        <v>1354203</v>
      </c>
      <c r="D44" s="1">
        <f>+'Net Tuition Summer'!J46</f>
        <v>44010</v>
      </c>
      <c r="E44" s="1">
        <f t="shared" ref="E44:E56" si="26">SUM(C44:D44)</f>
        <v>1398213</v>
      </c>
      <c r="G44" s="1">
        <f>+'Net Tuition AY'!M48</f>
        <v>1376886</v>
      </c>
      <c r="H44" s="1">
        <f>+'Net Tuition Summer'!K46</f>
        <v>46882</v>
      </c>
      <c r="I44" s="1">
        <f t="shared" ref="I44:I56" si="27">SUM(G44:H44)</f>
        <v>1423768</v>
      </c>
      <c r="O44" s="127"/>
      <c r="P44" s="128"/>
      <c r="Q44" s="128"/>
      <c r="R44" s="141" t="s">
        <v>105</v>
      </c>
      <c r="U44" s="3"/>
      <c r="Z44" s="43"/>
      <c r="AD44" s="5"/>
      <c r="AE44" s="43"/>
      <c r="AF44" s="18"/>
      <c r="AG44" s="18"/>
      <c r="AH44" s="18"/>
      <c r="AI44" s="18"/>
      <c r="AJ44" s="5"/>
      <c r="AK44"/>
      <c r="AL44" s="18"/>
      <c r="AM44" s="18"/>
      <c r="AN44" s="3"/>
      <c r="AO44" s="3"/>
      <c r="AP44" s="3"/>
      <c r="AQ44" s="3"/>
      <c r="AR44"/>
    </row>
    <row r="45" spans="1:47" x14ac:dyDescent="0.25">
      <c r="A45" s="1" t="s">
        <v>106</v>
      </c>
      <c r="B45" t="s">
        <v>104</v>
      </c>
      <c r="C45" s="1">
        <f>+'Net Tuition AY'!L38</f>
        <v>0</v>
      </c>
      <c r="D45" s="1">
        <f>+'Net Tuition Summer'!J35</f>
        <v>22429</v>
      </c>
      <c r="E45" s="1">
        <f t="shared" si="26"/>
        <v>22429</v>
      </c>
      <c r="G45" s="1">
        <f>+'Net Tuition AY'!M38</f>
        <v>0</v>
      </c>
      <c r="H45" s="1">
        <f>+'Net Tuition Summer'!K35</f>
        <v>16050</v>
      </c>
      <c r="I45" s="1">
        <f t="shared" si="27"/>
        <v>16050</v>
      </c>
      <c r="O45" s="129"/>
      <c r="P45" s="6" t="s">
        <v>5</v>
      </c>
      <c r="Q45" s="6" t="s">
        <v>107</v>
      </c>
      <c r="R45" s="130" t="s">
        <v>108</v>
      </c>
      <c r="T45" t="s">
        <v>109</v>
      </c>
      <c r="U45" s="5">
        <v>3442921.2899999996</v>
      </c>
      <c r="V45" s="5">
        <v>3040576.2300000004</v>
      </c>
      <c r="X45" s="1">
        <f t="shared" ref="X45:X67" si="28">MAX(V45,U45)</f>
        <v>3442921.2899999996</v>
      </c>
      <c r="Z45" t="s">
        <v>109</v>
      </c>
      <c r="AA45" s="18">
        <v>3322431.0779999997</v>
      </c>
      <c r="AD45" s="5"/>
      <c r="AE45" t="s">
        <v>109</v>
      </c>
      <c r="AF45" s="18"/>
      <c r="AH45"/>
      <c r="AI45" s="18"/>
      <c r="AJ45" s="18">
        <f>+AA45</f>
        <v>3322431.0779999997</v>
      </c>
      <c r="AK45"/>
    </row>
    <row r="46" spans="1:47" x14ac:dyDescent="0.25">
      <c r="A46" s="1" t="s">
        <v>110</v>
      </c>
      <c r="B46" t="s">
        <v>104</v>
      </c>
      <c r="C46" s="1">
        <f>+'Net Tuition AY'!L54</f>
        <v>-1910</v>
      </c>
      <c r="D46" s="1">
        <f>+'Net Tuition Summer'!J44</f>
        <v>0</v>
      </c>
      <c r="E46" s="1">
        <f t="shared" si="26"/>
        <v>-1910</v>
      </c>
      <c r="G46" s="1">
        <f>+'Net Tuition AY'!M54</f>
        <v>244558.5</v>
      </c>
      <c r="H46" s="1">
        <f>+'Net Tuition Summer'!K44</f>
        <v>0</v>
      </c>
      <c r="I46" s="1">
        <f t="shared" si="27"/>
        <v>244558.5</v>
      </c>
      <c r="O46" s="129"/>
      <c r="P46" s="8" t="s">
        <v>111</v>
      </c>
      <c r="Q46" s="8" t="s">
        <v>112</v>
      </c>
      <c r="R46" s="131" t="s">
        <v>113</v>
      </c>
      <c r="T46" t="s">
        <v>114</v>
      </c>
      <c r="U46" s="5">
        <v>4259976.7900000019</v>
      </c>
      <c r="V46" s="5">
        <v>4484819.37</v>
      </c>
      <c r="X46" s="1">
        <f t="shared" si="28"/>
        <v>4484819.37</v>
      </c>
      <c r="Z46" t="s">
        <v>114</v>
      </c>
      <c r="AA46" s="18">
        <v>4035388.71</v>
      </c>
      <c r="AD46" s="5"/>
      <c r="AE46" t="s">
        <v>114</v>
      </c>
      <c r="AH46" s="18"/>
      <c r="AI46" s="36"/>
      <c r="AJ46" s="18">
        <f>+AA46</f>
        <v>4035388.71</v>
      </c>
      <c r="AK46"/>
      <c r="AP46"/>
      <c r="AS46" s="18"/>
    </row>
    <row r="47" spans="1:47" x14ac:dyDescent="0.25">
      <c r="A47" s="1" t="s">
        <v>115</v>
      </c>
      <c r="B47" t="s">
        <v>104</v>
      </c>
      <c r="C47" s="1">
        <f>+'Net Tuition AY'!L47</f>
        <v>0</v>
      </c>
      <c r="D47" s="1">
        <f>+'Net Tuition Summer'!J45</f>
        <v>0</v>
      </c>
      <c r="E47" s="1">
        <f t="shared" si="26"/>
        <v>0</v>
      </c>
      <c r="F47" s="6"/>
      <c r="G47" s="1">
        <f>+'Net Tuition AY'!M47</f>
        <v>0</v>
      </c>
      <c r="H47" s="1">
        <f>+'Net Tuition Summer'!K45</f>
        <v>0</v>
      </c>
      <c r="I47" s="1">
        <f t="shared" si="27"/>
        <v>0</v>
      </c>
      <c r="O47" s="129"/>
      <c r="R47" s="132"/>
      <c r="S47" s="6"/>
      <c r="T47" t="s">
        <v>116</v>
      </c>
      <c r="U47" s="5">
        <v>1017442.7300000001</v>
      </c>
      <c r="V47" s="5">
        <v>1017450.4400000001</v>
      </c>
      <c r="X47" s="1">
        <f t="shared" si="28"/>
        <v>1017450.4400000001</v>
      </c>
      <c r="Z47" t="s">
        <v>116</v>
      </c>
      <c r="AA47" s="18">
        <v>1072323.6639999999</v>
      </c>
      <c r="AE47" t="s">
        <v>116</v>
      </c>
      <c r="AH47" s="18"/>
      <c r="AI47" s="18"/>
      <c r="AJ47" s="18">
        <f t="shared" ref="AJ47:AJ53" si="29">+AA47</f>
        <v>1072323.6639999999</v>
      </c>
      <c r="AK47"/>
      <c r="AO47" s="18"/>
      <c r="AR47"/>
    </row>
    <row r="48" spans="1:47" x14ac:dyDescent="0.25">
      <c r="A48" s="1" t="s">
        <v>117</v>
      </c>
      <c r="B48" t="s">
        <v>104</v>
      </c>
      <c r="C48" s="1">
        <f>+'Net Tuition AY'!L49</f>
        <v>595769</v>
      </c>
      <c r="D48" s="1">
        <f>+'Net Tuition Summer'!J47</f>
        <v>3381</v>
      </c>
      <c r="E48" s="1">
        <f t="shared" si="26"/>
        <v>599150</v>
      </c>
      <c r="F48" s="5"/>
      <c r="G48" s="1">
        <f>+'Net Tuition AY'!M49</f>
        <v>666696</v>
      </c>
      <c r="H48" s="1">
        <f>+'Net Tuition Summer'!K47</f>
        <v>1424</v>
      </c>
      <c r="I48" s="1">
        <f t="shared" si="27"/>
        <v>668120</v>
      </c>
      <c r="O48" s="152" t="s">
        <v>76</v>
      </c>
      <c r="P48" s="126">
        <v>0.47947098838806496</v>
      </c>
      <c r="Q48" s="126">
        <v>0.49153200000000002</v>
      </c>
      <c r="R48" s="133">
        <v>0.49199999999999999</v>
      </c>
      <c r="S48" s="1"/>
      <c r="T48" t="s">
        <v>118</v>
      </c>
      <c r="U48" s="5">
        <v>753374.54000000015</v>
      </c>
      <c r="V48" s="5">
        <v>749788.52</v>
      </c>
      <c r="X48" s="1">
        <f t="shared" si="28"/>
        <v>753374.54000000015</v>
      </c>
      <c r="Z48" t="s">
        <v>118</v>
      </c>
      <c r="AA48" s="18">
        <v>755210.01699999999</v>
      </c>
      <c r="AE48" t="s">
        <v>118</v>
      </c>
      <c r="AJ48" s="18">
        <f t="shared" si="29"/>
        <v>755210.01699999999</v>
      </c>
      <c r="AK48"/>
      <c r="AP48"/>
      <c r="AS48" s="18"/>
    </row>
    <row r="49" spans="1:45" x14ac:dyDescent="0.25">
      <c r="A49" s="1" t="s">
        <v>119</v>
      </c>
      <c r="B49" t="s">
        <v>104</v>
      </c>
      <c r="C49" s="1">
        <f>+'Net Tuition AY'!L51</f>
        <v>304174</v>
      </c>
      <c r="D49" s="1">
        <f>+'Net Tuition Summer'!J48</f>
        <v>0</v>
      </c>
      <c r="E49" s="1">
        <f t="shared" si="26"/>
        <v>304174</v>
      </c>
      <c r="F49" s="5"/>
      <c r="G49" s="1">
        <f>+'Net Tuition AY'!M51</f>
        <v>364121</v>
      </c>
      <c r="H49" s="1">
        <f>+'Net Tuition Summer'!K48</f>
        <v>0</v>
      </c>
      <c r="I49" s="1">
        <f t="shared" si="27"/>
        <v>364121</v>
      </c>
      <c r="O49" s="152" t="s">
        <v>78</v>
      </c>
      <c r="P49" s="126">
        <v>0.71728349908813738</v>
      </c>
      <c r="Q49" s="126">
        <v>0.59570000000000001</v>
      </c>
      <c r="R49" s="133">
        <v>0.6</v>
      </c>
      <c r="S49" s="1"/>
      <c r="T49" t="s">
        <v>120</v>
      </c>
      <c r="U49" s="5">
        <v>481530.19</v>
      </c>
      <c r="V49" s="5">
        <v>482233.68999999994</v>
      </c>
      <c r="X49" s="1">
        <f t="shared" si="28"/>
        <v>482233.68999999994</v>
      </c>
      <c r="Z49" t="s">
        <v>120</v>
      </c>
      <c r="AA49" s="18">
        <v>478643.59050000005</v>
      </c>
      <c r="AE49" t="s">
        <v>120</v>
      </c>
      <c r="AF49" s="18"/>
      <c r="AJ49" s="18">
        <f t="shared" si="29"/>
        <v>478643.59050000005</v>
      </c>
      <c r="AK49"/>
      <c r="AP49"/>
      <c r="AS49" s="18"/>
    </row>
    <row r="50" spans="1:45" x14ac:dyDescent="0.25">
      <c r="A50" s="1" t="s">
        <v>80</v>
      </c>
      <c r="B50" t="s">
        <v>121</v>
      </c>
      <c r="C50" s="1">
        <f>+'Net Tuition AY'!L43</f>
        <v>0</v>
      </c>
      <c r="D50" s="1">
        <f>+'Net Tuition Summer'!J40</f>
        <v>3889.5</v>
      </c>
      <c r="E50" s="1">
        <f t="shared" si="26"/>
        <v>3889.5</v>
      </c>
      <c r="F50" s="5"/>
      <c r="G50" s="1">
        <f>+'Net Tuition AY'!M43</f>
        <v>0</v>
      </c>
      <c r="H50" s="1">
        <f>+'Net Tuition Summer'!K40</f>
        <v>7536.15</v>
      </c>
      <c r="I50" s="1">
        <f t="shared" si="27"/>
        <v>7536.15</v>
      </c>
      <c r="O50" s="152" t="s">
        <v>80</v>
      </c>
      <c r="P50" s="126">
        <v>0.71710125716584039</v>
      </c>
      <c r="Q50" s="126">
        <v>0.70952386658718813</v>
      </c>
      <c r="R50" s="133">
        <v>0.67</v>
      </c>
      <c r="S50" s="1"/>
      <c r="T50" t="s">
        <v>122</v>
      </c>
      <c r="U50" s="5">
        <v>4350543.9399999985</v>
      </c>
      <c r="V50" s="5">
        <v>4953955.2699999996</v>
      </c>
      <c r="X50" s="1">
        <f t="shared" si="28"/>
        <v>4953955.2699999996</v>
      </c>
      <c r="Z50" t="s">
        <v>122</v>
      </c>
      <c r="AA50" s="18">
        <v>4243926.6694999998</v>
      </c>
      <c r="AE50" t="s">
        <v>122</v>
      </c>
      <c r="AF50" s="18"/>
      <c r="AJ50" s="18">
        <f t="shared" si="29"/>
        <v>4243926.6694999998</v>
      </c>
      <c r="AK50"/>
      <c r="AP50"/>
      <c r="AS50" s="18"/>
    </row>
    <row r="51" spans="1:45" x14ac:dyDescent="0.25">
      <c r="A51" s="1" t="s">
        <v>88</v>
      </c>
      <c r="B51" t="s">
        <v>123</v>
      </c>
      <c r="C51" s="1">
        <f>+'Net Tuition AY'!L40</f>
        <v>434243</v>
      </c>
      <c r="D51" s="1">
        <f>+'Net Tuition Summer'!J36</f>
        <v>17962</v>
      </c>
      <c r="E51" s="1">
        <f t="shared" si="26"/>
        <v>452205</v>
      </c>
      <c r="F51" s="5"/>
      <c r="G51" s="1">
        <f>+'Net Tuition AY'!M40</f>
        <v>456550.5</v>
      </c>
      <c r="H51" s="1">
        <f>+'Net Tuition Summer'!K36</f>
        <v>29743</v>
      </c>
      <c r="I51" s="1">
        <f t="shared" si="27"/>
        <v>486293.5</v>
      </c>
      <c r="O51" s="152" t="s">
        <v>82</v>
      </c>
      <c r="P51" s="126">
        <v>0.47126918197099982</v>
      </c>
      <c r="Q51" s="126">
        <v>0.47126918197099982</v>
      </c>
      <c r="R51" s="133">
        <v>0.47299999999999998</v>
      </c>
      <c r="S51" s="1"/>
      <c r="T51" t="s">
        <v>124</v>
      </c>
      <c r="U51" s="5">
        <v>2319299.6100000003</v>
      </c>
      <c r="V51" s="5">
        <v>2285519.8200000008</v>
      </c>
      <c r="X51" s="1">
        <f t="shared" si="28"/>
        <v>2319299.6100000003</v>
      </c>
      <c r="Z51" t="s">
        <v>124</v>
      </c>
      <c r="AA51" s="18">
        <v>2425054.2864999999</v>
      </c>
      <c r="AE51" t="s">
        <v>124</v>
      </c>
      <c r="AF51" s="18"/>
      <c r="AJ51" s="18">
        <f t="shared" si="29"/>
        <v>2425054.2864999999</v>
      </c>
      <c r="AK51"/>
      <c r="AP51"/>
      <c r="AS51" s="18"/>
    </row>
    <row r="52" spans="1:45" x14ac:dyDescent="0.25">
      <c r="A52" s="1" t="s">
        <v>90</v>
      </c>
      <c r="B52" t="s">
        <v>125</v>
      </c>
      <c r="C52" s="1">
        <f>+'Net Tuition AY'!L45</f>
        <v>1172289</v>
      </c>
      <c r="D52" s="1">
        <f>+'Net Tuition Summer'!J41</f>
        <v>14210.5</v>
      </c>
      <c r="E52" s="1">
        <f t="shared" si="26"/>
        <v>1186499.5</v>
      </c>
      <c r="F52" s="5"/>
      <c r="G52" s="1">
        <f>+'Net Tuition AY'!M45</f>
        <v>1540408</v>
      </c>
      <c r="H52" s="1">
        <f>+'Net Tuition Summer'!K41</f>
        <v>18942</v>
      </c>
      <c r="I52" s="1">
        <f t="shared" si="27"/>
        <v>1559350</v>
      </c>
      <c r="O52" s="152" t="s">
        <v>84</v>
      </c>
      <c r="P52" s="126">
        <v>0.6014836651736456</v>
      </c>
      <c r="Q52" s="126">
        <v>0.71</v>
      </c>
      <c r="R52" s="133">
        <v>0.62</v>
      </c>
      <c r="S52" s="1"/>
      <c r="T52" t="s">
        <v>126</v>
      </c>
      <c r="U52" s="5">
        <v>14246688.899999993</v>
      </c>
      <c r="V52" s="5">
        <v>14087750.239999996</v>
      </c>
      <c r="X52" s="1">
        <f t="shared" si="28"/>
        <v>14246688.899999993</v>
      </c>
      <c r="Z52" t="s">
        <v>126</v>
      </c>
      <c r="AA52" s="18">
        <v>13539246.513499999</v>
      </c>
      <c r="AE52" t="s">
        <v>126</v>
      </c>
      <c r="AF52" s="18"/>
      <c r="AJ52" s="18">
        <f t="shared" si="29"/>
        <v>13539246.513499999</v>
      </c>
      <c r="AK52"/>
      <c r="AN52" s="18"/>
      <c r="AO52" s="18"/>
      <c r="AQ52"/>
      <c r="AR52"/>
    </row>
    <row r="53" spans="1:45" x14ac:dyDescent="0.25">
      <c r="A53" s="1" t="s">
        <v>127</v>
      </c>
      <c r="B53" t="s">
        <v>125</v>
      </c>
      <c r="C53" s="1">
        <f>+'Net Tuition AY'!L46</f>
        <v>89855</v>
      </c>
      <c r="D53" s="1">
        <f>+'Net Tuition Summer'!J42</f>
        <v>12916.5</v>
      </c>
      <c r="E53" s="1">
        <f t="shared" si="26"/>
        <v>102771.5</v>
      </c>
      <c r="F53" s="5"/>
      <c r="G53" s="1">
        <f>+'Net Tuition AY'!M46</f>
        <v>94118.5</v>
      </c>
      <c r="H53" s="1">
        <f>+'Net Tuition Summer'!K42</f>
        <v>19484</v>
      </c>
      <c r="I53" s="1">
        <f t="shared" si="27"/>
        <v>113602.5</v>
      </c>
      <c r="O53" s="152" t="s">
        <v>86</v>
      </c>
      <c r="P53" s="126">
        <v>1</v>
      </c>
      <c r="Q53" s="126">
        <v>1</v>
      </c>
      <c r="R53" s="133">
        <v>1</v>
      </c>
      <c r="S53" s="1"/>
      <c r="T53" t="s">
        <v>128</v>
      </c>
      <c r="U53" s="5">
        <v>1041224.8800000008</v>
      </c>
      <c r="V53" s="5">
        <v>852449.90000000224</v>
      </c>
      <c r="X53" s="1">
        <f t="shared" si="28"/>
        <v>1041224.8800000008</v>
      </c>
      <c r="Z53" t="s">
        <v>128</v>
      </c>
      <c r="AA53" s="18">
        <v>1041199.5490000006</v>
      </c>
      <c r="AE53" t="s">
        <v>128</v>
      </c>
      <c r="AF53" s="18"/>
      <c r="AJ53" s="18">
        <f t="shared" si="29"/>
        <v>1041199.5490000006</v>
      </c>
      <c r="AK53"/>
      <c r="AM53" s="18"/>
      <c r="AN53" s="18"/>
      <c r="AO53" s="18"/>
      <c r="AP53"/>
      <c r="AQ53"/>
      <c r="AR53"/>
    </row>
    <row r="54" spans="1:45" x14ac:dyDescent="0.25">
      <c r="A54" s="1" t="s">
        <v>129</v>
      </c>
      <c r="B54" t="s">
        <v>130</v>
      </c>
      <c r="C54" s="1">
        <f>+'Net Tuition AY'!L41</f>
        <v>34250</v>
      </c>
      <c r="D54" s="1">
        <f>+'Net Tuition Summer'!J37</f>
        <v>5500</v>
      </c>
      <c r="E54" s="1">
        <f t="shared" si="26"/>
        <v>39750</v>
      </c>
      <c r="F54" s="5"/>
      <c r="G54" s="1">
        <f>+'Net Tuition AY'!M41</f>
        <v>26500</v>
      </c>
      <c r="H54" s="1">
        <f>+'Net Tuition Summer'!K37</f>
        <v>1000</v>
      </c>
      <c r="I54" s="1">
        <f t="shared" si="27"/>
        <v>27500</v>
      </c>
      <c r="O54" s="152" t="s">
        <v>88</v>
      </c>
      <c r="P54" s="126">
        <v>0.5239917162364176</v>
      </c>
      <c r="Q54" s="126">
        <v>0.64964699999999997</v>
      </c>
      <c r="R54" s="133">
        <v>0.61</v>
      </c>
      <c r="S54" s="1"/>
      <c r="T54" t="s">
        <v>131</v>
      </c>
      <c r="U54" s="5">
        <v>5767585.7199999979</v>
      </c>
      <c r="V54" s="5">
        <v>4441745.2799999984</v>
      </c>
      <c r="X54" s="1">
        <f t="shared" si="28"/>
        <v>5767585.7199999979</v>
      </c>
      <c r="Z54" t="s">
        <v>131</v>
      </c>
      <c r="AA54" s="18">
        <v>7130635.6255000001</v>
      </c>
      <c r="AD54" s="18"/>
      <c r="AE54" t="s">
        <v>131</v>
      </c>
      <c r="AF54" s="18"/>
      <c r="AJ54" s="18">
        <f>+AA54</f>
        <v>7130635.6255000001</v>
      </c>
      <c r="AK54"/>
      <c r="AM54" s="18"/>
      <c r="AN54" s="18"/>
      <c r="AO54" s="18"/>
      <c r="AP54"/>
      <c r="AQ54"/>
      <c r="AR54"/>
    </row>
    <row r="55" spans="1:45" x14ac:dyDescent="0.25">
      <c r="A55" s="1" t="s">
        <v>132</v>
      </c>
      <c r="B55" t="s">
        <v>130</v>
      </c>
      <c r="C55" s="1">
        <f>+'Net Tuition AY'!L42</f>
        <v>2413</v>
      </c>
      <c r="D55" s="1">
        <f>+'Net Tuition Summer'!J38</f>
        <v>100</v>
      </c>
      <c r="E55" s="1">
        <f t="shared" si="26"/>
        <v>2513</v>
      </c>
      <c r="F55" s="5"/>
      <c r="G55" s="1">
        <f>+'Net Tuition AY'!M42</f>
        <v>0</v>
      </c>
      <c r="H55" s="1">
        <f>+'Net Tuition Summer'!K38</f>
        <v>0</v>
      </c>
      <c r="I55" s="1">
        <f t="shared" si="27"/>
        <v>0</v>
      </c>
      <c r="O55" s="152" t="s">
        <v>90</v>
      </c>
      <c r="P55" s="126">
        <v>0.75088856160996276</v>
      </c>
      <c r="Q55" s="126">
        <v>0.75</v>
      </c>
      <c r="R55" s="133">
        <v>0.7</v>
      </c>
      <c r="S55" s="1"/>
      <c r="T55" t="s">
        <v>133</v>
      </c>
      <c r="U55" s="5">
        <v>-5857320.7600000007</v>
      </c>
      <c r="V55" s="5">
        <v>-6212764.3200000003</v>
      </c>
      <c r="X55" s="1">
        <f t="shared" si="28"/>
        <v>-5857320.7600000007</v>
      </c>
      <c r="Z55" t="s">
        <v>133</v>
      </c>
      <c r="AA55" s="18">
        <v>-7383641</v>
      </c>
      <c r="AD55" s="18"/>
      <c r="AE55" t="s">
        <v>133</v>
      </c>
      <c r="AF55" s="18"/>
      <c r="AJ55" s="18">
        <f>+AA55</f>
        <v>-7383641</v>
      </c>
      <c r="AK55"/>
      <c r="AO55" s="18"/>
      <c r="AR55"/>
    </row>
    <row r="56" spans="1:45" x14ac:dyDescent="0.25">
      <c r="A56" s="1" t="s">
        <v>134</v>
      </c>
      <c r="B56" t="s">
        <v>130</v>
      </c>
      <c r="C56" s="1">
        <f>+'Net Tuition AY'!L37</f>
        <v>0</v>
      </c>
      <c r="D56" s="1">
        <f>+'Net Tuition Summer'!J33</f>
        <v>0</v>
      </c>
      <c r="E56" s="1">
        <f t="shared" si="26"/>
        <v>0</v>
      </c>
      <c r="F56" s="5"/>
      <c r="G56" s="1">
        <f>+'Net Tuition AY'!M37</f>
        <v>0</v>
      </c>
      <c r="H56" s="1">
        <f>+'Net Tuition Summer'!K33</f>
        <v>0</v>
      </c>
      <c r="I56" s="1">
        <f t="shared" si="27"/>
        <v>0</v>
      </c>
      <c r="O56" s="152" t="s">
        <v>91</v>
      </c>
      <c r="P56" s="126">
        <v>0.29328427490785769</v>
      </c>
      <c r="Q56" s="126">
        <v>0.8</v>
      </c>
      <c r="R56" s="133">
        <v>0.79</v>
      </c>
      <c r="S56" s="1"/>
      <c r="T56" t="s">
        <v>135</v>
      </c>
      <c r="U56" s="5">
        <v>309451</v>
      </c>
      <c r="V56" s="5">
        <v>172750</v>
      </c>
      <c r="X56" s="1">
        <f t="shared" si="28"/>
        <v>309451</v>
      </c>
      <c r="Z56" t="s">
        <v>135</v>
      </c>
      <c r="AA56" s="18">
        <v>172750</v>
      </c>
      <c r="AD56" s="18"/>
      <c r="AE56" t="s">
        <v>135</v>
      </c>
      <c r="AF56" s="18"/>
      <c r="AJ56" s="18">
        <f>+AA56</f>
        <v>172750</v>
      </c>
      <c r="AK56"/>
    </row>
    <row r="57" spans="1:45" x14ac:dyDescent="0.25">
      <c r="A57" s="1" t="s">
        <v>136</v>
      </c>
      <c r="G57" s="1">
        <f>+'Net Tuition AY'!M52</f>
        <v>0</v>
      </c>
      <c r="H57" s="4"/>
      <c r="O57" s="129"/>
      <c r="R57" s="132"/>
      <c r="S57" s="1"/>
      <c r="T57" t="s">
        <v>137</v>
      </c>
      <c r="U57" s="5">
        <v>471066.13</v>
      </c>
      <c r="V57" s="5">
        <v>316111.2</v>
      </c>
      <c r="X57" s="1">
        <f t="shared" si="28"/>
        <v>471066.13</v>
      </c>
      <c r="Z57" t="s">
        <v>137</v>
      </c>
      <c r="AA57" s="18">
        <v>405637.90350000001</v>
      </c>
      <c r="AD57" s="18"/>
      <c r="AE57" t="s">
        <v>137</v>
      </c>
      <c r="AF57" s="18"/>
      <c r="AJ57" s="18">
        <f t="shared" ref="AJ57:AJ59" si="30">+AA57</f>
        <v>405637.90350000001</v>
      </c>
      <c r="AK57"/>
    </row>
    <row r="58" spans="1:45" ht="15.75" thickBot="1" x14ac:dyDescent="0.3">
      <c r="C58" s="60">
        <f>SUM(C44:C57)</f>
        <v>3985286</v>
      </c>
      <c r="D58" s="60">
        <f t="shared" ref="D58:E58" si="31">SUM(D44:D57)</f>
        <v>124398.5</v>
      </c>
      <c r="E58" s="60">
        <f t="shared" si="31"/>
        <v>4109684.5</v>
      </c>
      <c r="F58" s="5"/>
      <c r="G58" s="60">
        <f>SUM(G44:G57)</f>
        <v>4769838.5</v>
      </c>
      <c r="H58" s="60">
        <f>SUM(H44:H57)</f>
        <v>141061.15</v>
      </c>
      <c r="I58" s="60">
        <f>SUM(I44:I57)</f>
        <v>4910899.6500000004</v>
      </c>
      <c r="O58" s="129"/>
      <c r="P58" s="6" t="s">
        <v>138</v>
      </c>
      <c r="Q58" s="6" t="s">
        <v>139</v>
      </c>
      <c r="R58" s="132"/>
      <c r="S58" s="1"/>
      <c r="T58" t="s">
        <v>140</v>
      </c>
      <c r="U58" s="5">
        <v>551357.9</v>
      </c>
      <c r="V58" s="5">
        <v>563719.57999999996</v>
      </c>
      <c r="X58" s="1">
        <f t="shared" si="28"/>
        <v>563719.57999999996</v>
      </c>
      <c r="Z58" t="s">
        <v>140</v>
      </c>
      <c r="AA58" s="18">
        <v>415297.34849999996</v>
      </c>
      <c r="AD58" s="18"/>
      <c r="AE58" t="s">
        <v>140</v>
      </c>
      <c r="AF58" s="18"/>
      <c r="AJ58" s="18">
        <f t="shared" si="30"/>
        <v>415297.34849999996</v>
      </c>
      <c r="AK58"/>
    </row>
    <row r="59" spans="1:45" ht="15.75" thickTop="1" x14ac:dyDescent="0.25">
      <c r="F59" s="5"/>
      <c r="G59" s="5"/>
      <c r="H59" s="30" t="s">
        <v>141</v>
      </c>
      <c r="I59" s="48"/>
      <c r="J59" s="48"/>
      <c r="K59" s="48"/>
      <c r="L59" s="48"/>
      <c r="O59" s="129"/>
      <c r="P59" s="125" t="s">
        <v>142</v>
      </c>
      <c r="Q59" s="8" t="s">
        <v>10</v>
      </c>
      <c r="R59" s="131" t="s">
        <v>143</v>
      </c>
      <c r="S59" s="1"/>
      <c r="T59" t="s">
        <v>144</v>
      </c>
      <c r="U59" s="5">
        <v>76021.66</v>
      </c>
      <c r="V59" s="5">
        <v>71362.53</v>
      </c>
      <c r="X59" s="1">
        <f t="shared" si="28"/>
        <v>76021.66</v>
      </c>
      <c r="Z59" t="s">
        <v>144</v>
      </c>
      <c r="AA59" s="18">
        <v>61650.652499999997</v>
      </c>
      <c r="AD59" s="18"/>
      <c r="AE59" t="s">
        <v>144</v>
      </c>
      <c r="AF59" s="18"/>
      <c r="AJ59" s="18">
        <f t="shared" si="30"/>
        <v>61650.652499999997</v>
      </c>
      <c r="AK59"/>
    </row>
    <row r="60" spans="1:45" x14ac:dyDescent="0.25">
      <c r="B60" s="156" t="s">
        <v>40</v>
      </c>
      <c r="C60" s="156" t="s">
        <v>32</v>
      </c>
      <c r="D60" s="3"/>
      <c r="G60"/>
      <c r="H60" s="30" t="s">
        <v>32</v>
      </c>
      <c r="I60" s="48"/>
      <c r="J60" s="48" t="s">
        <v>145</v>
      </c>
      <c r="L60" s="48" t="s">
        <v>146</v>
      </c>
      <c r="O60" s="152" t="s">
        <v>76</v>
      </c>
      <c r="P60" s="126">
        <v>0.53785642512635523</v>
      </c>
      <c r="Q60" s="126">
        <v>0.47547011381927662</v>
      </c>
      <c r="R60" s="133">
        <v>0.47547011381927662</v>
      </c>
      <c r="S60" s="1"/>
      <c r="T60" t="s">
        <v>147</v>
      </c>
      <c r="U60" s="5">
        <v>6611500.3099999996</v>
      </c>
      <c r="V60" s="5">
        <v>6611866.7300000004</v>
      </c>
      <c r="X60" s="1">
        <f t="shared" si="28"/>
        <v>6611866.7300000004</v>
      </c>
      <c r="Z60" t="s">
        <v>147</v>
      </c>
      <c r="AA60" s="18">
        <v>5808070.1485000001</v>
      </c>
      <c r="AD60" s="18"/>
      <c r="AE60" t="s">
        <v>147</v>
      </c>
      <c r="AF60" s="18"/>
      <c r="AJ60" s="18">
        <f>+AA60</f>
        <v>5808070.1485000001</v>
      </c>
      <c r="AK60"/>
      <c r="AM60" s="18"/>
      <c r="AN60" s="18"/>
      <c r="AO60" s="18"/>
      <c r="AP60"/>
      <c r="AQ60"/>
      <c r="AR60"/>
    </row>
    <row r="61" spans="1:45" x14ac:dyDescent="0.25">
      <c r="B61" s="154" t="s">
        <v>148</v>
      </c>
      <c r="C61" s="154" t="s">
        <v>148</v>
      </c>
      <c r="D61" s="42" t="s">
        <v>149</v>
      </c>
      <c r="E61" s="42" t="s">
        <v>150</v>
      </c>
      <c r="F61" s="28" t="s">
        <v>151</v>
      </c>
      <c r="G61" s="155" t="s">
        <v>152</v>
      </c>
      <c r="H61" s="28" t="s">
        <v>153</v>
      </c>
      <c r="I61" s="55" t="s">
        <v>154</v>
      </c>
      <c r="J61" s="55" t="s">
        <v>64</v>
      </c>
      <c r="L61" s="55" t="s">
        <v>64</v>
      </c>
      <c r="O61" s="152" t="s">
        <v>78</v>
      </c>
      <c r="P61" s="126">
        <v>0.3573754548819702</v>
      </c>
      <c r="Q61" s="126">
        <v>0.3456399286612426</v>
      </c>
      <c r="R61" s="133">
        <v>0.44760199133675427</v>
      </c>
      <c r="S61" s="63"/>
      <c r="T61" t="s">
        <v>155</v>
      </c>
      <c r="U61" s="5">
        <v>1195464.1200000003</v>
      </c>
      <c r="V61" s="5">
        <v>1124877.5499999998</v>
      </c>
      <c r="X61" s="1">
        <f t="shared" si="28"/>
        <v>1195464.1200000003</v>
      </c>
      <c r="Z61" t="s">
        <v>155</v>
      </c>
      <c r="AA61" s="18">
        <v>1596671.2425000002</v>
      </c>
      <c r="AD61" s="18"/>
      <c r="AE61" t="s">
        <v>155</v>
      </c>
      <c r="AF61" s="18"/>
      <c r="AJ61" s="18">
        <f t="shared" ref="AJ61:AJ66" si="32">+AA61</f>
        <v>1596671.2425000002</v>
      </c>
      <c r="AK61"/>
      <c r="AN61" s="18"/>
      <c r="AO61" s="18"/>
      <c r="AQ61"/>
      <c r="AR61"/>
    </row>
    <row r="62" spans="1:45" x14ac:dyDescent="0.25">
      <c r="A62" s="5" t="str">
        <f t="shared" ref="A62:A74" si="33">+A28</f>
        <v>College of Education</v>
      </c>
      <c r="B62" s="5">
        <f t="shared" ref="B62:B74" si="34">((+B28+D28+G28+H28)*(1-$D$21))-C62</f>
        <v>6902739.7293954082</v>
      </c>
      <c r="C62" s="137">
        <f t="shared" ref="C62:C74" si="35">+D28</f>
        <v>0</v>
      </c>
      <c r="D62" s="11">
        <f t="shared" ref="D62:D74" si="36">((+E28+F28)*(1-$D$21))-E62</f>
        <v>648176.0026786878</v>
      </c>
      <c r="E62" s="3">
        <f t="shared" ref="E62:E74" si="37">+F28</f>
        <v>0</v>
      </c>
      <c r="F62" s="5">
        <f>+'Summer Credit Hour Allocation'!AN2</f>
        <v>1952.7748875760328</v>
      </c>
      <c r="G62" s="11">
        <f>+D62/F62</f>
        <v>331.92561354742975</v>
      </c>
      <c r="H62" s="115">
        <f t="shared" ref="H62:H70" si="38">+N28</f>
        <v>0.47547011381927662</v>
      </c>
      <c r="I62" s="94">
        <f>+H62*G62</f>
        <v>157.82070925292965</v>
      </c>
      <c r="J62" s="5">
        <f t="shared" ref="J62:J70" si="39">(+D62*H62)+E62</f>
        <v>308188.31776855944</v>
      </c>
      <c r="L62" s="1">
        <f t="shared" ref="L62:L70" si="40">+P28-J62</f>
        <v>3282046.4448004779</v>
      </c>
      <c r="M62" s="3">
        <f t="shared" ref="M62:M74" si="41">+L62+J62</f>
        <v>3590234.7625690373</v>
      </c>
      <c r="O62" s="152" t="s">
        <v>80</v>
      </c>
      <c r="P62" s="126">
        <v>0.56574316829037152</v>
      </c>
      <c r="Q62" s="126">
        <v>0.51924467564085697</v>
      </c>
      <c r="R62" s="133">
        <v>0.59551161988393908</v>
      </c>
      <c r="T62" t="s">
        <v>156</v>
      </c>
      <c r="U62" s="5">
        <v>5440886.3200000003</v>
      </c>
      <c r="V62" s="5">
        <v>4593094.0600000005</v>
      </c>
      <c r="X62" s="1">
        <f t="shared" si="28"/>
        <v>5440886.3200000003</v>
      </c>
      <c r="Z62" t="s">
        <v>156</v>
      </c>
      <c r="AA62" s="18">
        <v>5143941.9000000004</v>
      </c>
      <c r="AD62" s="18"/>
      <c r="AE62" t="s">
        <v>156</v>
      </c>
      <c r="AF62" s="18"/>
      <c r="AJ62" s="18">
        <f>+V62</f>
        <v>4593094.0600000005</v>
      </c>
      <c r="AK62"/>
      <c r="AO62" s="18"/>
      <c r="AR62"/>
    </row>
    <row r="63" spans="1:45" x14ac:dyDescent="0.25">
      <c r="A63" s="5" t="str">
        <f t="shared" si="33"/>
        <v>College of Health</v>
      </c>
      <c r="B63" s="5">
        <f t="shared" si="34"/>
        <v>15218108.864913143</v>
      </c>
      <c r="C63" s="137">
        <f t="shared" si="35"/>
        <v>2252236</v>
      </c>
      <c r="D63" s="11">
        <f t="shared" si="36"/>
        <v>513994.38407889497</v>
      </c>
      <c r="E63" s="3">
        <f t="shared" si="37"/>
        <v>69820</v>
      </c>
      <c r="F63" s="5">
        <f>+'Summer Credit Hour Allocation'!AN3</f>
        <v>1549.5745525085822</v>
      </c>
      <c r="G63" s="11">
        <f t="shared" ref="G63:G70" si="42">+D63/F63</f>
        <v>331.70032590351815</v>
      </c>
      <c r="H63" s="115">
        <f t="shared" si="38"/>
        <v>0.44760199133675427</v>
      </c>
      <c r="I63" s="94">
        <f t="shared" ref="I63:I70" si="43">+H63*G63</f>
        <v>148.4697264014651</v>
      </c>
      <c r="J63" s="5">
        <f t="shared" si="39"/>
        <v>299884.90984962194</v>
      </c>
      <c r="L63" s="1">
        <f t="shared" si="40"/>
        <v>9063891.8323146347</v>
      </c>
      <c r="M63" s="3">
        <f t="shared" si="41"/>
        <v>9363776.7421642561</v>
      </c>
      <c r="O63" s="152" t="s">
        <v>82</v>
      </c>
      <c r="P63" s="126">
        <v>0.55500000000000005</v>
      </c>
      <c r="Q63" s="126">
        <v>0.55446412771036813</v>
      </c>
      <c r="R63" s="133">
        <v>0.49678722035890399</v>
      </c>
      <c r="S63" s="3"/>
      <c r="T63" s="145" t="s">
        <v>157</v>
      </c>
      <c r="U63" s="78">
        <v>1981850.06</v>
      </c>
      <c r="V63" s="78">
        <v>2013186.0000000009</v>
      </c>
      <c r="W63" s="121"/>
      <c r="X63" s="78">
        <f t="shared" si="28"/>
        <v>2013186.0000000009</v>
      </c>
      <c r="Y63" s="122"/>
      <c r="Z63" s="145" t="s">
        <v>157</v>
      </c>
      <c r="AA63" s="123">
        <f>6746487.8485-4700000</f>
        <v>2046487.8485000003</v>
      </c>
      <c r="AB63" s="122"/>
      <c r="AC63" s="122"/>
      <c r="AD63" s="79"/>
      <c r="AE63" s="145" t="s">
        <v>157</v>
      </c>
      <c r="AF63" s="79"/>
      <c r="AG63" s="78"/>
      <c r="AH63" s="78"/>
      <c r="AI63" s="78"/>
      <c r="AJ63" s="123">
        <f t="shared" si="32"/>
        <v>2046487.8485000003</v>
      </c>
      <c r="AK63"/>
      <c r="AO63" s="18"/>
      <c r="AR63"/>
    </row>
    <row r="64" spans="1:45" x14ac:dyDescent="0.25">
      <c r="A64" s="5" t="str">
        <f t="shared" si="33"/>
        <v>College of Forestry</v>
      </c>
      <c r="B64" s="5">
        <f t="shared" si="34"/>
        <v>7508644.6375183603</v>
      </c>
      <c r="C64" s="137">
        <f t="shared" si="35"/>
        <v>0</v>
      </c>
      <c r="D64" s="11">
        <f t="shared" si="36"/>
        <v>12366.081213605499</v>
      </c>
      <c r="E64" s="3">
        <f t="shared" si="37"/>
        <v>3889.5</v>
      </c>
      <c r="F64" s="5">
        <f>+'Summer Credit Hour Allocation'!AN4</f>
        <v>37.314169826293622</v>
      </c>
      <c r="G64" s="11">
        <f t="shared" si="42"/>
        <v>331.40443084148899</v>
      </c>
      <c r="H64" s="115">
        <f t="shared" si="38"/>
        <v>0.59551161988393908</v>
      </c>
      <c r="I64" s="94">
        <f t="shared" si="43"/>
        <v>197.35518944712996</v>
      </c>
      <c r="J64" s="5">
        <f t="shared" si="39"/>
        <v>11253.645055130557</v>
      </c>
      <c r="L64" s="1">
        <f t="shared" si="40"/>
        <v>4471485.1312214117</v>
      </c>
      <c r="M64" s="3">
        <f t="shared" si="41"/>
        <v>4482738.7762765419</v>
      </c>
      <c r="O64" s="152" t="s">
        <v>84</v>
      </c>
      <c r="P64" s="126">
        <v>0.65</v>
      </c>
      <c r="Q64" s="126">
        <v>0.59542590587470856</v>
      </c>
      <c r="R64" s="133">
        <v>0.57480106629727035</v>
      </c>
      <c r="T64" t="s">
        <v>158</v>
      </c>
      <c r="U64" s="5">
        <v>3828937.2800000003</v>
      </c>
      <c r="V64" s="5">
        <v>3768038.0100000016</v>
      </c>
      <c r="X64" s="1">
        <f t="shared" si="28"/>
        <v>3828937.2800000003</v>
      </c>
      <c r="Z64" t="s">
        <v>158</v>
      </c>
      <c r="AA64" s="18">
        <v>3862397.8935000002</v>
      </c>
      <c r="AD64" s="18"/>
      <c r="AE64" t="s">
        <v>158</v>
      </c>
      <c r="AF64" s="18"/>
      <c r="AJ64" s="18">
        <f t="shared" si="32"/>
        <v>3862397.8935000002</v>
      </c>
      <c r="AK64"/>
      <c r="AO64" s="18"/>
      <c r="AR64"/>
    </row>
    <row r="65" spans="1:44" x14ac:dyDescent="0.25">
      <c r="A65" s="5" t="str">
        <f t="shared" si="33"/>
        <v>College of Humanities/Sciences</v>
      </c>
      <c r="B65" s="5">
        <f t="shared" si="34"/>
        <v>45032967.286346138</v>
      </c>
      <c r="C65" s="137">
        <f t="shared" si="35"/>
        <v>0</v>
      </c>
      <c r="D65" s="11">
        <f t="shared" si="36"/>
        <v>1599109.3739121766</v>
      </c>
      <c r="E65" s="3">
        <f t="shared" si="37"/>
        <v>0</v>
      </c>
      <c r="F65" s="5">
        <f>+'Summer Credit Hour Allocation'!AN5</f>
        <v>4817.6739264614653</v>
      </c>
      <c r="G65" s="11">
        <f t="shared" si="42"/>
        <v>331.92561354742969</v>
      </c>
      <c r="H65" s="115">
        <f t="shared" si="38"/>
        <v>0.49678722035890399</v>
      </c>
      <c r="I65" s="94">
        <f t="shared" si="43"/>
        <v>164.89640292015136</v>
      </c>
      <c r="J65" s="5">
        <f t="shared" si="39"/>
        <v>794417.10091569752</v>
      </c>
      <c r="L65" s="1">
        <f t="shared" si="40"/>
        <v>22371802.642697357</v>
      </c>
      <c r="M65" s="3">
        <f t="shared" si="41"/>
        <v>23166219.743613053</v>
      </c>
      <c r="O65" s="152" t="s">
        <v>86</v>
      </c>
      <c r="P65" s="126">
        <v>0.81346679707686032</v>
      </c>
      <c r="Q65" s="126">
        <v>0.83023922243875881</v>
      </c>
      <c r="R65" s="133">
        <v>0.83023922243875892</v>
      </c>
      <c r="T65" t="s">
        <v>159</v>
      </c>
      <c r="U65" s="5">
        <v>1821106.64</v>
      </c>
      <c r="V65" s="5">
        <v>1548860.63</v>
      </c>
      <c r="X65" s="1">
        <f t="shared" si="28"/>
        <v>1821106.64</v>
      </c>
      <c r="Z65" t="s">
        <v>159</v>
      </c>
      <c r="AA65" s="18">
        <v>1778107.5530000001</v>
      </c>
      <c r="AD65" s="18"/>
      <c r="AE65" t="s">
        <v>159</v>
      </c>
      <c r="AF65" s="18"/>
      <c r="AJ65" s="18">
        <f>+V65</f>
        <v>1548860.63</v>
      </c>
      <c r="AK65"/>
      <c r="AO65" s="18"/>
      <c r="AR65"/>
    </row>
    <row r="66" spans="1:44" x14ac:dyDescent="0.25">
      <c r="A66" s="5" t="str">
        <f t="shared" si="33"/>
        <v>College of Arts and Media</v>
      </c>
      <c r="B66" s="5">
        <f t="shared" si="34"/>
        <v>11408263.557061277</v>
      </c>
      <c r="C66" s="137">
        <f t="shared" si="35"/>
        <v>0</v>
      </c>
      <c r="D66" s="11">
        <f t="shared" si="36"/>
        <v>512279.22929329408</v>
      </c>
      <c r="E66" s="3">
        <f t="shared" si="37"/>
        <v>0</v>
      </c>
      <c r="F66" s="5">
        <f>+'Summer Credit Hour Allocation'!AN6</f>
        <v>1543.3555242042</v>
      </c>
      <c r="G66" s="11">
        <f t="shared" si="42"/>
        <v>331.92561354742969</v>
      </c>
      <c r="H66" s="115">
        <f t="shared" si="38"/>
        <v>0.57480106629727035</v>
      </c>
      <c r="I66" s="94">
        <f t="shared" si="43"/>
        <v>190.79119659843826</v>
      </c>
      <c r="J66" s="5">
        <f t="shared" si="39"/>
        <v>294458.6472397293</v>
      </c>
      <c r="L66" s="1">
        <f t="shared" si="40"/>
        <v>6557482.0571991112</v>
      </c>
      <c r="M66" s="3">
        <f t="shared" si="41"/>
        <v>6851940.704438841</v>
      </c>
      <c r="O66" s="152" t="s">
        <v>88</v>
      </c>
      <c r="P66" s="126">
        <v>0.57322671263512592</v>
      </c>
      <c r="Q66" s="126">
        <v>0.54309554694046469</v>
      </c>
      <c r="R66" s="133">
        <v>0.58623047758368829</v>
      </c>
      <c r="T66" t="s">
        <v>160</v>
      </c>
      <c r="U66" s="5">
        <v>1831838.0399999996</v>
      </c>
      <c r="V66" s="5">
        <v>2219065.58</v>
      </c>
      <c r="X66" s="1">
        <f t="shared" si="28"/>
        <v>2219065.58</v>
      </c>
      <c r="Z66" t="s">
        <v>160</v>
      </c>
      <c r="AA66" s="18">
        <v>2108400.98</v>
      </c>
      <c r="AD66" s="18"/>
      <c r="AE66" t="s">
        <v>160</v>
      </c>
      <c r="AF66" s="18"/>
      <c r="AJ66" s="18">
        <f t="shared" si="32"/>
        <v>2108400.98</v>
      </c>
      <c r="AK66"/>
      <c r="AN66" s="18"/>
      <c r="AO66" s="18"/>
      <c r="AQ66"/>
      <c r="AR66"/>
    </row>
    <row r="67" spans="1:44" x14ac:dyDescent="0.25">
      <c r="A67" s="5" t="str">
        <f t="shared" si="33"/>
        <v>Davidson Honors College</v>
      </c>
      <c r="B67" s="5">
        <f t="shared" si="34"/>
        <v>659193.94171062333</v>
      </c>
      <c r="C67" s="137">
        <f t="shared" si="35"/>
        <v>0</v>
      </c>
      <c r="D67" s="11">
        <f t="shared" si="36"/>
        <v>33372.119033881478</v>
      </c>
      <c r="E67" s="3">
        <f t="shared" si="37"/>
        <v>0</v>
      </c>
      <c r="F67" s="5">
        <f>+'Summer Credit Hour Allocation'!AN7</f>
        <v>100.54095758751336</v>
      </c>
      <c r="G67" s="11">
        <f t="shared" si="42"/>
        <v>331.92561354742969</v>
      </c>
      <c r="H67" s="115">
        <f t="shared" si="38"/>
        <v>0.83023922243875892</v>
      </c>
      <c r="I67" s="94">
        <f t="shared" si="43"/>
        <v>275.57766329912602</v>
      </c>
      <c r="J67" s="5">
        <f t="shared" si="39"/>
        <v>27706.842157823463</v>
      </c>
      <c r="L67" s="1">
        <f t="shared" si="40"/>
        <v>547288.66560216853</v>
      </c>
      <c r="M67" s="3">
        <f t="shared" si="41"/>
        <v>574995.50775999203</v>
      </c>
      <c r="O67" s="152" t="s">
        <v>90</v>
      </c>
      <c r="P67" s="126">
        <v>0.7108146485347735</v>
      </c>
      <c r="Q67" s="126">
        <v>0.67768612645318738</v>
      </c>
      <c r="R67" s="133">
        <v>0.89802092031493796</v>
      </c>
      <c r="S67" s="1"/>
      <c r="T67" t="s">
        <v>161</v>
      </c>
      <c r="U67" s="18">
        <v>0</v>
      </c>
      <c r="V67" s="5">
        <v>-709950</v>
      </c>
      <c r="X67" s="1">
        <f t="shared" si="28"/>
        <v>0</v>
      </c>
      <c r="Z67" t="s">
        <v>161</v>
      </c>
      <c r="AA67" s="18">
        <v>0</v>
      </c>
      <c r="AD67" s="18"/>
      <c r="AE67" t="s">
        <v>161</v>
      </c>
      <c r="AF67" s="18"/>
      <c r="AJ67" s="18">
        <v>-700000</v>
      </c>
      <c r="AK67"/>
      <c r="AN67" s="18"/>
      <c r="AO67" s="18"/>
      <c r="AQ67"/>
      <c r="AR67"/>
    </row>
    <row r="68" spans="1:44" x14ac:dyDescent="0.25">
      <c r="A68" s="5" t="str">
        <f t="shared" si="33"/>
        <v>College of Business</v>
      </c>
      <c r="B68" s="5">
        <f t="shared" si="34"/>
        <v>8526712.6995570939</v>
      </c>
      <c r="C68" s="137">
        <f t="shared" si="35"/>
        <v>434243</v>
      </c>
      <c r="D68" s="11">
        <f t="shared" si="36"/>
        <v>516317.92886449595</v>
      </c>
      <c r="E68" s="3">
        <f t="shared" si="37"/>
        <v>17962</v>
      </c>
      <c r="F68" s="5">
        <f>+'Summer Credit Hour Allocation'!AN8</f>
        <v>1555.7935808129646</v>
      </c>
      <c r="G68" s="11">
        <f t="shared" si="42"/>
        <v>331.86788738047056</v>
      </c>
      <c r="H68" s="115">
        <f t="shared" si="38"/>
        <v>0.58623047758368829</v>
      </c>
      <c r="I68" s="94">
        <f t="shared" si="43"/>
        <v>194.55107011374295</v>
      </c>
      <c r="J68" s="5">
        <f t="shared" si="39"/>
        <v>320643.30602325423</v>
      </c>
      <c r="L68" s="1">
        <f t="shared" si="40"/>
        <v>5432861.8580802558</v>
      </c>
      <c r="M68" s="3">
        <f t="shared" si="41"/>
        <v>5753505.1641035099</v>
      </c>
      <c r="O68" s="152" t="s">
        <v>91</v>
      </c>
      <c r="P68" s="126">
        <v>0.79462184328559948</v>
      </c>
      <c r="Q68" s="126">
        <v>0.76085504758305855</v>
      </c>
      <c r="R68" s="133">
        <v>0.70767577942586568</v>
      </c>
      <c r="T68" t="s">
        <v>162</v>
      </c>
      <c r="U68" s="18">
        <v>0</v>
      </c>
      <c r="V68" s="5">
        <v>0</v>
      </c>
      <c r="X68" s="1">
        <f>+X20-X41-SUM(X45:X67)</f>
        <v>2822439.7156880572</v>
      </c>
      <c r="Z68" t="s">
        <v>162</v>
      </c>
      <c r="AA68" s="18"/>
      <c r="AD68" s="18"/>
      <c r="AE68" t="s">
        <v>162</v>
      </c>
      <c r="AF68" s="18"/>
      <c r="AJ68" s="3">
        <v>1422470</v>
      </c>
      <c r="AK68"/>
      <c r="AN68" s="18"/>
      <c r="AO68" s="18"/>
      <c r="AQ68"/>
      <c r="AR68"/>
    </row>
    <row r="69" spans="1:44" ht="15.75" thickBot="1" x14ac:dyDescent="0.3">
      <c r="A69" s="5" t="str">
        <f t="shared" si="33"/>
        <v>School of Law</v>
      </c>
      <c r="B69" s="5">
        <f t="shared" si="34"/>
        <v>3767667.8458115309</v>
      </c>
      <c r="C69" s="137">
        <f t="shared" si="35"/>
        <v>1262144</v>
      </c>
      <c r="D69" s="11">
        <f t="shared" si="36"/>
        <v>65576.475674962494</v>
      </c>
      <c r="E69" s="3">
        <f t="shared" si="37"/>
        <v>27127</v>
      </c>
      <c r="F69" s="5">
        <f>+'Summer Credit Hour Allocation'!AN9</f>
        <v>197.97240102283558</v>
      </c>
      <c r="G69" s="11">
        <f t="shared" si="42"/>
        <v>331.24049279676325</v>
      </c>
      <c r="H69" s="115">
        <f t="shared" si="38"/>
        <v>0.89802092031493796</v>
      </c>
      <c r="I69" s="94">
        <f t="shared" si="43"/>
        <v>297.46089218692293</v>
      </c>
      <c r="J69" s="5">
        <f t="shared" si="39"/>
        <v>86016.047036639968</v>
      </c>
      <c r="L69" s="1">
        <f t="shared" si="40"/>
        <v>4645588.5463366704</v>
      </c>
      <c r="M69" s="3">
        <f t="shared" si="41"/>
        <v>4731604.5933733108</v>
      </c>
      <c r="O69" s="134"/>
      <c r="P69" s="135"/>
      <c r="Q69" s="135"/>
      <c r="R69" s="136"/>
      <c r="T69" t="s">
        <v>163</v>
      </c>
      <c r="U69" s="32">
        <f>SUM(U45:U68)</f>
        <v>55942747.289999992</v>
      </c>
      <c r="V69" s="32">
        <f>SUM(V45:V68)</f>
        <v>52476506.309999995</v>
      </c>
      <c r="W69" s="137"/>
      <c r="X69" s="32">
        <f t="shared" ref="X69" si="44">SUM(X45:X68)</f>
        <v>60025443.705688037</v>
      </c>
      <c r="Z69" t="s">
        <v>163</v>
      </c>
      <c r="AA69" s="32">
        <f t="shared" ref="AA69" si="45">SUM(AA45:AA68)</f>
        <v>54059832.173999995</v>
      </c>
      <c r="AB69" s="63"/>
      <c r="AC69" s="3"/>
      <c r="AD69" s="18"/>
      <c r="AE69" t="s">
        <v>163</v>
      </c>
      <c r="AF69" s="18"/>
      <c r="AJ69" s="32">
        <f t="shared" ref="AJ69" si="46">SUM(AJ45:AJ68)</f>
        <v>54002207.410999998</v>
      </c>
      <c r="AK69"/>
      <c r="AN69" s="18"/>
      <c r="AO69" s="18"/>
      <c r="AQ69"/>
      <c r="AR69"/>
    </row>
    <row r="70" spans="1:44" x14ac:dyDescent="0.25">
      <c r="A70" s="5" t="str">
        <f t="shared" si="33"/>
        <v>Missoula College</v>
      </c>
      <c r="B70" s="5">
        <f t="shared" si="34"/>
        <v>6802433.2527790973</v>
      </c>
      <c r="C70" s="137">
        <f t="shared" si="35"/>
        <v>36663</v>
      </c>
      <c r="D70" s="11">
        <f t="shared" si="36"/>
        <v>194702.03709999996</v>
      </c>
      <c r="E70" s="3">
        <f t="shared" si="37"/>
        <v>5600</v>
      </c>
      <c r="F70">
        <v>1427</v>
      </c>
      <c r="G70" s="11">
        <f t="shared" si="42"/>
        <v>136.44151163279605</v>
      </c>
      <c r="H70" s="115">
        <f t="shared" si="38"/>
        <v>0.70767577942586568</v>
      </c>
      <c r="I70" s="94">
        <f t="shared" si="43"/>
        <v>96.556353090782267</v>
      </c>
      <c r="J70" s="5">
        <f t="shared" si="39"/>
        <v>143385.91586054629</v>
      </c>
      <c r="L70" s="1">
        <f t="shared" si="40"/>
        <v>4850580.2541528754</v>
      </c>
      <c r="M70" s="3">
        <f t="shared" si="41"/>
        <v>4993966.1700134221</v>
      </c>
      <c r="Z70"/>
      <c r="AA70" s="18"/>
      <c r="AD70" s="18"/>
      <c r="AE70"/>
      <c r="AF70" s="18"/>
      <c r="AJ70" s="18"/>
      <c r="AK70"/>
      <c r="AN70" s="18"/>
      <c r="AO70" s="18"/>
      <c r="AQ70"/>
      <c r="AR70"/>
    </row>
    <row r="71" spans="1:44" x14ac:dyDescent="0.25">
      <c r="A71" s="5" t="str">
        <f t="shared" si="33"/>
        <v>Unknown MC</v>
      </c>
      <c r="B71" s="5">
        <f t="shared" si="34"/>
        <v>2254988.1181729441</v>
      </c>
      <c r="C71" s="137">
        <f t="shared" si="35"/>
        <v>0</v>
      </c>
      <c r="D71" s="11">
        <f t="shared" si="36"/>
        <v>0</v>
      </c>
      <c r="E71" s="3">
        <f t="shared" si="37"/>
        <v>0</v>
      </c>
      <c r="M71" s="3">
        <f t="shared" si="41"/>
        <v>0</v>
      </c>
      <c r="T71" t="s">
        <v>164</v>
      </c>
      <c r="U71" s="19">
        <f>+U69+U41</f>
        <v>129082072</v>
      </c>
      <c r="V71" s="19">
        <f>+V69+V41</f>
        <v>127131696.31</v>
      </c>
      <c r="W71" s="137"/>
      <c r="X71" s="19">
        <f>+X69+X41</f>
        <v>123534425.87</v>
      </c>
      <c r="Z71" t="s">
        <v>164</v>
      </c>
      <c r="AA71" s="23">
        <f>+AA69+AA41</f>
        <v>125531266.33399999</v>
      </c>
      <c r="AC71" s="18"/>
      <c r="AD71" s="18"/>
      <c r="AE71" t="s">
        <v>164</v>
      </c>
      <c r="AF71" s="18"/>
      <c r="AG71" s="34"/>
      <c r="AH71" s="18"/>
      <c r="AJ71" s="23">
        <f>+AJ69+AJ41</f>
        <v>122211189.57531197</v>
      </c>
      <c r="AK71"/>
      <c r="AN71" s="18"/>
      <c r="AO71" s="18"/>
      <c r="AQ71"/>
      <c r="AR71"/>
    </row>
    <row r="72" spans="1:44" x14ac:dyDescent="0.25">
      <c r="A72" s="5" t="str">
        <f t="shared" si="33"/>
        <v>Unknown Other UNITS</v>
      </c>
      <c r="B72" s="5">
        <f t="shared" si="34"/>
        <v>0</v>
      </c>
      <c r="C72" s="137">
        <f t="shared" si="35"/>
        <v>0</v>
      </c>
      <c r="D72" s="11">
        <f t="shared" si="36"/>
        <v>0</v>
      </c>
      <c r="E72" s="3">
        <f t="shared" si="37"/>
        <v>0</v>
      </c>
      <c r="M72" s="3">
        <f t="shared" si="41"/>
        <v>0</v>
      </c>
      <c r="Z72" s="18"/>
      <c r="AA72" s="18"/>
      <c r="AD72" s="18"/>
      <c r="AE72" s="18"/>
      <c r="AF72" s="18"/>
      <c r="AG72" s="18"/>
      <c r="AH72"/>
      <c r="AI72" s="18"/>
      <c r="AJ72" s="18"/>
      <c r="AK72"/>
      <c r="AN72" s="18"/>
      <c r="AO72" s="18"/>
      <c r="AQ72"/>
      <c r="AR72"/>
    </row>
    <row r="73" spans="1:44" ht="15.75" thickBot="1" x14ac:dyDescent="0.3">
      <c r="A73" s="5" t="str">
        <f t="shared" si="33"/>
        <v>Other GL to Detail Difference</v>
      </c>
      <c r="B73" s="5">
        <f t="shared" si="34"/>
        <v>0</v>
      </c>
      <c r="C73" s="137">
        <f t="shared" si="35"/>
        <v>0</v>
      </c>
      <c r="D73" s="11">
        <f t="shared" si="36"/>
        <v>0</v>
      </c>
      <c r="E73" s="3">
        <f t="shared" si="37"/>
        <v>0</v>
      </c>
      <c r="M73" s="3">
        <f t="shared" si="41"/>
        <v>0</v>
      </c>
      <c r="T73" t="s">
        <v>165</v>
      </c>
      <c r="U73" s="24">
        <f>+U20-U71</f>
        <v>-4100000</v>
      </c>
      <c r="V73" s="24">
        <f>+V20-V71</f>
        <v>-3597270.4399999976</v>
      </c>
      <c r="X73" s="24">
        <f>+X20-X71</f>
        <v>0</v>
      </c>
      <c r="Z73" t="s">
        <v>165</v>
      </c>
      <c r="AA73" s="24">
        <f>+AA20-AA71</f>
        <v>-4562746.3339999914</v>
      </c>
      <c r="AC73" s="3"/>
      <c r="AD73" s="18"/>
      <c r="AE73" t="s">
        <v>165</v>
      </c>
      <c r="AF73" s="18"/>
      <c r="AG73" s="18"/>
      <c r="AH73" s="18"/>
      <c r="AI73" s="18"/>
      <c r="AJ73" s="24">
        <f>+AJ20-AJ71</f>
        <v>1323236.2946880311</v>
      </c>
      <c r="AK73"/>
      <c r="AN73" s="18"/>
      <c r="AO73" s="18"/>
      <c r="AQ73"/>
      <c r="AR73"/>
    </row>
    <row r="74" spans="1:44" ht="15.75" thickTop="1" x14ac:dyDescent="0.25">
      <c r="A74" s="5" t="str">
        <f t="shared" si="33"/>
        <v>Other including research</v>
      </c>
      <c r="B74" s="5">
        <f t="shared" si="34"/>
        <v>5784238.9955344051</v>
      </c>
      <c r="C74" s="137">
        <f t="shared" si="35"/>
        <v>0</v>
      </c>
      <c r="D74" s="11">
        <f t="shared" si="36"/>
        <v>0</v>
      </c>
      <c r="E74" s="3">
        <f t="shared" si="37"/>
        <v>0</v>
      </c>
      <c r="F74" s="1"/>
      <c r="G74" s="11"/>
      <c r="H74" s="115"/>
      <c r="I74" s="94"/>
      <c r="J74" s="5"/>
      <c r="L74" s="1"/>
      <c r="M74" s="3">
        <f t="shared" si="41"/>
        <v>0</v>
      </c>
      <c r="X74" s="144" t="s">
        <v>166</v>
      </c>
      <c r="AK74"/>
      <c r="AN74" s="18"/>
      <c r="AO74" s="18"/>
      <c r="AQ74"/>
      <c r="AR74"/>
    </row>
    <row r="75" spans="1:44" x14ac:dyDescent="0.25">
      <c r="A75" s="18" t="s">
        <v>167</v>
      </c>
      <c r="B75" s="153">
        <f>SUM(B62:B74)</f>
        <v>113865958.92880002</v>
      </c>
      <c r="C75" s="153">
        <f t="shared" ref="C75:E75" si="47">SUM(C62:C74)</f>
        <v>3985286</v>
      </c>
      <c r="D75" s="153">
        <f t="shared" si="47"/>
        <v>4095893.6318499991</v>
      </c>
      <c r="E75" s="153">
        <f t="shared" si="47"/>
        <v>124398.5</v>
      </c>
      <c r="G75"/>
      <c r="H75" s="1"/>
      <c r="J75" s="153">
        <f>SUM(J62:J74)</f>
        <v>2285954.7319070031</v>
      </c>
      <c r="L75" s="153">
        <f>SUM(L62:L74)</f>
        <v>61223027.432404965</v>
      </c>
      <c r="AN75" s="18"/>
      <c r="AO75" s="18"/>
      <c r="AQ75"/>
      <c r="AR75"/>
    </row>
    <row r="76" spans="1:44" x14ac:dyDescent="0.25">
      <c r="W76" s="12"/>
      <c r="X76" s="12"/>
      <c r="Z76"/>
      <c r="AD76" s="18"/>
      <c r="AE76" s="18"/>
      <c r="AF76" s="18"/>
      <c r="AG76" s="18"/>
      <c r="AH76" s="18"/>
      <c r="AI76" s="18"/>
    </row>
    <row r="77" spans="1:44" x14ac:dyDescent="0.25">
      <c r="V77" s="3"/>
      <c r="W77" s="12"/>
      <c r="Z77"/>
      <c r="AA77" s="3"/>
      <c r="AD77" s="18"/>
      <c r="AE77" s="18"/>
      <c r="AF77" s="18"/>
      <c r="AG77" s="18"/>
      <c r="AH77" s="18"/>
      <c r="AI77" s="18"/>
    </row>
    <row r="78" spans="1:44" x14ac:dyDescent="0.25">
      <c r="W78" s="12"/>
      <c r="X78" s="12"/>
      <c r="Z78" s="12"/>
      <c r="AD78" s="18"/>
      <c r="AE78" s="18"/>
      <c r="AF78" s="18"/>
      <c r="AG78" s="18"/>
      <c r="AH78" s="18"/>
      <c r="AI78" s="18"/>
    </row>
    <row r="79" spans="1:44" x14ac:dyDescent="0.25">
      <c r="W79" s="12"/>
      <c r="X79" s="12"/>
      <c r="Z79" s="12"/>
      <c r="AD79" s="18"/>
      <c r="AE79" s="18"/>
      <c r="AF79" s="18"/>
      <c r="AG79" s="18"/>
      <c r="AH79" s="18"/>
      <c r="AI79" s="18"/>
    </row>
    <row r="80" spans="1:44" x14ac:dyDescent="0.25">
      <c r="W80" s="12"/>
      <c r="X80" s="12"/>
      <c r="Z80" s="12"/>
      <c r="AD80" s="18"/>
      <c r="AE80" s="18"/>
      <c r="AF80" s="18"/>
      <c r="AG80" s="18"/>
      <c r="AH80" s="18"/>
      <c r="AI80" s="18"/>
    </row>
    <row r="81" spans="23:35" x14ac:dyDescent="0.25">
      <c r="W81" s="12"/>
      <c r="X81" s="12"/>
      <c r="Z81" s="12"/>
      <c r="AD81" s="18"/>
      <c r="AE81" s="18"/>
      <c r="AF81" s="18"/>
      <c r="AG81" s="18"/>
      <c r="AH81" s="18"/>
      <c r="AI81" s="18"/>
    </row>
    <row r="82" spans="23:35" x14ac:dyDescent="0.25">
      <c r="W82" s="12"/>
      <c r="X82" s="12"/>
      <c r="Z82" s="12"/>
      <c r="AD82" s="18"/>
      <c r="AE82" s="18"/>
      <c r="AF82" s="18"/>
      <c r="AG82" s="18"/>
      <c r="AH82" s="18"/>
      <c r="AI82" s="18"/>
    </row>
    <row r="83" spans="23:35" x14ac:dyDescent="0.25">
      <c r="W83" s="12"/>
      <c r="X83" s="12"/>
      <c r="Z83" s="12"/>
      <c r="AD83" s="18"/>
      <c r="AE83" s="18"/>
      <c r="AF83" s="18"/>
      <c r="AG83" s="18"/>
      <c r="AH83" s="18"/>
      <c r="AI83" s="18"/>
    </row>
    <row r="84" spans="23:35" x14ac:dyDescent="0.25">
      <c r="W84" s="12"/>
      <c r="X84" s="12"/>
      <c r="Z84" s="12"/>
      <c r="AD84" s="18"/>
      <c r="AE84" s="18"/>
      <c r="AF84" s="18"/>
      <c r="AG84" s="18"/>
      <c r="AH84" s="18"/>
      <c r="AI84" s="18"/>
    </row>
    <row r="85" spans="23:35" x14ac:dyDescent="0.25">
      <c r="W85" s="12"/>
      <c r="X85" s="12"/>
      <c r="Z85" s="12"/>
      <c r="AD85" s="18"/>
      <c r="AE85" s="18"/>
      <c r="AF85" s="18"/>
      <c r="AG85" s="18"/>
      <c r="AH85" s="18"/>
      <c r="AI85" s="18"/>
    </row>
    <row r="86" spans="23:35" x14ac:dyDescent="0.25">
      <c r="W86" s="12"/>
      <c r="X86" s="12"/>
      <c r="Z86" s="12"/>
      <c r="AD86" s="18"/>
      <c r="AE86" s="18"/>
      <c r="AF86" s="18"/>
      <c r="AG86" s="18"/>
      <c r="AH86" s="18"/>
      <c r="AI86" s="18"/>
    </row>
    <row r="87" spans="23:35" x14ac:dyDescent="0.25">
      <c r="W87" s="12"/>
      <c r="X87" s="12"/>
      <c r="Z87" s="12"/>
      <c r="AD87" s="18"/>
      <c r="AE87" s="18"/>
      <c r="AF87" s="18"/>
      <c r="AG87" s="18"/>
      <c r="AH87" s="18"/>
      <c r="AI87" s="18"/>
    </row>
    <row r="88" spans="23:35" x14ac:dyDescent="0.25">
      <c r="W88" s="12"/>
      <c r="X88" s="12"/>
      <c r="Z88" s="12"/>
      <c r="AD88" s="18"/>
      <c r="AE88" s="18"/>
      <c r="AF88" s="18"/>
      <c r="AG88" s="18"/>
      <c r="AH88" s="18"/>
      <c r="AI88" s="18"/>
    </row>
    <row r="89" spans="23:35" x14ac:dyDescent="0.25">
      <c r="W89" s="12"/>
      <c r="X89" s="12"/>
      <c r="Z89" s="12"/>
      <c r="AD89" s="18"/>
      <c r="AE89" s="18"/>
      <c r="AF89" s="18"/>
      <c r="AG89" s="18"/>
      <c r="AH89" s="18"/>
      <c r="AI89" s="18"/>
    </row>
    <row r="90" spans="23:35" x14ac:dyDescent="0.25">
      <c r="W90" s="12"/>
      <c r="X90" s="12"/>
      <c r="Z90" s="12"/>
      <c r="AD90" s="18"/>
      <c r="AE90" s="18"/>
      <c r="AF90" s="18"/>
      <c r="AG90" s="18"/>
      <c r="AH90" s="18"/>
      <c r="AI90" s="18"/>
    </row>
    <row r="91" spans="23:35" x14ac:dyDescent="0.25">
      <c r="W91" s="12"/>
      <c r="X91" s="12"/>
      <c r="Z91" s="12"/>
      <c r="AD91" s="18"/>
      <c r="AE91" s="18"/>
      <c r="AF91" s="18"/>
      <c r="AG91" s="18"/>
      <c r="AH91" s="18"/>
      <c r="AI91" s="18"/>
    </row>
    <row r="92" spans="23:35" x14ac:dyDescent="0.25">
      <c r="W92" s="12"/>
      <c r="X92" s="12"/>
      <c r="Z92" s="12"/>
      <c r="AD92" s="18"/>
      <c r="AE92" s="18"/>
      <c r="AF92" s="18"/>
      <c r="AG92" s="18"/>
      <c r="AH92" s="18"/>
      <c r="AI92" s="18"/>
    </row>
    <row r="93" spans="23:35" x14ac:dyDescent="0.25">
      <c r="W93" s="12"/>
      <c r="X93" s="12"/>
      <c r="Z93" s="12"/>
      <c r="AD93" s="18"/>
      <c r="AE93" s="18"/>
      <c r="AF93" s="18"/>
      <c r="AG93" s="18"/>
      <c r="AH93" s="18"/>
      <c r="AI93" s="18"/>
    </row>
    <row r="94" spans="23:35" x14ac:dyDescent="0.25">
      <c r="W94" s="12"/>
      <c r="X94" s="12"/>
      <c r="Z94" s="12"/>
      <c r="AD94" s="18"/>
      <c r="AE94" s="18"/>
      <c r="AF94" s="18"/>
      <c r="AG94" s="18"/>
      <c r="AH94" s="18"/>
      <c r="AI94" s="18"/>
    </row>
    <row r="95" spans="23:35" x14ac:dyDescent="0.25">
      <c r="W95" s="12"/>
      <c r="X95" s="12"/>
      <c r="Z95" s="12"/>
      <c r="AD95" s="18"/>
      <c r="AE95" s="18"/>
      <c r="AF95" s="18"/>
      <c r="AG95" s="18"/>
      <c r="AH95" s="18"/>
      <c r="AI95" s="18"/>
    </row>
    <row r="96" spans="23:35" x14ac:dyDescent="0.25">
      <c r="W96" s="12"/>
      <c r="X96" s="12"/>
      <c r="Z96" s="12"/>
      <c r="AD96" s="18"/>
      <c r="AE96" s="18"/>
      <c r="AF96" s="18"/>
      <c r="AG96" s="18"/>
      <c r="AH96" s="18"/>
      <c r="AI96" s="18"/>
    </row>
    <row r="97" spans="23:35" x14ac:dyDescent="0.25">
      <c r="W97" s="12"/>
      <c r="X97" s="12"/>
      <c r="Z97" s="12"/>
      <c r="AD97" s="18"/>
      <c r="AE97" s="18"/>
      <c r="AF97" s="18"/>
      <c r="AG97" s="18"/>
      <c r="AH97" s="18"/>
      <c r="AI97" s="18"/>
    </row>
    <row r="98" spans="23:35" x14ac:dyDescent="0.25">
      <c r="W98" s="12"/>
      <c r="X98" s="12"/>
      <c r="Z98" s="12"/>
      <c r="AF98" s="18"/>
      <c r="AG98" s="18"/>
      <c r="AH98" s="18"/>
      <c r="AI98" s="18"/>
    </row>
    <row r="99" spans="23:35" x14ac:dyDescent="0.25">
      <c r="W99" s="12"/>
      <c r="X99" s="12"/>
      <c r="Z99" s="12"/>
      <c r="AF99" s="18"/>
      <c r="AG99" s="18"/>
      <c r="AH99" s="18"/>
      <c r="AI99" s="18"/>
    </row>
    <row r="100" spans="23:35" x14ac:dyDescent="0.25">
      <c r="W100" s="12"/>
      <c r="X100" s="12"/>
      <c r="Z100" s="12"/>
      <c r="AF100" s="18"/>
      <c r="AG100" s="18"/>
      <c r="AH100" s="18"/>
      <c r="AI100" s="18"/>
    </row>
    <row r="101" spans="23:35" x14ac:dyDescent="0.25">
      <c r="W101" s="12"/>
      <c r="X101" s="12"/>
      <c r="Z101" s="12"/>
      <c r="AF101" s="18"/>
      <c r="AG101" s="18"/>
      <c r="AH101" s="18"/>
      <c r="AI101" s="18"/>
    </row>
    <row r="102" spans="23:35" x14ac:dyDescent="0.25">
      <c r="W102" s="12"/>
      <c r="X102" s="12"/>
      <c r="Z102" s="12"/>
      <c r="AF102" s="18"/>
      <c r="AG102" s="18"/>
      <c r="AH102" s="18"/>
      <c r="AI102" s="18"/>
    </row>
    <row r="103" spans="23:35" x14ac:dyDescent="0.25">
      <c r="W103" s="12"/>
      <c r="X103" s="12"/>
      <c r="Z103" s="12"/>
    </row>
  </sheetData>
  <mergeCells count="3">
    <mergeCell ref="T1:X1"/>
    <mergeCell ref="Z1:AC1"/>
    <mergeCell ref="AE1:AK1"/>
  </mergeCells>
  <pageMargins left="0.7" right="0.7" top="0.75" bottom="0.75" header="0.3" footer="0.3"/>
  <pageSetup scale="43" fitToWidth="2" orientation="landscape" r:id="rId1"/>
  <colBreaks count="1" manualBreakCount="1">
    <brk id="18" max="7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2:N18"/>
  <sheetViews>
    <sheetView topLeftCell="E1" workbookViewId="0">
      <selection activeCell="R35" sqref="R35"/>
    </sheetView>
  </sheetViews>
  <sheetFormatPr defaultColWidth="9.140625" defaultRowHeight="15" x14ac:dyDescent="0.25"/>
  <cols>
    <col min="1" max="1" width="42.7109375" style="1" bestFit="1" customWidth="1"/>
    <col min="2" max="13" width="11.5703125" style="1" bestFit="1" customWidth="1"/>
    <col min="14" max="16384" width="9.140625" style="1"/>
  </cols>
  <sheetData>
    <row r="2" spans="1:14" x14ac:dyDescent="0.25">
      <c r="A2" s="28" t="s">
        <v>371</v>
      </c>
      <c r="B2" s="28" t="s">
        <v>372</v>
      </c>
      <c r="C2" s="28" t="s">
        <v>373</v>
      </c>
      <c r="D2" s="28" t="s">
        <v>374</v>
      </c>
      <c r="E2" s="28" t="s">
        <v>375</v>
      </c>
      <c r="F2" s="28" t="s">
        <v>376</v>
      </c>
      <c r="G2" s="28" t="s">
        <v>377</v>
      </c>
      <c r="H2" s="28" t="s">
        <v>378</v>
      </c>
      <c r="I2" s="28" t="s">
        <v>379</v>
      </c>
      <c r="J2" s="28" t="s">
        <v>380</v>
      </c>
      <c r="K2" s="28" t="s">
        <v>381</v>
      </c>
      <c r="L2" s="28" t="s">
        <v>382</v>
      </c>
      <c r="M2" s="44" t="s">
        <v>383</v>
      </c>
    </row>
    <row r="4" spans="1:14" x14ac:dyDescent="0.25">
      <c r="A4" s="160" t="s">
        <v>384</v>
      </c>
      <c r="B4" s="31">
        <v>55936677</v>
      </c>
      <c r="C4" s="31">
        <v>59661192.979999997</v>
      </c>
      <c r="D4" s="31">
        <v>60322026</v>
      </c>
      <c r="E4" s="31">
        <v>61695465</v>
      </c>
      <c r="F4" s="31">
        <v>58802605</v>
      </c>
      <c r="G4" s="31">
        <v>59910116</v>
      </c>
      <c r="H4" s="31">
        <v>60147648</v>
      </c>
      <c r="I4" s="31">
        <v>61862743</v>
      </c>
      <c r="J4" s="31">
        <v>60684268</v>
      </c>
      <c r="K4" s="31">
        <v>63143251</v>
      </c>
      <c r="L4" s="31">
        <f>65643525+750000</f>
        <v>66393525</v>
      </c>
      <c r="M4" s="203">
        <v>69043468</v>
      </c>
      <c r="N4" s="51">
        <f>+M4/L4-1</f>
        <v>3.9912672207116584E-2</v>
      </c>
    </row>
    <row r="5" spans="1:14" x14ac:dyDescent="0.25">
      <c r="A5" s="1" t="s">
        <v>385</v>
      </c>
      <c r="B5" s="31">
        <v>206681</v>
      </c>
      <c r="C5" s="31">
        <v>0</v>
      </c>
      <c r="D5" s="31">
        <v>209029</v>
      </c>
      <c r="E5" s="31">
        <v>0</v>
      </c>
      <c r="F5" s="31">
        <v>213133</v>
      </c>
      <c r="G5" s="31">
        <v>0</v>
      </c>
      <c r="H5" s="31">
        <v>188796</v>
      </c>
      <c r="I5" s="31">
        <v>0</v>
      </c>
      <c r="J5" s="31">
        <v>170000</v>
      </c>
      <c r="K5" s="31"/>
      <c r="L5" s="31">
        <v>206903</v>
      </c>
      <c r="M5" s="203">
        <v>0</v>
      </c>
    </row>
    <row r="6" spans="1:14" x14ac:dyDescent="0.25">
      <c r="A6" s="17" t="s">
        <v>386</v>
      </c>
      <c r="B6" s="330">
        <f>SUM(B4:B5)</f>
        <v>56143358</v>
      </c>
      <c r="C6" s="330">
        <f t="shared" ref="C6:L6" si="0">SUM(C4:C5)</f>
        <v>59661192.979999997</v>
      </c>
      <c r="D6" s="330">
        <f t="shared" si="0"/>
        <v>60531055</v>
      </c>
      <c r="E6" s="330">
        <f t="shared" si="0"/>
        <v>61695465</v>
      </c>
      <c r="F6" s="330">
        <f t="shared" si="0"/>
        <v>59015738</v>
      </c>
      <c r="G6" s="330">
        <f t="shared" si="0"/>
        <v>59910116</v>
      </c>
      <c r="H6" s="330">
        <f t="shared" si="0"/>
        <v>60336444</v>
      </c>
      <c r="I6" s="330">
        <f t="shared" si="0"/>
        <v>61862743</v>
      </c>
      <c r="J6" s="330">
        <f t="shared" si="0"/>
        <v>60854268</v>
      </c>
      <c r="K6" s="330">
        <f t="shared" si="0"/>
        <v>63143251</v>
      </c>
      <c r="L6" s="330">
        <f t="shared" si="0"/>
        <v>66600428</v>
      </c>
      <c r="M6" s="330">
        <f t="shared" ref="M6" si="1">SUM(M4:M5)</f>
        <v>69043468</v>
      </c>
    </row>
    <row r="8" spans="1:14" x14ac:dyDescent="0.25">
      <c r="A8" s="1" t="s">
        <v>387</v>
      </c>
      <c r="B8" s="1">
        <f>+'Net Tuition AY'!F63+'Net Tuition Summer'!D59</f>
        <v>344251</v>
      </c>
      <c r="C8" s="1">
        <f>+'Net Tuition AY'!G63+'Net Tuition Summer'!E59</f>
        <v>342840.0000000014</v>
      </c>
      <c r="D8" s="1">
        <f>+'Net Tuition AY'!H63+'Net Tuition Summer'!F59</f>
        <v>323707.00000000058</v>
      </c>
      <c r="E8" s="1">
        <f>+'Net Tuition AY'!I63+'Net Tuition Summer'!G59</f>
        <v>305255.00000000477</v>
      </c>
      <c r="F8" s="1">
        <f>+'Net Tuition AY'!J63+'Net Tuition Summer'!H59</f>
        <v>285628.00000000128</v>
      </c>
      <c r="G8" s="1">
        <f>+'Net Tuition AY'!K63+'Net Tuition Summer'!I59</f>
        <v>266780.99999999895</v>
      </c>
      <c r="H8" s="1">
        <f>+'Net Tuition AY'!L63+'Net Tuition Summer'!J59</f>
        <v>249089.0000000076</v>
      </c>
      <c r="I8" s="1">
        <f>+'Net Tuition AY'!M63+'Net Tuition Summer'!K59</f>
        <v>234229.00000000247</v>
      </c>
      <c r="J8" s="1">
        <f>+'Net Tuition AY'!N63+'Net Tuition Summer'!L59</f>
        <v>234119.00000000102</v>
      </c>
      <c r="K8" s="1">
        <f>+'Net Tuition AY'!O63+'Net Tuition Summer'!M59</f>
        <v>235408.99999999651</v>
      </c>
      <c r="L8" s="1">
        <f>+'Net Tuition AY'!P63+'Net Tuition Summer'!N59</f>
        <v>243309.99999999994</v>
      </c>
      <c r="M8" s="1">
        <f>+'Net Tuition AY'!Q63+'Net Tuition Summer'!O59</f>
        <v>245568</v>
      </c>
    </row>
    <row r="10" spans="1:14" x14ac:dyDescent="0.25">
      <c r="A10" s="1" t="s">
        <v>388</v>
      </c>
      <c r="B10" s="10">
        <f>+B6/B8</f>
        <v>163.08843837781154</v>
      </c>
      <c r="C10" s="10">
        <f t="shared" ref="C10:L10" si="2">+C6/C8</f>
        <v>174.02051388402683</v>
      </c>
      <c r="D10" s="10">
        <f t="shared" si="2"/>
        <v>186.99334583434987</v>
      </c>
      <c r="E10" s="10">
        <f t="shared" si="2"/>
        <v>202.11123486920454</v>
      </c>
      <c r="F10" s="10">
        <f t="shared" si="2"/>
        <v>206.61748147940585</v>
      </c>
      <c r="G10" s="10">
        <f t="shared" si="2"/>
        <v>224.56665204793532</v>
      </c>
      <c r="H10" s="10">
        <f t="shared" si="2"/>
        <v>242.2284564954621</v>
      </c>
      <c r="I10" s="10">
        <f t="shared" si="2"/>
        <v>264.11222777708713</v>
      </c>
      <c r="J10" s="10">
        <f t="shared" si="2"/>
        <v>259.92878835122195</v>
      </c>
      <c r="K10" s="10">
        <f t="shared" si="2"/>
        <v>268.22785450004432</v>
      </c>
      <c r="L10" s="10">
        <f t="shared" si="2"/>
        <v>273.72663680078921</v>
      </c>
      <c r="M10" s="10">
        <f t="shared" ref="M10" si="3">+M6/M8</f>
        <v>281.1582453739901</v>
      </c>
    </row>
    <row r="12" spans="1:14" x14ac:dyDescent="0.25">
      <c r="A12" s="160" t="s">
        <v>389</v>
      </c>
      <c r="D12" s="10"/>
      <c r="E12" s="10">
        <f>AVERAGE(B10:E10)</f>
        <v>181.55338324134817</v>
      </c>
      <c r="F12" s="10">
        <f t="shared" ref="F12:M12" si="4">AVERAGE(C10:F10)</f>
        <v>192.43564401674678</v>
      </c>
      <c r="G12" s="10">
        <f t="shared" si="4"/>
        <v>205.0721785577239</v>
      </c>
      <c r="H12" s="10">
        <f t="shared" si="4"/>
        <v>218.88095622300196</v>
      </c>
      <c r="I12" s="10">
        <f t="shared" si="4"/>
        <v>234.38120444997259</v>
      </c>
      <c r="J12" s="10">
        <f t="shared" si="4"/>
        <v>247.70903116792664</v>
      </c>
      <c r="K12" s="10">
        <f t="shared" si="4"/>
        <v>258.62433178095387</v>
      </c>
      <c r="L12" s="10">
        <f t="shared" si="4"/>
        <v>266.49887685728567</v>
      </c>
      <c r="M12" s="10">
        <f t="shared" si="4"/>
        <v>270.76038125651144</v>
      </c>
    </row>
    <row r="14" spans="1:14" x14ac:dyDescent="0.25">
      <c r="A14" s="1" t="s">
        <v>386</v>
      </c>
      <c r="B14" s="1">
        <f>+B6</f>
        <v>56143358</v>
      </c>
      <c r="C14" s="1">
        <f t="shared" ref="C14:L14" si="5">+C6</f>
        <v>59661192.979999997</v>
      </c>
      <c r="D14" s="1">
        <f t="shared" si="5"/>
        <v>60531055</v>
      </c>
      <c r="E14" s="1">
        <f t="shared" si="5"/>
        <v>61695465</v>
      </c>
      <c r="F14" s="1">
        <f t="shared" si="5"/>
        <v>59015738</v>
      </c>
      <c r="G14" s="1">
        <f t="shared" si="5"/>
        <v>59910116</v>
      </c>
      <c r="H14" s="1">
        <f t="shared" si="5"/>
        <v>60336444</v>
      </c>
      <c r="I14" s="1">
        <f t="shared" si="5"/>
        <v>61862743</v>
      </c>
      <c r="J14" s="1">
        <f t="shared" si="5"/>
        <v>60854268</v>
      </c>
      <c r="K14" s="1">
        <f t="shared" si="5"/>
        <v>63143251</v>
      </c>
      <c r="L14" s="1">
        <f t="shared" si="5"/>
        <v>66600428</v>
      </c>
      <c r="M14" s="1">
        <f t="shared" ref="M14" si="6">+M6</f>
        <v>69043468</v>
      </c>
    </row>
    <row r="15" spans="1:14" x14ac:dyDescent="0.25">
      <c r="A15" s="160" t="s">
        <v>390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798659</v>
      </c>
      <c r="M15" s="203">
        <f>+L15</f>
        <v>798659</v>
      </c>
    </row>
    <row r="16" spans="1:14" ht="15.75" thickBot="1" x14ac:dyDescent="0.3">
      <c r="A16" s="17" t="s">
        <v>391</v>
      </c>
      <c r="B16" s="329">
        <f>SUM(B14:B15)</f>
        <v>56143358</v>
      </c>
      <c r="C16" s="329">
        <f t="shared" ref="C16" si="7">SUM(C14:C15)</f>
        <v>59661192.979999997</v>
      </c>
      <c r="D16" s="329">
        <f t="shared" ref="D16" si="8">SUM(D14:D15)</f>
        <v>60531055</v>
      </c>
      <c r="E16" s="329">
        <f t="shared" ref="E16" si="9">SUM(E14:E15)</f>
        <v>61695465</v>
      </c>
      <c r="F16" s="329">
        <f t="shared" ref="F16" si="10">SUM(F14:F15)</f>
        <v>59015738</v>
      </c>
      <c r="G16" s="329">
        <f t="shared" ref="G16" si="11">SUM(G14:G15)</f>
        <v>59910116</v>
      </c>
      <c r="H16" s="329">
        <f t="shared" ref="H16" si="12">SUM(H14:H15)</f>
        <v>60336444</v>
      </c>
      <c r="I16" s="329">
        <f t="shared" ref="I16" si="13">SUM(I14:I15)</f>
        <v>61862743</v>
      </c>
      <c r="J16" s="329">
        <f t="shared" ref="J16" si="14">SUM(J14:J15)</f>
        <v>60854268</v>
      </c>
      <c r="K16" s="329">
        <f t="shared" ref="K16" si="15">SUM(K14:K15)</f>
        <v>63143251</v>
      </c>
      <c r="L16" s="329">
        <f t="shared" ref="L16:M16" si="16">SUM(L14:L15)</f>
        <v>67399087</v>
      </c>
      <c r="M16" s="329">
        <f t="shared" si="16"/>
        <v>69842127</v>
      </c>
    </row>
    <row r="17" spans="12:12" ht="15.75" thickTop="1" x14ac:dyDescent="0.25"/>
    <row r="18" spans="12:12" x14ac:dyDescent="0.25">
      <c r="L18" s="1">
        <f>+L16-67399087</f>
        <v>0</v>
      </c>
    </row>
  </sheetData>
  <pageMargins left="0.7" right="0.7" top="0.75" bottom="0.75" header="0.3" footer="0.3"/>
  <pageSetup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K38"/>
  <sheetViews>
    <sheetView workbookViewId="0">
      <selection activeCell="I45" sqref="I45"/>
    </sheetView>
  </sheetViews>
  <sheetFormatPr defaultRowHeight="15" x14ac:dyDescent="0.25"/>
  <cols>
    <col min="1" max="1" width="32.85546875" bestFit="1" customWidth="1"/>
    <col min="2" max="3" width="14.28515625" bestFit="1" customWidth="1"/>
    <col min="4" max="4" width="19.28515625" bestFit="1" customWidth="1"/>
    <col min="6" max="6" width="13.28515625" bestFit="1" customWidth="1"/>
    <col min="7" max="8" width="11.5703125" bestFit="1" customWidth="1"/>
    <col min="9" max="9" width="13.28515625" bestFit="1" customWidth="1"/>
    <col min="11" max="11" width="11.28515625" bestFit="1" customWidth="1"/>
  </cols>
  <sheetData>
    <row r="1" spans="1:11" x14ac:dyDescent="0.25">
      <c r="B1" s="5"/>
      <c r="C1" s="5"/>
      <c r="D1" s="5"/>
      <c r="E1" s="5"/>
      <c r="F1" s="5"/>
      <c r="G1" s="5"/>
      <c r="H1" s="5"/>
      <c r="I1" s="5"/>
    </row>
    <row r="2" spans="1:11" x14ac:dyDescent="0.25">
      <c r="D2" s="48" t="s">
        <v>392</v>
      </c>
    </row>
    <row r="3" spans="1:11" x14ac:dyDescent="0.25">
      <c r="A3" s="48">
        <v>2021</v>
      </c>
      <c r="B3" s="42" t="s">
        <v>393</v>
      </c>
      <c r="C3" s="42" t="s">
        <v>394</v>
      </c>
      <c r="D3" s="42" t="s">
        <v>395</v>
      </c>
      <c r="E3" s="48"/>
      <c r="F3" s="99">
        <v>0.7</v>
      </c>
      <c r="G3" s="99">
        <v>0.2</v>
      </c>
      <c r="H3" s="99">
        <v>0.1</v>
      </c>
      <c r="I3" s="42" t="s">
        <v>396</v>
      </c>
    </row>
    <row r="4" spans="1:11" x14ac:dyDescent="0.25">
      <c r="B4" s="1"/>
      <c r="C4" s="7"/>
      <c r="D4" s="15"/>
    </row>
    <row r="5" spans="1:11" x14ac:dyDescent="0.25">
      <c r="A5" s="5" t="s">
        <v>75</v>
      </c>
      <c r="B5" s="1">
        <f>+'AY Credit Hour Allocation'!BU48</f>
        <v>2839134.4768886557</v>
      </c>
      <c r="C5" s="1">
        <f>+'Major Allocation - Original'!L36</f>
        <v>2765836.5845069932</v>
      </c>
      <c r="D5" s="1">
        <f>+'Research Allocation'!AS7</f>
        <v>1928186.7462336568</v>
      </c>
      <c r="F5" s="1">
        <f>+B5*$F$22</f>
        <v>1987394.1338220588</v>
      </c>
      <c r="G5" s="1">
        <f>+C5*$G$22</f>
        <v>553167.31690139871</v>
      </c>
      <c r="H5" s="1">
        <f>+D5*$H$22</f>
        <v>192818.67462336569</v>
      </c>
      <c r="I5" s="1">
        <f>SUM(F5:H5)</f>
        <v>2733380.1253468231</v>
      </c>
      <c r="K5" s="3"/>
    </row>
    <row r="6" spans="1:11" x14ac:dyDescent="0.25">
      <c r="A6" s="5" t="s">
        <v>77</v>
      </c>
      <c r="B6" s="1">
        <f>+'AY Credit Hour Allocation'!BU49</f>
        <v>6619711.8054381087</v>
      </c>
      <c r="C6" s="1">
        <f>+'Major Allocation - Original'!L37</f>
        <v>10753059.061622933</v>
      </c>
      <c r="D6" s="1">
        <f>+'Research Allocation'!AS8</f>
        <v>9969905.0838390645</v>
      </c>
      <c r="F6" s="1">
        <f t="shared" ref="F6:F17" si="0">+B6*$F$22</f>
        <v>4633798.2638066756</v>
      </c>
      <c r="G6" s="1">
        <f t="shared" ref="G6:G17" si="1">+C6*$G$22</f>
        <v>2150611.8123245868</v>
      </c>
      <c r="H6" s="1">
        <f t="shared" ref="H6:H17" si="2">+D6*$H$22</f>
        <v>996990.50838390645</v>
      </c>
      <c r="I6" s="1">
        <f t="shared" ref="I6:I17" si="3">SUM(F6:H6)</f>
        <v>7781400.5845151683</v>
      </c>
      <c r="K6" s="3"/>
    </row>
    <row r="7" spans="1:11" x14ac:dyDescent="0.25">
      <c r="A7" s="5" t="s">
        <v>79</v>
      </c>
      <c r="B7" s="1">
        <f>+'AY Credit Hour Allocation'!BU50</f>
        <v>2889730.9199978523</v>
      </c>
      <c r="C7" s="1">
        <f>+'Major Allocation - Original'!L38</f>
        <v>4483116.1659900583</v>
      </c>
      <c r="D7" s="1">
        <f>+'Research Allocation'!AS9</f>
        <v>5577244.3749997541</v>
      </c>
      <c r="F7" s="1">
        <f t="shared" si="0"/>
        <v>2022811.6439984965</v>
      </c>
      <c r="G7" s="1">
        <f t="shared" si="1"/>
        <v>896623.23319801176</v>
      </c>
      <c r="H7" s="1">
        <f t="shared" si="2"/>
        <v>557724.43749997544</v>
      </c>
      <c r="I7" s="1">
        <f t="shared" si="3"/>
        <v>3477159.3146964838</v>
      </c>
      <c r="K7" s="3"/>
    </row>
    <row r="8" spans="1:11" x14ac:dyDescent="0.25">
      <c r="A8" s="5" t="s">
        <v>81</v>
      </c>
      <c r="B8" s="1">
        <f>+'AY Credit Hour Allocation'!BU51</f>
        <v>21388046.585792083</v>
      </c>
      <c r="C8" s="1">
        <f>+'Major Allocation - Original'!L39</f>
        <v>15904897.806072129</v>
      </c>
      <c r="D8" s="1">
        <f>+'Research Allocation'!AS10</f>
        <v>7054080.4407636281</v>
      </c>
      <c r="F8" s="1">
        <f t="shared" si="0"/>
        <v>14971632.610054458</v>
      </c>
      <c r="G8" s="1">
        <f t="shared" si="1"/>
        <v>3180979.5612144261</v>
      </c>
      <c r="H8" s="1">
        <f t="shared" si="2"/>
        <v>705408.04407636286</v>
      </c>
      <c r="I8" s="1">
        <f t="shared" si="3"/>
        <v>18858020.215345249</v>
      </c>
      <c r="K8" s="3"/>
    </row>
    <row r="9" spans="1:11" x14ac:dyDescent="0.25">
      <c r="A9" s="5" t="s">
        <v>83</v>
      </c>
      <c r="B9" s="1">
        <f>+'AY Credit Hour Allocation'!BU52</f>
        <v>5402584.7773082741</v>
      </c>
      <c r="C9" s="1">
        <f>+'Major Allocation - Original'!L40</f>
        <v>4274474.7215108071</v>
      </c>
      <c r="D9" s="1">
        <f>+'Research Allocation'!AS11</f>
        <v>37972.366984898101</v>
      </c>
      <c r="F9" s="1">
        <f t="shared" si="0"/>
        <v>3781809.3441157914</v>
      </c>
      <c r="G9" s="1">
        <f t="shared" si="1"/>
        <v>854894.94430216146</v>
      </c>
      <c r="H9" s="1">
        <f t="shared" si="2"/>
        <v>3797.2366984898104</v>
      </c>
      <c r="I9" s="1">
        <f t="shared" si="3"/>
        <v>4640501.5251164427</v>
      </c>
      <c r="K9" s="3"/>
    </row>
    <row r="10" spans="1:11" x14ac:dyDescent="0.25">
      <c r="A10" s="5" t="s">
        <v>85</v>
      </c>
      <c r="B10" s="1">
        <f>+'AY Credit Hour Allocation'!BU53</f>
        <v>465657.87990632118</v>
      </c>
      <c r="C10" s="1">
        <f>+'Major Allocation - Original'!L41</f>
        <v>0</v>
      </c>
      <c r="D10" s="1"/>
      <c r="F10" s="1">
        <f t="shared" si="0"/>
        <v>325960.51593442482</v>
      </c>
      <c r="G10" s="1">
        <f t="shared" si="1"/>
        <v>0</v>
      </c>
      <c r="H10" s="1">
        <f t="shared" si="2"/>
        <v>0</v>
      </c>
      <c r="I10" s="1">
        <f t="shared" si="3"/>
        <v>325960.51593442482</v>
      </c>
      <c r="K10" s="3"/>
    </row>
    <row r="11" spans="1:11" x14ac:dyDescent="0.25">
      <c r="A11" s="5" t="s">
        <v>87</v>
      </c>
      <c r="B11" s="1">
        <f>+'AY Credit Hour Allocation'!BU54</f>
        <v>4512111.4052152531</v>
      </c>
      <c r="C11" s="1">
        <f>+'Major Allocation - Original'!L42</f>
        <v>5569121.633407698</v>
      </c>
      <c r="D11" s="1">
        <f>+'Research Allocation'!AS13</f>
        <v>4179.4977824409871</v>
      </c>
      <c r="F11" s="1">
        <f t="shared" si="0"/>
        <v>3158477.9836506769</v>
      </c>
      <c r="G11" s="1">
        <f t="shared" si="1"/>
        <v>1113824.3266815396</v>
      </c>
      <c r="H11" s="1">
        <f t="shared" si="2"/>
        <v>417.94977824409875</v>
      </c>
      <c r="I11" s="1">
        <f t="shared" si="3"/>
        <v>4272720.2601104602</v>
      </c>
      <c r="K11" s="3"/>
    </row>
    <row r="12" spans="1:11" x14ac:dyDescent="0.25">
      <c r="A12" s="5" t="s">
        <v>89</v>
      </c>
      <c r="B12" s="1">
        <f>+'AY Credit Hour Allocation'!BU55</f>
        <v>2163974.3594534383</v>
      </c>
      <c r="C12" s="1">
        <f>+'Major Allocation - Original'!L43</f>
        <v>1829624.9746642003</v>
      </c>
      <c r="D12" s="1">
        <f>+'Research Allocation'!AS14</f>
        <v>75384.15767460785</v>
      </c>
      <c r="F12" s="1">
        <f t="shared" si="0"/>
        <v>1514782.0516174068</v>
      </c>
      <c r="G12" s="1">
        <f t="shared" si="1"/>
        <v>365924.99493284011</v>
      </c>
      <c r="H12" s="1">
        <f t="shared" si="2"/>
        <v>7538.415767460785</v>
      </c>
      <c r="I12" s="1">
        <f t="shared" si="3"/>
        <v>1888245.4623177077</v>
      </c>
      <c r="K12" s="3"/>
    </row>
    <row r="13" spans="1:11" x14ac:dyDescent="0.25">
      <c r="A13" s="5" t="s">
        <v>91</v>
      </c>
      <c r="B13" s="1">
        <f>+'AY Credit Hour Allocation'!BU59</f>
        <v>3036858.0599999996</v>
      </c>
      <c r="C13" s="1">
        <f>+'Major Allocation - Original'!L44</f>
        <v>3036858.0599999996</v>
      </c>
      <c r="D13" s="1">
        <f>+'Research Allocation'!AS16</f>
        <v>266107.32655861205</v>
      </c>
      <c r="F13" s="1">
        <f t="shared" si="0"/>
        <v>2125800.6419999995</v>
      </c>
      <c r="G13" s="1">
        <f t="shared" si="1"/>
        <v>607371.61199999996</v>
      </c>
      <c r="H13" s="1">
        <f t="shared" si="2"/>
        <v>26610.732655861208</v>
      </c>
      <c r="I13" s="1">
        <f t="shared" si="3"/>
        <v>2759782.9866558611</v>
      </c>
      <c r="K13" s="3"/>
    </row>
    <row r="14" spans="1:11" x14ac:dyDescent="0.25">
      <c r="A14" s="5" t="s">
        <v>92</v>
      </c>
      <c r="B14" s="1"/>
      <c r="C14" s="1">
        <f>+'Major Allocation - Original'!L45</f>
        <v>0</v>
      </c>
      <c r="D14" s="1"/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K14" s="3"/>
    </row>
    <row r="15" spans="1:11" x14ac:dyDescent="0.25">
      <c r="A15" s="5" t="s">
        <v>93</v>
      </c>
      <c r="B15" s="1"/>
      <c r="C15" s="1">
        <f>+'Major Allocation - Original'!L46</f>
        <v>700821.26222517621</v>
      </c>
      <c r="D15" s="1">
        <f>+'Research Allocation'!AS18</f>
        <v>24404750.275163334</v>
      </c>
      <c r="F15" s="1">
        <f t="shared" si="0"/>
        <v>0</v>
      </c>
      <c r="G15" s="1">
        <f t="shared" si="1"/>
        <v>140164.25244503524</v>
      </c>
      <c r="H15" s="1">
        <f t="shared" si="2"/>
        <v>2440475.0275163334</v>
      </c>
      <c r="I15" s="1">
        <f t="shared" si="3"/>
        <v>2580639.2799613685</v>
      </c>
      <c r="K15" s="3"/>
    </row>
    <row r="16" spans="1:11" x14ac:dyDescent="0.25">
      <c r="A16" s="5" t="s">
        <v>95</v>
      </c>
      <c r="B16" s="1"/>
      <c r="C16" s="1">
        <f>+'Major Allocation - Original'!L47</f>
        <v>0</v>
      </c>
      <c r="D16" s="1"/>
      <c r="F16" s="1">
        <f t="shared" si="0"/>
        <v>0</v>
      </c>
      <c r="G16" s="1">
        <f t="shared" si="1"/>
        <v>0</v>
      </c>
      <c r="H16" s="1">
        <f t="shared" si="2"/>
        <v>0</v>
      </c>
      <c r="I16" s="1">
        <f t="shared" si="3"/>
        <v>0</v>
      </c>
      <c r="K16" s="3"/>
    </row>
    <row r="17" spans="1:11" x14ac:dyDescent="0.25">
      <c r="A17" s="5" t="s">
        <v>26</v>
      </c>
      <c r="B17" s="1"/>
      <c r="C17" s="1">
        <f>+'Major Allocation - Original'!L48</f>
        <v>0</v>
      </c>
      <c r="D17" s="1"/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K17" s="3"/>
    </row>
    <row r="18" spans="1:11" ht="15.75" thickBot="1" x14ac:dyDescent="0.3">
      <c r="B18" s="33">
        <f>SUM(B5:B17)</f>
        <v>49317810.269999996</v>
      </c>
      <c r="C18" s="33">
        <f t="shared" ref="C18:D18" si="4">SUM(C5:C17)</f>
        <v>49317810.269999996</v>
      </c>
      <c r="D18" s="33">
        <f t="shared" si="4"/>
        <v>49317810.269999996</v>
      </c>
      <c r="E18" s="5"/>
      <c r="F18" s="33">
        <f t="shared" ref="F18:I18" si="5">SUM(F5:F17)</f>
        <v>34522467.188999988</v>
      </c>
      <c r="G18" s="33">
        <f t="shared" si="5"/>
        <v>9863562.0539999995</v>
      </c>
      <c r="H18" s="33">
        <f t="shared" si="5"/>
        <v>4931781.0269999988</v>
      </c>
      <c r="I18" s="33">
        <f t="shared" si="5"/>
        <v>49317810.269999988</v>
      </c>
    </row>
    <row r="19" spans="1:11" ht="15.75" thickTop="1" x14ac:dyDescent="0.25">
      <c r="B19" s="1"/>
      <c r="D19" s="3"/>
    </row>
    <row r="21" spans="1:11" s="6" customFormat="1" x14ac:dyDescent="0.25">
      <c r="A21" s="48"/>
      <c r="B21" s="48"/>
      <c r="C21" s="48"/>
      <c r="D21" s="48" t="s">
        <v>392</v>
      </c>
      <c r="E21" s="48"/>
      <c r="F21" s="48"/>
      <c r="G21" s="48"/>
      <c r="H21" s="48"/>
      <c r="I21" s="48"/>
    </row>
    <row r="22" spans="1:11" s="6" customFormat="1" x14ac:dyDescent="0.25">
      <c r="A22" s="48">
        <v>2020</v>
      </c>
      <c r="B22" s="42" t="s">
        <v>393</v>
      </c>
      <c r="C22" s="42" t="s">
        <v>394</v>
      </c>
      <c r="D22" s="42" t="s">
        <v>395</v>
      </c>
      <c r="E22" s="48"/>
      <c r="F22" s="99">
        <v>0.7</v>
      </c>
      <c r="G22" s="99">
        <v>0.2</v>
      </c>
      <c r="H22" s="99">
        <v>0.1</v>
      </c>
      <c r="I22" s="42" t="s">
        <v>396</v>
      </c>
    </row>
    <row r="23" spans="1:11" x14ac:dyDescent="0.25">
      <c r="B23" s="1"/>
      <c r="C23" s="7"/>
      <c r="D23" s="15"/>
    </row>
    <row r="24" spans="1:11" x14ac:dyDescent="0.25">
      <c r="A24" s="5" t="s">
        <v>75</v>
      </c>
      <c r="B24" s="1">
        <f>+'AY Credit Hour Allocation'!BO48</f>
        <v>3186401.7096293117</v>
      </c>
      <c r="C24" s="1">
        <f>+'Major Allocation - Revised'!L38</f>
        <v>4055773.1943064271</v>
      </c>
      <c r="D24" s="1">
        <f>+'Research Allocation'!AR7</f>
        <v>2291160.4739273344</v>
      </c>
      <c r="F24" s="1">
        <f>+B24*$F$22</f>
        <v>2230481.1967405179</v>
      </c>
      <c r="G24" s="1">
        <f>+C24*$G$22</f>
        <v>811154.63886128552</v>
      </c>
      <c r="H24" s="1">
        <f>+D24*$H$22</f>
        <v>229116.04739273345</v>
      </c>
      <c r="I24" s="1">
        <f>SUM(F24:H24)</f>
        <v>3270751.8829945368</v>
      </c>
      <c r="K24" s="3"/>
    </row>
    <row r="25" spans="1:11" x14ac:dyDescent="0.25">
      <c r="A25" s="5" t="s">
        <v>77</v>
      </c>
      <c r="B25" s="1">
        <f>+'AY Credit Hour Allocation'!BO49</f>
        <v>6595977.9588858215</v>
      </c>
      <c r="C25" s="1">
        <f>+'Major Allocation - Revised'!L39</f>
        <v>7390626.1386537356</v>
      </c>
      <c r="D25" s="1">
        <f>+'Research Allocation'!AR8</f>
        <v>11208815.546210585</v>
      </c>
      <c r="F25" s="1">
        <f t="shared" ref="F25:F35" si="6">+B25*$F$22</f>
        <v>4617184.5712200748</v>
      </c>
      <c r="G25" s="1">
        <f t="shared" ref="G25:G35" si="7">+C25*$G$22</f>
        <v>1478125.2277307473</v>
      </c>
      <c r="H25" s="1">
        <f t="shared" ref="H25:H35" si="8">+D25*$H$22</f>
        <v>1120881.5546210585</v>
      </c>
      <c r="I25" s="1">
        <f t="shared" ref="I25:I36" si="9">SUM(F25:H25)</f>
        <v>7216191.3535718806</v>
      </c>
      <c r="K25" s="3"/>
    </row>
    <row r="26" spans="1:11" x14ac:dyDescent="0.25">
      <c r="A26" s="5" t="s">
        <v>79</v>
      </c>
      <c r="B26" s="1">
        <f>+'AY Credit Hour Allocation'!BO50</f>
        <v>3007525.9711751053</v>
      </c>
      <c r="C26" s="1">
        <f>+'Major Allocation - Revised'!L40</f>
        <v>4225261.0676411865</v>
      </c>
      <c r="D26" s="1">
        <f>+'Research Allocation'!AR9</f>
        <v>6075297.574111471</v>
      </c>
      <c r="F26" s="1">
        <f t="shared" si="6"/>
        <v>2105268.1798225734</v>
      </c>
      <c r="G26" s="1">
        <f t="shared" si="7"/>
        <v>845052.21352823731</v>
      </c>
      <c r="H26" s="1">
        <f t="shared" si="8"/>
        <v>607529.75741114712</v>
      </c>
      <c r="I26" s="1">
        <f t="shared" si="9"/>
        <v>3557850.1507619577</v>
      </c>
      <c r="K26" s="3"/>
    </row>
    <row r="27" spans="1:11" x14ac:dyDescent="0.25">
      <c r="A27" s="5" t="s">
        <v>81</v>
      </c>
      <c r="B27" s="1">
        <f>+'AY Credit Hour Allocation'!BO51</f>
        <v>24186262.393091191</v>
      </c>
      <c r="C27" s="1">
        <f>+'Major Allocation - Revised'!L41</f>
        <v>17855905.528788745</v>
      </c>
      <c r="D27" s="1">
        <f>+'Research Allocation'!AR10</f>
        <v>8365804.0821317993</v>
      </c>
      <c r="F27" s="1">
        <f t="shared" si="6"/>
        <v>16930383.675163832</v>
      </c>
      <c r="G27" s="1">
        <f t="shared" si="7"/>
        <v>3571181.1057577492</v>
      </c>
      <c r="H27" s="1">
        <f t="shared" si="8"/>
        <v>836580.40821318002</v>
      </c>
      <c r="I27" s="1">
        <f t="shared" si="9"/>
        <v>21338145.189134762</v>
      </c>
      <c r="K27" s="3"/>
    </row>
    <row r="28" spans="1:11" x14ac:dyDescent="0.25">
      <c r="A28" s="5" t="s">
        <v>83</v>
      </c>
      <c r="B28" s="1">
        <f>+'AY Credit Hour Allocation'!BO52</f>
        <v>6524119.8361942433</v>
      </c>
      <c r="C28" s="1">
        <f>+'Major Allocation - Revised'!L42</f>
        <v>4170356.5452933069</v>
      </c>
      <c r="D28" s="1">
        <f>+'Research Allocation'!AR11</f>
        <v>46664.824673345342</v>
      </c>
      <c r="F28" s="1">
        <f t="shared" si="6"/>
        <v>4566883.8853359697</v>
      </c>
      <c r="G28" s="1">
        <f t="shared" si="7"/>
        <v>834071.30905866146</v>
      </c>
      <c r="H28" s="1">
        <f t="shared" si="8"/>
        <v>4666.4824673345347</v>
      </c>
      <c r="I28" s="1">
        <f t="shared" si="9"/>
        <v>5405621.676861966</v>
      </c>
      <c r="K28" s="3"/>
    </row>
    <row r="29" spans="1:11" x14ac:dyDescent="0.25">
      <c r="A29" s="5" t="s">
        <v>85</v>
      </c>
      <c r="B29" s="1">
        <f>+'AY Credit Hour Allocation'!BO53</f>
        <v>445529.98025436932</v>
      </c>
      <c r="C29" s="1">
        <f>+'Major Allocation - Revised'!L43</f>
        <v>2387.1531455599925</v>
      </c>
      <c r="D29" s="1"/>
      <c r="F29" s="1">
        <f t="shared" si="6"/>
        <v>311870.98617805849</v>
      </c>
      <c r="G29" s="1">
        <f t="shared" si="7"/>
        <v>477.43062911199854</v>
      </c>
      <c r="H29" s="1">
        <f t="shared" si="8"/>
        <v>0</v>
      </c>
      <c r="I29" s="1">
        <f t="shared" si="9"/>
        <v>312348.41680717049</v>
      </c>
      <c r="K29" s="3"/>
    </row>
    <row r="30" spans="1:11" x14ac:dyDescent="0.25">
      <c r="A30" s="5" t="s">
        <v>87</v>
      </c>
      <c r="B30" s="1">
        <f>+'AY Credit Hour Allocation'!BO54</f>
        <v>4181286.9429956404</v>
      </c>
      <c r="C30" s="1">
        <f>+'Major Allocation - Revised'!L44</f>
        <v>5571615.4417370223</v>
      </c>
      <c r="D30" s="1">
        <f>+'Research Allocation'!AR13</f>
        <v>501.2778722395006</v>
      </c>
      <c r="F30" s="1">
        <f t="shared" si="6"/>
        <v>2926900.8600969482</v>
      </c>
      <c r="G30" s="1">
        <f t="shared" si="7"/>
        <v>1114323.0883474045</v>
      </c>
      <c r="H30" s="1">
        <f t="shared" si="8"/>
        <v>50.127787223950065</v>
      </c>
      <c r="I30" s="1">
        <f t="shared" si="9"/>
        <v>4041274.0762315765</v>
      </c>
      <c r="K30" s="3"/>
    </row>
    <row r="31" spans="1:11" x14ac:dyDescent="0.25">
      <c r="A31" s="5" t="s">
        <v>89</v>
      </c>
      <c r="B31" s="1">
        <f>+'AY Credit Hour Allocation'!BO55</f>
        <v>2089048.7777743284</v>
      </c>
      <c r="C31" s="1">
        <f>+'Major Allocation - Revised'!L45</f>
        <v>1601779.7606707548</v>
      </c>
      <c r="D31" s="1">
        <f>+'Research Allocation'!AR14</f>
        <v>55487.744250066731</v>
      </c>
      <c r="F31" s="1">
        <f t="shared" si="6"/>
        <v>1462334.1444420298</v>
      </c>
      <c r="G31" s="1">
        <f t="shared" si="7"/>
        <v>320355.95213415101</v>
      </c>
      <c r="H31" s="1">
        <f t="shared" si="8"/>
        <v>5548.7744250066735</v>
      </c>
      <c r="I31" s="1">
        <f t="shared" si="9"/>
        <v>1788238.8710011875</v>
      </c>
      <c r="K31" s="3"/>
    </row>
    <row r="32" spans="1:11" x14ac:dyDescent="0.25">
      <c r="A32" s="5" t="s">
        <v>91</v>
      </c>
      <c r="B32" s="1">
        <f>+'AY Credit Hour Allocation'!BO59</f>
        <v>3436824.6700000004</v>
      </c>
      <c r="C32" s="1">
        <f>+'Major Allocation - Revised'!L46</f>
        <v>3436824.6700000004</v>
      </c>
      <c r="D32" s="1">
        <f>+'Research Allocation'!AR16</f>
        <v>1301679.3479974847</v>
      </c>
      <c r="F32" s="1">
        <f t="shared" si="6"/>
        <v>2405777.2690000003</v>
      </c>
      <c r="G32" s="1">
        <f t="shared" si="7"/>
        <v>687364.93400000012</v>
      </c>
      <c r="H32" s="1">
        <f t="shared" si="8"/>
        <v>130167.93479974847</v>
      </c>
      <c r="I32" s="1">
        <f t="shared" si="9"/>
        <v>3223310.1377997492</v>
      </c>
      <c r="K32" s="3"/>
    </row>
    <row r="33" spans="1:11" x14ac:dyDescent="0.25">
      <c r="A33" s="5" t="s">
        <v>92</v>
      </c>
      <c r="B33" s="1"/>
      <c r="C33" s="1">
        <f>+'Major Allocation - Revised'!L47</f>
        <v>5342448.7397632636</v>
      </c>
      <c r="D33" s="1"/>
      <c r="F33" s="1">
        <f t="shared" si="6"/>
        <v>0</v>
      </c>
      <c r="G33" s="1">
        <f t="shared" si="7"/>
        <v>1068489.7479526529</v>
      </c>
      <c r="H33" s="1">
        <f t="shared" si="8"/>
        <v>0</v>
      </c>
      <c r="I33" s="1">
        <f t="shared" si="9"/>
        <v>1068489.7479526529</v>
      </c>
      <c r="K33" s="3"/>
    </row>
    <row r="34" spans="1:11" x14ac:dyDescent="0.25">
      <c r="A34" s="5" t="s">
        <v>93</v>
      </c>
      <c r="B34" s="1"/>
      <c r="C34" s="1"/>
      <c r="D34" s="1"/>
      <c r="F34" s="1">
        <f t="shared" si="6"/>
        <v>0</v>
      </c>
      <c r="G34" s="1">
        <f t="shared" si="7"/>
        <v>0</v>
      </c>
      <c r="H34" s="1">
        <f t="shared" si="8"/>
        <v>0</v>
      </c>
      <c r="I34" s="1">
        <f t="shared" si="9"/>
        <v>0</v>
      </c>
      <c r="K34" s="3"/>
    </row>
    <row r="35" spans="1:11" x14ac:dyDescent="0.25">
      <c r="A35" s="5" t="s">
        <v>95</v>
      </c>
      <c r="B35" s="1"/>
      <c r="C35" s="1"/>
      <c r="D35" s="1"/>
      <c r="F35" s="1">
        <f t="shared" si="6"/>
        <v>0</v>
      </c>
      <c r="G35" s="1">
        <f t="shared" si="7"/>
        <v>0</v>
      </c>
      <c r="H35" s="1">
        <f t="shared" si="8"/>
        <v>0</v>
      </c>
      <c r="I35" s="1">
        <f t="shared" si="9"/>
        <v>0</v>
      </c>
      <c r="K35" s="3"/>
    </row>
    <row r="36" spans="1:11" x14ac:dyDescent="0.25">
      <c r="A36" s="5" t="s">
        <v>26</v>
      </c>
      <c r="C36" s="1"/>
      <c r="D36" s="1">
        <f>+'Research Allocation'!AR18</f>
        <v>24307567.368825678</v>
      </c>
      <c r="F36" s="1">
        <f t="shared" ref="F36" si="10">+B36*$F$22</f>
        <v>0</v>
      </c>
      <c r="G36" s="1">
        <f t="shared" ref="G36" si="11">+C36*$G$22</f>
        <v>0</v>
      </c>
      <c r="H36" s="1">
        <f t="shared" ref="H36" si="12">+D36*$H$22</f>
        <v>2430756.7368825679</v>
      </c>
      <c r="I36" s="1">
        <f t="shared" si="9"/>
        <v>2430756.7368825679</v>
      </c>
      <c r="K36" s="3"/>
    </row>
    <row r="37" spans="1:11" ht="15.75" thickBot="1" x14ac:dyDescent="0.3">
      <c r="B37" s="33">
        <f>SUM(B24:B36)</f>
        <v>53652978.240000002</v>
      </c>
      <c r="C37" s="33">
        <f t="shared" ref="C37:D37" si="13">SUM(C24:C36)</f>
        <v>53652978.239999995</v>
      </c>
      <c r="D37" s="33">
        <f t="shared" si="13"/>
        <v>53652978.24000001</v>
      </c>
      <c r="E37" s="5"/>
      <c r="F37" s="33">
        <f t="shared" ref="F37" si="14">SUM(F24:F36)</f>
        <v>37557084.768000007</v>
      </c>
      <c r="G37" s="33">
        <f t="shared" ref="G37" si="15">SUM(G24:G36)</f>
        <v>10730595.648000002</v>
      </c>
      <c r="H37" s="33">
        <f t="shared" ref="H37" si="16">SUM(H24:H36)</f>
        <v>5365297.824000001</v>
      </c>
      <c r="I37" s="33">
        <f t="shared" ref="I37" si="17">SUM(I24:I36)</f>
        <v>53652978.239999995</v>
      </c>
    </row>
    <row r="38" spans="1:11" ht="15.75" thickTop="1" x14ac:dyDescent="0.25">
      <c r="B38" s="1"/>
      <c r="D38" s="3"/>
    </row>
  </sheetData>
  <pageMargins left="0.7" right="0.7" top="0.25" bottom="0.25" header="0.3" footer="0.3"/>
  <pageSetup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I111"/>
  <sheetViews>
    <sheetView workbookViewId="0">
      <selection activeCell="L96" sqref="L96"/>
    </sheetView>
  </sheetViews>
  <sheetFormatPr defaultRowHeight="15" x14ac:dyDescent="0.25"/>
  <cols>
    <col min="1" max="1" width="32.85546875" bestFit="1" customWidth="1"/>
    <col min="2" max="3" width="14.28515625" bestFit="1" customWidth="1"/>
    <col min="4" max="4" width="19.28515625" bestFit="1" customWidth="1"/>
    <col min="6" max="7" width="11.5703125" bestFit="1" customWidth="1"/>
    <col min="8" max="8" width="10.5703125" bestFit="1" customWidth="1"/>
    <col min="9" max="9" width="11.5703125" bestFit="1" customWidth="1"/>
  </cols>
  <sheetData>
    <row r="1" spans="1:9" x14ac:dyDescent="0.25">
      <c r="D1" s="48" t="s">
        <v>392</v>
      </c>
    </row>
    <row r="2" spans="1:9" x14ac:dyDescent="0.25">
      <c r="A2" s="48" t="s">
        <v>2664</v>
      </c>
      <c r="B2" s="42" t="s">
        <v>393</v>
      </c>
      <c r="C2" s="42" t="s">
        <v>394</v>
      </c>
      <c r="D2" s="42" t="s">
        <v>395</v>
      </c>
      <c r="E2" s="48"/>
      <c r="F2" s="99">
        <v>0.7</v>
      </c>
      <c r="G2" s="99">
        <v>0.2</v>
      </c>
      <c r="H2" s="99">
        <v>0.1</v>
      </c>
      <c r="I2" s="42" t="s">
        <v>396</v>
      </c>
    </row>
    <row r="3" spans="1:9" x14ac:dyDescent="0.25">
      <c r="B3" s="1"/>
      <c r="C3" s="7"/>
      <c r="D3" s="15"/>
    </row>
    <row r="4" spans="1:9" x14ac:dyDescent="0.25">
      <c r="A4" s="5" t="s">
        <v>75</v>
      </c>
      <c r="B4" s="1">
        <f>+'AY Credit Hour Allocation'!CS48</f>
        <v>2476356.8781581358</v>
      </c>
      <c r="C4" s="1">
        <f>+'Major Allocation - Revised'!Q38</f>
        <v>3881414.9141351567</v>
      </c>
      <c r="D4" s="1">
        <f>+'Research Allocation'!AW7</f>
        <v>1587078.6382425653</v>
      </c>
      <c r="F4" s="1">
        <f t="shared" ref="F4:F17" si="0">+B4*$F$41</f>
        <v>1733449.8147106951</v>
      </c>
      <c r="G4" s="1">
        <f t="shared" ref="G4:G15" si="1">+C4*$G$41</f>
        <v>776282.9828270314</v>
      </c>
      <c r="H4" s="1">
        <f t="shared" ref="H4:H15" si="2">+D4*$H$41</f>
        <v>158707.86382425655</v>
      </c>
      <c r="I4" s="1">
        <f>SUM(F4:H4)</f>
        <v>2668440.661361983</v>
      </c>
    </row>
    <row r="5" spans="1:9" x14ac:dyDescent="0.25">
      <c r="A5" s="5" t="s">
        <v>77</v>
      </c>
      <c r="B5" s="1">
        <f>+'AY Credit Hour Allocation'!CS49</f>
        <v>6950232.4308175556</v>
      </c>
      <c r="C5" s="1">
        <f>+'Major Allocation - Revised'!Q39</f>
        <v>7693687.2144152764</v>
      </c>
      <c r="D5" s="1">
        <f>+'Research Allocation'!AW8</f>
        <v>14958602.868288638</v>
      </c>
      <c r="F5" s="1">
        <f t="shared" si="0"/>
        <v>4865162.7015722888</v>
      </c>
      <c r="G5" s="1">
        <f t="shared" si="1"/>
        <v>1538737.4428830554</v>
      </c>
      <c r="H5" s="1">
        <f t="shared" si="2"/>
        <v>1495860.2868288639</v>
      </c>
      <c r="I5" s="1">
        <f t="shared" ref="I5:I17" si="3">SUM(F5:H5)</f>
        <v>7899760.4312842079</v>
      </c>
    </row>
    <row r="6" spans="1:9" x14ac:dyDescent="0.25">
      <c r="A6" s="5" t="s">
        <v>79</v>
      </c>
      <c r="B6" s="1">
        <f>+'AY Credit Hour Allocation'!CS50</f>
        <v>3766305.360705032</v>
      </c>
      <c r="C6" s="1">
        <f>+'Major Allocation - Revised'!Q40</f>
        <v>6675405.0830956064</v>
      </c>
      <c r="D6" s="1">
        <f>+'Research Allocation'!AW9</f>
        <v>7933815.2817183137</v>
      </c>
      <c r="F6" s="1">
        <f t="shared" si="0"/>
        <v>2636413.7524935221</v>
      </c>
      <c r="G6" s="1">
        <f t="shared" si="1"/>
        <v>1335081.0166191214</v>
      </c>
      <c r="H6" s="1">
        <f t="shared" si="2"/>
        <v>793381.52817183139</v>
      </c>
      <c r="I6" s="1">
        <f t="shared" si="3"/>
        <v>4764876.2972844755</v>
      </c>
    </row>
    <row r="7" spans="1:9" x14ac:dyDescent="0.25">
      <c r="A7" s="5" t="s">
        <v>81</v>
      </c>
      <c r="B7" s="1">
        <f>+'AY Credit Hour Allocation'!CS51</f>
        <v>24470991.699462913</v>
      </c>
      <c r="C7" s="1">
        <f>+'Major Allocation - Revised'!Q41</f>
        <v>21999922.59023976</v>
      </c>
      <c r="D7" s="1">
        <f>+'Research Allocation'!AW10</f>
        <v>8221438.4074173225</v>
      </c>
      <c r="F7" s="1">
        <f t="shared" si="0"/>
        <v>17129694.189624038</v>
      </c>
      <c r="G7" s="1">
        <f t="shared" si="1"/>
        <v>4399984.5180479521</v>
      </c>
      <c r="H7" s="1">
        <f t="shared" si="2"/>
        <v>822143.84074173227</v>
      </c>
      <c r="I7" s="1">
        <f t="shared" si="3"/>
        <v>22351822.54841372</v>
      </c>
    </row>
    <row r="8" spans="1:9" x14ac:dyDescent="0.25">
      <c r="A8" s="5" t="s">
        <v>83</v>
      </c>
      <c r="B8" s="1">
        <f>+'AY Credit Hour Allocation'!CS52</f>
        <v>7089026.1130369334</v>
      </c>
      <c r="C8" s="1">
        <f>+'Major Allocation - Revised'!Q42</f>
        <v>5531409.1084031388</v>
      </c>
      <c r="D8" s="1">
        <f>+'Research Allocation'!AW11</f>
        <v>98782.601406698188</v>
      </c>
      <c r="F8" s="1">
        <f t="shared" si="0"/>
        <v>4962318.2791258534</v>
      </c>
      <c r="G8" s="1">
        <f t="shared" si="1"/>
        <v>1106281.8216806278</v>
      </c>
      <c r="H8" s="1">
        <f t="shared" si="2"/>
        <v>9878.2601406698195</v>
      </c>
      <c r="I8" s="1">
        <f t="shared" si="3"/>
        <v>6078478.3609471507</v>
      </c>
    </row>
    <row r="9" spans="1:9" x14ac:dyDescent="0.25">
      <c r="A9" s="5" t="s">
        <v>85</v>
      </c>
      <c r="B9" s="1">
        <f>+'AY Credit Hour Allocation'!CS53</f>
        <v>832762.09331626585</v>
      </c>
      <c r="C9" s="1">
        <f>+'Major Allocation - Revised'!Q43</f>
        <v>0</v>
      </c>
      <c r="D9" s="1">
        <f>+'Research Allocation'!AW12</f>
        <v>0</v>
      </c>
      <c r="F9" s="1">
        <f t="shared" si="0"/>
        <v>582933.465321386</v>
      </c>
      <c r="G9" s="1">
        <f t="shared" si="1"/>
        <v>0</v>
      </c>
      <c r="H9" s="1">
        <f t="shared" si="2"/>
        <v>0</v>
      </c>
      <c r="I9" s="1">
        <f t="shared" si="3"/>
        <v>582933.465321386</v>
      </c>
    </row>
    <row r="10" spans="1:9" x14ac:dyDescent="0.25">
      <c r="A10" s="5" t="s">
        <v>87</v>
      </c>
      <c r="B10" s="1">
        <f>+'AY Credit Hour Allocation'!CS54</f>
        <v>6275417.5478669414</v>
      </c>
      <c r="C10" s="1">
        <f>+'Major Allocation - Revised'!Q44</f>
        <v>9425395.4068755768</v>
      </c>
      <c r="D10" s="1">
        <f>+'Research Allocation'!AW13</f>
        <v>537480.04824094952</v>
      </c>
      <c r="F10" s="1">
        <f t="shared" si="0"/>
        <v>4392792.2835068591</v>
      </c>
      <c r="G10" s="1">
        <f t="shared" si="1"/>
        <v>1885079.0813751156</v>
      </c>
      <c r="H10" s="1">
        <f t="shared" si="2"/>
        <v>53748.004824094955</v>
      </c>
      <c r="I10" s="1">
        <f t="shared" si="3"/>
        <v>6331619.3697060701</v>
      </c>
    </row>
    <row r="11" spans="1:9" x14ac:dyDescent="0.25">
      <c r="A11" s="5" t="s">
        <v>89</v>
      </c>
      <c r="B11" s="1">
        <f>+'AY Credit Hour Allocation'!CS55</f>
        <v>2396689.3045642134</v>
      </c>
      <c r="C11" s="1">
        <f>+'Major Allocation - Revised'!Q45</f>
        <v>2231420.7198671754</v>
      </c>
      <c r="D11" s="1">
        <f>+'Research Allocation'!AW14</f>
        <v>118535.95337910159</v>
      </c>
      <c r="F11" s="1">
        <f t="shared" si="0"/>
        <v>1677682.5131949494</v>
      </c>
      <c r="G11" s="1">
        <f t="shared" si="1"/>
        <v>446284.1439734351</v>
      </c>
      <c r="H11" s="1">
        <f t="shared" si="2"/>
        <v>11853.595337910159</v>
      </c>
      <c r="I11" s="1">
        <f t="shared" si="3"/>
        <v>2135820.2525062948</v>
      </c>
    </row>
    <row r="12" spans="1:9" x14ac:dyDescent="0.25">
      <c r="A12" s="5" t="s">
        <v>91</v>
      </c>
      <c r="B12" s="1">
        <f>+'AY Credit Hour Allocation'!CS59</f>
        <v>3881125.5436480436</v>
      </c>
      <c r="C12" s="1">
        <f>+'Major Allocation - Revised'!Q46</f>
        <v>3881125.5436480436</v>
      </c>
      <c r="D12" s="1">
        <f>+'Research Allocation'!AW16</f>
        <v>200671.25384274346</v>
      </c>
      <c r="F12" s="1">
        <f t="shared" si="0"/>
        <v>2716787.8805536302</v>
      </c>
      <c r="G12" s="1">
        <f t="shared" si="1"/>
        <v>776225.10872960882</v>
      </c>
      <c r="H12" s="1">
        <f t="shared" si="2"/>
        <v>20067.125384274346</v>
      </c>
      <c r="I12" s="1">
        <f t="shared" si="3"/>
        <v>3513080.1146675134</v>
      </c>
    </row>
    <row r="13" spans="1:9" x14ac:dyDescent="0.25">
      <c r="A13" s="5" t="s">
        <v>219</v>
      </c>
      <c r="B13" s="1">
        <f>+'AY Credit Hour Allocation'!CS56</f>
        <v>3180873.6091036974</v>
      </c>
      <c r="C13" s="1">
        <f>+'Major Allocation - Revised'!Q47</f>
        <v>0</v>
      </c>
      <c r="D13" s="1">
        <f>+'Research Allocation'!AW17</f>
        <v>8471068.1373323854</v>
      </c>
      <c r="F13" s="1">
        <f t="shared" si="0"/>
        <v>2226611.5263725878</v>
      </c>
      <c r="G13" s="1">
        <f t="shared" si="1"/>
        <v>0</v>
      </c>
      <c r="H13" s="1">
        <f t="shared" si="2"/>
        <v>847106.81373323861</v>
      </c>
      <c r="I13" s="1">
        <f t="shared" si="3"/>
        <v>3073718.3401058265</v>
      </c>
    </row>
    <row r="14" spans="1:9" x14ac:dyDescent="0.25">
      <c r="A14" s="5" t="s">
        <v>92</v>
      </c>
      <c r="B14" s="1"/>
      <c r="C14" s="1"/>
      <c r="D14" s="1"/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</row>
    <row r="15" spans="1:9" x14ac:dyDescent="0.25">
      <c r="A15" s="5" t="s">
        <v>93</v>
      </c>
      <c r="B15" s="1"/>
      <c r="C15" s="1"/>
      <c r="D15" s="1">
        <f>+'Research Allocation'!AW18</f>
        <v>19192307.390811019</v>
      </c>
      <c r="F15" s="1">
        <f t="shared" si="0"/>
        <v>0</v>
      </c>
      <c r="G15" s="1">
        <f t="shared" si="1"/>
        <v>0</v>
      </c>
      <c r="H15" s="1">
        <f t="shared" si="2"/>
        <v>1919230.739081102</v>
      </c>
      <c r="I15" s="1">
        <f t="shared" si="3"/>
        <v>1919230.739081102</v>
      </c>
    </row>
    <row r="16" spans="1:9" x14ac:dyDescent="0.25">
      <c r="A16" s="5" t="s">
        <v>95</v>
      </c>
      <c r="B16" s="1"/>
      <c r="C16" s="1"/>
      <c r="D16" s="1"/>
      <c r="F16" s="1">
        <f t="shared" si="0"/>
        <v>0</v>
      </c>
      <c r="G16" s="1">
        <f>+C16*$G$41</f>
        <v>0</v>
      </c>
      <c r="H16" s="1">
        <f>+D16*$H$41</f>
        <v>0</v>
      </c>
      <c r="I16" s="1">
        <f t="shared" si="3"/>
        <v>0</v>
      </c>
    </row>
    <row r="17" spans="1:9" x14ac:dyDescent="0.25">
      <c r="A17" s="5" t="s">
        <v>26</v>
      </c>
      <c r="B17" s="1"/>
      <c r="C17" s="1"/>
      <c r="D17" s="1"/>
      <c r="F17" s="1">
        <f t="shared" si="0"/>
        <v>0</v>
      </c>
      <c r="G17" s="1">
        <f>+C17*$G$41</f>
        <v>0</v>
      </c>
      <c r="H17" s="1">
        <f>+D17*$H$41</f>
        <v>0</v>
      </c>
      <c r="I17" s="1">
        <f t="shared" si="3"/>
        <v>0</v>
      </c>
    </row>
    <row r="18" spans="1:9" ht="15.75" thickBot="1" x14ac:dyDescent="0.3">
      <c r="B18" s="33">
        <f>SUM(B4:B17)</f>
        <v>61319780.580679722</v>
      </c>
      <c r="C18" s="33">
        <f t="shared" ref="C18:D18" si="4">SUM(C4:C17)</f>
        <v>61319780.58067973</v>
      </c>
      <c r="D18" s="33">
        <f t="shared" si="4"/>
        <v>61319780.580679737</v>
      </c>
      <c r="E18" s="5"/>
      <c r="F18" s="33">
        <f>SUM(F4:F17)</f>
        <v>42923846.406475812</v>
      </c>
      <c r="G18" s="33">
        <f t="shared" ref="G18:I18" si="5">SUM(G4:G17)</f>
        <v>12263956.116135946</v>
      </c>
      <c r="H18" s="33">
        <f t="shared" si="5"/>
        <v>6131978.0580679737</v>
      </c>
      <c r="I18" s="33">
        <f t="shared" si="5"/>
        <v>61319780.580679722</v>
      </c>
    </row>
    <row r="19" spans="1:9" ht="15.75" thickTop="1" x14ac:dyDescent="0.25">
      <c r="D19" s="48" t="s">
        <v>392</v>
      </c>
    </row>
    <row r="20" spans="1:9" x14ac:dyDescent="0.25">
      <c r="A20" s="48" t="s">
        <v>397</v>
      </c>
      <c r="B20" s="42" t="s">
        <v>393</v>
      </c>
      <c r="C20" s="42" t="s">
        <v>394</v>
      </c>
      <c r="D20" s="42" t="s">
        <v>395</v>
      </c>
      <c r="E20" s="48"/>
      <c r="F20" s="99">
        <v>0.7</v>
      </c>
      <c r="G20" s="99">
        <v>0.2</v>
      </c>
      <c r="H20" s="99">
        <v>0.1</v>
      </c>
      <c r="I20" s="42" t="s">
        <v>396</v>
      </c>
    </row>
    <row r="21" spans="1:9" x14ac:dyDescent="0.25">
      <c r="B21" s="1"/>
      <c r="C21" s="7"/>
      <c r="D21" s="15"/>
    </row>
    <row r="22" spans="1:9" x14ac:dyDescent="0.25">
      <c r="A22" s="5" t="s">
        <v>75</v>
      </c>
      <c r="B22" s="1">
        <f>+'AY Credit Hour Allocation'!CM48</f>
        <v>2358862.7879243488</v>
      </c>
      <c r="C22" s="1">
        <f>+'Major Allocation - Revised'!P38</f>
        <v>3128306.5205001589</v>
      </c>
      <c r="D22" s="1">
        <f>+'Research Allocation'!AV7</f>
        <v>1506282.9976084721</v>
      </c>
      <c r="F22" s="1">
        <f t="shared" ref="F22:F30" si="6">+B22*$F$41</f>
        <v>1651203.9515470441</v>
      </c>
      <c r="G22" s="1">
        <f t="shared" ref="G22:G30" si="7">+C22*$G$41</f>
        <v>625661.30410003185</v>
      </c>
      <c r="H22" s="1">
        <f t="shared" ref="H22:H30" si="8">+D22*$H$41</f>
        <v>150628.29976084721</v>
      </c>
      <c r="I22" s="1">
        <f>SUM(F22:H22)</f>
        <v>2427493.5554079232</v>
      </c>
    </row>
    <row r="23" spans="1:9" x14ac:dyDescent="0.25">
      <c r="A23" s="5" t="s">
        <v>77</v>
      </c>
      <c r="B23" s="1">
        <f>+'AY Credit Hour Allocation'!CM49</f>
        <v>6153091.4495133338</v>
      </c>
      <c r="C23" s="1">
        <f>+'Major Allocation - Revised'!P39</f>
        <v>8466696.8825714681</v>
      </c>
      <c r="D23" s="1">
        <f>+'Research Allocation'!AV8</f>
        <v>14213683.823080158</v>
      </c>
      <c r="F23" s="1">
        <f t="shared" si="6"/>
        <v>4307164.014659333</v>
      </c>
      <c r="G23" s="1">
        <f t="shared" si="7"/>
        <v>1693339.3765142937</v>
      </c>
      <c r="H23" s="1">
        <f t="shared" si="8"/>
        <v>1421368.3823080158</v>
      </c>
      <c r="I23" s="1">
        <f t="shared" ref="I23:I35" si="9">SUM(F23:H23)</f>
        <v>7421871.7734816428</v>
      </c>
    </row>
    <row r="24" spans="1:9" x14ac:dyDescent="0.25">
      <c r="A24" s="5" t="s">
        <v>79</v>
      </c>
      <c r="B24" s="1">
        <f>+'AY Credit Hour Allocation'!CM50</f>
        <v>3322349.4646375724</v>
      </c>
      <c r="C24" s="1">
        <f>+'Major Allocation - Revised'!P40</f>
        <v>4952541.4703936931</v>
      </c>
      <c r="D24" s="1">
        <f>+'Research Allocation'!AV9</f>
        <v>7442377.0068723531</v>
      </c>
      <c r="F24" s="1">
        <f t="shared" si="6"/>
        <v>2325644.6252463004</v>
      </c>
      <c r="G24" s="1">
        <f t="shared" si="7"/>
        <v>990508.29407873866</v>
      </c>
      <c r="H24" s="1">
        <f t="shared" si="8"/>
        <v>744237.70068723534</v>
      </c>
      <c r="I24" s="1">
        <f t="shared" si="9"/>
        <v>4060390.620012274</v>
      </c>
    </row>
    <row r="25" spans="1:9" x14ac:dyDescent="0.25">
      <c r="A25" s="5" t="s">
        <v>81</v>
      </c>
      <c r="B25" s="1">
        <f>+'AY Credit Hour Allocation'!CM51</f>
        <v>23269776.173280843</v>
      </c>
      <c r="C25" s="1">
        <f>+'Major Allocation - Revised'!P41</f>
        <v>16781984.706383362</v>
      </c>
      <c r="D25" s="1">
        <f>+'Research Allocation'!AV10</f>
        <v>8160330.6658850182</v>
      </c>
      <c r="F25" s="1">
        <f t="shared" si="6"/>
        <v>16288843.321296589</v>
      </c>
      <c r="G25" s="1">
        <f t="shared" si="7"/>
        <v>3356396.9412766728</v>
      </c>
      <c r="H25" s="1">
        <f t="shared" si="8"/>
        <v>816033.06658850191</v>
      </c>
      <c r="I25" s="1">
        <f t="shared" si="9"/>
        <v>20461273.329161763</v>
      </c>
    </row>
    <row r="26" spans="1:9" x14ac:dyDescent="0.25">
      <c r="A26" s="5" t="s">
        <v>83</v>
      </c>
      <c r="B26" s="1">
        <f>+'AY Credit Hour Allocation'!CM52</f>
        <v>6519664.2720038379</v>
      </c>
      <c r="C26" s="1">
        <f>+'Major Allocation - Revised'!P42</f>
        <v>3975708.8332351744</v>
      </c>
      <c r="D26" s="1">
        <f>+'Research Allocation'!AV11</f>
        <v>93528.646190712068</v>
      </c>
      <c r="F26" s="1">
        <f t="shared" si="6"/>
        <v>4563764.9904026864</v>
      </c>
      <c r="G26" s="1">
        <f t="shared" si="7"/>
        <v>795141.76664703491</v>
      </c>
      <c r="H26" s="1">
        <f t="shared" si="8"/>
        <v>9352.8646190712079</v>
      </c>
      <c r="I26" s="1">
        <f t="shared" si="9"/>
        <v>5368259.6216687933</v>
      </c>
    </row>
    <row r="27" spans="1:9" x14ac:dyDescent="0.25">
      <c r="A27" s="5" t="s">
        <v>85</v>
      </c>
      <c r="B27" s="1">
        <f>+'AY Credit Hour Allocation'!CM53</f>
        <v>851781.94025975314</v>
      </c>
      <c r="C27" s="1">
        <f>+'Major Allocation - Revised'!P43</f>
        <v>0</v>
      </c>
      <c r="D27" s="1">
        <f>+'Research Allocation'!AV12</f>
        <v>0</v>
      </c>
      <c r="F27" s="1">
        <f t="shared" si="6"/>
        <v>596247.35818182712</v>
      </c>
      <c r="G27" s="1">
        <f t="shared" si="7"/>
        <v>0</v>
      </c>
      <c r="H27" s="1">
        <f t="shared" si="8"/>
        <v>0</v>
      </c>
      <c r="I27" s="1">
        <f t="shared" si="9"/>
        <v>596247.35818182712</v>
      </c>
    </row>
    <row r="28" spans="1:9" x14ac:dyDescent="0.25">
      <c r="A28" s="5" t="s">
        <v>87</v>
      </c>
      <c r="B28" s="1">
        <f>+'AY Credit Hour Allocation'!CM54</f>
        <v>5511389.0613426846</v>
      </c>
      <c r="C28" s="1">
        <f>+'Major Allocation - Revised'!P44</f>
        <v>7001447.9268336892</v>
      </c>
      <c r="D28" s="1">
        <f>+'Research Allocation'!AV13</f>
        <v>539646.63674694346</v>
      </c>
      <c r="F28" s="1">
        <f t="shared" si="6"/>
        <v>3857972.3429398788</v>
      </c>
      <c r="G28" s="1">
        <f t="shared" si="7"/>
        <v>1400289.585366738</v>
      </c>
      <c r="H28" s="1">
        <f t="shared" si="8"/>
        <v>53964.663674694348</v>
      </c>
      <c r="I28" s="1">
        <f t="shared" si="9"/>
        <v>5312226.5919813113</v>
      </c>
    </row>
    <row r="29" spans="1:9" x14ac:dyDescent="0.25">
      <c r="A29" s="5" t="s">
        <v>89</v>
      </c>
      <c r="B29" s="1">
        <f>+'AY Credit Hour Allocation'!CM55</f>
        <v>2253556.4134634407</v>
      </c>
      <c r="C29" s="1">
        <f>+'Major Allocation - Revised'!P45</f>
        <v>1719225.4413989941</v>
      </c>
      <c r="D29" s="1">
        <f>+'Research Allocation'!AV14</f>
        <v>118138.2361309509</v>
      </c>
      <c r="F29" s="1">
        <f t="shared" si="6"/>
        <v>1577489.4894244084</v>
      </c>
      <c r="G29" s="1">
        <f t="shared" si="7"/>
        <v>343845.08827979886</v>
      </c>
      <c r="H29" s="1">
        <f t="shared" si="8"/>
        <v>11813.82361309509</v>
      </c>
      <c r="I29" s="1">
        <f t="shared" si="9"/>
        <v>1933148.4013173024</v>
      </c>
    </row>
    <row r="30" spans="1:9" x14ac:dyDescent="0.25">
      <c r="A30" s="5" t="s">
        <v>91</v>
      </c>
      <c r="B30" s="1">
        <f>+'AY Credit Hour Allocation'!CM59</f>
        <v>3928079</v>
      </c>
      <c r="C30" s="1">
        <f>+'Major Allocation - Revised'!P46</f>
        <v>3928079</v>
      </c>
      <c r="D30" s="1">
        <f>+'Research Allocation'!AV15</f>
        <v>0</v>
      </c>
      <c r="F30" s="1">
        <f t="shared" si="6"/>
        <v>2749655.3</v>
      </c>
      <c r="G30" s="1">
        <f t="shared" si="7"/>
        <v>785615.8</v>
      </c>
      <c r="H30" s="1">
        <f t="shared" si="8"/>
        <v>0</v>
      </c>
      <c r="I30" s="1">
        <f t="shared" si="9"/>
        <v>3535271.0999999996</v>
      </c>
    </row>
    <row r="31" spans="1:9" x14ac:dyDescent="0.25">
      <c r="A31" s="5" t="s">
        <v>219</v>
      </c>
      <c r="B31" s="1">
        <f>+'AY Credit Hour Allocation'!CM56</f>
        <v>3663595.4375741868</v>
      </c>
      <c r="C31" s="1"/>
      <c r="D31" s="1"/>
      <c r="F31" s="1">
        <f t="shared" ref="F31:F32" si="10">+B31*$F$41</f>
        <v>2564516.8063019305</v>
      </c>
      <c r="G31" s="1">
        <f t="shared" ref="G31:G33" si="11">+C31*$G$41</f>
        <v>0</v>
      </c>
      <c r="H31" s="1">
        <f t="shared" ref="H31:H33" si="12">+D31*$H$41</f>
        <v>0</v>
      </c>
      <c r="I31" s="1">
        <f t="shared" si="9"/>
        <v>2564516.8063019305</v>
      </c>
    </row>
    <row r="32" spans="1:9" x14ac:dyDescent="0.25">
      <c r="A32" s="5" t="s">
        <v>92</v>
      </c>
      <c r="B32" s="1"/>
      <c r="C32" s="1">
        <f>+'Major Allocation - Revised'!P47</f>
        <v>7878155.2186834589</v>
      </c>
      <c r="D32" s="1">
        <f>+'Research Allocation'!AV16</f>
        <v>198166.15131693322</v>
      </c>
      <c r="F32" s="1">
        <f t="shared" si="10"/>
        <v>0</v>
      </c>
      <c r="G32" s="1">
        <f t="shared" si="11"/>
        <v>1575631.0437366918</v>
      </c>
      <c r="H32" s="1">
        <f t="shared" si="12"/>
        <v>19816.615131693325</v>
      </c>
      <c r="I32" s="1">
        <f t="shared" si="9"/>
        <v>1595447.6588683852</v>
      </c>
    </row>
    <row r="33" spans="1:9" x14ac:dyDescent="0.25">
      <c r="A33" s="5" t="s">
        <v>93</v>
      </c>
      <c r="B33" s="1"/>
      <c r="C33" s="1"/>
      <c r="D33" s="1">
        <f>+'Research Allocation'!AV17</f>
        <v>0</v>
      </c>
      <c r="F33" s="1">
        <f>+B33*$F$41</f>
        <v>0</v>
      </c>
      <c r="G33" s="1">
        <f t="shared" si="11"/>
        <v>0</v>
      </c>
      <c r="H33" s="1">
        <f t="shared" si="12"/>
        <v>0</v>
      </c>
      <c r="I33" s="1">
        <f t="shared" si="9"/>
        <v>0</v>
      </c>
    </row>
    <row r="34" spans="1:9" x14ac:dyDescent="0.25">
      <c r="A34" s="5" t="s">
        <v>95</v>
      </c>
      <c r="B34" s="1"/>
      <c r="C34" s="1">
        <f>+'Major Allocation - Revised'!P49</f>
        <v>0</v>
      </c>
      <c r="D34" s="1">
        <f>+'Research Allocation'!AV18</f>
        <v>25559991.836168457</v>
      </c>
      <c r="F34" s="1">
        <f>+B34*$F$41</f>
        <v>0</v>
      </c>
      <c r="G34" s="1">
        <f>+C34*$G$41</f>
        <v>0</v>
      </c>
      <c r="H34" s="1">
        <f>+D34*$H$41</f>
        <v>2555999.1836168459</v>
      </c>
      <c r="I34" s="1">
        <f t="shared" si="9"/>
        <v>2555999.1836168459</v>
      </c>
    </row>
    <row r="35" spans="1:9" x14ac:dyDescent="0.25">
      <c r="A35" s="5" t="s">
        <v>26</v>
      </c>
      <c r="B35" s="1"/>
      <c r="C35" s="1"/>
      <c r="D35" s="1"/>
      <c r="F35" s="1">
        <f>+B35*$F$41</f>
        <v>0</v>
      </c>
      <c r="G35" s="1">
        <f>+C35*$G$41</f>
        <v>0</v>
      </c>
      <c r="H35" s="1">
        <f>+D35*$H$41</f>
        <v>0</v>
      </c>
      <c r="I35" s="1">
        <f t="shared" si="9"/>
        <v>0</v>
      </c>
    </row>
    <row r="36" spans="1:9" ht="15.75" thickBot="1" x14ac:dyDescent="0.3">
      <c r="B36" s="33">
        <f>SUM(B22:B35)</f>
        <v>57832146</v>
      </c>
      <c r="C36" s="33">
        <f t="shared" ref="C36:D36" si="13">SUM(C22:C35)</f>
        <v>57832146</v>
      </c>
      <c r="D36" s="33">
        <f t="shared" si="13"/>
        <v>57832145.999999993</v>
      </c>
      <c r="E36" s="5"/>
      <c r="F36" s="33">
        <f>SUM(F22:F35)</f>
        <v>40482502.199999996</v>
      </c>
      <c r="G36" s="33">
        <f t="shared" ref="G36:I36" si="14">SUM(G22:G35)</f>
        <v>11566429.200000003</v>
      </c>
      <c r="H36" s="33">
        <f t="shared" si="14"/>
        <v>5783214.5999999996</v>
      </c>
      <c r="I36" s="33">
        <f t="shared" si="14"/>
        <v>57832146.000000007</v>
      </c>
    </row>
    <row r="37" spans="1:9" ht="15.75" thickTop="1" x14ac:dyDescent="0.25"/>
    <row r="40" spans="1:9" x14ac:dyDescent="0.25">
      <c r="D40" s="48" t="s">
        <v>392</v>
      </c>
    </row>
    <row r="41" spans="1:9" x14ac:dyDescent="0.25">
      <c r="A41" s="48">
        <v>2023</v>
      </c>
      <c r="B41" s="42" t="s">
        <v>393</v>
      </c>
      <c r="C41" s="42" t="s">
        <v>394</v>
      </c>
      <c r="D41" s="42" t="s">
        <v>395</v>
      </c>
      <c r="E41" s="48"/>
      <c r="F41" s="99">
        <v>0.7</v>
      </c>
      <c r="G41" s="99">
        <v>0.2</v>
      </c>
      <c r="H41" s="99">
        <v>0.1</v>
      </c>
      <c r="I41" s="42" t="s">
        <v>396</v>
      </c>
    </row>
    <row r="42" spans="1:9" x14ac:dyDescent="0.25">
      <c r="B42" s="1"/>
      <c r="C42" s="7"/>
      <c r="D42" s="15"/>
    </row>
    <row r="43" spans="1:9" x14ac:dyDescent="0.25">
      <c r="A43" s="5" t="s">
        <v>75</v>
      </c>
      <c r="B43" s="1">
        <f>'AY Credit Hour Allocation'!CG48</f>
        <v>2358221.6661128406</v>
      </c>
      <c r="C43" s="1">
        <f>+'Major Allocation - Revised'!O38</f>
        <v>3362936.9920689021</v>
      </c>
      <c r="D43" s="1">
        <f>+'Research Allocation'!AU7</f>
        <v>1540979.4461251367</v>
      </c>
      <c r="F43" s="1">
        <f>+B43*$F$41</f>
        <v>1650755.1662789884</v>
      </c>
      <c r="G43" s="1">
        <f>+C43*$G$41</f>
        <v>672587.39841378049</v>
      </c>
      <c r="H43" s="1">
        <f>+D43*$H$41</f>
        <v>154097.94461251367</v>
      </c>
      <c r="I43" s="1">
        <f>SUM(F43:H43)</f>
        <v>2477440.5093052825</v>
      </c>
    </row>
    <row r="44" spans="1:9" x14ac:dyDescent="0.25">
      <c r="A44" s="5" t="s">
        <v>77</v>
      </c>
      <c r="B44" s="1">
        <f>'AY Credit Hour Allocation'!CG49</f>
        <v>6228183.2077880977</v>
      </c>
      <c r="C44" s="1">
        <f>+'Major Allocation - Revised'!O39</f>
        <v>7754918.7976998948</v>
      </c>
      <c r="D44" s="1">
        <f>+'Research Allocation'!AU8</f>
        <v>12204359.093021329</v>
      </c>
      <c r="F44" s="1">
        <f t="shared" ref="F44:F55" si="15">+B44*$F$41</f>
        <v>4359728.2454516683</v>
      </c>
      <c r="G44" s="1">
        <f t="shared" ref="G44:G55" si="16">+C44*$G$41</f>
        <v>1550983.759539979</v>
      </c>
      <c r="H44" s="1">
        <f t="shared" ref="H44:H55" si="17">+D44*$H$41</f>
        <v>1220435.9093021329</v>
      </c>
      <c r="I44" s="1">
        <f t="shared" ref="I44:I55" si="18">SUM(F44:H44)</f>
        <v>7131147.91429378</v>
      </c>
    </row>
    <row r="45" spans="1:9" x14ac:dyDescent="0.25">
      <c r="A45" s="5" t="s">
        <v>79</v>
      </c>
      <c r="B45" s="1">
        <f>'AY Credit Hour Allocation'!CG50</f>
        <v>3025793.2452380909</v>
      </c>
      <c r="C45" s="1">
        <f>+'Major Allocation - Revised'!O40</f>
        <v>4517135.904577733</v>
      </c>
      <c r="D45" s="1">
        <f>+'Research Allocation'!AU9</f>
        <v>6611927.4900599644</v>
      </c>
      <c r="F45" s="1">
        <f t="shared" si="15"/>
        <v>2118055.2716666637</v>
      </c>
      <c r="G45" s="1">
        <f t="shared" si="16"/>
        <v>903427.1809155466</v>
      </c>
      <c r="H45" s="1">
        <f t="shared" si="17"/>
        <v>661192.74900599651</v>
      </c>
      <c r="I45" s="1">
        <f t="shared" si="18"/>
        <v>3682675.2015882069</v>
      </c>
    </row>
    <row r="46" spans="1:9" x14ac:dyDescent="0.25">
      <c r="A46" s="5" t="s">
        <v>81</v>
      </c>
      <c r="B46" s="1">
        <f>'AY Credit Hour Allocation'!CG51</f>
        <v>22213656.36568642</v>
      </c>
      <c r="C46" s="1">
        <f>+'Major Allocation - Revised'!O41</f>
        <v>16842496.982332677</v>
      </c>
      <c r="D46" s="1">
        <f>+'Research Allocation'!AU10</f>
        <v>7278968.4594349489</v>
      </c>
      <c r="F46" s="1">
        <f t="shared" si="15"/>
        <v>15549559.455980493</v>
      </c>
      <c r="G46" s="1">
        <f t="shared" si="16"/>
        <v>3368499.3964665355</v>
      </c>
      <c r="H46" s="1">
        <f t="shared" si="17"/>
        <v>727896.84594349493</v>
      </c>
      <c r="I46" s="1">
        <f t="shared" si="18"/>
        <v>19645955.698390525</v>
      </c>
    </row>
    <row r="47" spans="1:9" x14ac:dyDescent="0.25">
      <c r="A47" s="5" t="s">
        <v>83</v>
      </c>
      <c r="B47" s="1">
        <f>'AY Credit Hour Allocation'!CG52</f>
        <v>5759058.0125999646</v>
      </c>
      <c r="C47" s="1">
        <f>+'Major Allocation - Revised'!O42</f>
        <v>3773164.3163943295</v>
      </c>
      <c r="D47" s="1">
        <f>+'Research Allocation'!AU11</f>
        <v>88823.66389488781</v>
      </c>
      <c r="F47" s="1">
        <f t="shared" si="15"/>
        <v>4031340.6088199751</v>
      </c>
      <c r="G47" s="1">
        <f t="shared" si="16"/>
        <v>754632.86327886593</v>
      </c>
      <c r="H47" s="1">
        <f t="shared" si="17"/>
        <v>8882.3663894887814</v>
      </c>
      <c r="I47" s="1">
        <f t="shared" si="18"/>
        <v>4794855.8384883301</v>
      </c>
    </row>
    <row r="48" spans="1:9" x14ac:dyDescent="0.25">
      <c r="A48" s="5" t="s">
        <v>85</v>
      </c>
      <c r="B48" s="1">
        <f>'AY Credit Hour Allocation'!CG53</f>
        <v>533645.97545784363</v>
      </c>
      <c r="C48" s="1">
        <f>+'Major Allocation - Revised'!O43</f>
        <v>0</v>
      </c>
      <c r="D48" s="1">
        <f>+'Research Allocation'!AU12</f>
        <v>0</v>
      </c>
      <c r="F48" s="1">
        <f t="shared" si="15"/>
        <v>373552.1828204905</v>
      </c>
      <c r="G48" s="1">
        <f t="shared" si="16"/>
        <v>0</v>
      </c>
      <c r="H48" s="1">
        <f t="shared" si="17"/>
        <v>0</v>
      </c>
      <c r="I48" s="1">
        <f t="shared" si="18"/>
        <v>373552.1828204905</v>
      </c>
    </row>
    <row r="49" spans="1:9" x14ac:dyDescent="0.25">
      <c r="A49" s="5" t="s">
        <v>87</v>
      </c>
      <c r="B49" s="1">
        <f>'AY Credit Hour Allocation'!CG54</f>
        <v>4799729.1203029165</v>
      </c>
      <c r="C49" s="1">
        <f>+'Major Allocation - Revised'!O44</f>
        <v>6102421.1579031143</v>
      </c>
      <c r="D49" s="1">
        <f>+'Research Allocation'!AU13</f>
        <v>358853.06675172731</v>
      </c>
      <c r="F49" s="1">
        <f t="shared" si="15"/>
        <v>3359810.3842120413</v>
      </c>
      <c r="G49" s="1">
        <f t="shared" si="16"/>
        <v>1220484.231580623</v>
      </c>
      <c r="H49" s="1">
        <f t="shared" si="17"/>
        <v>35885.306675172731</v>
      </c>
      <c r="I49" s="1">
        <f t="shared" si="18"/>
        <v>4616179.9224678362</v>
      </c>
    </row>
    <row r="50" spans="1:9" x14ac:dyDescent="0.25">
      <c r="A50" s="5" t="s">
        <v>89</v>
      </c>
      <c r="B50" s="1">
        <f>'AY Credit Hour Allocation'!CG55</f>
        <v>2220697.2938248124</v>
      </c>
      <c r="C50" s="1">
        <f>+'Major Allocation - Revised'!O45</f>
        <v>1710439.3522721226</v>
      </c>
      <c r="D50" s="1">
        <f>+'Research Allocation'!AU14</f>
        <v>104840.15277388484</v>
      </c>
      <c r="F50" s="1">
        <f t="shared" si="15"/>
        <v>1554488.1056773686</v>
      </c>
      <c r="G50" s="1">
        <f t="shared" si="16"/>
        <v>342087.87045442453</v>
      </c>
      <c r="H50" s="1">
        <f t="shared" si="17"/>
        <v>10484.015277388484</v>
      </c>
      <c r="I50" s="1">
        <f t="shared" si="18"/>
        <v>1907059.9914091816</v>
      </c>
    </row>
    <row r="51" spans="1:9" x14ac:dyDescent="0.25">
      <c r="A51" s="5" t="s">
        <v>91</v>
      </c>
      <c r="B51" s="1">
        <f>'AY Credit Hour Allocation'!CG59</f>
        <v>3639254</v>
      </c>
      <c r="C51" s="1">
        <f>+'Major Allocation - Revised'!O46</f>
        <v>3639254</v>
      </c>
      <c r="D51" s="1">
        <f>+'Research Allocation'!AU15</f>
        <v>0</v>
      </c>
      <c r="F51" s="1">
        <f t="shared" si="15"/>
        <v>2547477.7999999998</v>
      </c>
      <c r="G51" s="1">
        <f t="shared" si="16"/>
        <v>727850.8</v>
      </c>
      <c r="H51" s="1">
        <f t="shared" si="17"/>
        <v>0</v>
      </c>
      <c r="I51" s="1">
        <f t="shared" si="18"/>
        <v>3275328.5999999996</v>
      </c>
    </row>
    <row r="52" spans="1:9" x14ac:dyDescent="0.25">
      <c r="A52" s="5" t="s">
        <v>92</v>
      </c>
      <c r="B52" s="1"/>
      <c r="C52" s="1">
        <f>+'Major Allocation - Revised'!O47</f>
        <v>6459342.1067512268</v>
      </c>
      <c r="D52" s="1">
        <f>+'Research Allocation'!AU16</f>
        <v>183278.61066170511</v>
      </c>
      <c r="F52" s="1">
        <f t="shared" si="15"/>
        <v>0</v>
      </c>
      <c r="G52" s="1">
        <f t="shared" si="16"/>
        <v>1291868.4213502454</v>
      </c>
      <c r="H52" s="1">
        <f t="shared" si="17"/>
        <v>18327.861066170513</v>
      </c>
      <c r="I52" s="1">
        <f t="shared" si="18"/>
        <v>1310196.2824164159</v>
      </c>
    </row>
    <row r="53" spans="1:9" x14ac:dyDescent="0.25">
      <c r="A53" s="5" t="s">
        <v>93</v>
      </c>
      <c r="B53" s="1"/>
      <c r="C53" s="1"/>
      <c r="D53" s="1">
        <f>+'Research Allocation'!AU17</f>
        <v>0</v>
      </c>
      <c r="F53" s="1">
        <f t="shared" si="15"/>
        <v>0</v>
      </c>
      <c r="G53" s="1">
        <f t="shared" si="16"/>
        <v>0</v>
      </c>
      <c r="H53" s="1">
        <f t="shared" si="17"/>
        <v>0</v>
      </c>
      <c r="I53" s="1">
        <f t="shared" si="18"/>
        <v>0</v>
      </c>
    </row>
    <row r="54" spans="1:9" x14ac:dyDescent="0.25">
      <c r="A54" s="5" t="s">
        <v>95</v>
      </c>
      <c r="B54" s="1">
        <f>'AY Credit Hour Allocation'!CG56</f>
        <v>3383870.7229890125</v>
      </c>
      <c r="C54" s="1">
        <f>+'Major Allocation - Revised'!O49</f>
        <v>0</v>
      </c>
      <c r="D54" s="1">
        <f>+'Research Allocation'!AU18</f>
        <v>25790079.627276413</v>
      </c>
      <c r="F54" s="1">
        <f t="shared" si="15"/>
        <v>2368709.5060923086</v>
      </c>
      <c r="G54" s="1">
        <f t="shared" si="16"/>
        <v>0</v>
      </c>
      <c r="H54" s="1">
        <f t="shared" si="17"/>
        <v>2579007.9627276417</v>
      </c>
      <c r="I54" s="1">
        <f t="shared" si="18"/>
        <v>4947717.4688199498</v>
      </c>
    </row>
    <row r="55" spans="1:9" x14ac:dyDescent="0.25">
      <c r="A55" s="5" t="s">
        <v>26</v>
      </c>
      <c r="B55" s="1">
        <f>'AY Credit Hour Allocation'!CG63</f>
        <v>0</v>
      </c>
      <c r="C55" s="1"/>
      <c r="D55" s="1"/>
      <c r="F55" s="1">
        <f t="shared" si="15"/>
        <v>0</v>
      </c>
      <c r="G55" s="1">
        <f t="shared" si="16"/>
        <v>0</v>
      </c>
      <c r="H55" s="1">
        <f t="shared" si="17"/>
        <v>0</v>
      </c>
      <c r="I55" s="1">
        <f t="shared" si="18"/>
        <v>0</v>
      </c>
    </row>
    <row r="56" spans="1:9" ht="15.75" thickBot="1" x14ac:dyDescent="0.3">
      <c r="B56" s="33">
        <f>SUM(B43:B55)</f>
        <v>54162109.610000007</v>
      </c>
      <c r="C56" s="33">
        <f t="shared" ref="C56:D56" si="19">SUM(C43:C55)</f>
        <v>54162109.609999999</v>
      </c>
      <c r="D56" s="33">
        <f t="shared" si="19"/>
        <v>54162109.609999999</v>
      </c>
      <c r="E56" s="5"/>
      <c r="F56" s="33">
        <f>SUM(F43:F55)</f>
        <v>37913476.727000006</v>
      </c>
      <c r="G56" s="33">
        <f t="shared" ref="G56:H56" si="20">SUM(G43:G55)</f>
        <v>10832421.922000002</v>
      </c>
      <c r="H56" s="33">
        <f t="shared" si="20"/>
        <v>5416210.9610000001</v>
      </c>
      <c r="I56" s="33">
        <f t="shared" ref="I56" si="21">SUM(I43:I55)</f>
        <v>54162109.609999999</v>
      </c>
    </row>
    <row r="57" spans="1:9" ht="15.75" thickTop="1" x14ac:dyDescent="0.25">
      <c r="B57" s="3">
        <f>B56-C56</f>
        <v>0</v>
      </c>
    </row>
    <row r="58" spans="1:9" x14ac:dyDescent="0.25">
      <c r="D58" s="48" t="s">
        <v>392</v>
      </c>
    </row>
    <row r="59" spans="1:9" x14ac:dyDescent="0.25">
      <c r="A59" s="48">
        <v>2022</v>
      </c>
      <c r="B59" s="42" t="s">
        <v>393</v>
      </c>
      <c r="C59" s="42" t="s">
        <v>394</v>
      </c>
      <c r="D59" s="42" t="s">
        <v>395</v>
      </c>
      <c r="E59" s="48"/>
      <c r="F59" s="99">
        <v>0.7</v>
      </c>
      <c r="G59" s="99">
        <v>0.2</v>
      </c>
      <c r="H59" s="99">
        <v>0.1</v>
      </c>
      <c r="I59" s="42" t="s">
        <v>396</v>
      </c>
    </row>
    <row r="60" spans="1:9" x14ac:dyDescent="0.25">
      <c r="B60" s="1"/>
      <c r="C60" s="7"/>
      <c r="D60" s="15"/>
    </row>
    <row r="61" spans="1:9" x14ac:dyDescent="0.25">
      <c r="A61" s="5" t="s">
        <v>75</v>
      </c>
      <c r="B61" s="1">
        <f>+'AY Credit Hour Allocation'!CA48</f>
        <v>2570238.2791925864</v>
      </c>
      <c r="C61" s="1">
        <f>+'Major Allocation - Revised'!N38</f>
        <v>3530071.3714597099</v>
      </c>
      <c r="D61" s="1">
        <f>+'Research Allocation'!AT7</f>
        <v>1654984.0110679057</v>
      </c>
      <c r="F61" s="1">
        <f>+B61*$F$59</f>
        <v>1799166.7954348105</v>
      </c>
      <c r="G61" s="1">
        <f>+C61*$G$59</f>
        <v>706014.27429194201</v>
      </c>
      <c r="H61" s="1">
        <f>+D61*$H$59</f>
        <v>165498.40110679058</v>
      </c>
      <c r="I61" s="1">
        <f>SUM(F61:H61)</f>
        <v>2670679.4708335432</v>
      </c>
    </row>
    <row r="62" spans="1:9" x14ac:dyDescent="0.25">
      <c r="A62" s="5" t="s">
        <v>77</v>
      </c>
      <c r="B62" s="1">
        <f>+'AY Credit Hour Allocation'!CA49</f>
        <v>6647060.718609686</v>
      </c>
      <c r="C62" s="1">
        <f>+'Major Allocation - Revised'!N39</f>
        <v>7143548.0052080583</v>
      </c>
      <c r="D62" s="1">
        <f>+'Research Allocation'!AT8</f>
        <v>10658651.0813591</v>
      </c>
      <c r="F62" s="1">
        <f t="shared" ref="F62:F73" si="22">+B62*$F$59</f>
        <v>4652942.5030267797</v>
      </c>
      <c r="G62" s="1">
        <f t="shared" ref="G62:G73" si="23">+C62*$G$59</f>
        <v>1428709.6010416117</v>
      </c>
      <c r="H62" s="1">
        <f t="shared" ref="H62:H73" si="24">+D62*$H$59</f>
        <v>1065865.10813591</v>
      </c>
      <c r="I62" s="1">
        <f t="shared" ref="I62:I73" si="25">SUM(F62:H62)</f>
        <v>7147517.2122043008</v>
      </c>
    </row>
    <row r="63" spans="1:9" x14ac:dyDescent="0.25">
      <c r="A63" s="5" t="s">
        <v>79</v>
      </c>
      <c r="B63" s="1">
        <f>+'AY Credit Hour Allocation'!CA50</f>
        <v>3096363.4891110044</v>
      </c>
      <c r="C63" s="1">
        <f>+'Major Allocation - Revised'!N40</f>
        <v>4140958.5628170413</v>
      </c>
      <c r="D63" s="1">
        <f>+'Research Allocation'!AT9</f>
        <v>5987621.6588615142</v>
      </c>
      <c r="F63" s="1">
        <f t="shared" si="22"/>
        <v>2167454.4423777028</v>
      </c>
      <c r="G63" s="1">
        <f t="shared" si="23"/>
        <v>828191.71256340831</v>
      </c>
      <c r="H63" s="1">
        <f t="shared" si="24"/>
        <v>598762.16588615149</v>
      </c>
      <c r="I63" s="1">
        <f t="shared" si="25"/>
        <v>3594408.3208272625</v>
      </c>
    </row>
    <row r="64" spans="1:9" x14ac:dyDescent="0.25">
      <c r="A64" s="5" t="s">
        <v>81</v>
      </c>
      <c r="B64" s="1">
        <f>+'AY Credit Hour Allocation'!CA51</f>
        <v>22180453.985235531</v>
      </c>
      <c r="C64" s="1">
        <f>+'Major Allocation - Revised'!N41</f>
        <v>17012419.31060436</v>
      </c>
      <c r="D64" s="1">
        <f>+'Research Allocation'!AT10</f>
        <v>7048305.2472874168</v>
      </c>
      <c r="F64" s="1">
        <f t="shared" si="22"/>
        <v>15526317.78966487</v>
      </c>
      <c r="G64" s="1">
        <f t="shared" si="23"/>
        <v>3402483.8621208724</v>
      </c>
      <c r="H64" s="1">
        <f t="shared" si="24"/>
        <v>704830.52472874173</v>
      </c>
      <c r="I64" s="1">
        <f t="shared" si="25"/>
        <v>19633632.176514484</v>
      </c>
    </row>
    <row r="65" spans="1:9" x14ac:dyDescent="0.25">
      <c r="A65" s="5" t="s">
        <v>83</v>
      </c>
      <c r="B65" s="1">
        <f>+'AY Credit Hour Allocation'!CA52</f>
        <v>5683188.9670399344</v>
      </c>
      <c r="C65" s="1">
        <f>+'Major Allocation - Revised'!N42</f>
        <v>3701390.2885931307</v>
      </c>
      <c r="D65" s="1">
        <f>+'Research Allocation'!AT11</f>
        <v>40257.128021635952</v>
      </c>
      <c r="F65" s="1">
        <f t="shared" si="22"/>
        <v>3978232.2769279536</v>
      </c>
      <c r="G65" s="1">
        <f t="shared" si="23"/>
        <v>740278.05771862622</v>
      </c>
      <c r="H65" s="1">
        <f t="shared" si="24"/>
        <v>4025.7128021635954</v>
      </c>
      <c r="I65" s="1">
        <f t="shared" si="25"/>
        <v>4722536.0474487431</v>
      </c>
    </row>
    <row r="66" spans="1:9" x14ac:dyDescent="0.25">
      <c r="A66" s="5" t="s">
        <v>85</v>
      </c>
      <c r="B66" s="1">
        <f>+'AY Credit Hour Allocation'!CA53</f>
        <v>559299.60739110631</v>
      </c>
      <c r="C66" s="1">
        <f>+'Major Allocation - Revised'!N43</f>
        <v>0</v>
      </c>
      <c r="D66" s="1">
        <f>+'Research Allocation'!AT12</f>
        <v>0</v>
      </c>
      <c r="F66" s="1">
        <f t="shared" si="22"/>
        <v>391509.72517377441</v>
      </c>
      <c r="G66" s="1">
        <f t="shared" si="23"/>
        <v>0</v>
      </c>
      <c r="H66" s="1">
        <f t="shared" si="24"/>
        <v>0</v>
      </c>
      <c r="I66" s="1">
        <f t="shared" si="25"/>
        <v>391509.72517377441</v>
      </c>
    </row>
    <row r="67" spans="1:9" x14ac:dyDescent="0.25">
      <c r="A67" s="5" t="s">
        <v>87</v>
      </c>
      <c r="B67" s="1">
        <f>+'AY Credit Hour Allocation'!CA54</f>
        <v>4751195.7380415946</v>
      </c>
      <c r="C67" s="1">
        <f>+'Major Allocation - Revised'!N44</f>
        <v>5590406.7696169084</v>
      </c>
      <c r="D67" s="1">
        <f>+'Research Allocation'!AT13</f>
        <v>174435.57912480412</v>
      </c>
      <c r="F67" s="1">
        <f t="shared" si="22"/>
        <v>3325837.0166291161</v>
      </c>
      <c r="G67" s="1">
        <f t="shared" si="23"/>
        <v>1118081.3539233818</v>
      </c>
      <c r="H67" s="1">
        <f t="shared" si="24"/>
        <v>17443.557912480414</v>
      </c>
      <c r="I67" s="1">
        <f t="shared" si="25"/>
        <v>4461361.928464978</v>
      </c>
    </row>
    <row r="68" spans="1:9" x14ac:dyDescent="0.25">
      <c r="A68" s="5" t="s">
        <v>89</v>
      </c>
      <c r="B68" s="1">
        <f>+'AY Credit Hour Allocation'!CA55</f>
        <v>2292143.5253785658</v>
      </c>
      <c r="C68" s="1">
        <f>+'Major Allocation - Revised'!N45</f>
        <v>1728968.5452807136</v>
      </c>
      <c r="D68" s="1">
        <f>+'Research Allocation'!AT14</f>
        <v>109640.28239565852</v>
      </c>
      <c r="F68" s="1">
        <f t="shared" si="22"/>
        <v>1604500.467764996</v>
      </c>
      <c r="G68" s="1">
        <f t="shared" si="23"/>
        <v>345793.70905614272</v>
      </c>
      <c r="H68" s="1">
        <f t="shared" si="24"/>
        <v>10964.028239565852</v>
      </c>
      <c r="I68" s="1">
        <f t="shared" si="25"/>
        <v>1961258.2050607046</v>
      </c>
    </row>
    <row r="69" spans="1:9" x14ac:dyDescent="0.25">
      <c r="A69" s="5" t="s">
        <v>91</v>
      </c>
      <c r="B69" s="1">
        <f>+'AY Credit Hour Allocation'!CA59</f>
        <v>3078610.29</v>
      </c>
      <c r="C69" s="1">
        <f>+'Major Allocation - Revised'!N46</f>
        <v>3078610.29</v>
      </c>
      <c r="D69" s="1">
        <f>+'Research Allocation'!AT15</f>
        <v>0</v>
      </c>
      <c r="F69" s="1">
        <f t="shared" si="22"/>
        <v>2155027.2029999997</v>
      </c>
      <c r="G69" s="1">
        <f t="shared" si="23"/>
        <v>615722.05800000008</v>
      </c>
      <c r="H69" s="1">
        <f t="shared" si="24"/>
        <v>0</v>
      </c>
      <c r="I69" s="1">
        <f t="shared" si="25"/>
        <v>2770749.2609999999</v>
      </c>
    </row>
    <row r="70" spans="1:9" x14ac:dyDescent="0.25">
      <c r="A70" s="5" t="s">
        <v>92</v>
      </c>
      <c r="B70" s="1">
        <f>+'AY Credit Hour Allocation'!CA60</f>
        <v>0</v>
      </c>
      <c r="C70" s="1">
        <f>+'Major Allocation - Revised'!N47</f>
        <v>4932181.4564200789</v>
      </c>
      <c r="D70" s="1">
        <f>+'Research Allocation'!AT16</f>
        <v>182180.43182900702</v>
      </c>
      <c r="F70" s="1">
        <f t="shared" si="22"/>
        <v>0</v>
      </c>
      <c r="G70" s="1">
        <f t="shared" si="23"/>
        <v>986436.29128401587</v>
      </c>
      <c r="H70" s="1">
        <f t="shared" si="24"/>
        <v>18218.043182900703</v>
      </c>
      <c r="I70" s="1">
        <f t="shared" si="25"/>
        <v>1004654.3344669166</v>
      </c>
    </row>
    <row r="71" spans="1:9" x14ac:dyDescent="0.25">
      <c r="A71" s="5" t="s">
        <v>93</v>
      </c>
      <c r="B71" s="1">
        <f>+'AY Credit Hour Allocation'!CA61</f>
        <v>0</v>
      </c>
      <c r="C71" s="1"/>
      <c r="D71" s="1">
        <f>+'Research Allocation'!AT17</f>
        <v>0</v>
      </c>
      <c r="F71" s="1">
        <f t="shared" si="22"/>
        <v>0</v>
      </c>
      <c r="G71" s="1">
        <f t="shared" si="23"/>
        <v>0</v>
      </c>
      <c r="H71" s="1">
        <f t="shared" si="24"/>
        <v>0</v>
      </c>
      <c r="I71" s="1">
        <f t="shared" si="25"/>
        <v>0</v>
      </c>
    </row>
    <row r="72" spans="1:9" x14ac:dyDescent="0.25">
      <c r="A72" s="5" t="s">
        <v>95</v>
      </c>
      <c r="B72" s="1">
        <f>+'AY Credit Hour Allocation'!CA62</f>
        <v>0</v>
      </c>
      <c r="C72" s="1"/>
      <c r="D72" s="1">
        <f>+'Research Allocation'!AT18</f>
        <v>25002479.180052962</v>
      </c>
      <c r="F72" s="1">
        <f t="shared" si="22"/>
        <v>0</v>
      </c>
      <c r="G72" s="1">
        <f t="shared" si="23"/>
        <v>0</v>
      </c>
      <c r="H72" s="1">
        <f t="shared" si="24"/>
        <v>2500247.9180052965</v>
      </c>
      <c r="I72" s="1">
        <f t="shared" si="25"/>
        <v>2500247.9180052965</v>
      </c>
    </row>
    <row r="73" spans="1:9" x14ac:dyDescent="0.25">
      <c r="A73" s="5" t="s">
        <v>26</v>
      </c>
      <c r="B73" s="1">
        <f>+'AY Credit Hour Allocation'!CA63</f>
        <v>0</v>
      </c>
      <c r="C73" s="1"/>
      <c r="D73" s="1"/>
      <c r="F73" s="1">
        <f t="shared" si="22"/>
        <v>0</v>
      </c>
      <c r="G73" s="1">
        <f t="shared" si="23"/>
        <v>0</v>
      </c>
      <c r="H73" s="1">
        <f t="shared" si="24"/>
        <v>0</v>
      </c>
      <c r="I73" s="1">
        <f t="shared" si="25"/>
        <v>0</v>
      </c>
    </row>
    <row r="74" spans="1:9" ht="15.75" thickBot="1" x14ac:dyDescent="0.3">
      <c r="B74" s="33">
        <f>SUM(B61:B73)</f>
        <v>50858554.600000001</v>
      </c>
      <c r="C74" s="33">
        <f t="shared" ref="C74:D74" si="26">SUM(C61:C73)</f>
        <v>50858554.600000001</v>
      </c>
      <c r="D74" s="33">
        <f t="shared" si="26"/>
        <v>50858554.599999994</v>
      </c>
      <c r="E74" s="5"/>
      <c r="F74" s="33">
        <f t="shared" ref="F74:I74" si="27">SUM(F61:F73)</f>
        <v>35600988.219999999</v>
      </c>
      <c r="G74" s="33">
        <f t="shared" si="27"/>
        <v>10171710.92</v>
      </c>
      <c r="H74" s="33">
        <f t="shared" si="27"/>
        <v>5085855.4600000009</v>
      </c>
      <c r="I74" s="33">
        <f t="shared" si="27"/>
        <v>50858554.600000009</v>
      </c>
    </row>
    <row r="75" spans="1:9" ht="16.5" thickTop="1" thickBot="1" x14ac:dyDescent="0.3">
      <c r="B75" s="5"/>
      <c r="C75" s="5"/>
      <c r="D75" s="5"/>
      <c r="E75" s="5"/>
      <c r="F75" s="5"/>
      <c r="G75" s="5"/>
      <c r="H75" s="5"/>
      <c r="I75" s="5"/>
    </row>
    <row r="76" spans="1:9" x14ac:dyDescent="0.25">
      <c r="A76" s="127"/>
      <c r="B76" s="128"/>
      <c r="C76" s="128"/>
      <c r="D76" s="239" t="s">
        <v>392</v>
      </c>
      <c r="E76" s="128"/>
      <c r="F76" s="128"/>
      <c r="G76" s="128"/>
      <c r="H76" s="128"/>
      <c r="I76" s="237"/>
    </row>
    <row r="77" spans="1:9" x14ac:dyDescent="0.25">
      <c r="A77" s="478">
        <v>2021</v>
      </c>
      <c r="B77" s="423" t="s">
        <v>393</v>
      </c>
      <c r="C77" s="423" t="s">
        <v>394</v>
      </c>
      <c r="D77" s="423" t="s">
        <v>395</v>
      </c>
      <c r="E77" s="425"/>
      <c r="F77" s="99">
        <v>0.7</v>
      </c>
      <c r="G77" s="99">
        <v>0.2</v>
      </c>
      <c r="H77" s="99">
        <v>0.1</v>
      </c>
      <c r="I77" s="479" t="s">
        <v>396</v>
      </c>
    </row>
    <row r="78" spans="1:9" x14ac:dyDescent="0.25">
      <c r="A78" s="129"/>
      <c r="B78" s="5"/>
      <c r="C78" s="480"/>
      <c r="D78" s="300"/>
      <c r="E78" s="428"/>
      <c r="F78" s="428"/>
      <c r="G78" s="428"/>
      <c r="H78" s="428"/>
      <c r="I78" s="132"/>
    </row>
    <row r="79" spans="1:9" x14ac:dyDescent="0.25">
      <c r="A79" s="152" t="s">
        <v>75</v>
      </c>
      <c r="B79" s="5">
        <f>+'Weighted Rev Allocation'!B5</f>
        <v>2839134.4768886557</v>
      </c>
      <c r="C79" s="5">
        <f>+'Weighted Rev Allocation'!C5</f>
        <v>2765836.5845069932</v>
      </c>
      <c r="D79" s="5">
        <f>+'Weighted Rev Allocation'!D5</f>
        <v>1928186.7462336568</v>
      </c>
      <c r="E79" s="428"/>
      <c r="F79" s="5">
        <f>+'Weighted Rev Allocation'!F5</f>
        <v>1987394.1338220588</v>
      </c>
      <c r="G79" s="5">
        <f>+'Weighted Rev Allocation'!G5</f>
        <v>553167.31690139871</v>
      </c>
      <c r="H79" s="5">
        <f>+'Weighted Rev Allocation'!H5</f>
        <v>192818.67462336569</v>
      </c>
      <c r="I79" s="179">
        <f>+'Weighted Rev Allocation'!I5</f>
        <v>2733380.1253468231</v>
      </c>
    </row>
    <row r="80" spans="1:9" x14ac:dyDescent="0.25">
      <c r="A80" s="152" t="s">
        <v>77</v>
      </c>
      <c r="B80" s="5">
        <f>+'Weighted Rev Allocation'!B6</f>
        <v>6619711.8054381087</v>
      </c>
      <c r="C80" s="5">
        <f>+'Weighted Rev Allocation'!C6</f>
        <v>10753059.061622933</v>
      </c>
      <c r="D80" s="5">
        <f>+'Weighted Rev Allocation'!D6</f>
        <v>9969905.0838390645</v>
      </c>
      <c r="E80" s="428"/>
      <c r="F80" s="5">
        <f>+'Weighted Rev Allocation'!F6</f>
        <v>4633798.2638066756</v>
      </c>
      <c r="G80" s="5">
        <f>+'Weighted Rev Allocation'!G6</f>
        <v>2150611.8123245868</v>
      </c>
      <c r="H80" s="5">
        <f>+'Weighted Rev Allocation'!H6</f>
        <v>996990.50838390645</v>
      </c>
      <c r="I80" s="179">
        <f>+'Weighted Rev Allocation'!I6</f>
        <v>7781400.5845151683</v>
      </c>
    </row>
    <row r="81" spans="1:9" x14ac:dyDescent="0.25">
      <c r="A81" s="152" t="s">
        <v>79</v>
      </c>
      <c r="B81" s="5">
        <f>+'Weighted Rev Allocation'!B7</f>
        <v>2889730.9199978523</v>
      </c>
      <c r="C81" s="5">
        <f>+'Weighted Rev Allocation'!C7</f>
        <v>4483116.1659900583</v>
      </c>
      <c r="D81" s="5">
        <f>+'Weighted Rev Allocation'!D7</f>
        <v>5577244.3749997541</v>
      </c>
      <c r="E81" s="428"/>
      <c r="F81" s="5">
        <f>+'Weighted Rev Allocation'!F7</f>
        <v>2022811.6439984965</v>
      </c>
      <c r="G81" s="5">
        <f>+'Weighted Rev Allocation'!G7</f>
        <v>896623.23319801176</v>
      </c>
      <c r="H81" s="5">
        <f>+'Weighted Rev Allocation'!H7</f>
        <v>557724.43749997544</v>
      </c>
      <c r="I81" s="179">
        <f>+'Weighted Rev Allocation'!I7</f>
        <v>3477159.3146964838</v>
      </c>
    </row>
    <row r="82" spans="1:9" x14ac:dyDescent="0.25">
      <c r="A82" s="152" t="s">
        <v>81</v>
      </c>
      <c r="B82" s="5">
        <f>+'Weighted Rev Allocation'!B8</f>
        <v>21388046.585792083</v>
      </c>
      <c r="C82" s="5">
        <f>+'Weighted Rev Allocation'!C8</f>
        <v>15904897.806072129</v>
      </c>
      <c r="D82" s="5">
        <f>+'Weighted Rev Allocation'!D8</f>
        <v>7054080.4407636281</v>
      </c>
      <c r="E82" s="428"/>
      <c r="F82" s="5">
        <f>+'Weighted Rev Allocation'!F8</f>
        <v>14971632.610054458</v>
      </c>
      <c r="G82" s="5">
        <f>+'Weighted Rev Allocation'!G8</f>
        <v>3180979.5612144261</v>
      </c>
      <c r="H82" s="5">
        <f>+'Weighted Rev Allocation'!H8</f>
        <v>705408.04407636286</v>
      </c>
      <c r="I82" s="179">
        <f>+'Weighted Rev Allocation'!I8</f>
        <v>18858020.215345249</v>
      </c>
    </row>
    <row r="83" spans="1:9" x14ac:dyDescent="0.25">
      <c r="A83" s="152" t="s">
        <v>83</v>
      </c>
      <c r="B83" s="5">
        <f>+'Weighted Rev Allocation'!B9</f>
        <v>5402584.7773082741</v>
      </c>
      <c r="C83" s="5">
        <f>+'Weighted Rev Allocation'!C9</f>
        <v>4274474.7215108071</v>
      </c>
      <c r="D83" s="5">
        <f>+'Weighted Rev Allocation'!D9</f>
        <v>37972.366984898101</v>
      </c>
      <c r="E83" s="428"/>
      <c r="F83" s="5">
        <f>+'Weighted Rev Allocation'!F9</f>
        <v>3781809.3441157914</v>
      </c>
      <c r="G83" s="5">
        <f>+'Weighted Rev Allocation'!G9</f>
        <v>854894.94430216146</v>
      </c>
      <c r="H83" s="5">
        <f>+'Weighted Rev Allocation'!H9</f>
        <v>3797.2366984898104</v>
      </c>
      <c r="I83" s="179">
        <f>+'Weighted Rev Allocation'!I9</f>
        <v>4640501.5251164427</v>
      </c>
    </row>
    <row r="84" spans="1:9" x14ac:dyDescent="0.25">
      <c r="A84" s="152" t="s">
        <v>85</v>
      </c>
      <c r="B84" s="5">
        <f>+'Weighted Rev Allocation'!B10</f>
        <v>465657.87990632118</v>
      </c>
      <c r="C84" s="5">
        <f>+'Weighted Rev Allocation'!C10</f>
        <v>0</v>
      </c>
      <c r="D84" s="5">
        <f>+'Weighted Rev Allocation'!D10</f>
        <v>0</v>
      </c>
      <c r="E84" s="428"/>
      <c r="F84" s="5">
        <f>+'Weighted Rev Allocation'!F10</f>
        <v>325960.51593442482</v>
      </c>
      <c r="G84" s="5">
        <f>+'Weighted Rev Allocation'!G10</f>
        <v>0</v>
      </c>
      <c r="H84" s="5">
        <f>+'Weighted Rev Allocation'!H10</f>
        <v>0</v>
      </c>
      <c r="I84" s="179">
        <f>+'Weighted Rev Allocation'!I10</f>
        <v>325960.51593442482</v>
      </c>
    </row>
    <row r="85" spans="1:9" x14ac:dyDescent="0.25">
      <c r="A85" s="152" t="s">
        <v>87</v>
      </c>
      <c r="B85" s="5">
        <f>+'Weighted Rev Allocation'!B11</f>
        <v>4512111.4052152531</v>
      </c>
      <c r="C85" s="5">
        <f>+'Weighted Rev Allocation'!C11</f>
        <v>5569121.633407698</v>
      </c>
      <c r="D85" s="5">
        <f>+'Weighted Rev Allocation'!D11</f>
        <v>4179.4977824409871</v>
      </c>
      <c r="E85" s="428"/>
      <c r="F85" s="5">
        <f>+'Weighted Rev Allocation'!F11</f>
        <v>3158477.9836506769</v>
      </c>
      <c r="G85" s="5">
        <f>+'Weighted Rev Allocation'!G11</f>
        <v>1113824.3266815396</v>
      </c>
      <c r="H85" s="5">
        <f>+'Weighted Rev Allocation'!H11</f>
        <v>417.94977824409875</v>
      </c>
      <c r="I85" s="179">
        <f>+'Weighted Rev Allocation'!I11</f>
        <v>4272720.2601104602</v>
      </c>
    </row>
    <row r="86" spans="1:9" x14ac:dyDescent="0.25">
      <c r="A86" s="152" t="s">
        <v>89</v>
      </c>
      <c r="B86" s="5">
        <f>+'Weighted Rev Allocation'!B12</f>
        <v>2163974.3594534383</v>
      </c>
      <c r="C86" s="5">
        <f>+'Weighted Rev Allocation'!C12</f>
        <v>1829624.9746642003</v>
      </c>
      <c r="D86" s="5">
        <f>+'Weighted Rev Allocation'!D12</f>
        <v>75384.15767460785</v>
      </c>
      <c r="E86" s="428"/>
      <c r="F86" s="5">
        <f>+'Weighted Rev Allocation'!F12</f>
        <v>1514782.0516174068</v>
      </c>
      <c r="G86" s="5">
        <f>+'Weighted Rev Allocation'!G12</f>
        <v>365924.99493284011</v>
      </c>
      <c r="H86" s="5">
        <f>+'Weighted Rev Allocation'!H12</f>
        <v>7538.415767460785</v>
      </c>
      <c r="I86" s="179">
        <f>+'Weighted Rev Allocation'!I12</f>
        <v>1888245.4623177077</v>
      </c>
    </row>
    <row r="87" spans="1:9" x14ac:dyDescent="0.25">
      <c r="A87" s="152" t="s">
        <v>91</v>
      </c>
      <c r="B87" s="5">
        <f>+'Weighted Rev Allocation'!B13</f>
        <v>3036858.0599999996</v>
      </c>
      <c r="C87" s="5">
        <f>+'Weighted Rev Allocation'!C13</f>
        <v>3036858.0599999996</v>
      </c>
      <c r="D87" s="5">
        <f>+'Weighted Rev Allocation'!D13</f>
        <v>266107.32655861205</v>
      </c>
      <c r="E87" s="428"/>
      <c r="F87" s="5">
        <f>+'Weighted Rev Allocation'!F13</f>
        <v>2125800.6419999995</v>
      </c>
      <c r="G87" s="5">
        <f>+'Weighted Rev Allocation'!G13</f>
        <v>607371.61199999996</v>
      </c>
      <c r="H87" s="5">
        <f>+'Weighted Rev Allocation'!H13</f>
        <v>26610.732655861208</v>
      </c>
      <c r="I87" s="179">
        <f>+'Weighted Rev Allocation'!I13</f>
        <v>2759782.9866558611</v>
      </c>
    </row>
    <row r="88" spans="1:9" x14ac:dyDescent="0.25">
      <c r="A88" s="152" t="s">
        <v>92</v>
      </c>
      <c r="B88" s="5">
        <f>+'Weighted Rev Allocation'!B14</f>
        <v>0</v>
      </c>
      <c r="C88" s="5">
        <f>+'Weighted Rev Allocation'!C14</f>
        <v>0</v>
      </c>
      <c r="D88" s="5">
        <f>+'Weighted Rev Allocation'!D14</f>
        <v>0</v>
      </c>
      <c r="E88" s="428"/>
      <c r="F88" s="5">
        <f>+'Weighted Rev Allocation'!F14</f>
        <v>0</v>
      </c>
      <c r="G88" s="5">
        <f>+'Weighted Rev Allocation'!G14</f>
        <v>0</v>
      </c>
      <c r="H88" s="5">
        <f>+'Weighted Rev Allocation'!H14</f>
        <v>0</v>
      </c>
      <c r="I88" s="179">
        <f>+'Weighted Rev Allocation'!I14</f>
        <v>0</v>
      </c>
    </row>
    <row r="89" spans="1:9" x14ac:dyDescent="0.25">
      <c r="A89" s="152" t="s">
        <v>93</v>
      </c>
      <c r="B89" s="5">
        <f>+'Weighted Rev Allocation'!B15</f>
        <v>0</v>
      </c>
      <c r="C89" s="5">
        <f>+'Weighted Rev Allocation'!C15</f>
        <v>700821.26222517621</v>
      </c>
      <c r="D89" s="5">
        <f>+'Weighted Rev Allocation'!D15</f>
        <v>24404750.275163334</v>
      </c>
      <c r="E89" s="428"/>
      <c r="F89" s="5">
        <f>+'Weighted Rev Allocation'!F15</f>
        <v>0</v>
      </c>
      <c r="G89" s="5">
        <f>+'Weighted Rev Allocation'!G15</f>
        <v>140164.25244503524</v>
      </c>
      <c r="H89" s="5">
        <f>+'Weighted Rev Allocation'!H15</f>
        <v>2440475.0275163334</v>
      </c>
      <c r="I89" s="179">
        <f>+'Weighted Rev Allocation'!I15</f>
        <v>2580639.2799613685</v>
      </c>
    </row>
    <row r="90" spans="1:9" x14ac:dyDescent="0.25">
      <c r="A90" s="152" t="s">
        <v>95</v>
      </c>
      <c r="B90" s="5">
        <f>+'Weighted Rev Allocation'!B16</f>
        <v>0</v>
      </c>
      <c r="C90" s="5">
        <f>+'Weighted Rev Allocation'!C16</f>
        <v>0</v>
      </c>
      <c r="D90" s="5">
        <f>+'Weighted Rev Allocation'!D16</f>
        <v>0</v>
      </c>
      <c r="E90" s="428"/>
      <c r="F90" s="5">
        <f>+'Weighted Rev Allocation'!F16</f>
        <v>0</v>
      </c>
      <c r="G90" s="5">
        <f>+'Weighted Rev Allocation'!G16</f>
        <v>0</v>
      </c>
      <c r="H90" s="5">
        <f>+'Weighted Rev Allocation'!H16</f>
        <v>0</v>
      </c>
      <c r="I90" s="179">
        <f>+'Weighted Rev Allocation'!I16</f>
        <v>0</v>
      </c>
    </row>
    <row r="91" spans="1:9" x14ac:dyDescent="0.25">
      <c r="A91" s="152" t="s">
        <v>26</v>
      </c>
      <c r="B91" s="5">
        <f>+'Weighted Rev Allocation'!B17</f>
        <v>0</v>
      </c>
      <c r="C91" s="5">
        <f>+'Weighted Rev Allocation'!C17</f>
        <v>0</v>
      </c>
      <c r="D91" s="5">
        <f>+'Weighted Rev Allocation'!D17</f>
        <v>0</v>
      </c>
      <c r="E91" s="428"/>
      <c r="F91" s="5">
        <f>+'Weighted Rev Allocation'!F17</f>
        <v>0</v>
      </c>
      <c r="G91" s="5">
        <f>+'Weighted Rev Allocation'!G17</f>
        <v>0</v>
      </c>
      <c r="H91" s="5">
        <f>+'Weighted Rev Allocation'!H17</f>
        <v>0</v>
      </c>
      <c r="I91" s="179">
        <f>+'Weighted Rev Allocation'!I17</f>
        <v>0</v>
      </c>
    </row>
    <row r="92" spans="1:9" ht="15.75" thickBot="1" x14ac:dyDescent="0.3">
      <c r="A92" s="129"/>
      <c r="B92" s="33">
        <f>SUM(B79:B91)</f>
        <v>49317810.269999996</v>
      </c>
      <c r="C92" s="33">
        <f t="shared" ref="C92:D92" si="28">SUM(C79:C91)</f>
        <v>49317810.269999996</v>
      </c>
      <c r="D92" s="33">
        <f t="shared" si="28"/>
        <v>49317810.269999996</v>
      </c>
      <c r="E92" s="5"/>
      <c r="F92" s="33">
        <f t="shared" ref="F92:I92" si="29">SUM(F79:F91)</f>
        <v>34522467.188999988</v>
      </c>
      <c r="G92" s="33">
        <f t="shared" si="29"/>
        <v>9863562.0539999995</v>
      </c>
      <c r="H92" s="33">
        <f t="shared" si="29"/>
        <v>4931781.0269999988</v>
      </c>
      <c r="I92" s="481">
        <f t="shared" si="29"/>
        <v>49317810.269999988</v>
      </c>
    </row>
    <row r="93" spans="1:9" ht="15.75" thickTop="1" x14ac:dyDescent="0.25">
      <c r="A93" s="129"/>
      <c r="B93" s="428"/>
      <c r="C93" s="428"/>
      <c r="D93" s="428"/>
      <c r="E93" s="428"/>
      <c r="F93" s="428"/>
      <c r="G93" s="428"/>
      <c r="H93" s="428"/>
      <c r="I93" s="132"/>
    </row>
    <row r="94" spans="1:9" x14ac:dyDescent="0.25">
      <c r="A94" s="129"/>
      <c r="B94" s="428"/>
      <c r="C94" s="428"/>
      <c r="D94" s="425" t="s">
        <v>392</v>
      </c>
      <c r="E94" s="428"/>
      <c r="F94" s="428"/>
      <c r="G94" s="428"/>
      <c r="H94" s="428"/>
      <c r="I94" s="132"/>
    </row>
    <row r="95" spans="1:9" x14ac:dyDescent="0.25">
      <c r="A95" s="478">
        <v>2020</v>
      </c>
      <c r="B95" s="423" t="s">
        <v>393</v>
      </c>
      <c r="C95" s="423" t="s">
        <v>394</v>
      </c>
      <c r="D95" s="423" t="s">
        <v>395</v>
      </c>
      <c r="E95" s="425"/>
      <c r="F95" s="99">
        <v>0.7</v>
      </c>
      <c r="G95" s="99">
        <v>0.2</v>
      </c>
      <c r="H95" s="99">
        <v>0.1</v>
      </c>
      <c r="I95" s="479" t="s">
        <v>396</v>
      </c>
    </row>
    <row r="96" spans="1:9" x14ac:dyDescent="0.25">
      <c r="A96" s="129"/>
      <c r="B96" s="5"/>
      <c r="C96" s="480"/>
      <c r="D96" s="300"/>
      <c r="E96" s="428"/>
      <c r="F96" s="428"/>
      <c r="G96" s="428"/>
      <c r="H96" s="428"/>
      <c r="I96" s="132"/>
    </row>
    <row r="97" spans="1:9" x14ac:dyDescent="0.25">
      <c r="A97" s="152" t="s">
        <v>75</v>
      </c>
      <c r="B97" s="5">
        <f>+'Weighted Rev Allocation'!B24</f>
        <v>3186401.7096293117</v>
      </c>
      <c r="C97" s="5">
        <f>+'Weighted Rev Allocation'!C24</f>
        <v>4055773.1943064271</v>
      </c>
      <c r="D97" s="5">
        <f>+'Weighted Rev Allocation'!D24</f>
        <v>2291160.4739273344</v>
      </c>
      <c r="E97" s="428"/>
      <c r="F97" s="5">
        <f>+'Weighted Rev Allocation'!F24</f>
        <v>2230481.1967405179</v>
      </c>
      <c r="G97" s="5">
        <f>+'Weighted Rev Allocation'!G24</f>
        <v>811154.63886128552</v>
      </c>
      <c r="H97" s="5">
        <f>+'Weighted Rev Allocation'!H24</f>
        <v>229116.04739273345</v>
      </c>
      <c r="I97" s="179">
        <f>+'Weighted Rev Allocation'!I24</f>
        <v>3270751.8829945368</v>
      </c>
    </row>
    <row r="98" spans="1:9" x14ac:dyDescent="0.25">
      <c r="A98" s="152" t="s">
        <v>77</v>
      </c>
      <c r="B98" s="5">
        <f>+'Weighted Rev Allocation'!B25</f>
        <v>6595977.9588858215</v>
      </c>
      <c r="C98" s="5">
        <f>+'Weighted Rev Allocation'!C25</f>
        <v>7390626.1386537356</v>
      </c>
      <c r="D98" s="5">
        <f>+'Weighted Rev Allocation'!D25</f>
        <v>11208815.546210585</v>
      </c>
      <c r="E98" s="428"/>
      <c r="F98" s="5">
        <f>+'Weighted Rev Allocation'!F25</f>
        <v>4617184.5712200748</v>
      </c>
      <c r="G98" s="5">
        <f>+'Weighted Rev Allocation'!G25</f>
        <v>1478125.2277307473</v>
      </c>
      <c r="H98" s="5">
        <f>+'Weighted Rev Allocation'!H25</f>
        <v>1120881.5546210585</v>
      </c>
      <c r="I98" s="179">
        <f>+'Weighted Rev Allocation'!I25</f>
        <v>7216191.3535718806</v>
      </c>
    </row>
    <row r="99" spans="1:9" x14ac:dyDescent="0.25">
      <c r="A99" s="152" t="s">
        <v>79</v>
      </c>
      <c r="B99" s="5">
        <f>+'Weighted Rev Allocation'!B26</f>
        <v>3007525.9711751053</v>
      </c>
      <c r="C99" s="5">
        <f>+'Weighted Rev Allocation'!C26</f>
        <v>4225261.0676411865</v>
      </c>
      <c r="D99" s="5">
        <f>+'Weighted Rev Allocation'!D26</f>
        <v>6075297.574111471</v>
      </c>
      <c r="E99" s="428"/>
      <c r="F99" s="5">
        <f>+'Weighted Rev Allocation'!F26</f>
        <v>2105268.1798225734</v>
      </c>
      <c r="G99" s="5">
        <f>+'Weighted Rev Allocation'!G26</f>
        <v>845052.21352823731</v>
      </c>
      <c r="H99" s="5">
        <f>+'Weighted Rev Allocation'!H26</f>
        <v>607529.75741114712</v>
      </c>
      <c r="I99" s="179">
        <f>+'Weighted Rev Allocation'!I26</f>
        <v>3557850.1507619577</v>
      </c>
    </row>
    <row r="100" spans="1:9" x14ac:dyDescent="0.25">
      <c r="A100" s="152" t="s">
        <v>81</v>
      </c>
      <c r="B100" s="5">
        <f>+'Weighted Rev Allocation'!B27</f>
        <v>24186262.393091191</v>
      </c>
      <c r="C100" s="5">
        <f>+'Weighted Rev Allocation'!C27</f>
        <v>17855905.528788745</v>
      </c>
      <c r="D100" s="5">
        <f>+'Weighted Rev Allocation'!D27</f>
        <v>8365804.0821317993</v>
      </c>
      <c r="E100" s="428"/>
      <c r="F100" s="5">
        <f>+'Weighted Rev Allocation'!F27</f>
        <v>16930383.675163832</v>
      </c>
      <c r="G100" s="5">
        <f>+'Weighted Rev Allocation'!G27</f>
        <v>3571181.1057577492</v>
      </c>
      <c r="H100" s="5">
        <f>+'Weighted Rev Allocation'!H27</f>
        <v>836580.40821318002</v>
      </c>
      <c r="I100" s="179">
        <f>+'Weighted Rev Allocation'!I27</f>
        <v>21338145.189134762</v>
      </c>
    </row>
    <row r="101" spans="1:9" x14ac:dyDescent="0.25">
      <c r="A101" s="152" t="s">
        <v>83</v>
      </c>
      <c r="B101" s="5">
        <f>+'Weighted Rev Allocation'!B28</f>
        <v>6524119.8361942433</v>
      </c>
      <c r="C101" s="5">
        <f>+'Weighted Rev Allocation'!C28</f>
        <v>4170356.5452933069</v>
      </c>
      <c r="D101" s="5">
        <f>+'Weighted Rev Allocation'!D28</f>
        <v>46664.824673345342</v>
      </c>
      <c r="E101" s="428"/>
      <c r="F101" s="5">
        <f>+'Weighted Rev Allocation'!F28</f>
        <v>4566883.8853359697</v>
      </c>
      <c r="G101" s="5">
        <f>+'Weighted Rev Allocation'!G28</f>
        <v>834071.30905866146</v>
      </c>
      <c r="H101" s="5">
        <f>+'Weighted Rev Allocation'!H28</f>
        <v>4666.4824673345347</v>
      </c>
      <c r="I101" s="179">
        <f>+'Weighted Rev Allocation'!I28</f>
        <v>5405621.676861966</v>
      </c>
    </row>
    <row r="102" spans="1:9" x14ac:dyDescent="0.25">
      <c r="A102" s="152" t="s">
        <v>85</v>
      </c>
      <c r="B102" s="5">
        <f>+'Weighted Rev Allocation'!B29</f>
        <v>445529.98025436932</v>
      </c>
      <c r="C102" s="5">
        <f>+'Weighted Rev Allocation'!C29</f>
        <v>2387.1531455599925</v>
      </c>
      <c r="D102" s="5">
        <f>+'Weighted Rev Allocation'!D29</f>
        <v>0</v>
      </c>
      <c r="E102" s="428"/>
      <c r="F102" s="5">
        <f>+'Weighted Rev Allocation'!F29</f>
        <v>311870.98617805849</v>
      </c>
      <c r="G102" s="5">
        <f>+'Weighted Rev Allocation'!G29</f>
        <v>477.43062911199854</v>
      </c>
      <c r="H102" s="5">
        <f>+'Weighted Rev Allocation'!H29</f>
        <v>0</v>
      </c>
      <c r="I102" s="179">
        <f>+'Weighted Rev Allocation'!I29</f>
        <v>312348.41680717049</v>
      </c>
    </row>
    <row r="103" spans="1:9" x14ac:dyDescent="0.25">
      <c r="A103" s="152" t="s">
        <v>87</v>
      </c>
      <c r="B103" s="5">
        <f>+'Weighted Rev Allocation'!B30</f>
        <v>4181286.9429956404</v>
      </c>
      <c r="C103" s="5">
        <f>+'Weighted Rev Allocation'!C30</f>
        <v>5571615.4417370223</v>
      </c>
      <c r="D103" s="5">
        <f>+'Weighted Rev Allocation'!D30</f>
        <v>501.2778722395006</v>
      </c>
      <c r="E103" s="428"/>
      <c r="F103" s="5">
        <f>+'Weighted Rev Allocation'!F30</f>
        <v>2926900.8600969482</v>
      </c>
      <c r="G103" s="5">
        <f>+'Weighted Rev Allocation'!G30</f>
        <v>1114323.0883474045</v>
      </c>
      <c r="H103" s="5">
        <f>+'Weighted Rev Allocation'!H30</f>
        <v>50.127787223950065</v>
      </c>
      <c r="I103" s="179">
        <f>+'Weighted Rev Allocation'!I30</f>
        <v>4041274.0762315765</v>
      </c>
    </row>
    <row r="104" spans="1:9" x14ac:dyDescent="0.25">
      <c r="A104" s="152" t="s">
        <v>89</v>
      </c>
      <c r="B104" s="5">
        <f>+'Weighted Rev Allocation'!B31</f>
        <v>2089048.7777743284</v>
      </c>
      <c r="C104" s="5">
        <f>+'Weighted Rev Allocation'!C31</f>
        <v>1601779.7606707548</v>
      </c>
      <c r="D104" s="5">
        <f>+'Weighted Rev Allocation'!D31</f>
        <v>55487.744250066731</v>
      </c>
      <c r="E104" s="428"/>
      <c r="F104" s="5">
        <f>+'Weighted Rev Allocation'!F31</f>
        <v>1462334.1444420298</v>
      </c>
      <c r="G104" s="5">
        <f>+'Weighted Rev Allocation'!G31</f>
        <v>320355.95213415101</v>
      </c>
      <c r="H104" s="5">
        <f>+'Weighted Rev Allocation'!H31</f>
        <v>5548.7744250066735</v>
      </c>
      <c r="I104" s="179">
        <f>+'Weighted Rev Allocation'!I31</f>
        <v>1788238.8710011875</v>
      </c>
    </row>
    <row r="105" spans="1:9" x14ac:dyDescent="0.25">
      <c r="A105" s="152" t="s">
        <v>91</v>
      </c>
      <c r="B105" s="5">
        <f>+'Weighted Rev Allocation'!B32</f>
        <v>3436824.6700000004</v>
      </c>
      <c r="C105" s="5">
        <f>+'Weighted Rev Allocation'!C32</f>
        <v>3436824.6700000004</v>
      </c>
      <c r="D105" s="5">
        <f>+'Weighted Rev Allocation'!D32</f>
        <v>1301679.3479974847</v>
      </c>
      <c r="E105" s="428"/>
      <c r="F105" s="5">
        <f>+'Weighted Rev Allocation'!F32</f>
        <v>2405777.2690000003</v>
      </c>
      <c r="G105" s="5">
        <f>+'Weighted Rev Allocation'!G32</f>
        <v>687364.93400000012</v>
      </c>
      <c r="H105" s="5">
        <f>+'Weighted Rev Allocation'!H32</f>
        <v>130167.93479974847</v>
      </c>
      <c r="I105" s="179">
        <f>+'Weighted Rev Allocation'!I32</f>
        <v>3223310.1377997492</v>
      </c>
    </row>
    <row r="106" spans="1:9" x14ac:dyDescent="0.25">
      <c r="A106" s="152" t="s">
        <v>92</v>
      </c>
      <c r="B106" s="5">
        <f>+'Weighted Rev Allocation'!B33</f>
        <v>0</v>
      </c>
      <c r="C106" s="5">
        <f>+'Weighted Rev Allocation'!C33</f>
        <v>5342448.7397632636</v>
      </c>
      <c r="D106" s="5">
        <f>+'Weighted Rev Allocation'!D33</f>
        <v>0</v>
      </c>
      <c r="E106" s="428"/>
      <c r="F106" s="5">
        <f>+'Weighted Rev Allocation'!F33</f>
        <v>0</v>
      </c>
      <c r="G106" s="5">
        <f>+'Weighted Rev Allocation'!G33</f>
        <v>1068489.7479526529</v>
      </c>
      <c r="H106" s="5">
        <f>+'Weighted Rev Allocation'!H33</f>
        <v>0</v>
      </c>
      <c r="I106" s="179">
        <f>+'Weighted Rev Allocation'!I33</f>
        <v>1068489.7479526529</v>
      </c>
    </row>
    <row r="107" spans="1:9" x14ac:dyDescent="0.25">
      <c r="A107" s="152" t="s">
        <v>93</v>
      </c>
      <c r="B107" s="5">
        <f>+'Weighted Rev Allocation'!B34</f>
        <v>0</v>
      </c>
      <c r="C107" s="5">
        <f>+'Weighted Rev Allocation'!C34</f>
        <v>0</v>
      </c>
      <c r="D107" s="5">
        <f>+'Weighted Rev Allocation'!D34</f>
        <v>0</v>
      </c>
      <c r="E107" s="428"/>
      <c r="F107" s="5">
        <f>+'Weighted Rev Allocation'!F34</f>
        <v>0</v>
      </c>
      <c r="G107" s="5">
        <f>+'Weighted Rev Allocation'!G34</f>
        <v>0</v>
      </c>
      <c r="H107" s="5">
        <f>+'Weighted Rev Allocation'!H34</f>
        <v>0</v>
      </c>
      <c r="I107" s="179">
        <f>+'Weighted Rev Allocation'!I34</f>
        <v>0</v>
      </c>
    </row>
    <row r="108" spans="1:9" x14ac:dyDescent="0.25">
      <c r="A108" s="152" t="s">
        <v>95</v>
      </c>
      <c r="B108" s="5">
        <f>+'Weighted Rev Allocation'!B35</f>
        <v>0</v>
      </c>
      <c r="C108" s="5">
        <f>+'Weighted Rev Allocation'!C35</f>
        <v>0</v>
      </c>
      <c r="D108" s="5">
        <f>+'Weighted Rev Allocation'!D35</f>
        <v>0</v>
      </c>
      <c r="E108" s="428"/>
      <c r="F108" s="5">
        <f>+'Weighted Rev Allocation'!F35</f>
        <v>0</v>
      </c>
      <c r="G108" s="5">
        <f>+'Weighted Rev Allocation'!G35</f>
        <v>0</v>
      </c>
      <c r="H108" s="5">
        <f>+'Weighted Rev Allocation'!H35</f>
        <v>0</v>
      </c>
      <c r="I108" s="179">
        <f>+'Weighted Rev Allocation'!I35</f>
        <v>0</v>
      </c>
    </row>
    <row r="109" spans="1:9" x14ac:dyDescent="0.25">
      <c r="A109" s="152" t="s">
        <v>26</v>
      </c>
      <c r="B109" s="5">
        <f>+'Weighted Rev Allocation'!B36</f>
        <v>0</v>
      </c>
      <c r="C109" s="5">
        <f>+'Weighted Rev Allocation'!C36</f>
        <v>0</v>
      </c>
      <c r="D109" s="5">
        <f>+'Weighted Rev Allocation'!D36</f>
        <v>24307567.368825678</v>
      </c>
      <c r="E109" s="428"/>
      <c r="F109" s="5">
        <f>+'Weighted Rev Allocation'!F36</f>
        <v>0</v>
      </c>
      <c r="G109" s="5">
        <f>+'Weighted Rev Allocation'!G36</f>
        <v>0</v>
      </c>
      <c r="H109" s="5">
        <f>+'Weighted Rev Allocation'!H36</f>
        <v>2430756.7368825679</v>
      </c>
      <c r="I109" s="179">
        <f>+'Weighted Rev Allocation'!I36</f>
        <v>2430756.7368825679</v>
      </c>
    </row>
    <row r="110" spans="1:9" ht="15.75" thickBot="1" x14ac:dyDescent="0.3">
      <c r="A110" s="129"/>
      <c r="B110" s="33">
        <f>SUM(B97:B109)</f>
        <v>53652978.240000002</v>
      </c>
      <c r="C110" s="33">
        <f t="shared" ref="C110:D110" si="30">SUM(C97:C109)</f>
        <v>53652978.239999995</v>
      </c>
      <c r="D110" s="33">
        <f t="shared" si="30"/>
        <v>53652978.24000001</v>
      </c>
      <c r="E110" s="5"/>
      <c r="F110" s="33">
        <f t="shared" ref="F110:I110" si="31">SUM(F97:F109)</f>
        <v>37557084.768000007</v>
      </c>
      <c r="G110" s="33">
        <f t="shared" si="31"/>
        <v>10730595.648000002</v>
      </c>
      <c r="H110" s="33">
        <f t="shared" si="31"/>
        <v>5365297.824000001</v>
      </c>
      <c r="I110" s="481">
        <f t="shared" si="31"/>
        <v>53652978.239999995</v>
      </c>
    </row>
    <row r="111" spans="1:9" ht="16.5" thickTop="1" thickBot="1" x14ac:dyDescent="0.3">
      <c r="A111" s="134"/>
      <c r="B111" s="135"/>
      <c r="C111" s="135"/>
      <c r="D111" s="135"/>
      <c r="E111" s="135"/>
      <c r="F111" s="135"/>
      <c r="G111" s="135"/>
      <c r="H111" s="135"/>
      <c r="I111" s="136"/>
    </row>
  </sheetData>
  <pageMargins left="0.7" right="0.7" top="0.25" bottom="0.25" header="0.3" footer="0.3"/>
  <pageSetup scale="6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X46"/>
  <sheetViews>
    <sheetView topLeftCell="V1" workbookViewId="0">
      <selection activeCell="AV11" sqref="AV11"/>
    </sheetView>
  </sheetViews>
  <sheetFormatPr defaultRowHeight="15" x14ac:dyDescent="0.25"/>
  <cols>
    <col min="1" max="1" width="36.85546875" bestFit="1" customWidth="1"/>
    <col min="2" max="2" width="15.28515625" bestFit="1" customWidth="1"/>
    <col min="4" max="5" width="15.28515625" bestFit="1" customWidth="1"/>
    <col min="8" max="8" width="16.140625" bestFit="1" customWidth="1"/>
    <col min="9" max="14" width="17.42578125" hidden="1" customWidth="1"/>
    <col min="15" max="15" width="18.85546875" hidden="1" customWidth="1"/>
    <col min="16" max="17" width="19" hidden="1" customWidth="1"/>
    <col min="18" max="18" width="2.28515625" hidden="1" customWidth="1"/>
    <col min="19" max="21" width="0" hidden="1" customWidth="1"/>
    <col min="23" max="27" width="0" hidden="1" customWidth="1"/>
    <col min="28" max="28" width="2.28515625" hidden="1" customWidth="1"/>
    <col min="29" max="29" width="9.140625" hidden="1" customWidth="1"/>
    <col min="30" max="30" width="7.140625" hidden="1" customWidth="1"/>
    <col min="31" max="37" width="0" hidden="1" customWidth="1"/>
    <col min="43" max="43" width="2.28515625" customWidth="1"/>
    <col min="44" max="44" width="24.42578125" bestFit="1" customWidth="1"/>
    <col min="45" max="45" width="15.28515625" bestFit="1" customWidth="1"/>
    <col min="46" max="49" width="14.28515625" customWidth="1"/>
  </cols>
  <sheetData>
    <row r="1" spans="1:50" x14ac:dyDescent="0.25">
      <c r="AR1" s="41"/>
      <c r="AS1" s="41"/>
      <c r="AT1" s="41"/>
      <c r="AU1" s="41"/>
      <c r="AV1" s="41"/>
      <c r="AW1" s="41"/>
    </row>
    <row r="2" spans="1:50" x14ac:dyDescent="0.25">
      <c r="AR2" s="94">
        <f>+'Net Tuition AY'!L33</f>
        <v>53652978.240000002</v>
      </c>
      <c r="AS2" s="94">
        <f>+'Net Tuition AY'!M33</f>
        <v>49317810.269999996</v>
      </c>
      <c r="AT2" s="94">
        <f>+'Net Tuition AY'!N33</f>
        <v>50858554.600000001</v>
      </c>
      <c r="AU2" s="94">
        <f>+'Net Tuition AY'!O33</f>
        <v>54162109.609999999</v>
      </c>
      <c r="AV2" s="94">
        <f>+'Net Tuition AY'!P33</f>
        <v>57832146</v>
      </c>
      <c r="AW2" s="94">
        <f>+'Net Tuition AY'!Q33</f>
        <v>61319780.580679737</v>
      </c>
    </row>
    <row r="3" spans="1:50" x14ac:dyDescent="0.25">
      <c r="D3" s="94">
        <f>+'BAM - 2020'!B6</f>
        <v>53652978.240000002</v>
      </c>
      <c r="AR3" s="41"/>
      <c r="AS3" s="41"/>
      <c r="AT3" s="41"/>
      <c r="AU3" s="41"/>
      <c r="AV3" s="41"/>
      <c r="AW3" s="41"/>
    </row>
    <row r="4" spans="1:50" ht="15.75" thickBot="1" x14ac:dyDescent="0.3"/>
    <row r="5" spans="1:50" x14ac:dyDescent="0.25">
      <c r="B5" s="48" t="s">
        <v>398</v>
      </c>
      <c r="D5" s="48" t="s">
        <v>398</v>
      </c>
      <c r="G5" s="127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240" t="s">
        <v>399</v>
      </c>
      <c r="AD5" s="239">
        <v>2019</v>
      </c>
      <c r="AE5" s="240" t="s">
        <v>400</v>
      </c>
      <c r="AF5" s="239">
        <v>2020</v>
      </c>
      <c r="AG5" s="240" t="s">
        <v>401</v>
      </c>
      <c r="AH5" s="239">
        <v>2021</v>
      </c>
      <c r="AI5" s="240" t="s">
        <v>402</v>
      </c>
      <c r="AJ5" s="239">
        <v>2022</v>
      </c>
      <c r="AK5" s="240" t="s">
        <v>403</v>
      </c>
      <c r="AL5" s="239">
        <v>2023</v>
      </c>
      <c r="AM5" s="240" t="s">
        <v>404</v>
      </c>
      <c r="AN5" s="239">
        <v>2024</v>
      </c>
      <c r="AO5" s="240" t="s">
        <v>405</v>
      </c>
      <c r="AP5" s="239">
        <v>2025</v>
      </c>
      <c r="AQ5" s="128"/>
      <c r="AR5" s="128"/>
      <c r="AS5" s="128"/>
      <c r="AT5" s="128"/>
      <c r="AU5" s="128"/>
      <c r="AV5" s="128"/>
      <c r="AW5" s="128"/>
      <c r="AX5" s="237"/>
    </row>
    <row r="6" spans="1:50" x14ac:dyDescent="0.25">
      <c r="A6" s="42" t="s">
        <v>406</v>
      </c>
      <c r="B6" s="42">
        <v>2020</v>
      </c>
      <c r="D6" s="42">
        <v>2020</v>
      </c>
      <c r="G6" s="129"/>
      <c r="I6" s="42" t="s">
        <v>407</v>
      </c>
      <c r="J6" s="42" t="s">
        <v>408</v>
      </c>
      <c r="K6" s="42" t="s">
        <v>409</v>
      </c>
      <c r="L6" s="42" t="s">
        <v>410</v>
      </c>
      <c r="M6" s="254" t="s">
        <v>411</v>
      </c>
      <c r="N6" s="254" t="s">
        <v>412</v>
      </c>
      <c r="O6" s="254" t="s">
        <v>413</v>
      </c>
      <c r="P6" s="254" t="s">
        <v>414</v>
      </c>
      <c r="Q6" s="254" t="s">
        <v>415</v>
      </c>
      <c r="R6" s="6"/>
      <c r="S6" s="42">
        <v>2017</v>
      </c>
      <c r="T6" s="42">
        <v>2018</v>
      </c>
      <c r="U6" s="42">
        <v>2019</v>
      </c>
      <c r="V6" s="42">
        <v>2020</v>
      </c>
      <c r="W6" s="42">
        <v>2021</v>
      </c>
      <c r="X6" s="42">
        <v>2022</v>
      </c>
      <c r="Y6" s="42">
        <v>2023</v>
      </c>
      <c r="Z6" s="42" t="s">
        <v>416</v>
      </c>
      <c r="AA6" s="254" t="s">
        <v>417</v>
      </c>
      <c r="AB6" s="42"/>
      <c r="AC6" s="42" t="s">
        <v>418</v>
      </c>
      <c r="AD6" s="42" t="s">
        <v>419</v>
      </c>
      <c r="AE6" s="42" t="s">
        <v>418</v>
      </c>
      <c r="AF6" s="42" t="s">
        <v>419</v>
      </c>
      <c r="AG6" s="42" t="s">
        <v>418</v>
      </c>
      <c r="AH6" s="42" t="s">
        <v>419</v>
      </c>
      <c r="AI6" s="42" t="s">
        <v>418</v>
      </c>
      <c r="AJ6" s="42" t="s">
        <v>419</v>
      </c>
      <c r="AK6" s="42" t="s">
        <v>418</v>
      </c>
      <c r="AL6" s="42" t="s">
        <v>419</v>
      </c>
      <c r="AM6" s="42" t="s">
        <v>418</v>
      </c>
      <c r="AN6" s="42" t="s">
        <v>419</v>
      </c>
      <c r="AO6" s="42" t="s">
        <v>418</v>
      </c>
      <c r="AP6" s="42" t="s">
        <v>419</v>
      </c>
      <c r="AQ6" s="42"/>
      <c r="AR6" s="42">
        <v>2020</v>
      </c>
      <c r="AS6" s="42">
        <v>2021</v>
      </c>
      <c r="AT6" s="42">
        <v>2022</v>
      </c>
      <c r="AU6" s="42">
        <v>2023</v>
      </c>
      <c r="AV6" s="42">
        <v>2024</v>
      </c>
      <c r="AW6" s="42">
        <v>2025</v>
      </c>
      <c r="AX6" s="132"/>
    </row>
    <row r="7" spans="1:50" x14ac:dyDescent="0.25">
      <c r="A7" s="43" t="s">
        <v>420</v>
      </c>
      <c r="B7" s="1">
        <f>+D28</f>
        <v>10302222.649999999</v>
      </c>
      <c r="C7" s="51">
        <f t="shared" ref="C7:C16" si="0">+B7/$B$17</f>
        <v>0.10223302967183485</v>
      </c>
      <c r="D7" s="1">
        <f t="shared" ref="D7:D16" si="1">+C7*$D$3</f>
        <v>5485106.5163922301</v>
      </c>
      <c r="G7" s="129"/>
      <c r="H7" t="s">
        <v>76</v>
      </c>
      <c r="I7" s="241">
        <v>3790181.05</v>
      </c>
      <c r="J7" s="241">
        <v>3730605.3099999996</v>
      </c>
      <c r="K7" s="241">
        <v>3834060.2900000005</v>
      </c>
      <c r="L7" s="241">
        <v>3557545.4099999997</v>
      </c>
      <c r="M7" s="241">
        <v>3169517</v>
      </c>
      <c r="N7" s="241">
        <v>2653805</v>
      </c>
      <c r="O7" s="241">
        <v>2996742.3600000003</v>
      </c>
      <c r="P7" s="288">
        <v>3000000</v>
      </c>
      <c r="Q7" s="288">
        <f>+P7</f>
        <v>3000000</v>
      </c>
      <c r="S7" s="56">
        <f>+I7/$I$19</f>
        <v>4.3016326461310414E-2</v>
      </c>
      <c r="T7" s="56">
        <f t="shared" ref="T7:T18" si="2">+J7/$J$19</f>
        <v>4.3097533585255282E-2</v>
      </c>
      <c r="U7" s="56">
        <f t="shared" ref="U7:U18" si="3">+K7/$K$19</f>
        <v>4.5222729068636183E-2</v>
      </c>
      <c r="V7" s="56">
        <f t="shared" ref="V7:V18" si="4">+L7/$L$19</f>
        <v>3.9789707141925097E-2</v>
      </c>
      <c r="W7" s="56">
        <f t="shared" ref="W7:W18" si="5">+M7/$M$19</f>
        <v>3.2279069779511352E-2</v>
      </c>
      <c r="X7" s="56">
        <f t="shared" ref="X7:X18" si="6">+N7/$N$19</f>
        <v>2.5553974496743181E-2</v>
      </c>
      <c r="Y7" s="56">
        <f t="shared" ref="Y7:Y18" si="7">+O7/$O$19</f>
        <v>2.7520690496326654E-2</v>
      </c>
      <c r="Z7" s="56">
        <f t="shared" ref="Z7:Z18" si="8">+P7/$P$19</f>
        <v>2.5062656641604009E-2</v>
      </c>
      <c r="AA7" s="56">
        <f t="shared" ref="AA7:AA18" si="9">+Q7/$Q$19</f>
        <v>2.5062656641604009E-2</v>
      </c>
      <c r="AC7" s="238">
        <f t="shared" ref="AC7:AC14" si="10">AVERAGE(S7:U7)</f>
        <v>4.3778863038400624E-2</v>
      </c>
      <c r="AD7" s="238">
        <f>+AC7</f>
        <v>4.3778863038400624E-2</v>
      </c>
      <c r="AE7" s="238">
        <f t="shared" ref="AE7:AE14" si="11">AVERAGE(T7:V7)</f>
        <v>4.2703323265272188E-2</v>
      </c>
      <c r="AF7" s="238">
        <f>+AE7</f>
        <v>4.2703323265272188E-2</v>
      </c>
      <c r="AG7" s="238">
        <f t="shared" ref="AG7:AG14" si="12">AVERAGE(U7:W7)</f>
        <v>3.9097168663357544E-2</v>
      </c>
      <c r="AH7" s="238">
        <f>+AG7</f>
        <v>3.9097168663357544E-2</v>
      </c>
      <c r="AI7" s="238">
        <f t="shared" ref="AI7:AI14" si="13">AVERAGE(V7:X7)</f>
        <v>3.2540917139393215E-2</v>
      </c>
      <c r="AJ7" s="238">
        <f>+AI7</f>
        <v>3.2540917139393215E-2</v>
      </c>
      <c r="AK7" s="238">
        <f>AVERAGE(W7:Y7)</f>
        <v>2.8451244924193726E-2</v>
      </c>
      <c r="AL7" s="238">
        <f>+AK7</f>
        <v>2.8451244924193726E-2</v>
      </c>
      <c r="AM7" s="238">
        <f>AVERAGE(X7:Z7)</f>
        <v>2.6045773878224616E-2</v>
      </c>
      <c r="AN7" s="238">
        <f>+AM7</f>
        <v>2.6045773878224616E-2</v>
      </c>
      <c r="AO7" s="238">
        <f>AVERAGE(Y7:AA7)</f>
        <v>2.5882001259844894E-2</v>
      </c>
      <c r="AP7" s="238">
        <f>+AO7</f>
        <v>2.5882001259844894E-2</v>
      </c>
      <c r="AR7" s="5">
        <f>+AF7*$AR$2</f>
        <v>2291160.4739273344</v>
      </c>
      <c r="AS7" s="5">
        <f>+AH7*$AS$2</f>
        <v>1928186.7462336568</v>
      </c>
      <c r="AT7" s="5">
        <f>+AJ7*$AT$2</f>
        <v>1654984.0110679057</v>
      </c>
      <c r="AU7" s="5">
        <f>+AL7*$AU$2</f>
        <v>1540979.4461251367</v>
      </c>
      <c r="AV7" s="5">
        <f>+AN7*$AV$2</f>
        <v>1506282.9976084721</v>
      </c>
      <c r="AW7" s="5">
        <f>+AO7*$AW$2</f>
        <v>1587078.6382425653</v>
      </c>
      <c r="AX7" s="132"/>
    </row>
    <row r="8" spans="1:50" x14ac:dyDescent="0.25">
      <c r="A8" s="43" t="s">
        <v>87</v>
      </c>
      <c r="B8" s="1"/>
      <c r="C8" s="51">
        <f t="shared" si="0"/>
        <v>0</v>
      </c>
      <c r="D8" s="1">
        <f t="shared" si="1"/>
        <v>0</v>
      </c>
      <c r="G8" s="129"/>
      <c r="H8" t="s">
        <v>78</v>
      </c>
      <c r="I8" s="241">
        <v>17402791.279999997</v>
      </c>
      <c r="J8" s="241">
        <v>17417066.770000003</v>
      </c>
      <c r="K8" s="241">
        <v>19119112.18</v>
      </c>
      <c r="L8" s="241">
        <v>17883561.460000001</v>
      </c>
      <c r="M8" s="241">
        <v>17766555</v>
      </c>
      <c r="N8" s="241">
        <v>25730555</v>
      </c>
      <c r="O8" s="241">
        <v>26927298.719999999</v>
      </c>
      <c r="P8" s="288">
        <v>29000000</v>
      </c>
      <c r="Q8" s="288">
        <f t="shared" ref="Q8" si="14">+P8</f>
        <v>29000000</v>
      </c>
      <c r="S8" s="56">
        <f t="shared" ref="S8:S18" si="15">+I8/$I$19</f>
        <v>0.19751144896851985</v>
      </c>
      <c r="T8" s="56">
        <f t="shared" si="2"/>
        <v>0.20120933674345437</v>
      </c>
      <c r="U8" s="56">
        <f t="shared" si="3"/>
        <v>0.22550986806443826</v>
      </c>
      <c r="V8" s="56">
        <f t="shared" si="4"/>
        <v>0.20002040484088116</v>
      </c>
      <c r="W8" s="56">
        <f t="shared" si="5"/>
        <v>0.180938568427469</v>
      </c>
      <c r="X8" s="56">
        <f t="shared" si="6"/>
        <v>0.24776422768705603</v>
      </c>
      <c r="Y8" s="56">
        <f t="shared" si="7"/>
        <v>0.24728780954504637</v>
      </c>
      <c r="Z8" s="56">
        <f t="shared" si="8"/>
        <v>0.24227234753550542</v>
      </c>
      <c r="AA8" s="56">
        <f t="shared" si="9"/>
        <v>0.24227234753550542</v>
      </c>
      <c r="AC8" s="238">
        <f t="shared" si="10"/>
        <v>0.2080768845921375</v>
      </c>
      <c r="AD8" s="238">
        <f>+AC8</f>
        <v>0.2080768845921375</v>
      </c>
      <c r="AE8" s="238">
        <f t="shared" si="11"/>
        <v>0.20891320321625792</v>
      </c>
      <c r="AF8" s="238">
        <f>+AE8</f>
        <v>0.20891320321625792</v>
      </c>
      <c r="AG8" s="238">
        <f t="shared" si="12"/>
        <v>0.20215628044426281</v>
      </c>
      <c r="AH8" s="238">
        <f>+AG8</f>
        <v>0.20215628044426281</v>
      </c>
      <c r="AI8" s="238">
        <f t="shared" si="13"/>
        <v>0.20957440031846875</v>
      </c>
      <c r="AJ8" s="238">
        <f>+AI8</f>
        <v>0.20957440031846875</v>
      </c>
      <c r="AK8" s="238">
        <f t="shared" ref="AK8:AK18" si="16">AVERAGE(W8:Y8)</f>
        <v>0.22533020188652378</v>
      </c>
      <c r="AL8" s="238">
        <f>+AK8</f>
        <v>0.22533020188652378</v>
      </c>
      <c r="AM8" s="238">
        <f t="shared" ref="AM8:AM18" si="17">AVERAGE(X8:Z8)</f>
        <v>0.24577479492253596</v>
      </c>
      <c r="AN8" s="238">
        <f>+AM8</f>
        <v>0.24577479492253596</v>
      </c>
      <c r="AO8" s="238">
        <f t="shared" ref="AO8:AO18" si="18">AVERAGE(Y8:AA8)</f>
        <v>0.24394416820535239</v>
      </c>
      <c r="AP8" s="238">
        <f>+AO8</f>
        <v>0.24394416820535239</v>
      </c>
      <c r="AR8" s="5">
        <f t="shared" ref="AR8:AR18" si="19">+AF8*$AR$2</f>
        <v>11208815.546210585</v>
      </c>
      <c r="AS8" s="5">
        <f t="shared" ref="AS8:AS18" si="20">+AH8*$AS$2</f>
        <v>9969905.0838390645</v>
      </c>
      <c r="AT8" s="5">
        <f t="shared" ref="AT8:AT18" si="21">+AJ8*$AT$2</f>
        <v>10658651.0813591</v>
      </c>
      <c r="AU8" s="5">
        <f t="shared" ref="AU8:AU18" si="22">+AL8*$AU$2</f>
        <v>12204359.093021329</v>
      </c>
      <c r="AV8" s="5">
        <f t="shared" ref="AV8:AV18" si="23">+AN8*$AV$2</f>
        <v>14213683.823080158</v>
      </c>
      <c r="AW8" s="5">
        <f t="shared" ref="AW8:AW18" si="24">+AO8*$AW$2</f>
        <v>14958602.868288638</v>
      </c>
      <c r="AX8" s="132"/>
    </row>
    <row r="9" spans="1:50" x14ac:dyDescent="0.25">
      <c r="A9" s="43" t="s">
        <v>75</v>
      </c>
      <c r="B9" s="1">
        <f>+D25</f>
        <v>4762226.09</v>
      </c>
      <c r="C9" s="51">
        <f t="shared" si="0"/>
        <v>4.7257452852948786E-2</v>
      </c>
      <c r="D9" s="1">
        <f t="shared" si="1"/>
        <v>2535503.0895970874</v>
      </c>
      <c r="G9" s="129"/>
      <c r="H9" t="s">
        <v>80</v>
      </c>
      <c r="I9" s="241">
        <v>10386575.300000003</v>
      </c>
      <c r="J9" s="241">
        <v>9891049.3999999985</v>
      </c>
      <c r="K9" s="241">
        <v>9974857.7799999993</v>
      </c>
      <c r="L9" s="241">
        <v>9636516.6000000015</v>
      </c>
      <c r="M9" s="241">
        <v>11177047</v>
      </c>
      <c r="N9" s="241">
        <v>13664971</v>
      </c>
      <c r="O9" s="241">
        <v>13155915.220000001</v>
      </c>
      <c r="P9" s="288">
        <v>16000000</v>
      </c>
      <c r="Q9" s="288">
        <f t="shared" ref="Q9" si="25">+P9</f>
        <v>16000000</v>
      </c>
      <c r="S9" s="56">
        <f t="shared" si="15"/>
        <v>0.11788152281532389</v>
      </c>
      <c r="T9" s="56">
        <f t="shared" si="2"/>
        <v>0.11426559453160674</v>
      </c>
      <c r="U9" s="56">
        <f t="shared" si="3"/>
        <v>0.11765341616031752</v>
      </c>
      <c r="V9" s="56">
        <f t="shared" si="4"/>
        <v>0.10778054225379512</v>
      </c>
      <c r="W9" s="56">
        <f t="shared" si="5"/>
        <v>0.11382954565060796</v>
      </c>
      <c r="X9" s="56">
        <f t="shared" si="6"/>
        <v>0.13158250905124347</v>
      </c>
      <c r="Y9" s="56">
        <f t="shared" si="7"/>
        <v>0.12081781730663464</v>
      </c>
      <c r="Z9" s="56">
        <f t="shared" si="8"/>
        <v>0.13366750208855471</v>
      </c>
      <c r="AA9" s="56">
        <f t="shared" si="9"/>
        <v>0.13366750208855471</v>
      </c>
      <c r="AC9" s="238">
        <f t="shared" si="10"/>
        <v>0.11660017783574939</v>
      </c>
      <c r="AD9" s="238">
        <f>+AC9</f>
        <v>0.11660017783574939</v>
      </c>
      <c r="AE9" s="238">
        <f t="shared" si="11"/>
        <v>0.11323318431523981</v>
      </c>
      <c r="AF9" s="238">
        <f>+AE9</f>
        <v>0.11323318431523981</v>
      </c>
      <c r="AG9" s="238">
        <f t="shared" si="12"/>
        <v>0.1130878346882402</v>
      </c>
      <c r="AH9" s="238">
        <f>+AG9</f>
        <v>0.1130878346882402</v>
      </c>
      <c r="AI9" s="238">
        <f t="shared" si="13"/>
        <v>0.11773086565188218</v>
      </c>
      <c r="AJ9" s="238">
        <f>+AI9</f>
        <v>0.11773086565188218</v>
      </c>
      <c r="AK9" s="238">
        <f t="shared" si="16"/>
        <v>0.12207662400282869</v>
      </c>
      <c r="AL9" s="238">
        <f>+AK9</f>
        <v>0.12207662400282869</v>
      </c>
      <c r="AM9" s="238">
        <f t="shared" si="17"/>
        <v>0.12868927614881095</v>
      </c>
      <c r="AN9" s="238">
        <f>+AM9</f>
        <v>0.12868927614881095</v>
      </c>
      <c r="AO9" s="238">
        <f t="shared" si="18"/>
        <v>0.1293842738279147</v>
      </c>
      <c r="AP9" s="238">
        <f>+AO9</f>
        <v>0.1293842738279147</v>
      </c>
      <c r="AR9" s="5">
        <f t="shared" si="19"/>
        <v>6075297.574111471</v>
      </c>
      <c r="AS9" s="5">
        <f t="shared" si="20"/>
        <v>5577244.3749997541</v>
      </c>
      <c r="AT9" s="5">
        <f t="shared" si="21"/>
        <v>5987621.6588615142</v>
      </c>
      <c r="AU9" s="5">
        <f t="shared" si="22"/>
        <v>6611927.4900599644</v>
      </c>
      <c r="AV9" s="5">
        <f t="shared" si="23"/>
        <v>7442377.0068723531</v>
      </c>
      <c r="AW9" s="5">
        <f t="shared" si="24"/>
        <v>7933815.2817183137</v>
      </c>
      <c r="AX9" s="132"/>
    </row>
    <row r="10" spans="1:50" x14ac:dyDescent="0.25">
      <c r="A10" s="43" t="s">
        <v>421</v>
      </c>
      <c r="B10" s="1">
        <f>+D27</f>
        <v>10547984.429999998</v>
      </c>
      <c r="C10" s="51">
        <f t="shared" si="0"/>
        <v>0.10467182100847354</v>
      </c>
      <c r="D10" s="1">
        <f t="shared" si="1"/>
        <v>5615954.9349088063</v>
      </c>
      <c r="G10" s="129"/>
      <c r="H10" t="s">
        <v>232</v>
      </c>
      <c r="I10" s="241">
        <v>13461831.720000001</v>
      </c>
      <c r="J10" s="241">
        <v>13175307</v>
      </c>
      <c r="K10" s="241">
        <v>14251321.369999997</v>
      </c>
      <c r="L10" s="241">
        <v>13185271.880000001</v>
      </c>
      <c r="M10" s="241">
        <v>11147943</v>
      </c>
      <c r="N10" s="241">
        <v>16071373</v>
      </c>
      <c r="O10" s="241">
        <v>14688182.560000001</v>
      </c>
      <c r="P10" s="288">
        <v>16000000</v>
      </c>
      <c r="Q10" s="288">
        <f t="shared" ref="Q10" si="26">+P10</f>
        <v>16000000</v>
      </c>
      <c r="S10" s="56">
        <f t="shared" si="15"/>
        <v>0.15278387506969987</v>
      </c>
      <c r="T10" s="56">
        <f t="shared" si="2"/>
        <v>0.15220673020715481</v>
      </c>
      <c r="U10" s="56">
        <f t="shared" si="3"/>
        <v>0.16809429076181137</v>
      </c>
      <c r="V10" s="56">
        <f t="shared" si="4"/>
        <v>0.14747193534540443</v>
      </c>
      <c r="W10" s="56">
        <f t="shared" si="5"/>
        <v>0.11353314400743555</v>
      </c>
      <c r="X10" s="56">
        <f t="shared" si="6"/>
        <v>0.15475419473911872</v>
      </c>
      <c r="Y10" s="56">
        <f t="shared" si="7"/>
        <v>0.1348894491508115</v>
      </c>
      <c r="Z10" s="56">
        <f t="shared" si="8"/>
        <v>0.13366750208855471</v>
      </c>
      <c r="AA10" s="56">
        <f t="shared" si="9"/>
        <v>0.13366750208855471</v>
      </c>
      <c r="AC10" s="238">
        <f t="shared" si="10"/>
        <v>0.15769496534622202</v>
      </c>
      <c r="AD10" s="238">
        <f>+AC10</f>
        <v>0.15769496534622202</v>
      </c>
      <c r="AE10" s="238">
        <f t="shared" si="11"/>
        <v>0.15592431877145688</v>
      </c>
      <c r="AF10" s="238">
        <f>+AE10</f>
        <v>0.15592431877145688</v>
      </c>
      <c r="AG10" s="238">
        <f t="shared" si="12"/>
        <v>0.14303312337155047</v>
      </c>
      <c r="AH10" s="238">
        <f>+AG10</f>
        <v>0.14303312337155047</v>
      </c>
      <c r="AI10" s="238">
        <f t="shared" si="13"/>
        <v>0.13858642469731958</v>
      </c>
      <c r="AJ10" s="238">
        <f>+AI10</f>
        <v>0.13858642469731958</v>
      </c>
      <c r="AK10" s="238">
        <f t="shared" si="16"/>
        <v>0.13439226263245527</v>
      </c>
      <c r="AL10" s="238">
        <f>+AK10</f>
        <v>0.13439226263245527</v>
      </c>
      <c r="AM10" s="238">
        <f t="shared" si="17"/>
        <v>0.14110371532616164</v>
      </c>
      <c r="AN10" s="238">
        <f>+AM10</f>
        <v>0.14110371532616164</v>
      </c>
      <c r="AO10" s="238">
        <f t="shared" si="18"/>
        <v>0.13407481777597363</v>
      </c>
      <c r="AP10" s="238">
        <f>+AO10</f>
        <v>0.13407481777597363</v>
      </c>
      <c r="AR10" s="5">
        <f t="shared" si="19"/>
        <v>8365804.0821317993</v>
      </c>
      <c r="AS10" s="5">
        <f t="shared" si="20"/>
        <v>7054080.4407636281</v>
      </c>
      <c r="AT10" s="5">
        <f t="shared" si="21"/>
        <v>7048305.2472874168</v>
      </c>
      <c r="AU10" s="5">
        <f t="shared" si="22"/>
        <v>7278968.4594349489</v>
      </c>
      <c r="AV10" s="5">
        <f t="shared" si="23"/>
        <v>8160330.6658850182</v>
      </c>
      <c r="AW10" s="5">
        <f t="shared" si="24"/>
        <v>8221438.4074173225</v>
      </c>
      <c r="AX10" s="132"/>
    </row>
    <row r="11" spans="1:50" x14ac:dyDescent="0.25">
      <c r="A11" s="43" t="s">
        <v>422</v>
      </c>
      <c r="B11" s="1">
        <f>+D26</f>
        <v>22372083.069999997</v>
      </c>
      <c r="C11" s="51">
        <f t="shared" si="0"/>
        <v>0.22200702799954183</v>
      </c>
      <c r="D11" s="1">
        <f t="shared" si="1"/>
        <v>11911338.24238649</v>
      </c>
      <c r="G11" s="129"/>
      <c r="H11" t="s">
        <v>423</v>
      </c>
      <c r="I11" s="241">
        <v>116656.67000000001</v>
      </c>
      <c r="J11" s="241">
        <v>104131.53</v>
      </c>
      <c r="K11" s="241">
        <v>66937.78</v>
      </c>
      <c r="L11" s="241">
        <v>55143.320000000007</v>
      </c>
      <c r="M11" s="241">
        <v>88722.58</v>
      </c>
      <c r="N11" s="241">
        <v>88722.58</v>
      </c>
      <c r="O11" s="241">
        <v>344309.85000000003</v>
      </c>
      <c r="P11" s="288">
        <v>100000</v>
      </c>
      <c r="Q11" s="288">
        <f t="shared" ref="Q11" si="27">+P11</f>
        <v>100000</v>
      </c>
      <c r="S11" s="56">
        <f t="shared" si="15"/>
        <v>1.3239846156186542E-3</v>
      </c>
      <c r="T11" s="56">
        <f t="shared" si="2"/>
        <v>1.2029715658821646E-3</v>
      </c>
      <c r="U11" s="56">
        <f t="shared" si="3"/>
        <v>7.8953090468902702E-4</v>
      </c>
      <c r="V11" s="56">
        <f t="shared" si="4"/>
        <v>6.1675574047934968E-4</v>
      </c>
      <c r="W11" s="56">
        <f t="shared" si="5"/>
        <v>9.0357059161956792E-4</v>
      </c>
      <c r="X11" s="56">
        <f t="shared" si="6"/>
        <v>8.5432597594972378E-4</v>
      </c>
      <c r="Y11" s="56">
        <f t="shared" si="7"/>
        <v>3.1619818050313327E-3</v>
      </c>
      <c r="Z11" s="56">
        <f t="shared" si="8"/>
        <v>8.3542188805346695E-4</v>
      </c>
      <c r="AA11" s="56">
        <f t="shared" si="9"/>
        <v>8.3542188805346695E-4</v>
      </c>
      <c r="AC11" s="238">
        <f t="shared" si="10"/>
        <v>1.1054956953966152E-3</v>
      </c>
      <c r="AD11" s="238">
        <f t="shared" ref="AD11:AH11" si="28">+AC11</f>
        <v>1.1054956953966152E-3</v>
      </c>
      <c r="AE11" s="238">
        <f t="shared" si="11"/>
        <v>8.6975273701684708E-4</v>
      </c>
      <c r="AF11" s="238">
        <f t="shared" si="28"/>
        <v>8.6975273701684708E-4</v>
      </c>
      <c r="AG11" s="238">
        <f t="shared" si="12"/>
        <v>7.6995241226264814E-4</v>
      </c>
      <c r="AH11" s="238">
        <f t="shared" si="28"/>
        <v>7.6995241226264814E-4</v>
      </c>
      <c r="AI11" s="238">
        <f t="shared" si="13"/>
        <v>7.9155076934954709E-4</v>
      </c>
      <c r="AJ11" s="238">
        <f t="shared" ref="AJ11" si="29">+AI11</f>
        <v>7.9155076934954709E-4</v>
      </c>
      <c r="AK11" s="238">
        <f t="shared" si="16"/>
        <v>1.6399594575335415E-3</v>
      </c>
      <c r="AL11" s="238">
        <f t="shared" ref="AL11" si="30">+AK11</f>
        <v>1.6399594575335415E-3</v>
      </c>
      <c r="AM11" s="238">
        <f t="shared" si="17"/>
        <v>1.6172432230115077E-3</v>
      </c>
      <c r="AN11" s="238">
        <f t="shared" ref="AN11:AP11" si="31">+AM11</f>
        <v>1.6172432230115077E-3</v>
      </c>
      <c r="AO11" s="238">
        <f t="shared" si="18"/>
        <v>1.6109418603794223E-3</v>
      </c>
      <c r="AP11" s="238">
        <f t="shared" si="31"/>
        <v>1.6109418603794223E-3</v>
      </c>
      <c r="AR11" s="5">
        <f t="shared" si="19"/>
        <v>46664.824673345342</v>
      </c>
      <c r="AS11" s="5">
        <f t="shared" si="20"/>
        <v>37972.366984898101</v>
      </c>
      <c r="AT11" s="5">
        <f t="shared" si="21"/>
        <v>40257.128021635952</v>
      </c>
      <c r="AU11" s="5">
        <f t="shared" si="22"/>
        <v>88823.66389488781</v>
      </c>
      <c r="AV11" s="5">
        <f t="shared" si="23"/>
        <v>93528.646190712068</v>
      </c>
      <c r="AW11" s="5">
        <f t="shared" si="24"/>
        <v>98782.601406698188</v>
      </c>
      <c r="AX11" s="132"/>
    </row>
    <row r="12" spans="1:50" x14ac:dyDescent="0.25">
      <c r="A12" s="43" t="s">
        <v>424</v>
      </c>
      <c r="B12" s="1"/>
      <c r="C12" s="51">
        <f t="shared" si="0"/>
        <v>0</v>
      </c>
      <c r="D12" s="1">
        <f t="shared" si="1"/>
        <v>0</v>
      </c>
      <c r="G12" s="129"/>
      <c r="H12" t="s">
        <v>425</v>
      </c>
      <c r="M12" s="241"/>
      <c r="N12" s="241">
        <v>0</v>
      </c>
      <c r="O12" s="241">
        <v>0</v>
      </c>
      <c r="P12" s="288">
        <v>0</v>
      </c>
      <c r="Q12" s="288">
        <f t="shared" ref="Q12" si="32">+P12</f>
        <v>0</v>
      </c>
      <c r="S12" s="56">
        <f t="shared" si="15"/>
        <v>0</v>
      </c>
      <c r="T12" s="56">
        <f t="shared" si="2"/>
        <v>0</v>
      </c>
      <c r="U12" s="56">
        <f t="shared" si="3"/>
        <v>0</v>
      </c>
      <c r="V12" s="56">
        <f t="shared" si="4"/>
        <v>0</v>
      </c>
      <c r="W12" s="56">
        <f t="shared" si="5"/>
        <v>0</v>
      </c>
      <c r="X12" s="56">
        <f t="shared" si="6"/>
        <v>0</v>
      </c>
      <c r="Y12" s="56">
        <f t="shared" si="7"/>
        <v>0</v>
      </c>
      <c r="Z12" s="56">
        <f t="shared" si="8"/>
        <v>0</v>
      </c>
      <c r="AA12" s="56">
        <f t="shared" si="9"/>
        <v>0</v>
      </c>
      <c r="AC12" s="238">
        <f t="shared" si="10"/>
        <v>0</v>
      </c>
      <c r="AE12" s="238">
        <f t="shared" si="11"/>
        <v>0</v>
      </c>
      <c r="AG12" s="238">
        <f t="shared" si="12"/>
        <v>0</v>
      </c>
      <c r="AH12" s="238">
        <f>+AG12</f>
        <v>0</v>
      </c>
      <c r="AI12" s="238">
        <f t="shared" si="13"/>
        <v>0</v>
      </c>
      <c r="AJ12" s="238">
        <f>+AI12</f>
        <v>0</v>
      </c>
      <c r="AK12" s="238">
        <f t="shared" si="16"/>
        <v>0</v>
      </c>
      <c r="AL12" s="238">
        <f>+AK12</f>
        <v>0</v>
      </c>
      <c r="AM12" s="238">
        <f t="shared" si="17"/>
        <v>0</v>
      </c>
      <c r="AN12" s="238">
        <f>+AM12</f>
        <v>0</v>
      </c>
      <c r="AO12" s="238">
        <f t="shared" si="18"/>
        <v>0</v>
      </c>
      <c r="AP12" s="238">
        <f>+AO12</f>
        <v>0</v>
      </c>
      <c r="AR12" s="5">
        <f t="shared" si="19"/>
        <v>0</v>
      </c>
      <c r="AS12" s="5">
        <f t="shared" si="20"/>
        <v>0</v>
      </c>
      <c r="AT12" s="5">
        <f t="shared" si="21"/>
        <v>0</v>
      </c>
      <c r="AU12" s="5">
        <f t="shared" si="22"/>
        <v>0</v>
      </c>
      <c r="AV12" s="5">
        <f t="shared" si="23"/>
        <v>0</v>
      </c>
      <c r="AW12" s="5">
        <f t="shared" si="24"/>
        <v>0</v>
      </c>
      <c r="AX12" s="132"/>
    </row>
    <row r="13" spans="1:50" x14ac:dyDescent="0.25">
      <c r="A13" s="43" t="s">
        <v>194</v>
      </c>
      <c r="B13" s="1"/>
      <c r="C13" s="51">
        <f t="shared" si="0"/>
        <v>0</v>
      </c>
      <c r="D13" s="1">
        <f t="shared" si="1"/>
        <v>0</v>
      </c>
      <c r="G13" s="129"/>
      <c r="H13" t="s">
        <v>88</v>
      </c>
      <c r="I13" s="241">
        <v>0</v>
      </c>
      <c r="J13" s="241">
        <v>939.06</v>
      </c>
      <c r="K13" s="241">
        <v>1456.59</v>
      </c>
      <c r="L13" s="241"/>
      <c r="M13" s="241">
        <v>23277</v>
      </c>
      <c r="N13" s="241">
        <v>1043951</v>
      </c>
      <c r="O13" s="241">
        <v>1043950.61</v>
      </c>
      <c r="P13" s="288">
        <v>1000000</v>
      </c>
      <c r="Q13" s="288">
        <f t="shared" ref="Q13" si="33">+P13</f>
        <v>1000000</v>
      </c>
      <c r="S13" s="56">
        <f t="shared" si="15"/>
        <v>0</v>
      </c>
      <c r="T13" s="56">
        <f t="shared" si="2"/>
        <v>1.0848419097052598E-5</v>
      </c>
      <c r="U13" s="56">
        <f t="shared" si="3"/>
        <v>1.7180474471382077E-5</v>
      </c>
      <c r="V13" s="56">
        <f t="shared" si="4"/>
        <v>0</v>
      </c>
      <c r="W13" s="56">
        <f t="shared" si="5"/>
        <v>2.3705817235171342E-4</v>
      </c>
      <c r="X13" s="56">
        <f t="shared" si="6"/>
        <v>1.0052395420857802E-2</v>
      </c>
      <c r="Y13" s="56">
        <f t="shared" si="7"/>
        <v>9.5871577132381203E-3</v>
      </c>
      <c r="Z13" s="56">
        <f t="shared" si="8"/>
        <v>8.3542188805346695E-3</v>
      </c>
      <c r="AA13" s="56">
        <f t="shared" si="9"/>
        <v>8.3542188805346695E-3</v>
      </c>
      <c r="AC13" s="238">
        <f t="shared" si="10"/>
        <v>9.3429645228115592E-6</v>
      </c>
      <c r="AD13" s="238">
        <f>+AC13</f>
        <v>9.3429645228115592E-6</v>
      </c>
      <c r="AE13" s="238">
        <f t="shared" si="11"/>
        <v>9.3429645228115592E-6</v>
      </c>
      <c r="AF13" s="238">
        <f>+AE13</f>
        <v>9.3429645228115592E-6</v>
      </c>
      <c r="AG13" s="238">
        <f t="shared" si="12"/>
        <v>8.4746215607698502E-5</v>
      </c>
      <c r="AH13" s="238">
        <f>+AG13</f>
        <v>8.4746215607698502E-5</v>
      </c>
      <c r="AI13" s="238">
        <f t="shared" si="13"/>
        <v>3.4298178644031718E-3</v>
      </c>
      <c r="AJ13" s="238">
        <f>+AI13</f>
        <v>3.4298178644031718E-3</v>
      </c>
      <c r="AK13" s="238">
        <f t="shared" si="16"/>
        <v>6.6255371021492109E-3</v>
      </c>
      <c r="AL13" s="238">
        <f>+AK13</f>
        <v>6.6255371021492109E-3</v>
      </c>
      <c r="AM13" s="238">
        <f t="shared" si="17"/>
        <v>9.3312573382101967E-3</v>
      </c>
      <c r="AN13" s="238">
        <f>+AM13</f>
        <v>9.3312573382101967E-3</v>
      </c>
      <c r="AO13" s="238">
        <f t="shared" si="18"/>
        <v>8.7651984914358192E-3</v>
      </c>
      <c r="AP13" s="238">
        <f>+AO13</f>
        <v>8.7651984914358192E-3</v>
      </c>
      <c r="AR13" s="5">
        <f t="shared" si="19"/>
        <v>501.2778722395006</v>
      </c>
      <c r="AS13" s="5">
        <f t="shared" si="20"/>
        <v>4179.4977824409871</v>
      </c>
      <c r="AT13" s="5">
        <f t="shared" si="21"/>
        <v>174435.57912480412</v>
      </c>
      <c r="AU13" s="5">
        <f t="shared" si="22"/>
        <v>358853.06675172731</v>
      </c>
      <c r="AV13" s="5">
        <f t="shared" si="23"/>
        <v>539646.63674694346</v>
      </c>
      <c r="AW13" s="5">
        <f t="shared" si="24"/>
        <v>537480.04824094952</v>
      </c>
      <c r="AX13" s="132"/>
    </row>
    <row r="14" spans="1:50" x14ac:dyDescent="0.25">
      <c r="A14" s="43" t="s">
        <v>91</v>
      </c>
      <c r="B14" s="1"/>
      <c r="C14" s="51">
        <f t="shared" si="0"/>
        <v>0</v>
      </c>
      <c r="D14" s="1">
        <f t="shared" si="1"/>
        <v>0</v>
      </c>
      <c r="G14" s="129"/>
      <c r="H14" t="s">
        <v>90</v>
      </c>
      <c r="I14" s="241">
        <v>10090.32</v>
      </c>
      <c r="J14" s="241">
        <v>2907.6400000000003</v>
      </c>
      <c r="K14" s="241">
        <v>24186.18</v>
      </c>
      <c r="L14" s="241">
        <v>248889.15000000002</v>
      </c>
      <c r="M14" s="241">
        <v>148918</v>
      </c>
      <c r="N14" s="241">
        <v>225047.8</v>
      </c>
      <c r="O14" s="241">
        <v>231215.89</v>
      </c>
      <c r="P14" s="288">
        <v>220000</v>
      </c>
      <c r="Q14" s="288">
        <f t="shared" ref="Q14" si="34">+P14</f>
        <v>220000</v>
      </c>
      <c r="S14" s="56">
        <f t="shared" si="15"/>
        <v>1.1451919934513147E-4</v>
      </c>
      <c r="T14" s="56">
        <f t="shared" si="2"/>
        <v>3.3590289548435692E-5</v>
      </c>
      <c r="U14" s="56">
        <f t="shared" si="3"/>
        <v>2.8527591707361153E-4</v>
      </c>
      <c r="V14" s="56">
        <f t="shared" si="4"/>
        <v>2.7837245201327364E-3</v>
      </c>
      <c r="W14" s="56">
        <f t="shared" si="5"/>
        <v>1.5166142075985936E-3</v>
      </c>
      <c r="X14" s="56">
        <f t="shared" si="6"/>
        <v>2.1670264928086878E-3</v>
      </c>
      <c r="Y14" s="56">
        <f t="shared" si="7"/>
        <v>2.1233793840464512E-3</v>
      </c>
      <c r="Z14" s="56">
        <f t="shared" si="8"/>
        <v>1.8379281537176273E-3</v>
      </c>
      <c r="AA14" s="56">
        <f t="shared" si="9"/>
        <v>1.8379281537176273E-3</v>
      </c>
      <c r="AC14" s="238">
        <f t="shared" si="10"/>
        <v>1.4446180198905958E-4</v>
      </c>
      <c r="AD14" s="238">
        <f>+AC14</f>
        <v>1.4446180198905958E-4</v>
      </c>
      <c r="AE14" s="238">
        <f t="shared" si="11"/>
        <v>1.0341969089182612E-3</v>
      </c>
      <c r="AF14" s="238">
        <f>+AE14</f>
        <v>1.0341969089182612E-3</v>
      </c>
      <c r="AG14" s="238">
        <f t="shared" si="12"/>
        <v>1.5285382149349807E-3</v>
      </c>
      <c r="AH14" s="238">
        <f>+AG14</f>
        <v>1.5285382149349807E-3</v>
      </c>
      <c r="AI14" s="238">
        <f t="shared" si="13"/>
        <v>2.1557884068466727E-3</v>
      </c>
      <c r="AJ14" s="238">
        <f>+AI14</f>
        <v>2.1557884068466727E-3</v>
      </c>
      <c r="AK14" s="238">
        <f t="shared" si="16"/>
        <v>1.9356733614845775E-3</v>
      </c>
      <c r="AL14" s="238">
        <f>+AK14</f>
        <v>1.9356733614845775E-3</v>
      </c>
      <c r="AM14" s="238">
        <f t="shared" si="17"/>
        <v>2.0427780101909222E-3</v>
      </c>
      <c r="AN14" s="238">
        <f>+AM14</f>
        <v>2.0427780101909222E-3</v>
      </c>
      <c r="AO14" s="238">
        <f t="shared" si="18"/>
        <v>1.9330785638272353E-3</v>
      </c>
      <c r="AP14" s="238">
        <f>+AO14</f>
        <v>1.9330785638272353E-3</v>
      </c>
      <c r="AR14" s="5">
        <f t="shared" si="19"/>
        <v>55487.744250066731</v>
      </c>
      <c r="AS14" s="5">
        <f t="shared" si="20"/>
        <v>75384.15767460785</v>
      </c>
      <c r="AT14" s="5">
        <f t="shared" si="21"/>
        <v>109640.28239565852</v>
      </c>
      <c r="AU14" s="5">
        <f t="shared" si="22"/>
        <v>104840.15277388484</v>
      </c>
      <c r="AV14" s="5">
        <f t="shared" si="23"/>
        <v>118138.2361309509</v>
      </c>
      <c r="AW14" s="5">
        <f t="shared" si="24"/>
        <v>118535.95337910159</v>
      </c>
      <c r="AX14" s="132"/>
    </row>
    <row r="15" spans="1:50" x14ac:dyDescent="0.25">
      <c r="A15" s="43" t="s">
        <v>426</v>
      </c>
      <c r="B15" s="1">
        <f>+E43</f>
        <v>52583730.520000011</v>
      </c>
      <c r="C15" s="51">
        <f t="shared" si="0"/>
        <v>0.52180915372732017</v>
      </c>
      <c r="D15" s="1">
        <f t="shared" si="1"/>
        <v>27996615.170364726</v>
      </c>
      <c r="G15" s="129"/>
      <c r="P15" s="108"/>
      <c r="Q15" s="108">
        <f t="shared" ref="Q15" si="35">+P15</f>
        <v>0</v>
      </c>
      <c r="S15" s="56">
        <f t="shared" si="15"/>
        <v>0</v>
      </c>
      <c r="T15" s="56">
        <f t="shared" si="2"/>
        <v>0</v>
      </c>
      <c r="U15" s="56">
        <f t="shared" si="3"/>
        <v>0</v>
      </c>
      <c r="V15" s="56">
        <f t="shared" si="4"/>
        <v>0</v>
      </c>
      <c r="W15" s="56">
        <f t="shared" si="5"/>
        <v>0</v>
      </c>
      <c r="X15" s="56">
        <f t="shared" si="6"/>
        <v>0</v>
      </c>
      <c r="Y15" s="56">
        <f t="shared" si="7"/>
        <v>0</v>
      </c>
      <c r="Z15" s="56">
        <f t="shared" si="8"/>
        <v>0</v>
      </c>
      <c r="AA15" s="56">
        <f t="shared" si="9"/>
        <v>0</v>
      </c>
      <c r="AC15" s="238">
        <f t="shared" ref="AC15:AC18" si="36">AVERAGE(S15:U15)</f>
        <v>0</v>
      </c>
      <c r="AE15" s="238">
        <f t="shared" ref="AE15:AE18" si="37">AVERAGE(T15:V15)</f>
        <v>0</v>
      </c>
      <c r="AG15" s="238">
        <f t="shared" ref="AG15:AG18" si="38">AVERAGE(U15:W15)</f>
        <v>0</v>
      </c>
      <c r="AI15" s="238">
        <f t="shared" ref="AI15:AI18" si="39">AVERAGE(V15:X15)</f>
        <v>0</v>
      </c>
      <c r="AK15" s="238">
        <f t="shared" si="16"/>
        <v>0</v>
      </c>
      <c r="AM15" s="238">
        <f t="shared" si="17"/>
        <v>0</v>
      </c>
      <c r="AO15" s="238">
        <f t="shared" si="18"/>
        <v>0</v>
      </c>
      <c r="AR15" s="5">
        <f t="shared" si="19"/>
        <v>0</v>
      </c>
      <c r="AS15" s="5">
        <f t="shared" si="20"/>
        <v>0</v>
      </c>
      <c r="AT15" s="5">
        <f t="shared" si="21"/>
        <v>0</v>
      </c>
      <c r="AU15" s="5">
        <f t="shared" si="22"/>
        <v>0</v>
      </c>
      <c r="AV15" s="5">
        <f t="shared" si="23"/>
        <v>0</v>
      </c>
      <c r="AW15" s="5">
        <f t="shared" si="24"/>
        <v>0</v>
      </c>
      <c r="AX15" s="132"/>
    </row>
    <row r="16" spans="1:50" x14ac:dyDescent="0.25">
      <c r="A16" s="43" t="s">
        <v>89</v>
      </c>
      <c r="B16" s="1">
        <f>+D40</f>
        <v>203712</v>
      </c>
      <c r="C16" s="51">
        <f t="shared" si="0"/>
        <v>2.0215147398807989E-3</v>
      </c>
      <c r="D16" s="1">
        <f t="shared" si="1"/>
        <v>108460.28635066377</v>
      </c>
      <c r="G16" s="129"/>
      <c r="H16" t="s">
        <v>91</v>
      </c>
      <c r="I16" s="241">
        <v>5612695.7300000004</v>
      </c>
      <c r="J16" s="241">
        <v>5162769.5699999994</v>
      </c>
      <c r="K16" s="241">
        <v>769623.84000000008</v>
      </c>
      <c r="L16" s="241">
        <v>363270.67</v>
      </c>
      <c r="M16" s="241">
        <v>299144</v>
      </c>
      <c r="N16" s="241">
        <v>377676.4</v>
      </c>
      <c r="O16" s="241">
        <v>377676.41</v>
      </c>
      <c r="P16" s="288">
        <v>380000</v>
      </c>
      <c r="Q16" s="288">
        <f t="shared" ref="Q16" si="40">+P16</f>
        <v>380000</v>
      </c>
      <c r="S16" s="56">
        <f t="shared" si="15"/>
        <v>6.3700796522552131E-2</v>
      </c>
      <c r="T16" s="56">
        <f t="shared" si="2"/>
        <v>5.9642502073211541E-2</v>
      </c>
      <c r="U16" s="56">
        <f t="shared" si="3"/>
        <v>9.0777107735787333E-3</v>
      </c>
      <c r="V16" s="56">
        <f t="shared" si="4"/>
        <v>4.0630355783851865E-3</v>
      </c>
      <c r="W16" s="56">
        <f t="shared" si="5"/>
        <v>3.0465493796443255E-3</v>
      </c>
      <c r="X16" s="56">
        <f t="shared" si="6"/>
        <v>3.6367152423112388E-3</v>
      </c>
      <c r="Y16" s="56">
        <f t="shared" si="7"/>
        <v>3.468404800529388E-3</v>
      </c>
      <c r="Z16" s="56">
        <f t="shared" si="8"/>
        <v>3.1746031746031746E-3</v>
      </c>
      <c r="AA16" s="56">
        <f t="shared" si="9"/>
        <v>3.1746031746031746E-3</v>
      </c>
      <c r="AC16" s="238">
        <f t="shared" si="36"/>
        <v>4.4140336456447472E-2</v>
      </c>
      <c r="AD16" s="238">
        <f>+AC16</f>
        <v>4.4140336456447472E-2</v>
      </c>
      <c r="AE16" s="238">
        <f t="shared" si="37"/>
        <v>2.4261082808391825E-2</v>
      </c>
      <c r="AF16" s="238">
        <f>+AE16</f>
        <v>2.4261082808391825E-2</v>
      </c>
      <c r="AG16" s="238">
        <f t="shared" si="38"/>
        <v>5.3957652438694145E-3</v>
      </c>
      <c r="AH16" s="238">
        <f>+AG16</f>
        <v>5.3957652438694145E-3</v>
      </c>
      <c r="AI16" s="238">
        <f t="shared" si="39"/>
        <v>3.5821000667802506E-3</v>
      </c>
      <c r="AJ16" s="238">
        <f>+AI16</f>
        <v>3.5821000667802506E-3</v>
      </c>
      <c r="AK16" s="238">
        <f t="shared" si="16"/>
        <v>3.3838898074949838E-3</v>
      </c>
      <c r="AL16" s="238">
        <f>+AK16</f>
        <v>3.3838898074949838E-3</v>
      </c>
      <c r="AM16" s="238">
        <f t="shared" si="17"/>
        <v>3.4265744058146002E-3</v>
      </c>
      <c r="AN16" s="238">
        <f>+AM16</f>
        <v>3.4265744058146002E-3</v>
      </c>
      <c r="AO16" s="238">
        <f t="shared" si="18"/>
        <v>3.2725370499119126E-3</v>
      </c>
      <c r="AP16" s="238">
        <f>+AO16</f>
        <v>3.2725370499119126E-3</v>
      </c>
      <c r="AR16" s="5">
        <f t="shared" si="19"/>
        <v>1301679.3479974847</v>
      </c>
      <c r="AS16" s="5">
        <f t="shared" si="20"/>
        <v>266107.32655861205</v>
      </c>
      <c r="AT16" s="5">
        <f t="shared" si="21"/>
        <v>182180.43182900702</v>
      </c>
      <c r="AU16" s="5">
        <f t="shared" si="22"/>
        <v>183278.61066170511</v>
      </c>
      <c r="AV16" s="5">
        <f t="shared" si="23"/>
        <v>198166.15131693322</v>
      </c>
      <c r="AW16" s="5">
        <f t="shared" si="24"/>
        <v>200671.25384274346</v>
      </c>
      <c r="AX16" s="132"/>
    </row>
    <row r="17" spans="1:50" x14ac:dyDescent="0.25">
      <c r="B17" s="32">
        <f>SUM(B7:B16)</f>
        <v>100771958.76000001</v>
      </c>
      <c r="C17" s="52">
        <f>SUM(C7:C16)</f>
        <v>1</v>
      </c>
      <c r="D17" s="32">
        <f>SUM(D7:D16)</f>
        <v>53652978.24000001</v>
      </c>
      <c r="G17" s="129"/>
      <c r="H17" t="s">
        <v>156</v>
      </c>
      <c r="I17" s="241">
        <v>5931560.6100000013</v>
      </c>
      <c r="J17" s="241">
        <v>5817793.9600000009</v>
      </c>
      <c r="K17" s="241">
        <v>7351041.2400000002</v>
      </c>
      <c r="L17" s="241">
        <v>7491116.2400000002</v>
      </c>
      <c r="M17" s="241">
        <v>7768310</v>
      </c>
      <c r="N17" s="241">
        <v>13614435</v>
      </c>
      <c r="O17" s="241">
        <v>16018046.010000002</v>
      </c>
      <c r="P17" s="288">
        <v>16000000</v>
      </c>
      <c r="Q17" s="288">
        <f t="shared" ref="Q17" si="41">+P17</f>
        <v>16000000</v>
      </c>
      <c r="S17" s="56">
        <f t="shared" si="15"/>
        <v>6.7319725432327199E-2</v>
      </c>
      <c r="T17" s="56">
        <f t="shared" si="2"/>
        <v>6.7209621428216806E-2</v>
      </c>
      <c r="U17" s="56">
        <f t="shared" si="3"/>
        <v>8.6705508318673657E-2</v>
      </c>
      <c r="V17" s="56">
        <f t="shared" si="4"/>
        <v>8.378510658440734E-2</v>
      </c>
      <c r="W17" s="56">
        <f t="shared" si="5"/>
        <v>7.9114205905466292E-2</v>
      </c>
      <c r="X17" s="56">
        <f t="shared" si="6"/>
        <v>0.13109588864953067</v>
      </c>
      <c r="Y17" s="56">
        <f t="shared" si="7"/>
        <v>0.14710229764200686</v>
      </c>
      <c r="Z17" s="56">
        <f t="shared" si="8"/>
        <v>0.13366750208855471</v>
      </c>
      <c r="AA17" s="56">
        <f t="shared" si="9"/>
        <v>0.13366750208855471</v>
      </c>
      <c r="AC17" s="238">
        <f t="shared" si="36"/>
        <v>7.3744951726405897E-2</v>
      </c>
      <c r="AE17" s="238">
        <f t="shared" si="37"/>
        <v>7.9233412110432611E-2</v>
      </c>
      <c r="AG17" s="238">
        <f t="shared" si="38"/>
        <v>8.3201606936182435E-2</v>
      </c>
      <c r="AI17" s="238">
        <f t="shared" si="39"/>
        <v>9.799840037980144E-2</v>
      </c>
      <c r="AK17" s="238">
        <f t="shared" si="16"/>
        <v>0.11910413073233461</v>
      </c>
      <c r="AM17" s="238">
        <f t="shared" si="17"/>
        <v>0.13728856279336407</v>
      </c>
      <c r="AO17" s="238">
        <f t="shared" si="18"/>
        <v>0.13814576727303876</v>
      </c>
      <c r="AR17" s="5">
        <f t="shared" si="19"/>
        <v>0</v>
      </c>
      <c r="AS17" s="5">
        <f t="shared" si="20"/>
        <v>0</v>
      </c>
      <c r="AT17" s="5">
        <f t="shared" si="21"/>
        <v>0</v>
      </c>
      <c r="AU17" s="5">
        <f t="shared" si="22"/>
        <v>0</v>
      </c>
      <c r="AV17" s="5">
        <f t="shared" si="23"/>
        <v>0</v>
      </c>
      <c r="AW17" s="5">
        <f t="shared" si="24"/>
        <v>8471068.1373323854</v>
      </c>
      <c r="AX17" s="132"/>
    </row>
    <row r="18" spans="1:50" x14ac:dyDescent="0.25">
      <c r="G18" s="129"/>
      <c r="H18" t="s">
        <v>427</v>
      </c>
      <c r="I18" s="241">
        <v>31397908.499999993</v>
      </c>
      <c r="J18" s="241">
        <v>31259351.049999997</v>
      </c>
      <c r="K18" s="241">
        <v>29389112.499999996</v>
      </c>
      <c r="L18" s="241">
        <v>36987370.719999999</v>
      </c>
      <c r="M18" s="241">
        <v>46601655</v>
      </c>
      <c r="N18" s="241">
        <v>30380431.699999999</v>
      </c>
      <c r="O18" s="241">
        <v>33107184.589999996</v>
      </c>
      <c r="P18" s="288">
        <v>38000000</v>
      </c>
      <c r="Q18" s="288">
        <f t="shared" ref="Q18" si="42">+P18</f>
        <v>38000000</v>
      </c>
      <c r="S18" s="56">
        <f t="shared" si="15"/>
        <v>0.35634780091530266</v>
      </c>
      <c r="T18" s="56">
        <f t="shared" si="2"/>
        <v>0.36112127115657272</v>
      </c>
      <c r="U18" s="56">
        <f t="shared" si="3"/>
        <v>0.34664448955631016</v>
      </c>
      <c r="V18" s="56">
        <f t="shared" si="4"/>
        <v>0.41368878799458958</v>
      </c>
      <c r="W18" s="56">
        <f t="shared" si="5"/>
        <v>0.47460167387829566</v>
      </c>
      <c r="X18" s="56">
        <f t="shared" si="6"/>
        <v>0.29253874224438042</v>
      </c>
      <c r="Y18" s="56">
        <f t="shared" si="7"/>
        <v>0.30404101215632867</v>
      </c>
      <c r="Z18" s="56">
        <f t="shared" si="8"/>
        <v>0.31746031746031744</v>
      </c>
      <c r="AA18" s="56">
        <f t="shared" si="9"/>
        <v>0.31746031746031744</v>
      </c>
      <c r="AC18" s="238">
        <f t="shared" si="36"/>
        <v>0.35470452054272855</v>
      </c>
      <c r="AD18" s="238">
        <f>+AC18+AC17</f>
        <v>0.42844947226913443</v>
      </c>
      <c r="AE18" s="238">
        <f t="shared" si="37"/>
        <v>0.37381818290249086</v>
      </c>
      <c r="AF18" s="238">
        <f>+AE18+AE17</f>
        <v>0.45305159501292347</v>
      </c>
      <c r="AG18" s="238">
        <f t="shared" si="38"/>
        <v>0.4116449838097318</v>
      </c>
      <c r="AH18" s="238">
        <f>+AG18+AG17</f>
        <v>0.49484659074591425</v>
      </c>
      <c r="AI18" s="238">
        <f t="shared" si="39"/>
        <v>0.39360973470575522</v>
      </c>
      <c r="AJ18" s="238">
        <f>+AI18+AI17</f>
        <v>0.49160813508555667</v>
      </c>
      <c r="AK18" s="238">
        <f t="shared" si="16"/>
        <v>0.35706047609300157</v>
      </c>
      <c r="AL18" s="238">
        <f>+AK18+AK17</f>
        <v>0.47616460682533618</v>
      </c>
      <c r="AM18" s="238">
        <f t="shared" si="17"/>
        <v>0.30468002395367549</v>
      </c>
      <c r="AN18" s="238">
        <f>+AM18+AM17</f>
        <v>0.44196858674703954</v>
      </c>
      <c r="AO18" s="238">
        <f t="shared" si="18"/>
        <v>0.31298721569232119</v>
      </c>
      <c r="AP18" s="238">
        <f>+AO18+AO17</f>
        <v>0.45113298296535997</v>
      </c>
      <c r="AR18" s="5">
        <f t="shared" si="19"/>
        <v>24307567.368825678</v>
      </c>
      <c r="AS18" s="5">
        <f t="shared" si="20"/>
        <v>24404750.275163334</v>
      </c>
      <c r="AT18" s="5">
        <f t="shared" si="21"/>
        <v>25002479.180052962</v>
      </c>
      <c r="AU18" s="5">
        <f t="shared" si="22"/>
        <v>25790079.627276413</v>
      </c>
      <c r="AV18" s="5">
        <f t="shared" si="23"/>
        <v>25559991.836168457</v>
      </c>
      <c r="AW18" s="5">
        <f t="shared" si="24"/>
        <v>19192307.390811019</v>
      </c>
      <c r="AX18" s="132"/>
    </row>
    <row r="19" spans="1:50" x14ac:dyDescent="0.25">
      <c r="A19" s="41"/>
      <c r="B19" s="42">
        <v>2020</v>
      </c>
      <c r="D19" s="42" t="s">
        <v>428</v>
      </c>
      <c r="E19" s="42" t="s">
        <v>426</v>
      </c>
      <c r="G19" s="129"/>
      <c r="H19" t="s">
        <v>429</v>
      </c>
      <c r="I19" s="236">
        <f>SUM(I7:I18)</f>
        <v>88110291.180000007</v>
      </c>
      <c r="J19" s="236">
        <f t="shared" ref="J19:Q19" si="43">SUM(J7:J18)</f>
        <v>86561921.290000007</v>
      </c>
      <c r="K19" s="236">
        <f t="shared" si="43"/>
        <v>84781709.75</v>
      </c>
      <c r="L19" s="236">
        <f t="shared" si="43"/>
        <v>89408685.450000003</v>
      </c>
      <c r="M19" s="236">
        <f t="shared" si="43"/>
        <v>98191088.579999998</v>
      </c>
      <c r="N19" s="236">
        <f t="shared" si="43"/>
        <v>103850968.48</v>
      </c>
      <c r="O19" s="236">
        <f t="shared" si="43"/>
        <v>108890522.22</v>
      </c>
      <c r="P19" s="236">
        <f t="shared" si="43"/>
        <v>119700000</v>
      </c>
      <c r="Q19" s="236">
        <f t="shared" si="43"/>
        <v>119700000</v>
      </c>
      <c r="S19" s="57">
        <f>SUM(S7:S18)</f>
        <v>0.99999999999999978</v>
      </c>
      <c r="T19" s="57">
        <f t="shared" ref="T19:X19" si="44">SUM(T7:T18)</f>
        <v>0.99999999999999978</v>
      </c>
      <c r="U19" s="57">
        <f t="shared" si="44"/>
        <v>1</v>
      </c>
      <c r="V19" s="57">
        <f t="shared" si="44"/>
        <v>1</v>
      </c>
      <c r="W19" s="57">
        <f t="shared" si="44"/>
        <v>1</v>
      </c>
      <c r="X19" s="57">
        <f t="shared" si="44"/>
        <v>0.99999999999999978</v>
      </c>
      <c r="Y19" s="57">
        <f t="shared" ref="Y19:Z19" si="45">SUM(Y7:Y18)</f>
        <v>1</v>
      </c>
      <c r="Z19" s="57">
        <f t="shared" si="45"/>
        <v>1</v>
      </c>
      <c r="AA19" s="57">
        <f t="shared" ref="AA19" si="46">SUM(AA7:AA18)</f>
        <v>1</v>
      </c>
      <c r="AC19" s="57">
        <f>SUM(AC7:AC18)</f>
        <v>1</v>
      </c>
      <c r="AD19" s="57">
        <f t="shared" ref="AD19:AJ19" si="47">SUM(AD7:AD18)</f>
        <v>0.99999999999999989</v>
      </c>
      <c r="AE19" s="57">
        <f t="shared" si="47"/>
        <v>1</v>
      </c>
      <c r="AF19" s="57">
        <f t="shared" si="47"/>
        <v>1</v>
      </c>
      <c r="AG19" s="57">
        <f t="shared" si="47"/>
        <v>0.99999999999999989</v>
      </c>
      <c r="AH19" s="57">
        <f t="shared" si="47"/>
        <v>1</v>
      </c>
      <c r="AI19" s="57">
        <f t="shared" si="47"/>
        <v>1</v>
      </c>
      <c r="AJ19" s="57">
        <f t="shared" si="47"/>
        <v>1</v>
      </c>
      <c r="AK19" s="57">
        <f t="shared" ref="AK19:AL19" si="48">SUM(AK7:AK18)</f>
        <v>1</v>
      </c>
      <c r="AL19" s="57">
        <f t="shared" si="48"/>
        <v>1</v>
      </c>
      <c r="AM19" s="57">
        <f t="shared" ref="AM19:AP19" si="49">SUM(AM7:AM18)</f>
        <v>1</v>
      </c>
      <c r="AN19" s="57">
        <f t="shared" si="49"/>
        <v>0.99999999999999989</v>
      </c>
      <c r="AO19" s="57">
        <f t="shared" si="49"/>
        <v>1</v>
      </c>
      <c r="AP19" s="57">
        <f t="shared" si="49"/>
        <v>1</v>
      </c>
      <c r="AR19" s="32">
        <f>SUM(AR7:AR18)</f>
        <v>53652978.24000001</v>
      </c>
      <c r="AS19" s="32">
        <f t="shared" ref="AS19:AW19" si="50">SUM(AS7:AS18)</f>
        <v>49317810.269999996</v>
      </c>
      <c r="AT19" s="32">
        <f t="shared" si="50"/>
        <v>50858554.599999994</v>
      </c>
      <c r="AU19" s="32">
        <f t="shared" si="50"/>
        <v>54162109.609999999</v>
      </c>
      <c r="AV19" s="32">
        <f t="shared" si="50"/>
        <v>57832145.999999993</v>
      </c>
      <c r="AW19" s="32">
        <f t="shared" si="50"/>
        <v>61319780.580679737</v>
      </c>
      <c r="AX19" s="132"/>
    </row>
    <row r="20" spans="1:50" ht="15.75" thickBot="1" x14ac:dyDescent="0.3">
      <c r="A20" s="41" t="s">
        <v>116</v>
      </c>
      <c r="B20" s="186">
        <v>3511401.36</v>
      </c>
      <c r="E20" s="11">
        <f>+B20</f>
        <v>3511401.36</v>
      </c>
      <c r="G20" s="134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6"/>
    </row>
    <row r="21" spans="1:50" x14ac:dyDescent="0.25">
      <c r="A21" s="41" t="s">
        <v>430</v>
      </c>
      <c r="B21" s="186">
        <v>447976</v>
      </c>
      <c r="E21" s="11">
        <f t="shared" ref="E21:E42" si="51">+B21</f>
        <v>447976</v>
      </c>
    </row>
    <row r="22" spans="1:50" x14ac:dyDescent="0.25">
      <c r="A22" s="41" t="s">
        <v>118</v>
      </c>
      <c r="B22" s="186">
        <v>362602</v>
      </c>
      <c r="E22" s="11">
        <f t="shared" si="51"/>
        <v>362602</v>
      </c>
      <c r="AR22" s="11"/>
      <c r="AS22" s="11"/>
      <c r="AT22" s="11"/>
      <c r="AU22" s="11"/>
      <c r="AV22" s="11"/>
      <c r="AW22" s="11"/>
    </row>
    <row r="23" spans="1:50" x14ac:dyDescent="0.25">
      <c r="A23" s="41" t="s">
        <v>179</v>
      </c>
      <c r="B23" s="186">
        <v>764203.3</v>
      </c>
      <c r="E23" s="11">
        <f t="shared" si="51"/>
        <v>764203.3</v>
      </c>
      <c r="H23" t="s">
        <v>431</v>
      </c>
      <c r="L23" t="s">
        <v>76</v>
      </c>
      <c r="M23" s="302" t="s">
        <v>432</v>
      </c>
      <c r="N23" s="304">
        <v>2653805</v>
      </c>
    </row>
    <row r="24" spans="1:50" x14ac:dyDescent="0.25">
      <c r="A24" s="41" t="s">
        <v>122</v>
      </c>
      <c r="B24" s="186">
        <v>77015</v>
      </c>
      <c r="E24" s="11">
        <f t="shared" si="51"/>
        <v>77015</v>
      </c>
      <c r="L24" t="s">
        <v>78</v>
      </c>
      <c r="M24" s="302" t="s">
        <v>433</v>
      </c>
      <c r="N24" s="304">
        <v>25730555</v>
      </c>
    </row>
    <row r="25" spans="1:50" x14ac:dyDescent="0.25">
      <c r="A25" s="41" t="s">
        <v>434</v>
      </c>
      <c r="B25" s="186">
        <v>4762226.09</v>
      </c>
      <c r="D25" s="11">
        <f>+B25</f>
        <v>4762226.09</v>
      </c>
      <c r="E25" s="11"/>
      <c r="L25" t="s">
        <v>80</v>
      </c>
      <c r="M25" s="302" t="s">
        <v>435</v>
      </c>
      <c r="N25" s="304">
        <v>13664971</v>
      </c>
    </row>
    <row r="26" spans="1:50" x14ac:dyDescent="0.25">
      <c r="A26" s="41" t="s">
        <v>436</v>
      </c>
      <c r="B26" s="186">
        <v>22372083.069999997</v>
      </c>
      <c r="D26" s="11">
        <f>+B26</f>
        <v>22372083.069999997</v>
      </c>
      <c r="E26" s="11"/>
      <c r="L26" t="s">
        <v>232</v>
      </c>
      <c r="M26" s="302" t="s">
        <v>232</v>
      </c>
      <c r="N26" s="304">
        <v>16071373</v>
      </c>
    </row>
    <row r="27" spans="1:50" x14ac:dyDescent="0.25">
      <c r="A27" s="41" t="s">
        <v>437</v>
      </c>
      <c r="B27" s="186">
        <v>10547984.429999998</v>
      </c>
      <c r="D27" s="11">
        <f>+B27</f>
        <v>10547984.429999998</v>
      </c>
      <c r="E27" s="11"/>
      <c r="L27" t="s">
        <v>423</v>
      </c>
      <c r="M27" s="302" t="s">
        <v>438</v>
      </c>
      <c r="N27" s="304">
        <v>88722.58</v>
      </c>
    </row>
    <row r="28" spans="1:50" x14ac:dyDescent="0.25">
      <c r="A28" s="41" t="s">
        <v>81</v>
      </c>
      <c r="B28" s="186">
        <v>10302222.649999999</v>
      </c>
      <c r="D28" s="11">
        <f>+B28</f>
        <v>10302222.649999999</v>
      </c>
      <c r="E28" s="11"/>
      <c r="L28" t="s">
        <v>425</v>
      </c>
      <c r="M28" s="302" t="s">
        <v>439</v>
      </c>
      <c r="N28" s="304">
        <v>0</v>
      </c>
    </row>
    <row r="29" spans="1:50" x14ac:dyDescent="0.25">
      <c r="A29" s="41" t="s">
        <v>440</v>
      </c>
      <c r="B29" s="186">
        <v>64314</v>
      </c>
      <c r="E29" s="11">
        <f t="shared" si="51"/>
        <v>64314</v>
      </c>
      <c r="L29" t="s">
        <v>88</v>
      </c>
      <c r="M29" s="302" t="s">
        <v>441</v>
      </c>
      <c r="N29" s="304">
        <v>1043951</v>
      </c>
    </row>
    <row r="30" spans="1:50" x14ac:dyDescent="0.25">
      <c r="A30" s="41" t="s">
        <v>85</v>
      </c>
      <c r="B30" s="186">
        <v>-17625</v>
      </c>
      <c r="E30" s="11">
        <f t="shared" si="51"/>
        <v>-17625</v>
      </c>
      <c r="L30" t="s">
        <v>90</v>
      </c>
      <c r="M30" s="302" t="s">
        <v>442</v>
      </c>
      <c r="N30" s="304">
        <v>225047.8</v>
      </c>
    </row>
    <row r="31" spans="1:50" x14ac:dyDescent="0.25">
      <c r="A31" s="41" t="s">
        <v>131</v>
      </c>
      <c r="B31" s="186">
        <v>104000</v>
      </c>
      <c r="E31" s="11">
        <f t="shared" si="51"/>
        <v>104000</v>
      </c>
      <c r="N31" s="41"/>
    </row>
    <row r="32" spans="1:50" x14ac:dyDescent="0.25">
      <c r="A32" s="41" t="s">
        <v>144</v>
      </c>
      <c r="B32" s="186">
        <v>3966431.85</v>
      </c>
      <c r="E32" s="11">
        <f t="shared" si="51"/>
        <v>3966431.85</v>
      </c>
      <c r="L32" t="s">
        <v>91</v>
      </c>
      <c r="M32" s="302" t="s">
        <v>130</v>
      </c>
      <c r="N32" s="304">
        <v>377676.4</v>
      </c>
    </row>
    <row r="33" spans="1:14" x14ac:dyDescent="0.25">
      <c r="A33" s="41" t="s">
        <v>147</v>
      </c>
      <c r="B33" s="186">
        <v>2750</v>
      </c>
      <c r="E33" s="11">
        <f t="shared" si="51"/>
        <v>2750</v>
      </c>
      <c r="L33" t="s">
        <v>156</v>
      </c>
      <c r="M33" s="302" t="s">
        <v>156</v>
      </c>
      <c r="N33" s="304">
        <v>13614435</v>
      </c>
    </row>
    <row r="34" spans="1:14" x14ac:dyDescent="0.25">
      <c r="A34" s="41" t="s">
        <v>91</v>
      </c>
      <c r="B34" s="186">
        <v>385956</v>
      </c>
      <c r="E34" s="11">
        <f t="shared" si="51"/>
        <v>385956</v>
      </c>
      <c r="L34" t="s">
        <v>427</v>
      </c>
      <c r="N34" s="41">
        <f>SUM(N38:N40)</f>
        <v>30380431.699999999</v>
      </c>
    </row>
    <row r="35" spans="1:14" x14ac:dyDescent="0.25">
      <c r="A35" s="41" t="s">
        <v>443</v>
      </c>
      <c r="B35" s="186">
        <v>15000</v>
      </c>
      <c r="E35" s="11">
        <f t="shared" si="51"/>
        <v>15000</v>
      </c>
    </row>
    <row r="36" spans="1:14" x14ac:dyDescent="0.25">
      <c r="A36" s="41" t="s">
        <v>155</v>
      </c>
      <c r="B36" s="186">
        <v>973902</v>
      </c>
      <c r="E36" s="11">
        <f t="shared" si="51"/>
        <v>973902</v>
      </c>
    </row>
    <row r="37" spans="1:14" x14ac:dyDescent="0.25">
      <c r="A37" s="41" t="s">
        <v>156</v>
      </c>
      <c r="B37" s="186">
        <v>336384</v>
      </c>
      <c r="E37" s="11">
        <f t="shared" si="51"/>
        <v>336384</v>
      </c>
    </row>
    <row r="38" spans="1:14" x14ac:dyDescent="0.25">
      <c r="A38" s="41" t="s">
        <v>180</v>
      </c>
      <c r="B38" s="186">
        <v>36651588.70000001</v>
      </c>
      <c r="E38" s="11">
        <f t="shared" si="51"/>
        <v>36651588.70000001</v>
      </c>
      <c r="M38" s="302" t="s">
        <v>444</v>
      </c>
      <c r="N38" s="303">
        <v>2390307</v>
      </c>
    </row>
    <row r="39" spans="1:14" x14ac:dyDescent="0.25">
      <c r="A39" s="41" t="s">
        <v>445</v>
      </c>
      <c r="B39" s="186">
        <v>3739906</v>
      </c>
      <c r="E39" s="11">
        <f t="shared" si="51"/>
        <v>3739906</v>
      </c>
      <c r="M39" s="302" t="s">
        <v>446</v>
      </c>
      <c r="N39" s="303">
        <v>103365.7</v>
      </c>
    </row>
    <row r="40" spans="1:14" x14ac:dyDescent="0.25">
      <c r="A40" s="41" t="s">
        <v>447</v>
      </c>
      <c r="B40" s="186">
        <v>203712</v>
      </c>
      <c r="D40" s="11">
        <f>+B40</f>
        <v>203712</v>
      </c>
      <c r="E40" s="11"/>
      <c r="M40" s="302" t="s">
        <v>448</v>
      </c>
      <c r="N40" s="303">
        <v>27886759</v>
      </c>
    </row>
    <row r="41" spans="1:14" x14ac:dyDescent="0.25">
      <c r="A41" s="41" t="s">
        <v>174</v>
      </c>
      <c r="B41" s="186">
        <v>1114564.3100000003</v>
      </c>
      <c r="E41" s="11">
        <f t="shared" si="51"/>
        <v>1114564.3100000003</v>
      </c>
    </row>
    <row r="42" spans="1:14" x14ac:dyDescent="0.25">
      <c r="A42" s="41" t="s">
        <v>178</v>
      </c>
      <c r="B42" s="186">
        <v>83361</v>
      </c>
      <c r="E42" s="11">
        <f t="shared" si="51"/>
        <v>83361</v>
      </c>
    </row>
    <row r="43" spans="1:14" ht="15.75" thickBot="1" x14ac:dyDescent="0.3">
      <c r="A43" s="41" t="s">
        <v>429</v>
      </c>
      <c r="B43" s="97">
        <f>SUM(B20:B42)</f>
        <v>100771958.76000001</v>
      </c>
      <c r="D43" s="97">
        <f>SUM(D20:D42)</f>
        <v>48188228.239999995</v>
      </c>
      <c r="E43" s="97">
        <f>SUM(E20:E42)</f>
        <v>52583730.520000011</v>
      </c>
    </row>
    <row r="44" spans="1:14" ht="15.75" thickTop="1" x14ac:dyDescent="0.25">
      <c r="A44" s="41"/>
    </row>
    <row r="45" spans="1:14" x14ac:dyDescent="0.25">
      <c r="A45" s="41"/>
    </row>
    <row r="46" spans="1:14" x14ac:dyDescent="0.25">
      <c r="A46" s="41"/>
    </row>
  </sheetData>
  <pageMargins left="0.7" right="0.7" top="0.75" bottom="0.75" header="0.3" footer="0.3"/>
  <pageSetup scale="3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1481"/>
  <sheetViews>
    <sheetView workbookViewId="0">
      <selection activeCell="W61" sqref="W61"/>
    </sheetView>
  </sheetViews>
  <sheetFormatPr defaultRowHeight="15" x14ac:dyDescent="0.25"/>
  <cols>
    <col min="1" max="1" width="7" bestFit="1" customWidth="1"/>
    <col min="2" max="2" width="21.140625" bestFit="1" customWidth="1"/>
    <col min="3" max="3" width="29" bestFit="1" customWidth="1"/>
    <col min="4" max="4" width="32.85546875" bestFit="1" customWidth="1"/>
    <col min="5" max="5" width="26.28515625" bestFit="1" customWidth="1"/>
    <col min="6" max="7" width="9.5703125" bestFit="1" customWidth="1"/>
    <col min="8" max="8" width="12.85546875" style="41" bestFit="1" customWidth="1"/>
    <col min="257" max="257" width="7" bestFit="1" customWidth="1"/>
    <col min="258" max="258" width="21.140625" bestFit="1" customWidth="1"/>
    <col min="259" max="259" width="29" bestFit="1" customWidth="1"/>
    <col min="260" max="260" width="32.85546875" bestFit="1" customWidth="1"/>
    <col min="261" max="261" width="26.28515625" bestFit="1" customWidth="1"/>
    <col min="262" max="263" width="9.5703125" bestFit="1" customWidth="1"/>
    <col min="264" max="264" width="12.85546875" bestFit="1" customWidth="1"/>
    <col min="513" max="513" width="7" bestFit="1" customWidth="1"/>
    <col min="514" max="514" width="21.140625" bestFit="1" customWidth="1"/>
    <col min="515" max="515" width="29" bestFit="1" customWidth="1"/>
    <col min="516" max="516" width="32.85546875" bestFit="1" customWidth="1"/>
    <col min="517" max="517" width="26.28515625" bestFit="1" customWidth="1"/>
    <col min="518" max="519" width="9.5703125" bestFit="1" customWidth="1"/>
    <col min="520" max="520" width="12.85546875" bestFit="1" customWidth="1"/>
    <col min="769" max="769" width="7" bestFit="1" customWidth="1"/>
    <col min="770" max="770" width="21.140625" bestFit="1" customWidth="1"/>
    <col min="771" max="771" width="29" bestFit="1" customWidth="1"/>
    <col min="772" max="772" width="32.85546875" bestFit="1" customWidth="1"/>
    <col min="773" max="773" width="26.28515625" bestFit="1" customWidth="1"/>
    <col min="774" max="775" width="9.5703125" bestFit="1" customWidth="1"/>
    <col min="776" max="776" width="12.85546875" bestFit="1" customWidth="1"/>
    <col min="1025" max="1025" width="7" bestFit="1" customWidth="1"/>
    <col min="1026" max="1026" width="21.140625" bestFit="1" customWidth="1"/>
    <col min="1027" max="1027" width="29" bestFit="1" customWidth="1"/>
    <col min="1028" max="1028" width="32.85546875" bestFit="1" customWidth="1"/>
    <col min="1029" max="1029" width="26.28515625" bestFit="1" customWidth="1"/>
    <col min="1030" max="1031" width="9.5703125" bestFit="1" customWidth="1"/>
    <col min="1032" max="1032" width="12.85546875" bestFit="1" customWidth="1"/>
    <col min="1281" max="1281" width="7" bestFit="1" customWidth="1"/>
    <col min="1282" max="1282" width="21.140625" bestFit="1" customWidth="1"/>
    <col min="1283" max="1283" width="29" bestFit="1" customWidth="1"/>
    <col min="1284" max="1284" width="32.85546875" bestFit="1" customWidth="1"/>
    <col min="1285" max="1285" width="26.28515625" bestFit="1" customWidth="1"/>
    <col min="1286" max="1287" width="9.5703125" bestFit="1" customWidth="1"/>
    <col min="1288" max="1288" width="12.85546875" bestFit="1" customWidth="1"/>
    <col min="1537" max="1537" width="7" bestFit="1" customWidth="1"/>
    <col min="1538" max="1538" width="21.140625" bestFit="1" customWidth="1"/>
    <col min="1539" max="1539" width="29" bestFit="1" customWidth="1"/>
    <col min="1540" max="1540" width="32.85546875" bestFit="1" customWidth="1"/>
    <col min="1541" max="1541" width="26.28515625" bestFit="1" customWidth="1"/>
    <col min="1542" max="1543" width="9.5703125" bestFit="1" customWidth="1"/>
    <col min="1544" max="1544" width="12.85546875" bestFit="1" customWidth="1"/>
    <col min="1793" max="1793" width="7" bestFit="1" customWidth="1"/>
    <col min="1794" max="1794" width="21.140625" bestFit="1" customWidth="1"/>
    <col min="1795" max="1795" width="29" bestFit="1" customWidth="1"/>
    <col min="1796" max="1796" width="32.85546875" bestFit="1" customWidth="1"/>
    <col min="1797" max="1797" width="26.28515625" bestFit="1" customWidth="1"/>
    <col min="1798" max="1799" width="9.5703125" bestFit="1" customWidth="1"/>
    <col min="1800" max="1800" width="12.85546875" bestFit="1" customWidth="1"/>
    <col min="2049" max="2049" width="7" bestFit="1" customWidth="1"/>
    <col min="2050" max="2050" width="21.140625" bestFit="1" customWidth="1"/>
    <col min="2051" max="2051" width="29" bestFit="1" customWidth="1"/>
    <col min="2052" max="2052" width="32.85546875" bestFit="1" customWidth="1"/>
    <col min="2053" max="2053" width="26.28515625" bestFit="1" customWidth="1"/>
    <col min="2054" max="2055" width="9.5703125" bestFit="1" customWidth="1"/>
    <col min="2056" max="2056" width="12.85546875" bestFit="1" customWidth="1"/>
    <col min="2305" max="2305" width="7" bestFit="1" customWidth="1"/>
    <col min="2306" max="2306" width="21.140625" bestFit="1" customWidth="1"/>
    <col min="2307" max="2307" width="29" bestFit="1" customWidth="1"/>
    <col min="2308" max="2308" width="32.85546875" bestFit="1" customWidth="1"/>
    <col min="2309" max="2309" width="26.28515625" bestFit="1" customWidth="1"/>
    <col min="2310" max="2311" width="9.5703125" bestFit="1" customWidth="1"/>
    <col min="2312" max="2312" width="12.85546875" bestFit="1" customWidth="1"/>
    <col min="2561" max="2561" width="7" bestFit="1" customWidth="1"/>
    <col min="2562" max="2562" width="21.140625" bestFit="1" customWidth="1"/>
    <col min="2563" max="2563" width="29" bestFit="1" customWidth="1"/>
    <col min="2564" max="2564" width="32.85546875" bestFit="1" customWidth="1"/>
    <col min="2565" max="2565" width="26.28515625" bestFit="1" customWidth="1"/>
    <col min="2566" max="2567" width="9.5703125" bestFit="1" customWidth="1"/>
    <col min="2568" max="2568" width="12.85546875" bestFit="1" customWidth="1"/>
    <col min="2817" max="2817" width="7" bestFit="1" customWidth="1"/>
    <col min="2818" max="2818" width="21.140625" bestFit="1" customWidth="1"/>
    <col min="2819" max="2819" width="29" bestFit="1" customWidth="1"/>
    <col min="2820" max="2820" width="32.85546875" bestFit="1" customWidth="1"/>
    <col min="2821" max="2821" width="26.28515625" bestFit="1" customWidth="1"/>
    <col min="2822" max="2823" width="9.5703125" bestFit="1" customWidth="1"/>
    <col min="2824" max="2824" width="12.85546875" bestFit="1" customWidth="1"/>
    <col min="3073" max="3073" width="7" bestFit="1" customWidth="1"/>
    <col min="3074" max="3074" width="21.140625" bestFit="1" customWidth="1"/>
    <col min="3075" max="3075" width="29" bestFit="1" customWidth="1"/>
    <col min="3076" max="3076" width="32.85546875" bestFit="1" customWidth="1"/>
    <col min="3077" max="3077" width="26.28515625" bestFit="1" customWidth="1"/>
    <col min="3078" max="3079" width="9.5703125" bestFit="1" customWidth="1"/>
    <col min="3080" max="3080" width="12.85546875" bestFit="1" customWidth="1"/>
    <col min="3329" max="3329" width="7" bestFit="1" customWidth="1"/>
    <col min="3330" max="3330" width="21.140625" bestFit="1" customWidth="1"/>
    <col min="3331" max="3331" width="29" bestFit="1" customWidth="1"/>
    <col min="3332" max="3332" width="32.85546875" bestFit="1" customWidth="1"/>
    <col min="3333" max="3333" width="26.28515625" bestFit="1" customWidth="1"/>
    <col min="3334" max="3335" width="9.5703125" bestFit="1" customWidth="1"/>
    <col min="3336" max="3336" width="12.85546875" bestFit="1" customWidth="1"/>
    <col min="3585" max="3585" width="7" bestFit="1" customWidth="1"/>
    <col min="3586" max="3586" width="21.140625" bestFit="1" customWidth="1"/>
    <col min="3587" max="3587" width="29" bestFit="1" customWidth="1"/>
    <col min="3588" max="3588" width="32.85546875" bestFit="1" customWidth="1"/>
    <col min="3589" max="3589" width="26.28515625" bestFit="1" customWidth="1"/>
    <col min="3590" max="3591" width="9.5703125" bestFit="1" customWidth="1"/>
    <col min="3592" max="3592" width="12.85546875" bestFit="1" customWidth="1"/>
    <col min="3841" max="3841" width="7" bestFit="1" customWidth="1"/>
    <col min="3842" max="3842" width="21.140625" bestFit="1" customWidth="1"/>
    <col min="3843" max="3843" width="29" bestFit="1" customWidth="1"/>
    <col min="3844" max="3844" width="32.85546875" bestFit="1" customWidth="1"/>
    <col min="3845" max="3845" width="26.28515625" bestFit="1" customWidth="1"/>
    <col min="3846" max="3847" width="9.5703125" bestFit="1" customWidth="1"/>
    <col min="3848" max="3848" width="12.85546875" bestFit="1" customWidth="1"/>
    <col min="4097" max="4097" width="7" bestFit="1" customWidth="1"/>
    <col min="4098" max="4098" width="21.140625" bestFit="1" customWidth="1"/>
    <col min="4099" max="4099" width="29" bestFit="1" customWidth="1"/>
    <col min="4100" max="4100" width="32.85546875" bestFit="1" customWidth="1"/>
    <col min="4101" max="4101" width="26.28515625" bestFit="1" customWidth="1"/>
    <col min="4102" max="4103" width="9.5703125" bestFit="1" customWidth="1"/>
    <col min="4104" max="4104" width="12.85546875" bestFit="1" customWidth="1"/>
    <col min="4353" max="4353" width="7" bestFit="1" customWidth="1"/>
    <col min="4354" max="4354" width="21.140625" bestFit="1" customWidth="1"/>
    <col min="4355" max="4355" width="29" bestFit="1" customWidth="1"/>
    <col min="4356" max="4356" width="32.85546875" bestFit="1" customWidth="1"/>
    <col min="4357" max="4357" width="26.28515625" bestFit="1" customWidth="1"/>
    <col min="4358" max="4359" width="9.5703125" bestFit="1" customWidth="1"/>
    <col min="4360" max="4360" width="12.85546875" bestFit="1" customWidth="1"/>
    <col min="4609" max="4609" width="7" bestFit="1" customWidth="1"/>
    <col min="4610" max="4610" width="21.140625" bestFit="1" customWidth="1"/>
    <col min="4611" max="4611" width="29" bestFit="1" customWidth="1"/>
    <col min="4612" max="4612" width="32.85546875" bestFit="1" customWidth="1"/>
    <col min="4613" max="4613" width="26.28515625" bestFit="1" customWidth="1"/>
    <col min="4614" max="4615" width="9.5703125" bestFit="1" customWidth="1"/>
    <col min="4616" max="4616" width="12.85546875" bestFit="1" customWidth="1"/>
    <col min="4865" max="4865" width="7" bestFit="1" customWidth="1"/>
    <col min="4866" max="4866" width="21.140625" bestFit="1" customWidth="1"/>
    <col min="4867" max="4867" width="29" bestFit="1" customWidth="1"/>
    <col min="4868" max="4868" width="32.85546875" bestFit="1" customWidth="1"/>
    <col min="4869" max="4869" width="26.28515625" bestFit="1" customWidth="1"/>
    <col min="4870" max="4871" width="9.5703125" bestFit="1" customWidth="1"/>
    <col min="4872" max="4872" width="12.85546875" bestFit="1" customWidth="1"/>
    <col min="5121" max="5121" width="7" bestFit="1" customWidth="1"/>
    <col min="5122" max="5122" width="21.140625" bestFit="1" customWidth="1"/>
    <col min="5123" max="5123" width="29" bestFit="1" customWidth="1"/>
    <col min="5124" max="5124" width="32.85546875" bestFit="1" customWidth="1"/>
    <col min="5125" max="5125" width="26.28515625" bestFit="1" customWidth="1"/>
    <col min="5126" max="5127" width="9.5703125" bestFit="1" customWidth="1"/>
    <col min="5128" max="5128" width="12.85546875" bestFit="1" customWidth="1"/>
    <col min="5377" max="5377" width="7" bestFit="1" customWidth="1"/>
    <col min="5378" max="5378" width="21.140625" bestFit="1" customWidth="1"/>
    <col min="5379" max="5379" width="29" bestFit="1" customWidth="1"/>
    <col min="5380" max="5380" width="32.85546875" bestFit="1" customWidth="1"/>
    <col min="5381" max="5381" width="26.28515625" bestFit="1" customWidth="1"/>
    <col min="5382" max="5383" width="9.5703125" bestFit="1" customWidth="1"/>
    <col min="5384" max="5384" width="12.85546875" bestFit="1" customWidth="1"/>
    <col min="5633" max="5633" width="7" bestFit="1" customWidth="1"/>
    <col min="5634" max="5634" width="21.140625" bestFit="1" customWidth="1"/>
    <col min="5635" max="5635" width="29" bestFit="1" customWidth="1"/>
    <col min="5636" max="5636" width="32.85546875" bestFit="1" customWidth="1"/>
    <col min="5637" max="5637" width="26.28515625" bestFit="1" customWidth="1"/>
    <col min="5638" max="5639" width="9.5703125" bestFit="1" customWidth="1"/>
    <col min="5640" max="5640" width="12.85546875" bestFit="1" customWidth="1"/>
    <col min="5889" max="5889" width="7" bestFit="1" customWidth="1"/>
    <col min="5890" max="5890" width="21.140625" bestFit="1" customWidth="1"/>
    <col min="5891" max="5891" width="29" bestFit="1" customWidth="1"/>
    <col min="5892" max="5892" width="32.85546875" bestFit="1" customWidth="1"/>
    <col min="5893" max="5893" width="26.28515625" bestFit="1" customWidth="1"/>
    <col min="5894" max="5895" width="9.5703125" bestFit="1" customWidth="1"/>
    <col min="5896" max="5896" width="12.85546875" bestFit="1" customWidth="1"/>
    <col min="6145" max="6145" width="7" bestFit="1" customWidth="1"/>
    <col min="6146" max="6146" width="21.140625" bestFit="1" customWidth="1"/>
    <col min="6147" max="6147" width="29" bestFit="1" customWidth="1"/>
    <col min="6148" max="6148" width="32.85546875" bestFit="1" customWidth="1"/>
    <col min="6149" max="6149" width="26.28515625" bestFit="1" customWidth="1"/>
    <col min="6150" max="6151" width="9.5703125" bestFit="1" customWidth="1"/>
    <col min="6152" max="6152" width="12.85546875" bestFit="1" customWidth="1"/>
    <col min="6401" max="6401" width="7" bestFit="1" customWidth="1"/>
    <col min="6402" max="6402" width="21.140625" bestFit="1" customWidth="1"/>
    <col min="6403" max="6403" width="29" bestFit="1" customWidth="1"/>
    <col min="6404" max="6404" width="32.85546875" bestFit="1" customWidth="1"/>
    <col min="6405" max="6405" width="26.28515625" bestFit="1" customWidth="1"/>
    <col min="6406" max="6407" width="9.5703125" bestFit="1" customWidth="1"/>
    <col min="6408" max="6408" width="12.85546875" bestFit="1" customWidth="1"/>
    <col min="6657" max="6657" width="7" bestFit="1" customWidth="1"/>
    <col min="6658" max="6658" width="21.140625" bestFit="1" customWidth="1"/>
    <col min="6659" max="6659" width="29" bestFit="1" customWidth="1"/>
    <col min="6660" max="6660" width="32.85546875" bestFit="1" customWidth="1"/>
    <col min="6661" max="6661" width="26.28515625" bestFit="1" customWidth="1"/>
    <col min="6662" max="6663" width="9.5703125" bestFit="1" customWidth="1"/>
    <col min="6664" max="6664" width="12.85546875" bestFit="1" customWidth="1"/>
    <col min="6913" max="6913" width="7" bestFit="1" customWidth="1"/>
    <col min="6914" max="6914" width="21.140625" bestFit="1" customWidth="1"/>
    <col min="6915" max="6915" width="29" bestFit="1" customWidth="1"/>
    <col min="6916" max="6916" width="32.85546875" bestFit="1" customWidth="1"/>
    <col min="6917" max="6917" width="26.28515625" bestFit="1" customWidth="1"/>
    <col min="6918" max="6919" width="9.5703125" bestFit="1" customWidth="1"/>
    <col min="6920" max="6920" width="12.85546875" bestFit="1" customWidth="1"/>
    <col min="7169" max="7169" width="7" bestFit="1" customWidth="1"/>
    <col min="7170" max="7170" width="21.140625" bestFit="1" customWidth="1"/>
    <col min="7171" max="7171" width="29" bestFit="1" customWidth="1"/>
    <col min="7172" max="7172" width="32.85546875" bestFit="1" customWidth="1"/>
    <col min="7173" max="7173" width="26.28515625" bestFit="1" customWidth="1"/>
    <col min="7174" max="7175" width="9.5703125" bestFit="1" customWidth="1"/>
    <col min="7176" max="7176" width="12.85546875" bestFit="1" customWidth="1"/>
    <col min="7425" max="7425" width="7" bestFit="1" customWidth="1"/>
    <col min="7426" max="7426" width="21.140625" bestFit="1" customWidth="1"/>
    <col min="7427" max="7427" width="29" bestFit="1" customWidth="1"/>
    <col min="7428" max="7428" width="32.85546875" bestFit="1" customWidth="1"/>
    <col min="7429" max="7429" width="26.28515625" bestFit="1" customWidth="1"/>
    <col min="7430" max="7431" width="9.5703125" bestFit="1" customWidth="1"/>
    <col min="7432" max="7432" width="12.85546875" bestFit="1" customWidth="1"/>
    <col min="7681" max="7681" width="7" bestFit="1" customWidth="1"/>
    <col min="7682" max="7682" width="21.140625" bestFit="1" customWidth="1"/>
    <col min="7683" max="7683" width="29" bestFit="1" customWidth="1"/>
    <col min="7684" max="7684" width="32.85546875" bestFit="1" customWidth="1"/>
    <col min="7685" max="7685" width="26.28515625" bestFit="1" customWidth="1"/>
    <col min="7686" max="7687" width="9.5703125" bestFit="1" customWidth="1"/>
    <col min="7688" max="7688" width="12.85546875" bestFit="1" customWidth="1"/>
    <col min="7937" max="7937" width="7" bestFit="1" customWidth="1"/>
    <col min="7938" max="7938" width="21.140625" bestFit="1" customWidth="1"/>
    <col min="7939" max="7939" width="29" bestFit="1" customWidth="1"/>
    <col min="7940" max="7940" width="32.85546875" bestFit="1" customWidth="1"/>
    <col min="7941" max="7941" width="26.28515625" bestFit="1" customWidth="1"/>
    <col min="7942" max="7943" width="9.5703125" bestFit="1" customWidth="1"/>
    <col min="7944" max="7944" width="12.85546875" bestFit="1" customWidth="1"/>
    <col min="8193" max="8193" width="7" bestFit="1" customWidth="1"/>
    <col min="8194" max="8194" width="21.140625" bestFit="1" customWidth="1"/>
    <col min="8195" max="8195" width="29" bestFit="1" customWidth="1"/>
    <col min="8196" max="8196" width="32.85546875" bestFit="1" customWidth="1"/>
    <col min="8197" max="8197" width="26.28515625" bestFit="1" customWidth="1"/>
    <col min="8198" max="8199" width="9.5703125" bestFit="1" customWidth="1"/>
    <col min="8200" max="8200" width="12.85546875" bestFit="1" customWidth="1"/>
    <col min="8449" max="8449" width="7" bestFit="1" customWidth="1"/>
    <col min="8450" max="8450" width="21.140625" bestFit="1" customWidth="1"/>
    <col min="8451" max="8451" width="29" bestFit="1" customWidth="1"/>
    <col min="8452" max="8452" width="32.85546875" bestFit="1" customWidth="1"/>
    <col min="8453" max="8453" width="26.28515625" bestFit="1" customWidth="1"/>
    <col min="8454" max="8455" width="9.5703125" bestFit="1" customWidth="1"/>
    <col min="8456" max="8456" width="12.85546875" bestFit="1" customWidth="1"/>
    <col min="8705" max="8705" width="7" bestFit="1" customWidth="1"/>
    <col min="8706" max="8706" width="21.140625" bestFit="1" customWidth="1"/>
    <col min="8707" max="8707" width="29" bestFit="1" customWidth="1"/>
    <col min="8708" max="8708" width="32.85546875" bestFit="1" customWidth="1"/>
    <col min="8709" max="8709" width="26.28515625" bestFit="1" customWidth="1"/>
    <col min="8710" max="8711" width="9.5703125" bestFit="1" customWidth="1"/>
    <col min="8712" max="8712" width="12.85546875" bestFit="1" customWidth="1"/>
    <col min="8961" max="8961" width="7" bestFit="1" customWidth="1"/>
    <col min="8962" max="8962" width="21.140625" bestFit="1" customWidth="1"/>
    <col min="8963" max="8963" width="29" bestFit="1" customWidth="1"/>
    <col min="8964" max="8964" width="32.85546875" bestFit="1" customWidth="1"/>
    <col min="8965" max="8965" width="26.28515625" bestFit="1" customWidth="1"/>
    <col min="8966" max="8967" width="9.5703125" bestFit="1" customWidth="1"/>
    <col min="8968" max="8968" width="12.85546875" bestFit="1" customWidth="1"/>
    <col min="9217" max="9217" width="7" bestFit="1" customWidth="1"/>
    <col min="9218" max="9218" width="21.140625" bestFit="1" customWidth="1"/>
    <col min="9219" max="9219" width="29" bestFit="1" customWidth="1"/>
    <col min="9220" max="9220" width="32.85546875" bestFit="1" customWidth="1"/>
    <col min="9221" max="9221" width="26.28515625" bestFit="1" customWidth="1"/>
    <col min="9222" max="9223" width="9.5703125" bestFit="1" customWidth="1"/>
    <col min="9224" max="9224" width="12.85546875" bestFit="1" customWidth="1"/>
    <col min="9473" max="9473" width="7" bestFit="1" customWidth="1"/>
    <col min="9474" max="9474" width="21.140625" bestFit="1" customWidth="1"/>
    <col min="9475" max="9475" width="29" bestFit="1" customWidth="1"/>
    <col min="9476" max="9476" width="32.85546875" bestFit="1" customWidth="1"/>
    <col min="9477" max="9477" width="26.28515625" bestFit="1" customWidth="1"/>
    <col min="9478" max="9479" width="9.5703125" bestFit="1" customWidth="1"/>
    <col min="9480" max="9480" width="12.85546875" bestFit="1" customWidth="1"/>
    <col min="9729" max="9729" width="7" bestFit="1" customWidth="1"/>
    <col min="9730" max="9730" width="21.140625" bestFit="1" customWidth="1"/>
    <col min="9731" max="9731" width="29" bestFit="1" customWidth="1"/>
    <col min="9732" max="9732" width="32.85546875" bestFit="1" customWidth="1"/>
    <col min="9733" max="9733" width="26.28515625" bestFit="1" customWidth="1"/>
    <col min="9734" max="9735" width="9.5703125" bestFit="1" customWidth="1"/>
    <col min="9736" max="9736" width="12.85546875" bestFit="1" customWidth="1"/>
    <col min="9985" max="9985" width="7" bestFit="1" customWidth="1"/>
    <col min="9986" max="9986" width="21.140625" bestFit="1" customWidth="1"/>
    <col min="9987" max="9987" width="29" bestFit="1" customWidth="1"/>
    <col min="9988" max="9988" width="32.85546875" bestFit="1" customWidth="1"/>
    <col min="9989" max="9989" width="26.28515625" bestFit="1" customWidth="1"/>
    <col min="9990" max="9991" width="9.5703125" bestFit="1" customWidth="1"/>
    <col min="9992" max="9992" width="12.85546875" bestFit="1" customWidth="1"/>
    <col min="10241" max="10241" width="7" bestFit="1" customWidth="1"/>
    <col min="10242" max="10242" width="21.140625" bestFit="1" customWidth="1"/>
    <col min="10243" max="10243" width="29" bestFit="1" customWidth="1"/>
    <col min="10244" max="10244" width="32.85546875" bestFit="1" customWidth="1"/>
    <col min="10245" max="10245" width="26.28515625" bestFit="1" customWidth="1"/>
    <col min="10246" max="10247" width="9.5703125" bestFit="1" customWidth="1"/>
    <col min="10248" max="10248" width="12.85546875" bestFit="1" customWidth="1"/>
    <col min="10497" max="10497" width="7" bestFit="1" customWidth="1"/>
    <col min="10498" max="10498" width="21.140625" bestFit="1" customWidth="1"/>
    <col min="10499" max="10499" width="29" bestFit="1" customWidth="1"/>
    <col min="10500" max="10500" width="32.85546875" bestFit="1" customWidth="1"/>
    <col min="10501" max="10501" width="26.28515625" bestFit="1" customWidth="1"/>
    <col min="10502" max="10503" width="9.5703125" bestFit="1" customWidth="1"/>
    <col min="10504" max="10504" width="12.85546875" bestFit="1" customWidth="1"/>
    <col min="10753" max="10753" width="7" bestFit="1" customWidth="1"/>
    <col min="10754" max="10754" width="21.140625" bestFit="1" customWidth="1"/>
    <col min="10755" max="10755" width="29" bestFit="1" customWidth="1"/>
    <col min="10756" max="10756" width="32.85546875" bestFit="1" customWidth="1"/>
    <col min="10757" max="10757" width="26.28515625" bestFit="1" customWidth="1"/>
    <col min="10758" max="10759" width="9.5703125" bestFit="1" customWidth="1"/>
    <col min="10760" max="10760" width="12.85546875" bestFit="1" customWidth="1"/>
    <col min="11009" max="11009" width="7" bestFit="1" customWidth="1"/>
    <col min="11010" max="11010" width="21.140625" bestFit="1" customWidth="1"/>
    <col min="11011" max="11011" width="29" bestFit="1" customWidth="1"/>
    <col min="11012" max="11012" width="32.85546875" bestFit="1" customWidth="1"/>
    <col min="11013" max="11013" width="26.28515625" bestFit="1" customWidth="1"/>
    <col min="11014" max="11015" width="9.5703125" bestFit="1" customWidth="1"/>
    <col min="11016" max="11016" width="12.85546875" bestFit="1" customWidth="1"/>
    <col min="11265" max="11265" width="7" bestFit="1" customWidth="1"/>
    <col min="11266" max="11266" width="21.140625" bestFit="1" customWidth="1"/>
    <col min="11267" max="11267" width="29" bestFit="1" customWidth="1"/>
    <col min="11268" max="11268" width="32.85546875" bestFit="1" customWidth="1"/>
    <col min="11269" max="11269" width="26.28515625" bestFit="1" customWidth="1"/>
    <col min="11270" max="11271" width="9.5703125" bestFit="1" customWidth="1"/>
    <col min="11272" max="11272" width="12.85546875" bestFit="1" customWidth="1"/>
    <col min="11521" max="11521" width="7" bestFit="1" customWidth="1"/>
    <col min="11522" max="11522" width="21.140625" bestFit="1" customWidth="1"/>
    <col min="11523" max="11523" width="29" bestFit="1" customWidth="1"/>
    <col min="11524" max="11524" width="32.85546875" bestFit="1" customWidth="1"/>
    <col min="11525" max="11525" width="26.28515625" bestFit="1" customWidth="1"/>
    <col min="11526" max="11527" width="9.5703125" bestFit="1" customWidth="1"/>
    <col min="11528" max="11528" width="12.85546875" bestFit="1" customWidth="1"/>
    <col min="11777" max="11777" width="7" bestFit="1" customWidth="1"/>
    <col min="11778" max="11778" width="21.140625" bestFit="1" customWidth="1"/>
    <col min="11779" max="11779" width="29" bestFit="1" customWidth="1"/>
    <col min="11780" max="11780" width="32.85546875" bestFit="1" customWidth="1"/>
    <col min="11781" max="11781" width="26.28515625" bestFit="1" customWidth="1"/>
    <col min="11782" max="11783" width="9.5703125" bestFit="1" customWidth="1"/>
    <col min="11784" max="11784" width="12.85546875" bestFit="1" customWidth="1"/>
    <col min="12033" max="12033" width="7" bestFit="1" customWidth="1"/>
    <col min="12034" max="12034" width="21.140625" bestFit="1" customWidth="1"/>
    <col min="12035" max="12035" width="29" bestFit="1" customWidth="1"/>
    <col min="12036" max="12036" width="32.85546875" bestFit="1" customWidth="1"/>
    <col min="12037" max="12037" width="26.28515625" bestFit="1" customWidth="1"/>
    <col min="12038" max="12039" width="9.5703125" bestFit="1" customWidth="1"/>
    <col min="12040" max="12040" width="12.85546875" bestFit="1" customWidth="1"/>
    <col min="12289" max="12289" width="7" bestFit="1" customWidth="1"/>
    <col min="12290" max="12290" width="21.140625" bestFit="1" customWidth="1"/>
    <col min="12291" max="12291" width="29" bestFit="1" customWidth="1"/>
    <col min="12292" max="12292" width="32.85546875" bestFit="1" customWidth="1"/>
    <col min="12293" max="12293" width="26.28515625" bestFit="1" customWidth="1"/>
    <col min="12294" max="12295" width="9.5703125" bestFit="1" customWidth="1"/>
    <col min="12296" max="12296" width="12.85546875" bestFit="1" customWidth="1"/>
    <col min="12545" max="12545" width="7" bestFit="1" customWidth="1"/>
    <col min="12546" max="12546" width="21.140625" bestFit="1" customWidth="1"/>
    <col min="12547" max="12547" width="29" bestFit="1" customWidth="1"/>
    <col min="12548" max="12548" width="32.85546875" bestFit="1" customWidth="1"/>
    <col min="12549" max="12549" width="26.28515625" bestFit="1" customWidth="1"/>
    <col min="12550" max="12551" width="9.5703125" bestFit="1" customWidth="1"/>
    <col min="12552" max="12552" width="12.85546875" bestFit="1" customWidth="1"/>
    <col min="12801" max="12801" width="7" bestFit="1" customWidth="1"/>
    <col min="12802" max="12802" width="21.140625" bestFit="1" customWidth="1"/>
    <col min="12803" max="12803" width="29" bestFit="1" customWidth="1"/>
    <col min="12804" max="12804" width="32.85546875" bestFit="1" customWidth="1"/>
    <col min="12805" max="12805" width="26.28515625" bestFit="1" customWidth="1"/>
    <col min="12806" max="12807" width="9.5703125" bestFit="1" customWidth="1"/>
    <col min="12808" max="12808" width="12.85546875" bestFit="1" customWidth="1"/>
    <col min="13057" max="13057" width="7" bestFit="1" customWidth="1"/>
    <col min="13058" max="13058" width="21.140625" bestFit="1" customWidth="1"/>
    <col min="13059" max="13059" width="29" bestFit="1" customWidth="1"/>
    <col min="13060" max="13060" width="32.85546875" bestFit="1" customWidth="1"/>
    <col min="13061" max="13061" width="26.28515625" bestFit="1" customWidth="1"/>
    <col min="13062" max="13063" width="9.5703125" bestFit="1" customWidth="1"/>
    <col min="13064" max="13064" width="12.85546875" bestFit="1" customWidth="1"/>
    <col min="13313" max="13313" width="7" bestFit="1" customWidth="1"/>
    <col min="13314" max="13314" width="21.140625" bestFit="1" customWidth="1"/>
    <col min="13315" max="13315" width="29" bestFit="1" customWidth="1"/>
    <col min="13316" max="13316" width="32.85546875" bestFit="1" customWidth="1"/>
    <col min="13317" max="13317" width="26.28515625" bestFit="1" customWidth="1"/>
    <col min="13318" max="13319" width="9.5703125" bestFit="1" customWidth="1"/>
    <col min="13320" max="13320" width="12.85546875" bestFit="1" customWidth="1"/>
    <col min="13569" max="13569" width="7" bestFit="1" customWidth="1"/>
    <col min="13570" max="13570" width="21.140625" bestFit="1" customWidth="1"/>
    <col min="13571" max="13571" width="29" bestFit="1" customWidth="1"/>
    <col min="13572" max="13572" width="32.85546875" bestFit="1" customWidth="1"/>
    <col min="13573" max="13573" width="26.28515625" bestFit="1" customWidth="1"/>
    <col min="13574" max="13575" width="9.5703125" bestFit="1" customWidth="1"/>
    <col min="13576" max="13576" width="12.85546875" bestFit="1" customWidth="1"/>
    <col min="13825" max="13825" width="7" bestFit="1" customWidth="1"/>
    <col min="13826" max="13826" width="21.140625" bestFit="1" customWidth="1"/>
    <col min="13827" max="13827" width="29" bestFit="1" customWidth="1"/>
    <col min="13828" max="13828" width="32.85546875" bestFit="1" customWidth="1"/>
    <col min="13829" max="13829" width="26.28515625" bestFit="1" customWidth="1"/>
    <col min="13830" max="13831" width="9.5703125" bestFit="1" customWidth="1"/>
    <col min="13832" max="13832" width="12.85546875" bestFit="1" customWidth="1"/>
    <col min="14081" max="14081" width="7" bestFit="1" customWidth="1"/>
    <col min="14082" max="14082" width="21.140625" bestFit="1" customWidth="1"/>
    <col min="14083" max="14083" width="29" bestFit="1" customWidth="1"/>
    <col min="14084" max="14084" width="32.85546875" bestFit="1" customWidth="1"/>
    <col min="14085" max="14085" width="26.28515625" bestFit="1" customWidth="1"/>
    <col min="14086" max="14087" width="9.5703125" bestFit="1" customWidth="1"/>
    <col min="14088" max="14088" width="12.85546875" bestFit="1" customWidth="1"/>
    <col min="14337" max="14337" width="7" bestFit="1" customWidth="1"/>
    <col min="14338" max="14338" width="21.140625" bestFit="1" customWidth="1"/>
    <col min="14339" max="14339" width="29" bestFit="1" customWidth="1"/>
    <col min="14340" max="14340" width="32.85546875" bestFit="1" customWidth="1"/>
    <col min="14341" max="14341" width="26.28515625" bestFit="1" customWidth="1"/>
    <col min="14342" max="14343" width="9.5703125" bestFit="1" customWidth="1"/>
    <col min="14344" max="14344" width="12.85546875" bestFit="1" customWidth="1"/>
    <col min="14593" max="14593" width="7" bestFit="1" customWidth="1"/>
    <col min="14594" max="14594" width="21.140625" bestFit="1" customWidth="1"/>
    <col min="14595" max="14595" width="29" bestFit="1" customWidth="1"/>
    <col min="14596" max="14596" width="32.85546875" bestFit="1" customWidth="1"/>
    <col min="14597" max="14597" width="26.28515625" bestFit="1" customWidth="1"/>
    <col min="14598" max="14599" width="9.5703125" bestFit="1" customWidth="1"/>
    <col min="14600" max="14600" width="12.85546875" bestFit="1" customWidth="1"/>
    <col min="14849" max="14849" width="7" bestFit="1" customWidth="1"/>
    <col min="14850" max="14850" width="21.140625" bestFit="1" customWidth="1"/>
    <col min="14851" max="14851" width="29" bestFit="1" customWidth="1"/>
    <col min="14852" max="14852" width="32.85546875" bestFit="1" customWidth="1"/>
    <col min="14853" max="14853" width="26.28515625" bestFit="1" customWidth="1"/>
    <col min="14854" max="14855" width="9.5703125" bestFit="1" customWidth="1"/>
    <col min="14856" max="14856" width="12.85546875" bestFit="1" customWidth="1"/>
    <col min="15105" max="15105" width="7" bestFit="1" customWidth="1"/>
    <col min="15106" max="15106" width="21.140625" bestFit="1" customWidth="1"/>
    <col min="15107" max="15107" width="29" bestFit="1" customWidth="1"/>
    <col min="15108" max="15108" width="32.85546875" bestFit="1" customWidth="1"/>
    <col min="15109" max="15109" width="26.28515625" bestFit="1" customWidth="1"/>
    <col min="15110" max="15111" width="9.5703125" bestFit="1" customWidth="1"/>
    <col min="15112" max="15112" width="12.85546875" bestFit="1" customWidth="1"/>
    <col min="15361" max="15361" width="7" bestFit="1" customWidth="1"/>
    <col min="15362" max="15362" width="21.140625" bestFit="1" customWidth="1"/>
    <col min="15363" max="15363" width="29" bestFit="1" customWidth="1"/>
    <col min="15364" max="15364" width="32.85546875" bestFit="1" customWidth="1"/>
    <col min="15365" max="15365" width="26.28515625" bestFit="1" customWidth="1"/>
    <col min="15366" max="15367" width="9.5703125" bestFit="1" customWidth="1"/>
    <col min="15368" max="15368" width="12.85546875" bestFit="1" customWidth="1"/>
    <col min="15617" max="15617" width="7" bestFit="1" customWidth="1"/>
    <col min="15618" max="15618" width="21.140625" bestFit="1" customWidth="1"/>
    <col min="15619" max="15619" width="29" bestFit="1" customWidth="1"/>
    <col min="15620" max="15620" width="32.85546875" bestFit="1" customWidth="1"/>
    <col min="15621" max="15621" width="26.28515625" bestFit="1" customWidth="1"/>
    <col min="15622" max="15623" width="9.5703125" bestFit="1" customWidth="1"/>
    <col min="15624" max="15624" width="12.85546875" bestFit="1" customWidth="1"/>
    <col min="15873" max="15873" width="7" bestFit="1" customWidth="1"/>
    <col min="15874" max="15874" width="21.140625" bestFit="1" customWidth="1"/>
    <col min="15875" max="15875" width="29" bestFit="1" customWidth="1"/>
    <col min="15876" max="15876" width="32.85546875" bestFit="1" customWidth="1"/>
    <col min="15877" max="15877" width="26.28515625" bestFit="1" customWidth="1"/>
    <col min="15878" max="15879" width="9.5703125" bestFit="1" customWidth="1"/>
    <col min="15880" max="15880" width="12.85546875" bestFit="1" customWidth="1"/>
    <col min="16129" max="16129" width="7" bestFit="1" customWidth="1"/>
    <col min="16130" max="16130" width="21.140625" bestFit="1" customWidth="1"/>
    <col min="16131" max="16131" width="29" bestFit="1" customWidth="1"/>
    <col min="16132" max="16132" width="32.85546875" bestFit="1" customWidth="1"/>
    <col min="16133" max="16133" width="26.28515625" bestFit="1" customWidth="1"/>
    <col min="16134" max="16135" width="9.5703125" bestFit="1" customWidth="1"/>
    <col min="16136" max="16136" width="12.85546875" bestFit="1" customWidth="1"/>
  </cols>
  <sheetData>
    <row r="1" spans="1:8" ht="13.7" customHeight="1" x14ac:dyDescent="0.25">
      <c r="A1" s="164" t="s">
        <v>449</v>
      </c>
      <c r="B1" s="164" t="s">
        <v>450</v>
      </c>
      <c r="C1" s="164" t="s">
        <v>451</v>
      </c>
      <c r="D1" s="164" t="s">
        <v>452</v>
      </c>
      <c r="E1" s="164" t="s">
        <v>453</v>
      </c>
      <c r="F1" s="164" t="s">
        <v>454</v>
      </c>
      <c r="G1" s="164" t="s">
        <v>455</v>
      </c>
      <c r="H1" s="165" t="s">
        <v>456</v>
      </c>
    </row>
    <row r="2" spans="1:8" ht="13.7" customHeight="1" x14ac:dyDescent="0.25">
      <c r="A2" s="166" t="s">
        <v>457</v>
      </c>
      <c r="B2" s="166" t="s">
        <v>458</v>
      </c>
      <c r="C2" s="166" t="s">
        <v>459</v>
      </c>
      <c r="D2" s="166" t="s">
        <v>460</v>
      </c>
      <c r="E2" s="166" t="s">
        <v>461</v>
      </c>
      <c r="F2" s="167">
        <v>42948</v>
      </c>
      <c r="G2" s="167">
        <v>44044</v>
      </c>
      <c r="H2" s="168">
        <v>0</v>
      </c>
    </row>
    <row r="3" spans="1:8" ht="13.7" customHeight="1" x14ac:dyDescent="0.25">
      <c r="A3" s="166" t="s">
        <v>457</v>
      </c>
      <c r="B3" s="166" t="s">
        <v>458</v>
      </c>
      <c r="C3" s="166" t="s">
        <v>459</v>
      </c>
      <c r="D3" s="166" t="s">
        <v>460</v>
      </c>
      <c r="E3" s="166" t="s">
        <v>461</v>
      </c>
      <c r="F3" s="167">
        <v>42948</v>
      </c>
      <c r="G3" s="167">
        <v>44044</v>
      </c>
      <c r="H3" s="168">
        <v>0</v>
      </c>
    </row>
    <row r="4" spans="1:8" ht="13.7" customHeight="1" x14ac:dyDescent="0.25">
      <c r="A4" s="166" t="s">
        <v>462</v>
      </c>
      <c r="B4" s="166" t="s">
        <v>458</v>
      </c>
      <c r="C4" s="166" t="s">
        <v>459</v>
      </c>
      <c r="D4" s="166" t="s">
        <v>463</v>
      </c>
      <c r="E4" s="166" t="s">
        <v>464</v>
      </c>
      <c r="F4" s="167">
        <v>39790</v>
      </c>
      <c r="G4" s="167">
        <v>47483</v>
      </c>
      <c r="H4" s="168">
        <v>0</v>
      </c>
    </row>
    <row r="5" spans="1:8" ht="13.7" customHeight="1" x14ac:dyDescent="0.25">
      <c r="A5" s="166" t="s">
        <v>462</v>
      </c>
      <c r="B5" s="166" t="s">
        <v>458</v>
      </c>
      <c r="C5" s="166" t="s">
        <v>459</v>
      </c>
      <c r="D5" s="166" t="s">
        <v>463</v>
      </c>
      <c r="E5" s="166" t="s">
        <v>464</v>
      </c>
      <c r="F5" s="167">
        <v>39790</v>
      </c>
      <c r="G5" s="167">
        <v>47483</v>
      </c>
      <c r="H5" s="168">
        <v>0</v>
      </c>
    </row>
    <row r="6" spans="1:8" ht="13.7" customHeight="1" x14ac:dyDescent="0.25">
      <c r="A6" s="166" t="s">
        <v>462</v>
      </c>
      <c r="B6" s="166" t="s">
        <v>458</v>
      </c>
      <c r="C6" s="166" t="s">
        <v>459</v>
      </c>
      <c r="D6" s="166" t="s">
        <v>463</v>
      </c>
      <c r="E6" s="166" t="s">
        <v>464</v>
      </c>
      <c r="F6" s="167">
        <v>39790</v>
      </c>
      <c r="G6" s="167">
        <v>47483</v>
      </c>
      <c r="H6" s="168">
        <v>547709</v>
      </c>
    </row>
    <row r="7" spans="1:8" ht="13.7" customHeight="1" x14ac:dyDescent="0.25">
      <c r="A7" s="166" t="s">
        <v>462</v>
      </c>
      <c r="B7" s="166" t="s">
        <v>458</v>
      </c>
      <c r="C7" s="166" t="s">
        <v>459</v>
      </c>
      <c r="D7" s="166" t="s">
        <v>463</v>
      </c>
      <c r="E7" s="166" t="s">
        <v>464</v>
      </c>
      <c r="F7" s="167">
        <v>39790</v>
      </c>
      <c r="G7" s="167">
        <v>47483</v>
      </c>
      <c r="H7" s="168">
        <v>-547709</v>
      </c>
    </row>
    <row r="8" spans="1:8" ht="13.7" customHeight="1" x14ac:dyDescent="0.25">
      <c r="A8" s="166" t="s">
        <v>465</v>
      </c>
      <c r="B8" s="166" t="s">
        <v>466</v>
      </c>
      <c r="C8" s="166" t="s">
        <v>459</v>
      </c>
      <c r="D8" s="166" t="s">
        <v>467</v>
      </c>
      <c r="E8" s="166" t="s">
        <v>468</v>
      </c>
      <c r="F8" s="167">
        <v>43712</v>
      </c>
      <c r="G8" s="167">
        <v>45185</v>
      </c>
      <c r="H8" s="168">
        <v>85919</v>
      </c>
    </row>
    <row r="9" spans="1:8" ht="13.7" customHeight="1" x14ac:dyDescent="0.25">
      <c r="A9" s="166" t="s">
        <v>469</v>
      </c>
      <c r="B9" s="166" t="s">
        <v>466</v>
      </c>
      <c r="C9" s="166" t="s">
        <v>459</v>
      </c>
      <c r="D9" s="166" t="s">
        <v>470</v>
      </c>
      <c r="E9" s="166" t="s">
        <v>468</v>
      </c>
      <c r="F9" s="167">
        <v>43810</v>
      </c>
      <c r="G9" s="167">
        <v>44196</v>
      </c>
      <c r="H9" s="168">
        <v>30148</v>
      </c>
    </row>
    <row r="10" spans="1:8" ht="13.7" customHeight="1" x14ac:dyDescent="0.25">
      <c r="A10" s="166" t="s">
        <v>471</v>
      </c>
      <c r="B10" s="166" t="s">
        <v>466</v>
      </c>
      <c r="C10" s="166" t="s">
        <v>459</v>
      </c>
      <c r="D10" s="166" t="s">
        <v>472</v>
      </c>
      <c r="E10" s="166" t="s">
        <v>468</v>
      </c>
      <c r="F10" s="167">
        <v>43952</v>
      </c>
      <c r="G10" s="167">
        <v>44561</v>
      </c>
      <c r="H10" s="168">
        <v>42210</v>
      </c>
    </row>
    <row r="11" spans="1:8" ht="13.7" customHeight="1" x14ac:dyDescent="0.25">
      <c r="A11" s="166" t="s">
        <v>473</v>
      </c>
      <c r="B11" s="166" t="s">
        <v>466</v>
      </c>
      <c r="C11" s="166" t="s">
        <v>459</v>
      </c>
      <c r="D11" s="166" t="s">
        <v>474</v>
      </c>
      <c r="E11" s="166" t="s">
        <v>475</v>
      </c>
      <c r="F11" s="167">
        <v>43282</v>
      </c>
      <c r="G11" s="167">
        <v>43738</v>
      </c>
      <c r="H11" s="168">
        <v>12000</v>
      </c>
    </row>
    <row r="12" spans="1:8" ht="13.7" customHeight="1" x14ac:dyDescent="0.25">
      <c r="A12" s="166" t="s">
        <v>476</v>
      </c>
      <c r="B12" s="166" t="s">
        <v>466</v>
      </c>
      <c r="C12" s="166" t="s">
        <v>459</v>
      </c>
      <c r="D12" s="166" t="s">
        <v>477</v>
      </c>
      <c r="E12" s="166" t="s">
        <v>468</v>
      </c>
      <c r="F12" s="167">
        <v>42979</v>
      </c>
      <c r="G12" s="167">
        <v>44196</v>
      </c>
      <c r="H12" s="168">
        <v>3106</v>
      </c>
    </row>
    <row r="13" spans="1:8" ht="13.7" customHeight="1" x14ac:dyDescent="0.25">
      <c r="A13" s="166" t="s">
        <v>476</v>
      </c>
      <c r="B13" s="166" t="s">
        <v>466</v>
      </c>
      <c r="C13" s="166" t="s">
        <v>459</v>
      </c>
      <c r="D13" s="166" t="s">
        <v>477</v>
      </c>
      <c r="E13" s="166" t="s">
        <v>468</v>
      </c>
      <c r="F13" s="167">
        <v>42979</v>
      </c>
      <c r="G13" s="167">
        <v>44196</v>
      </c>
      <c r="H13" s="168">
        <v>17748</v>
      </c>
    </row>
    <row r="14" spans="1:8" ht="13.7" customHeight="1" x14ac:dyDescent="0.25">
      <c r="A14" s="166" t="s">
        <v>478</v>
      </c>
      <c r="B14" s="166" t="s">
        <v>466</v>
      </c>
      <c r="C14" s="166" t="s">
        <v>459</v>
      </c>
      <c r="D14" s="166" t="s">
        <v>479</v>
      </c>
      <c r="E14" s="166" t="s">
        <v>468</v>
      </c>
      <c r="F14" s="167">
        <v>43321</v>
      </c>
      <c r="G14" s="167">
        <v>43982</v>
      </c>
      <c r="H14" s="168">
        <v>31019</v>
      </c>
    </row>
    <row r="15" spans="1:8" ht="13.7" customHeight="1" x14ac:dyDescent="0.25">
      <c r="A15" s="166" t="s">
        <v>478</v>
      </c>
      <c r="B15" s="166" t="s">
        <v>466</v>
      </c>
      <c r="C15" s="166" t="s">
        <v>459</v>
      </c>
      <c r="D15" s="166" t="s">
        <v>479</v>
      </c>
      <c r="E15" s="166" t="s">
        <v>468</v>
      </c>
      <c r="F15" s="167">
        <v>43321</v>
      </c>
      <c r="G15" s="167">
        <v>43982</v>
      </c>
      <c r="H15" s="168">
        <v>131</v>
      </c>
    </row>
    <row r="16" spans="1:8" ht="13.7" customHeight="1" x14ac:dyDescent="0.25">
      <c r="A16" s="166" t="s">
        <v>480</v>
      </c>
      <c r="B16" s="166" t="s">
        <v>466</v>
      </c>
      <c r="C16" s="166" t="s">
        <v>459</v>
      </c>
      <c r="D16" s="166" t="s">
        <v>481</v>
      </c>
      <c r="E16" s="166" t="s">
        <v>482</v>
      </c>
      <c r="F16" s="167">
        <v>43969</v>
      </c>
      <c r="G16" s="167">
        <v>44135</v>
      </c>
      <c r="H16" s="168">
        <v>22280</v>
      </c>
    </row>
    <row r="17" spans="1:8" ht="13.7" customHeight="1" x14ac:dyDescent="0.25">
      <c r="A17" s="166" t="s">
        <v>480</v>
      </c>
      <c r="B17" s="166" t="s">
        <v>466</v>
      </c>
      <c r="C17" s="166" t="s">
        <v>459</v>
      </c>
      <c r="D17" s="166" t="s">
        <v>481</v>
      </c>
      <c r="E17" s="166" t="s">
        <v>482</v>
      </c>
      <c r="F17" s="167">
        <v>43969</v>
      </c>
      <c r="G17" s="167">
        <v>44135</v>
      </c>
      <c r="H17" s="168">
        <v>2720</v>
      </c>
    </row>
    <row r="18" spans="1:8" ht="13.7" customHeight="1" x14ac:dyDescent="0.25">
      <c r="A18" s="166" t="s">
        <v>483</v>
      </c>
      <c r="B18" s="166" t="s">
        <v>484</v>
      </c>
      <c r="C18" s="166" t="s">
        <v>459</v>
      </c>
      <c r="D18" s="166" t="s">
        <v>485</v>
      </c>
      <c r="E18" s="166" t="s">
        <v>486</v>
      </c>
      <c r="F18" s="167">
        <v>43146</v>
      </c>
      <c r="G18" s="167">
        <v>44408</v>
      </c>
      <c r="H18" s="168">
        <v>4313</v>
      </c>
    </row>
    <row r="19" spans="1:8" ht="13.7" customHeight="1" x14ac:dyDescent="0.25">
      <c r="A19" s="166" t="s">
        <v>487</v>
      </c>
      <c r="B19" s="166" t="s">
        <v>484</v>
      </c>
      <c r="C19" s="166" t="s">
        <v>459</v>
      </c>
      <c r="D19" s="166" t="s">
        <v>485</v>
      </c>
      <c r="E19" s="166" t="s">
        <v>486</v>
      </c>
      <c r="F19" s="167">
        <v>43146</v>
      </c>
      <c r="G19" s="167">
        <v>44408</v>
      </c>
      <c r="H19" s="168">
        <v>5105</v>
      </c>
    </row>
    <row r="20" spans="1:8" ht="13.7" customHeight="1" x14ac:dyDescent="0.25">
      <c r="A20" s="166" t="s">
        <v>488</v>
      </c>
      <c r="B20" s="166" t="s">
        <v>484</v>
      </c>
      <c r="C20" s="166" t="s">
        <v>459</v>
      </c>
      <c r="D20" s="166" t="s">
        <v>489</v>
      </c>
      <c r="E20" s="166" t="s">
        <v>486</v>
      </c>
      <c r="F20" s="167">
        <v>43344</v>
      </c>
      <c r="G20" s="167">
        <v>44985</v>
      </c>
      <c r="H20" s="168">
        <v>10000</v>
      </c>
    </row>
    <row r="21" spans="1:8" ht="13.7" customHeight="1" x14ac:dyDescent="0.25">
      <c r="A21" s="166" t="s">
        <v>490</v>
      </c>
      <c r="B21" s="166" t="s">
        <v>484</v>
      </c>
      <c r="C21" s="166" t="s">
        <v>459</v>
      </c>
      <c r="D21" s="166" t="s">
        <v>489</v>
      </c>
      <c r="E21" s="166" t="s">
        <v>486</v>
      </c>
      <c r="F21" s="167">
        <v>43344</v>
      </c>
      <c r="G21" s="167">
        <v>44985</v>
      </c>
      <c r="H21" s="168">
        <v>40000</v>
      </c>
    </row>
    <row r="22" spans="1:8" ht="13.7" customHeight="1" x14ac:dyDescent="0.25">
      <c r="A22" s="166" t="s">
        <v>491</v>
      </c>
      <c r="B22" s="166" t="s">
        <v>492</v>
      </c>
      <c r="C22" s="166" t="s">
        <v>459</v>
      </c>
      <c r="D22" s="166" t="s">
        <v>493</v>
      </c>
      <c r="E22" s="166" t="s">
        <v>494</v>
      </c>
      <c r="F22" s="167">
        <v>43617</v>
      </c>
      <c r="G22" s="167">
        <v>44196</v>
      </c>
      <c r="H22" s="168">
        <v>9000</v>
      </c>
    </row>
    <row r="23" spans="1:8" ht="13.7" customHeight="1" x14ac:dyDescent="0.25">
      <c r="A23" s="166" t="s">
        <v>495</v>
      </c>
      <c r="B23" s="166" t="s">
        <v>492</v>
      </c>
      <c r="C23" s="166" t="s">
        <v>459</v>
      </c>
      <c r="D23" s="166" t="s">
        <v>496</v>
      </c>
      <c r="E23" s="166" t="s">
        <v>497</v>
      </c>
      <c r="F23" s="167">
        <v>43963</v>
      </c>
      <c r="G23" s="167">
        <v>45778</v>
      </c>
      <c r="H23" s="168">
        <v>16800</v>
      </c>
    </row>
    <row r="24" spans="1:8" ht="13.7" customHeight="1" x14ac:dyDescent="0.25">
      <c r="A24" s="166" t="s">
        <v>495</v>
      </c>
      <c r="B24" s="166" t="s">
        <v>492</v>
      </c>
      <c r="C24" s="166" t="s">
        <v>459</v>
      </c>
      <c r="D24" s="166" t="s">
        <v>496</v>
      </c>
      <c r="E24" s="166" t="s">
        <v>497</v>
      </c>
      <c r="F24" s="167">
        <v>43963</v>
      </c>
      <c r="G24" s="167">
        <v>45778</v>
      </c>
      <c r="H24" s="168">
        <v>13200</v>
      </c>
    </row>
    <row r="25" spans="1:8" ht="13.7" customHeight="1" x14ac:dyDescent="0.25">
      <c r="A25" s="166" t="s">
        <v>498</v>
      </c>
      <c r="B25" s="166" t="s">
        <v>499</v>
      </c>
      <c r="C25" s="166" t="s">
        <v>500</v>
      </c>
      <c r="D25" s="166" t="s">
        <v>501</v>
      </c>
      <c r="E25" s="166" t="s">
        <v>502</v>
      </c>
      <c r="F25" s="167">
        <v>43691</v>
      </c>
      <c r="G25" s="167">
        <v>45535</v>
      </c>
      <c r="H25" s="168">
        <v>-11000</v>
      </c>
    </row>
    <row r="26" spans="1:8" ht="13.7" customHeight="1" x14ac:dyDescent="0.25">
      <c r="A26" s="166" t="s">
        <v>498</v>
      </c>
      <c r="B26" s="166" t="s">
        <v>499</v>
      </c>
      <c r="C26" s="166" t="s">
        <v>500</v>
      </c>
      <c r="D26" s="166" t="s">
        <v>501</v>
      </c>
      <c r="E26" s="166" t="s">
        <v>502</v>
      </c>
      <c r="F26" s="167">
        <v>43691</v>
      </c>
      <c r="G26" s="167">
        <v>45535</v>
      </c>
      <c r="H26" s="168">
        <v>11000</v>
      </c>
    </row>
    <row r="27" spans="1:8" ht="13.7" customHeight="1" x14ac:dyDescent="0.25">
      <c r="A27" s="166" t="s">
        <v>498</v>
      </c>
      <c r="B27" s="166" t="s">
        <v>499</v>
      </c>
      <c r="C27" s="166" t="s">
        <v>500</v>
      </c>
      <c r="D27" s="166" t="s">
        <v>501</v>
      </c>
      <c r="E27" s="166" t="s">
        <v>502</v>
      </c>
      <c r="F27" s="167">
        <v>43691</v>
      </c>
      <c r="G27" s="167">
        <v>45535</v>
      </c>
      <c r="H27" s="168">
        <v>124825</v>
      </c>
    </row>
    <row r="28" spans="1:8" ht="13.7" customHeight="1" x14ac:dyDescent="0.25">
      <c r="A28" s="166" t="s">
        <v>503</v>
      </c>
      <c r="B28" s="166" t="s">
        <v>499</v>
      </c>
      <c r="C28" s="166" t="s">
        <v>500</v>
      </c>
      <c r="D28" s="166" t="s">
        <v>504</v>
      </c>
      <c r="E28" s="166" t="s">
        <v>502</v>
      </c>
      <c r="F28" s="167">
        <v>41856</v>
      </c>
      <c r="G28" s="167">
        <v>43646</v>
      </c>
      <c r="H28" s="168">
        <v>-20090</v>
      </c>
    </row>
    <row r="29" spans="1:8" ht="13.7" customHeight="1" x14ac:dyDescent="0.25">
      <c r="A29" s="166" t="s">
        <v>503</v>
      </c>
      <c r="B29" s="166" t="s">
        <v>499</v>
      </c>
      <c r="C29" s="166" t="s">
        <v>500</v>
      </c>
      <c r="D29" s="166" t="s">
        <v>504</v>
      </c>
      <c r="E29" s="166" t="s">
        <v>502</v>
      </c>
      <c r="F29" s="167">
        <v>41856</v>
      </c>
      <c r="G29" s="167">
        <v>43646</v>
      </c>
      <c r="H29" s="168">
        <v>-36510</v>
      </c>
    </row>
    <row r="30" spans="1:8" ht="13.7" customHeight="1" x14ac:dyDescent="0.25">
      <c r="A30" s="166" t="s">
        <v>503</v>
      </c>
      <c r="B30" s="166" t="s">
        <v>499</v>
      </c>
      <c r="C30" s="166" t="s">
        <v>500</v>
      </c>
      <c r="D30" s="166" t="s">
        <v>504</v>
      </c>
      <c r="E30" s="166" t="s">
        <v>502</v>
      </c>
      <c r="F30" s="167">
        <v>41856</v>
      </c>
      <c r="G30" s="167">
        <v>43646</v>
      </c>
      <c r="H30" s="168">
        <v>-25000</v>
      </c>
    </row>
    <row r="31" spans="1:8" ht="13.7" customHeight="1" x14ac:dyDescent="0.25">
      <c r="A31" s="166" t="s">
        <v>505</v>
      </c>
      <c r="B31" s="166" t="s">
        <v>499</v>
      </c>
      <c r="C31" s="166" t="s">
        <v>500</v>
      </c>
      <c r="D31" s="166" t="s">
        <v>506</v>
      </c>
      <c r="E31" s="166" t="s">
        <v>507</v>
      </c>
      <c r="F31" s="167">
        <v>43952</v>
      </c>
      <c r="G31" s="167">
        <v>44350</v>
      </c>
      <c r="H31" s="168">
        <v>60000</v>
      </c>
    </row>
    <row r="32" spans="1:8" ht="13.7" customHeight="1" x14ac:dyDescent="0.25">
      <c r="A32" s="166" t="s">
        <v>508</v>
      </c>
      <c r="B32" s="166" t="s">
        <v>509</v>
      </c>
      <c r="C32" s="166" t="s">
        <v>510</v>
      </c>
      <c r="D32" s="166" t="s">
        <v>511</v>
      </c>
      <c r="E32" s="166" t="s">
        <v>512</v>
      </c>
      <c r="F32" s="167">
        <v>43440</v>
      </c>
      <c r="G32" s="167">
        <v>44286</v>
      </c>
      <c r="H32" s="168">
        <v>5750</v>
      </c>
    </row>
    <row r="33" spans="1:8" ht="13.7" customHeight="1" x14ac:dyDescent="0.25">
      <c r="A33" s="166" t="s">
        <v>508</v>
      </c>
      <c r="B33" s="166" t="s">
        <v>509</v>
      </c>
      <c r="C33" s="166" t="s">
        <v>510</v>
      </c>
      <c r="D33" s="166" t="s">
        <v>511</v>
      </c>
      <c r="E33" s="166" t="s">
        <v>512</v>
      </c>
      <c r="F33" s="167">
        <v>43440</v>
      </c>
      <c r="G33" s="167">
        <v>44286</v>
      </c>
      <c r="H33" s="168">
        <v>35000</v>
      </c>
    </row>
    <row r="34" spans="1:8" ht="13.7" customHeight="1" x14ac:dyDescent="0.25">
      <c r="A34" s="166" t="s">
        <v>513</v>
      </c>
      <c r="B34" s="166" t="s">
        <v>514</v>
      </c>
      <c r="C34" s="166" t="s">
        <v>510</v>
      </c>
      <c r="D34" s="166" t="s">
        <v>515</v>
      </c>
      <c r="E34" s="166" t="s">
        <v>516</v>
      </c>
      <c r="F34" s="167">
        <v>43738</v>
      </c>
      <c r="G34" s="167">
        <v>44196</v>
      </c>
      <c r="H34" s="168">
        <v>3276</v>
      </c>
    </row>
    <row r="35" spans="1:8" ht="13.7" customHeight="1" x14ac:dyDescent="0.25">
      <c r="A35" s="166" t="s">
        <v>513</v>
      </c>
      <c r="B35" s="166" t="s">
        <v>514</v>
      </c>
      <c r="C35" s="166" t="s">
        <v>510</v>
      </c>
      <c r="D35" s="166" t="s">
        <v>515</v>
      </c>
      <c r="E35" s="166" t="s">
        <v>516</v>
      </c>
      <c r="F35" s="167">
        <v>43738</v>
      </c>
      <c r="G35" s="167">
        <v>44196</v>
      </c>
      <c r="H35" s="168">
        <v>-845</v>
      </c>
    </row>
    <row r="36" spans="1:8" ht="13.7" customHeight="1" x14ac:dyDescent="0.25">
      <c r="A36" s="166" t="s">
        <v>513</v>
      </c>
      <c r="B36" s="166" t="s">
        <v>514</v>
      </c>
      <c r="C36" s="166" t="s">
        <v>510</v>
      </c>
      <c r="D36" s="166" t="s">
        <v>515</v>
      </c>
      <c r="E36" s="166" t="s">
        <v>516</v>
      </c>
      <c r="F36" s="167">
        <v>43738</v>
      </c>
      <c r="G36" s="167">
        <v>44196</v>
      </c>
      <c r="H36" s="168">
        <v>3276</v>
      </c>
    </row>
    <row r="37" spans="1:8" ht="13.7" customHeight="1" x14ac:dyDescent="0.25">
      <c r="A37" s="166" t="s">
        <v>517</v>
      </c>
      <c r="B37" s="166" t="s">
        <v>518</v>
      </c>
      <c r="C37" s="166" t="s">
        <v>510</v>
      </c>
      <c r="D37" s="166" t="s">
        <v>519</v>
      </c>
      <c r="E37" s="166" t="s">
        <v>520</v>
      </c>
      <c r="F37" s="167">
        <v>42917</v>
      </c>
      <c r="G37" s="167">
        <v>44012</v>
      </c>
      <c r="H37" s="168">
        <v>273061</v>
      </c>
    </row>
    <row r="38" spans="1:8" ht="13.7" customHeight="1" x14ac:dyDescent="0.25">
      <c r="A38" s="166" t="s">
        <v>517</v>
      </c>
      <c r="B38" s="166" t="s">
        <v>518</v>
      </c>
      <c r="C38" s="166" t="s">
        <v>510</v>
      </c>
      <c r="D38" s="166" t="s">
        <v>519</v>
      </c>
      <c r="E38" s="166" t="s">
        <v>520</v>
      </c>
      <c r="F38" s="167">
        <v>42917</v>
      </c>
      <c r="G38" s="167">
        <v>44012</v>
      </c>
      <c r="H38" s="168">
        <v>43852</v>
      </c>
    </row>
    <row r="39" spans="1:8" ht="13.7" customHeight="1" x14ac:dyDescent="0.25">
      <c r="A39" s="166" t="s">
        <v>517</v>
      </c>
      <c r="B39" s="166" t="s">
        <v>518</v>
      </c>
      <c r="C39" s="166" t="s">
        <v>510</v>
      </c>
      <c r="D39" s="166" t="s">
        <v>519</v>
      </c>
      <c r="E39" s="166" t="s">
        <v>520</v>
      </c>
      <c r="F39" s="167">
        <v>42917</v>
      </c>
      <c r="G39" s="167">
        <v>44012</v>
      </c>
      <c r="H39" s="168">
        <v>1286.47</v>
      </c>
    </row>
    <row r="40" spans="1:8" ht="13.7" customHeight="1" x14ac:dyDescent="0.25">
      <c r="A40" s="166" t="s">
        <v>517</v>
      </c>
      <c r="B40" s="166" t="s">
        <v>518</v>
      </c>
      <c r="C40" s="166" t="s">
        <v>510</v>
      </c>
      <c r="D40" s="166" t="s">
        <v>519</v>
      </c>
      <c r="E40" s="166" t="s">
        <v>520</v>
      </c>
      <c r="F40" s="167">
        <v>42917</v>
      </c>
      <c r="G40" s="167">
        <v>44012</v>
      </c>
      <c r="H40" s="168">
        <v>-1286.47</v>
      </c>
    </row>
    <row r="41" spans="1:8" ht="13.7" customHeight="1" x14ac:dyDescent="0.25">
      <c r="A41" s="166" t="s">
        <v>517</v>
      </c>
      <c r="B41" s="166" t="s">
        <v>518</v>
      </c>
      <c r="C41" s="166" t="s">
        <v>510</v>
      </c>
      <c r="D41" s="166" t="s">
        <v>519</v>
      </c>
      <c r="E41" s="166" t="s">
        <v>520</v>
      </c>
      <c r="F41" s="167">
        <v>42917</v>
      </c>
      <c r="G41" s="167">
        <v>44012</v>
      </c>
      <c r="H41" s="168">
        <v>-771.78</v>
      </c>
    </row>
    <row r="42" spans="1:8" ht="13.7" customHeight="1" x14ac:dyDescent="0.25">
      <c r="A42" s="166" t="s">
        <v>517</v>
      </c>
      <c r="B42" s="166" t="s">
        <v>518</v>
      </c>
      <c r="C42" s="166" t="s">
        <v>510</v>
      </c>
      <c r="D42" s="166" t="s">
        <v>519</v>
      </c>
      <c r="E42" s="166" t="s">
        <v>520</v>
      </c>
      <c r="F42" s="167">
        <v>42917</v>
      </c>
      <c r="G42" s="167">
        <v>44012</v>
      </c>
      <c r="H42" s="168">
        <v>771.78</v>
      </c>
    </row>
    <row r="43" spans="1:8" ht="13.7" customHeight="1" x14ac:dyDescent="0.25">
      <c r="A43" s="166" t="s">
        <v>521</v>
      </c>
      <c r="B43" s="166" t="s">
        <v>518</v>
      </c>
      <c r="C43" s="166" t="s">
        <v>510</v>
      </c>
      <c r="D43" s="166" t="s">
        <v>522</v>
      </c>
      <c r="E43" s="166" t="s">
        <v>486</v>
      </c>
      <c r="F43" s="167">
        <v>43891</v>
      </c>
      <c r="G43" s="167">
        <v>44985</v>
      </c>
      <c r="H43" s="168">
        <v>423432</v>
      </c>
    </row>
    <row r="44" spans="1:8" ht="13.7" customHeight="1" x14ac:dyDescent="0.25">
      <c r="A44" s="166" t="s">
        <v>521</v>
      </c>
      <c r="B44" s="166" t="s">
        <v>518</v>
      </c>
      <c r="C44" s="166" t="s">
        <v>510</v>
      </c>
      <c r="D44" s="166" t="s">
        <v>522</v>
      </c>
      <c r="E44" s="166" t="s">
        <v>486</v>
      </c>
      <c r="F44" s="167">
        <v>43891</v>
      </c>
      <c r="G44" s="167">
        <v>44985</v>
      </c>
      <c r="H44" s="168">
        <v>47337</v>
      </c>
    </row>
    <row r="45" spans="1:8" ht="13.7" customHeight="1" x14ac:dyDescent="0.25">
      <c r="A45" s="166" t="s">
        <v>523</v>
      </c>
      <c r="B45" s="166" t="s">
        <v>518</v>
      </c>
      <c r="C45" s="166" t="s">
        <v>510</v>
      </c>
      <c r="D45" s="166" t="s">
        <v>522</v>
      </c>
      <c r="E45" s="166" t="s">
        <v>486</v>
      </c>
      <c r="F45" s="167">
        <v>43891</v>
      </c>
      <c r="G45" s="167">
        <v>44985</v>
      </c>
      <c r="H45" s="168">
        <v>6833</v>
      </c>
    </row>
    <row r="46" spans="1:8" ht="13.7" customHeight="1" x14ac:dyDescent="0.25">
      <c r="A46" s="166" t="s">
        <v>523</v>
      </c>
      <c r="B46" s="166" t="s">
        <v>518</v>
      </c>
      <c r="C46" s="166" t="s">
        <v>510</v>
      </c>
      <c r="D46" s="166" t="s">
        <v>522</v>
      </c>
      <c r="E46" s="166" t="s">
        <v>486</v>
      </c>
      <c r="F46" s="167">
        <v>43891</v>
      </c>
      <c r="G46" s="167">
        <v>44985</v>
      </c>
      <c r="H46" s="168">
        <v>8303</v>
      </c>
    </row>
    <row r="47" spans="1:8" ht="13.7" customHeight="1" x14ac:dyDescent="0.25">
      <c r="A47" s="166" t="s">
        <v>524</v>
      </c>
      <c r="B47" s="166" t="s">
        <v>525</v>
      </c>
      <c r="C47" s="166" t="s">
        <v>510</v>
      </c>
      <c r="D47" s="166" t="s">
        <v>526</v>
      </c>
      <c r="E47" s="166" t="s">
        <v>468</v>
      </c>
      <c r="F47" s="167">
        <v>43706</v>
      </c>
      <c r="G47" s="167">
        <v>43921</v>
      </c>
      <c r="H47" s="168">
        <v>10682</v>
      </c>
    </row>
    <row r="48" spans="1:8" ht="13.7" customHeight="1" x14ac:dyDescent="0.25">
      <c r="A48" s="166" t="s">
        <v>524</v>
      </c>
      <c r="B48" s="166" t="s">
        <v>525</v>
      </c>
      <c r="C48" s="166" t="s">
        <v>510</v>
      </c>
      <c r="D48" s="166" t="s">
        <v>526</v>
      </c>
      <c r="E48" s="166" t="s">
        <v>468</v>
      </c>
      <c r="F48" s="167">
        <v>43706</v>
      </c>
      <c r="G48" s="167">
        <v>43921</v>
      </c>
      <c r="H48" s="168">
        <v>1303</v>
      </c>
    </row>
    <row r="49" spans="1:8" ht="13.7" customHeight="1" x14ac:dyDescent="0.25">
      <c r="A49" s="166" t="s">
        <v>527</v>
      </c>
      <c r="B49" s="166" t="s">
        <v>525</v>
      </c>
      <c r="C49" s="166" t="s">
        <v>510</v>
      </c>
      <c r="D49" s="166" t="s">
        <v>528</v>
      </c>
      <c r="E49" s="166" t="s">
        <v>529</v>
      </c>
      <c r="F49" s="167">
        <v>42901</v>
      </c>
      <c r="G49" s="167">
        <v>44712</v>
      </c>
      <c r="H49" s="168">
        <v>25000</v>
      </c>
    </row>
    <row r="50" spans="1:8" ht="13.7" customHeight="1" x14ac:dyDescent="0.25">
      <c r="A50" s="166" t="s">
        <v>530</v>
      </c>
      <c r="B50" s="166" t="s">
        <v>531</v>
      </c>
      <c r="C50" s="166" t="s">
        <v>510</v>
      </c>
      <c r="D50" s="166" t="s">
        <v>532</v>
      </c>
      <c r="E50" s="166" t="s">
        <v>486</v>
      </c>
      <c r="F50" s="167">
        <v>43694</v>
      </c>
      <c r="G50" s="167">
        <v>44865</v>
      </c>
      <c r="H50" s="168">
        <v>1434259</v>
      </c>
    </row>
    <row r="51" spans="1:8" ht="13.7" customHeight="1" x14ac:dyDescent="0.25">
      <c r="A51" s="166" t="s">
        <v>530</v>
      </c>
      <c r="B51" s="166" t="s">
        <v>531</v>
      </c>
      <c r="C51" s="166" t="s">
        <v>510</v>
      </c>
      <c r="D51" s="166" t="s">
        <v>532</v>
      </c>
      <c r="E51" s="166" t="s">
        <v>486</v>
      </c>
      <c r="F51" s="167">
        <v>43694</v>
      </c>
      <c r="G51" s="167">
        <v>44865</v>
      </c>
      <c r="H51" s="168">
        <v>86684</v>
      </c>
    </row>
    <row r="52" spans="1:8" ht="13.7" customHeight="1" x14ac:dyDescent="0.25">
      <c r="A52" s="166" t="s">
        <v>533</v>
      </c>
      <c r="B52" s="166" t="s">
        <v>531</v>
      </c>
      <c r="C52" s="166" t="s">
        <v>510</v>
      </c>
      <c r="D52" s="166" t="s">
        <v>532</v>
      </c>
      <c r="E52" s="166" t="s">
        <v>486</v>
      </c>
      <c r="F52" s="167">
        <v>43694</v>
      </c>
      <c r="G52" s="167">
        <v>44865</v>
      </c>
      <c r="H52" s="168">
        <v>79055</v>
      </c>
    </row>
    <row r="53" spans="1:8" ht="13.7" customHeight="1" x14ac:dyDescent="0.25">
      <c r="A53" s="166" t="s">
        <v>534</v>
      </c>
      <c r="B53" s="166" t="s">
        <v>531</v>
      </c>
      <c r="C53" s="166" t="s">
        <v>510</v>
      </c>
      <c r="D53" s="166" t="s">
        <v>535</v>
      </c>
      <c r="E53" s="166" t="s">
        <v>536</v>
      </c>
      <c r="F53" s="167">
        <v>43980</v>
      </c>
      <c r="G53" s="167">
        <v>44195</v>
      </c>
      <c r="H53" s="168">
        <v>13146</v>
      </c>
    </row>
    <row r="54" spans="1:8" ht="13.7" customHeight="1" x14ac:dyDescent="0.25">
      <c r="A54" s="166" t="s">
        <v>534</v>
      </c>
      <c r="B54" s="166" t="s">
        <v>531</v>
      </c>
      <c r="C54" s="166" t="s">
        <v>510</v>
      </c>
      <c r="D54" s="166" t="s">
        <v>535</v>
      </c>
      <c r="E54" s="166" t="s">
        <v>536</v>
      </c>
      <c r="F54" s="167">
        <v>43980</v>
      </c>
      <c r="G54" s="167">
        <v>44195</v>
      </c>
      <c r="H54" s="168">
        <v>16601</v>
      </c>
    </row>
    <row r="55" spans="1:8" ht="13.7" customHeight="1" x14ac:dyDescent="0.25">
      <c r="A55" s="166" t="s">
        <v>537</v>
      </c>
      <c r="B55" s="166" t="s">
        <v>538</v>
      </c>
      <c r="C55" s="166" t="s">
        <v>510</v>
      </c>
      <c r="D55" s="166" t="s">
        <v>539</v>
      </c>
      <c r="E55" s="166" t="s">
        <v>540</v>
      </c>
      <c r="F55" s="167">
        <v>43358</v>
      </c>
      <c r="G55" s="167">
        <v>44453</v>
      </c>
      <c r="H55" s="168">
        <v>101832</v>
      </c>
    </row>
    <row r="56" spans="1:8" ht="13.7" customHeight="1" x14ac:dyDescent="0.25">
      <c r="A56" s="166" t="s">
        <v>541</v>
      </c>
      <c r="B56" s="166" t="s">
        <v>542</v>
      </c>
      <c r="C56" s="166" t="s">
        <v>510</v>
      </c>
      <c r="D56" s="166" t="s">
        <v>543</v>
      </c>
      <c r="E56" s="166" t="s">
        <v>544</v>
      </c>
      <c r="F56" s="167">
        <v>43678</v>
      </c>
      <c r="G56" s="167">
        <v>44043</v>
      </c>
      <c r="H56" s="168">
        <v>-1000</v>
      </c>
    </row>
    <row r="57" spans="1:8" ht="13.7" customHeight="1" x14ac:dyDescent="0.25">
      <c r="A57" s="166" t="s">
        <v>541</v>
      </c>
      <c r="B57" s="166" t="s">
        <v>542</v>
      </c>
      <c r="C57" s="166" t="s">
        <v>510</v>
      </c>
      <c r="D57" s="166" t="s">
        <v>543</v>
      </c>
      <c r="E57" s="166" t="s">
        <v>544</v>
      </c>
      <c r="F57" s="167">
        <v>43678</v>
      </c>
      <c r="G57" s="167">
        <v>44043</v>
      </c>
      <c r="H57" s="168">
        <v>1000</v>
      </c>
    </row>
    <row r="58" spans="1:8" ht="13.7" customHeight="1" x14ac:dyDescent="0.25">
      <c r="A58" s="166" t="s">
        <v>541</v>
      </c>
      <c r="B58" s="166" t="s">
        <v>542</v>
      </c>
      <c r="C58" s="166" t="s">
        <v>510</v>
      </c>
      <c r="D58" s="166" t="s">
        <v>543</v>
      </c>
      <c r="E58" s="166" t="s">
        <v>544</v>
      </c>
      <c r="F58" s="167">
        <v>43678</v>
      </c>
      <c r="G58" s="167">
        <v>44043</v>
      </c>
      <c r="H58" s="168">
        <v>52704</v>
      </c>
    </row>
    <row r="59" spans="1:8" ht="13.7" customHeight="1" x14ac:dyDescent="0.25">
      <c r="A59" s="166" t="s">
        <v>545</v>
      </c>
      <c r="B59" s="166" t="s">
        <v>546</v>
      </c>
      <c r="C59" s="166" t="s">
        <v>510</v>
      </c>
      <c r="D59" s="166" t="s">
        <v>547</v>
      </c>
      <c r="E59" s="166" t="s">
        <v>548</v>
      </c>
      <c r="F59" s="167">
        <v>43433</v>
      </c>
      <c r="G59" s="167">
        <v>44260</v>
      </c>
      <c r="H59" s="168">
        <v>118156</v>
      </c>
    </row>
    <row r="60" spans="1:8" ht="13.7" customHeight="1" x14ac:dyDescent="0.25">
      <c r="A60" s="166" t="s">
        <v>545</v>
      </c>
      <c r="B60" s="166" t="s">
        <v>546</v>
      </c>
      <c r="C60" s="166" t="s">
        <v>510</v>
      </c>
      <c r="D60" s="166" t="s">
        <v>547</v>
      </c>
      <c r="E60" s="166" t="s">
        <v>548</v>
      </c>
      <c r="F60" s="167">
        <v>43433</v>
      </c>
      <c r="G60" s="167">
        <v>44260</v>
      </c>
      <c r="H60" s="168">
        <v>73723</v>
      </c>
    </row>
    <row r="61" spans="1:8" ht="13.7" customHeight="1" x14ac:dyDescent="0.25">
      <c r="A61" s="166" t="s">
        <v>545</v>
      </c>
      <c r="B61" s="166" t="s">
        <v>546</v>
      </c>
      <c r="C61" s="166" t="s">
        <v>510</v>
      </c>
      <c r="D61" s="166" t="s">
        <v>547</v>
      </c>
      <c r="E61" s="166" t="s">
        <v>548</v>
      </c>
      <c r="F61" s="167">
        <v>43433</v>
      </c>
      <c r="G61" s="167">
        <v>44260</v>
      </c>
      <c r="H61" s="168">
        <v>213663</v>
      </c>
    </row>
    <row r="62" spans="1:8" ht="13.7" customHeight="1" x14ac:dyDescent="0.25">
      <c r="A62" s="166" t="s">
        <v>549</v>
      </c>
      <c r="B62" s="166" t="s">
        <v>546</v>
      </c>
      <c r="C62" s="166" t="s">
        <v>510</v>
      </c>
      <c r="D62" s="166" t="s">
        <v>550</v>
      </c>
      <c r="E62" s="166" t="s">
        <v>468</v>
      </c>
      <c r="F62" s="167">
        <v>42962</v>
      </c>
      <c r="G62" s="167">
        <v>44561</v>
      </c>
      <c r="H62" s="168">
        <v>18000</v>
      </c>
    </row>
    <row r="63" spans="1:8" ht="13.7" customHeight="1" x14ac:dyDescent="0.25">
      <c r="A63" s="166" t="s">
        <v>549</v>
      </c>
      <c r="B63" s="166" t="s">
        <v>546</v>
      </c>
      <c r="C63" s="166" t="s">
        <v>510</v>
      </c>
      <c r="D63" s="166" t="s">
        <v>550</v>
      </c>
      <c r="E63" s="166" t="s">
        <v>468</v>
      </c>
      <c r="F63" s="167">
        <v>42962</v>
      </c>
      <c r="G63" s="167">
        <v>44561</v>
      </c>
      <c r="H63" s="168">
        <v>1050</v>
      </c>
    </row>
    <row r="64" spans="1:8" ht="13.7" customHeight="1" x14ac:dyDescent="0.25">
      <c r="A64" s="166" t="s">
        <v>549</v>
      </c>
      <c r="B64" s="166" t="s">
        <v>546</v>
      </c>
      <c r="C64" s="166" t="s">
        <v>510</v>
      </c>
      <c r="D64" s="166" t="s">
        <v>550</v>
      </c>
      <c r="E64" s="166" t="s">
        <v>468</v>
      </c>
      <c r="F64" s="167">
        <v>42962</v>
      </c>
      <c r="G64" s="167">
        <v>44561</v>
      </c>
      <c r="H64" s="168">
        <v>6000</v>
      </c>
    </row>
    <row r="65" spans="1:8" ht="13.7" customHeight="1" x14ac:dyDescent="0.25">
      <c r="A65" s="166" t="s">
        <v>551</v>
      </c>
      <c r="B65" s="166" t="s">
        <v>552</v>
      </c>
      <c r="C65" s="166" t="s">
        <v>510</v>
      </c>
      <c r="D65" s="166" t="s">
        <v>553</v>
      </c>
      <c r="E65" s="166" t="s">
        <v>554</v>
      </c>
      <c r="F65" s="167">
        <v>43605</v>
      </c>
      <c r="G65" s="167">
        <v>44196</v>
      </c>
      <c r="H65" s="168">
        <v>2675.44</v>
      </c>
    </row>
    <row r="66" spans="1:8" ht="13.7" customHeight="1" x14ac:dyDescent="0.25">
      <c r="A66" s="166" t="s">
        <v>551</v>
      </c>
      <c r="B66" s="166" t="s">
        <v>552</v>
      </c>
      <c r="C66" s="166" t="s">
        <v>510</v>
      </c>
      <c r="D66" s="166" t="s">
        <v>553</v>
      </c>
      <c r="E66" s="166" t="s">
        <v>554</v>
      </c>
      <c r="F66" s="167">
        <v>43605</v>
      </c>
      <c r="G66" s="167">
        <v>44196</v>
      </c>
      <c r="H66" s="168">
        <v>1654</v>
      </c>
    </row>
    <row r="67" spans="1:8" ht="13.7" customHeight="1" x14ac:dyDescent="0.25">
      <c r="A67" s="166" t="s">
        <v>555</v>
      </c>
      <c r="B67" s="166" t="s">
        <v>556</v>
      </c>
      <c r="C67" s="166" t="s">
        <v>510</v>
      </c>
      <c r="D67" s="166" t="s">
        <v>557</v>
      </c>
      <c r="E67" s="166" t="s">
        <v>558</v>
      </c>
      <c r="F67" s="167">
        <v>43862</v>
      </c>
      <c r="G67" s="167">
        <v>44561</v>
      </c>
      <c r="H67" s="168">
        <v>21238</v>
      </c>
    </row>
    <row r="68" spans="1:8" ht="13.7" customHeight="1" x14ac:dyDescent="0.25">
      <c r="A68" s="166" t="s">
        <v>559</v>
      </c>
      <c r="B68" s="166" t="s">
        <v>560</v>
      </c>
      <c r="C68" s="166" t="s">
        <v>510</v>
      </c>
      <c r="D68" s="166" t="s">
        <v>561</v>
      </c>
      <c r="E68" s="166" t="s">
        <v>502</v>
      </c>
      <c r="F68" s="167">
        <v>43899</v>
      </c>
      <c r="G68" s="167">
        <v>44773</v>
      </c>
      <c r="H68" s="168">
        <v>41831</v>
      </c>
    </row>
    <row r="69" spans="1:8" ht="13.7" customHeight="1" x14ac:dyDescent="0.25">
      <c r="A69" s="166" t="s">
        <v>562</v>
      </c>
      <c r="B69" s="166" t="s">
        <v>560</v>
      </c>
      <c r="C69" s="166" t="s">
        <v>510</v>
      </c>
      <c r="D69" s="166" t="s">
        <v>563</v>
      </c>
      <c r="E69" s="166" t="s">
        <v>468</v>
      </c>
      <c r="F69" s="167">
        <v>42795</v>
      </c>
      <c r="G69" s="167">
        <v>44926</v>
      </c>
      <c r="H69" s="168">
        <v>4999.92</v>
      </c>
    </row>
    <row r="70" spans="1:8" ht="13.7" customHeight="1" x14ac:dyDescent="0.25">
      <c r="A70" s="166" t="s">
        <v>564</v>
      </c>
      <c r="B70" s="166" t="s">
        <v>565</v>
      </c>
      <c r="C70" s="166" t="s">
        <v>510</v>
      </c>
      <c r="D70" s="166" t="s">
        <v>566</v>
      </c>
      <c r="E70" s="166" t="s">
        <v>486</v>
      </c>
      <c r="F70" s="167">
        <v>43677</v>
      </c>
      <c r="G70" s="167">
        <v>44347</v>
      </c>
      <c r="H70" s="168">
        <v>136041</v>
      </c>
    </row>
    <row r="71" spans="1:8" ht="13.7" customHeight="1" x14ac:dyDescent="0.25">
      <c r="A71" s="166" t="s">
        <v>564</v>
      </c>
      <c r="B71" s="166" t="s">
        <v>565</v>
      </c>
      <c r="C71" s="166" t="s">
        <v>510</v>
      </c>
      <c r="D71" s="166" t="s">
        <v>566</v>
      </c>
      <c r="E71" s="166" t="s">
        <v>486</v>
      </c>
      <c r="F71" s="167">
        <v>43677</v>
      </c>
      <c r="G71" s="167">
        <v>44347</v>
      </c>
      <c r="H71" s="168">
        <v>33405</v>
      </c>
    </row>
    <row r="72" spans="1:8" ht="13.7" customHeight="1" x14ac:dyDescent="0.25">
      <c r="A72" s="166" t="s">
        <v>567</v>
      </c>
      <c r="B72" s="166" t="s">
        <v>568</v>
      </c>
      <c r="C72" s="166" t="s">
        <v>510</v>
      </c>
      <c r="D72" s="166" t="s">
        <v>569</v>
      </c>
      <c r="E72" s="166" t="s">
        <v>570</v>
      </c>
      <c r="F72" s="167">
        <v>43374</v>
      </c>
      <c r="G72" s="167">
        <v>43738</v>
      </c>
      <c r="H72" s="168">
        <v>-35.270000000000003</v>
      </c>
    </row>
    <row r="73" spans="1:8" ht="13.7" customHeight="1" x14ac:dyDescent="0.25">
      <c r="A73" s="166" t="s">
        <v>571</v>
      </c>
      <c r="B73" s="166" t="s">
        <v>568</v>
      </c>
      <c r="C73" s="166" t="s">
        <v>510</v>
      </c>
      <c r="D73" s="166" t="s">
        <v>569</v>
      </c>
      <c r="E73" s="166" t="s">
        <v>570</v>
      </c>
      <c r="F73" s="167">
        <v>43739</v>
      </c>
      <c r="G73" s="167">
        <v>44459</v>
      </c>
      <c r="H73" s="168">
        <v>35.270000000000003</v>
      </c>
    </row>
    <row r="74" spans="1:8" ht="13.7" customHeight="1" x14ac:dyDescent="0.25">
      <c r="A74" s="166" t="s">
        <v>571</v>
      </c>
      <c r="B74" s="166" t="s">
        <v>568</v>
      </c>
      <c r="C74" s="166" t="s">
        <v>510</v>
      </c>
      <c r="D74" s="166" t="s">
        <v>569</v>
      </c>
      <c r="E74" s="166" t="s">
        <v>570</v>
      </c>
      <c r="F74" s="167">
        <v>43739</v>
      </c>
      <c r="G74" s="167">
        <v>44459</v>
      </c>
      <c r="H74" s="168">
        <v>74655</v>
      </c>
    </row>
    <row r="75" spans="1:8" ht="13.7" customHeight="1" x14ac:dyDescent="0.25">
      <c r="A75" s="166" t="s">
        <v>572</v>
      </c>
      <c r="B75" s="166" t="s">
        <v>568</v>
      </c>
      <c r="C75" s="166" t="s">
        <v>510</v>
      </c>
      <c r="D75" s="166" t="s">
        <v>573</v>
      </c>
      <c r="E75" s="166" t="s">
        <v>574</v>
      </c>
      <c r="F75" s="167">
        <v>43891</v>
      </c>
      <c r="G75" s="167">
        <v>44895</v>
      </c>
      <c r="H75" s="168">
        <v>29101</v>
      </c>
    </row>
    <row r="76" spans="1:8" ht="13.7" customHeight="1" x14ac:dyDescent="0.25">
      <c r="A76" s="166" t="s">
        <v>572</v>
      </c>
      <c r="B76" s="166" t="s">
        <v>568</v>
      </c>
      <c r="C76" s="166" t="s">
        <v>510</v>
      </c>
      <c r="D76" s="166" t="s">
        <v>573</v>
      </c>
      <c r="E76" s="166" t="s">
        <v>574</v>
      </c>
      <c r="F76" s="167">
        <v>43891</v>
      </c>
      <c r="G76" s="167">
        <v>44895</v>
      </c>
      <c r="H76" s="168">
        <v>64668</v>
      </c>
    </row>
    <row r="77" spans="1:8" ht="13.7" customHeight="1" x14ac:dyDescent="0.25">
      <c r="A77" s="166" t="s">
        <v>575</v>
      </c>
      <c r="B77" s="166" t="s">
        <v>576</v>
      </c>
      <c r="C77" s="166" t="s">
        <v>577</v>
      </c>
      <c r="D77" s="166" t="s">
        <v>578</v>
      </c>
      <c r="E77" s="166" t="s">
        <v>579</v>
      </c>
      <c r="F77" s="167">
        <v>42583</v>
      </c>
      <c r="G77" s="167">
        <v>44408</v>
      </c>
      <c r="H77" s="168">
        <v>116913</v>
      </c>
    </row>
    <row r="78" spans="1:8" ht="13.7" customHeight="1" x14ac:dyDescent="0.25">
      <c r="A78" s="166" t="s">
        <v>575</v>
      </c>
      <c r="B78" s="166" t="s">
        <v>576</v>
      </c>
      <c r="C78" s="166" t="s">
        <v>577</v>
      </c>
      <c r="D78" s="166" t="s">
        <v>578</v>
      </c>
      <c r="E78" s="166" t="s">
        <v>579</v>
      </c>
      <c r="F78" s="167">
        <v>42583</v>
      </c>
      <c r="G78" s="167">
        <v>44408</v>
      </c>
      <c r="H78" s="168">
        <v>67209</v>
      </c>
    </row>
    <row r="79" spans="1:8" ht="13.7" customHeight="1" x14ac:dyDescent="0.25">
      <c r="A79" s="166" t="s">
        <v>580</v>
      </c>
      <c r="B79" s="166" t="s">
        <v>576</v>
      </c>
      <c r="C79" s="166" t="s">
        <v>577</v>
      </c>
      <c r="D79" s="166" t="s">
        <v>581</v>
      </c>
      <c r="E79" s="166" t="s">
        <v>582</v>
      </c>
      <c r="F79" s="167">
        <v>43313</v>
      </c>
      <c r="G79" s="167">
        <v>43677</v>
      </c>
      <c r="H79" s="168">
        <v>10904</v>
      </c>
    </row>
    <row r="80" spans="1:8" ht="13.7" customHeight="1" x14ac:dyDescent="0.25">
      <c r="A80" s="166" t="s">
        <v>580</v>
      </c>
      <c r="B80" s="166" t="s">
        <v>576</v>
      </c>
      <c r="C80" s="166" t="s">
        <v>577</v>
      </c>
      <c r="D80" s="166" t="s">
        <v>581</v>
      </c>
      <c r="E80" s="166" t="s">
        <v>582</v>
      </c>
      <c r="F80" s="167">
        <v>43313</v>
      </c>
      <c r="G80" s="167">
        <v>43677</v>
      </c>
      <c r="H80" s="168">
        <v>-1405</v>
      </c>
    </row>
    <row r="81" spans="1:8" ht="13.7" customHeight="1" x14ac:dyDescent="0.25">
      <c r="A81" s="166" t="s">
        <v>583</v>
      </c>
      <c r="B81" s="166" t="s">
        <v>576</v>
      </c>
      <c r="C81" s="166" t="s">
        <v>577</v>
      </c>
      <c r="D81" s="166" t="s">
        <v>584</v>
      </c>
      <c r="E81" s="166" t="s">
        <v>585</v>
      </c>
      <c r="F81" s="167">
        <v>43101</v>
      </c>
      <c r="G81" s="167">
        <v>44377</v>
      </c>
      <c r="H81" s="168">
        <v>106950</v>
      </c>
    </row>
    <row r="82" spans="1:8" ht="13.7" customHeight="1" x14ac:dyDescent="0.25">
      <c r="A82" s="166" t="s">
        <v>583</v>
      </c>
      <c r="B82" s="166" t="s">
        <v>576</v>
      </c>
      <c r="C82" s="166" t="s">
        <v>577</v>
      </c>
      <c r="D82" s="166" t="s">
        <v>584</v>
      </c>
      <c r="E82" s="166" t="s">
        <v>585</v>
      </c>
      <c r="F82" s="167">
        <v>43101</v>
      </c>
      <c r="G82" s="167">
        <v>44377</v>
      </c>
      <c r="H82" s="168">
        <v>23200</v>
      </c>
    </row>
    <row r="83" spans="1:8" ht="13.7" customHeight="1" x14ac:dyDescent="0.25">
      <c r="A83" s="166" t="s">
        <v>583</v>
      </c>
      <c r="B83" s="166" t="s">
        <v>576</v>
      </c>
      <c r="C83" s="166" t="s">
        <v>577</v>
      </c>
      <c r="D83" s="166" t="s">
        <v>584</v>
      </c>
      <c r="E83" s="166" t="s">
        <v>585</v>
      </c>
      <c r="F83" s="167">
        <v>43101</v>
      </c>
      <c r="G83" s="167">
        <v>44377</v>
      </c>
      <c r="H83" s="168">
        <v>-23200</v>
      </c>
    </row>
    <row r="84" spans="1:8" ht="13.7" customHeight="1" x14ac:dyDescent="0.25">
      <c r="A84" s="166" t="s">
        <v>583</v>
      </c>
      <c r="B84" s="166" t="s">
        <v>576</v>
      </c>
      <c r="C84" s="166" t="s">
        <v>577</v>
      </c>
      <c r="D84" s="166" t="s">
        <v>584</v>
      </c>
      <c r="E84" s="166" t="s">
        <v>585</v>
      </c>
      <c r="F84" s="167">
        <v>43101</v>
      </c>
      <c r="G84" s="167">
        <v>44377</v>
      </c>
      <c r="H84" s="168">
        <v>0</v>
      </c>
    </row>
    <row r="85" spans="1:8" ht="13.7" customHeight="1" x14ac:dyDescent="0.25">
      <c r="A85" s="166" t="s">
        <v>586</v>
      </c>
      <c r="B85" s="166" t="s">
        <v>587</v>
      </c>
      <c r="C85" s="166" t="s">
        <v>588</v>
      </c>
      <c r="D85" s="166" t="s">
        <v>589</v>
      </c>
      <c r="E85" s="166" t="s">
        <v>486</v>
      </c>
      <c r="F85" s="167">
        <v>42993</v>
      </c>
      <c r="G85" s="167">
        <v>43862</v>
      </c>
      <c r="H85" s="168">
        <v>0</v>
      </c>
    </row>
    <row r="86" spans="1:8" ht="13.7" customHeight="1" x14ac:dyDescent="0.25">
      <c r="A86" s="166" t="s">
        <v>590</v>
      </c>
      <c r="B86" s="166" t="s">
        <v>591</v>
      </c>
      <c r="C86" s="166" t="s">
        <v>588</v>
      </c>
      <c r="D86" s="166" t="s">
        <v>592</v>
      </c>
      <c r="E86" s="166" t="s">
        <v>593</v>
      </c>
      <c r="F86" s="167">
        <v>42948</v>
      </c>
      <c r="G86" s="167">
        <v>43312</v>
      </c>
      <c r="H86" s="168">
        <v>-2522.4299999999998</v>
      </c>
    </row>
    <row r="87" spans="1:8" ht="13.7" customHeight="1" x14ac:dyDescent="0.25">
      <c r="A87" s="166" t="s">
        <v>590</v>
      </c>
      <c r="B87" s="166" t="s">
        <v>591</v>
      </c>
      <c r="C87" s="166" t="s">
        <v>588</v>
      </c>
      <c r="D87" s="166" t="s">
        <v>592</v>
      </c>
      <c r="E87" s="166" t="s">
        <v>593</v>
      </c>
      <c r="F87" s="167">
        <v>42948</v>
      </c>
      <c r="G87" s="167">
        <v>43312</v>
      </c>
      <c r="H87" s="168">
        <v>-1410.13</v>
      </c>
    </row>
    <row r="88" spans="1:8" ht="13.7" customHeight="1" x14ac:dyDescent="0.25">
      <c r="A88" s="166" t="s">
        <v>594</v>
      </c>
      <c r="B88" s="166" t="s">
        <v>591</v>
      </c>
      <c r="C88" s="166" t="s">
        <v>588</v>
      </c>
      <c r="D88" s="166" t="s">
        <v>595</v>
      </c>
      <c r="E88" s="166" t="s">
        <v>593</v>
      </c>
      <c r="F88" s="167">
        <v>43313</v>
      </c>
      <c r="G88" s="167">
        <v>43677</v>
      </c>
      <c r="H88" s="168">
        <v>-800</v>
      </c>
    </row>
    <row r="89" spans="1:8" ht="13.7" customHeight="1" x14ac:dyDescent="0.25">
      <c r="A89" s="166" t="s">
        <v>594</v>
      </c>
      <c r="B89" s="166" t="s">
        <v>591</v>
      </c>
      <c r="C89" s="166" t="s">
        <v>588</v>
      </c>
      <c r="D89" s="166" t="s">
        <v>595</v>
      </c>
      <c r="E89" s="166" t="s">
        <v>593</v>
      </c>
      <c r="F89" s="167">
        <v>43313</v>
      </c>
      <c r="G89" s="167">
        <v>43677</v>
      </c>
      <c r="H89" s="168">
        <v>-12424.83</v>
      </c>
    </row>
    <row r="90" spans="1:8" ht="13.7" customHeight="1" x14ac:dyDescent="0.25">
      <c r="A90" s="166" t="s">
        <v>594</v>
      </c>
      <c r="B90" s="166" t="s">
        <v>591</v>
      </c>
      <c r="C90" s="166" t="s">
        <v>588</v>
      </c>
      <c r="D90" s="166" t="s">
        <v>595</v>
      </c>
      <c r="E90" s="166" t="s">
        <v>593</v>
      </c>
      <c r="F90" s="167">
        <v>43313</v>
      </c>
      <c r="G90" s="167">
        <v>43677</v>
      </c>
      <c r="H90" s="168">
        <v>-5591.76</v>
      </c>
    </row>
    <row r="91" spans="1:8" ht="13.7" customHeight="1" x14ac:dyDescent="0.25">
      <c r="A91" s="166" t="s">
        <v>596</v>
      </c>
      <c r="B91" s="166" t="s">
        <v>591</v>
      </c>
      <c r="C91" s="166" t="s">
        <v>588</v>
      </c>
      <c r="D91" s="166" t="s">
        <v>595</v>
      </c>
      <c r="E91" s="166" t="s">
        <v>593</v>
      </c>
      <c r="F91" s="167">
        <v>43313</v>
      </c>
      <c r="G91" s="167">
        <v>43677</v>
      </c>
      <c r="H91" s="168">
        <v>12721</v>
      </c>
    </row>
    <row r="92" spans="1:8" ht="13.7" customHeight="1" x14ac:dyDescent="0.25">
      <c r="A92" s="166" t="s">
        <v>597</v>
      </c>
      <c r="B92" s="166" t="s">
        <v>591</v>
      </c>
      <c r="C92" s="166" t="s">
        <v>588</v>
      </c>
      <c r="D92" s="166" t="s">
        <v>592</v>
      </c>
      <c r="E92" s="166" t="s">
        <v>593</v>
      </c>
      <c r="F92" s="167">
        <v>43678</v>
      </c>
      <c r="G92" s="167">
        <v>44043</v>
      </c>
      <c r="H92" s="168">
        <v>468141</v>
      </c>
    </row>
    <row r="93" spans="1:8" ht="13.7" customHeight="1" x14ac:dyDescent="0.25">
      <c r="A93" s="166" t="s">
        <v>597</v>
      </c>
      <c r="B93" s="166" t="s">
        <v>591</v>
      </c>
      <c r="C93" s="166" t="s">
        <v>588</v>
      </c>
      <c r="D93" s="166" t="s">
        <v>592</v>
      </c>
      <c r="E93" s="166" t="s">
        <v>593</v>
      </c>
      <c r="F93" s="167">
        <v>43678</v>
      </c>
      <c r="G93" s="167">
        <v>44043</v>
      </c>
      <c r="H93" s="168">
        <v>8000</v>
      </c>
    </row>
    <row r="94" spans="1:8" ht="13.7" customHeight="1" x14ac:dyDescent="0.25">
      <c r="A94" s="166" t="s">
        <v>598</v>
      </c>
      <c r="B94" s="166" t="s">
        <v>591</v>
      </c>
      <c r="C94" s="166" t="s">
        <v>588</v>
      </c>
      <c r="D94" s="166" t="s">
        <v>592</v>
      </c>
      <c r="E94" s="166" t="s">
        <v>593</v>
      </c>
      <c r="F94" s="167">
        <v>43678</v>
      </c>
      <c r="G94" s="167">
        <v>44043</v>
      </c>
      <c r="H94" s="168">
        <v>52600</v>
      </c>
    </row>
    <row r="95" spans="1:8" ht="13.7" customHeight="1" x14ac:dyDescent="0.25">
      <c r="A95" s="166" t="s">
        <v>598</v>
      </c>
      <c r="B95" s="166" t="s">
        <v>591</v>
      </c>
      <c r="C95" s="166" t="s">
        <v>588</v>
      </c>
      <c r="D95" s="166" t="s">
        <v>592</v>
      </c>
      <c r="E95" s="166" t="s">
        <v>593</v>
      </c>
      <c r="F95" s="167">
        <v>43678</v>
      </c>
      <c r="G95" s="167">
        <v>44043</v>
      </c>
      <c r="H95" s="168">
        <v>250333</v>
      </c>
    </row>
    <row r="96" spans="1:8" ht="13.7" customHeight="1" x14ac:dyDescent="0.25">
      <c r="A96" s="166" t="s">
        <v>598</v>
      </c>
      <c r="B96" s="166" t="s">
        <v>591</v>
      </c>
      <c r="C96" s="166" t="s">
        <v>588</v>
      </c>
      <c r="D96" s="166" t="s">
        <v>592</v>
      </c>
      <c r="E96" s="166" t="s">
        <v>593</v>
      </c>
      <c r="F96" s="167">
        <v>43678</v>
      </c>
      <c r="G96" s="167">
        <v>44043</v>
      </c>
      <c r="H96" s="168">
        <v>25825</v>
      </c>
    </row>
    <row r="97" spans="1:8" ht="13.7" customHeight="1" x14ac:dyDescent="0.25">
      <c r="A97" s="166" t="s">
        <v>599</v>
      </c>
      <c r="B97" s="166" t="s">
        <v>591</v>
      </c>
      <c r="C97" s="166" t="s">
        <v>588</v>
      </c>
      <c r="D97" s="166" t="s">
        <v>592</v>
      </c>
      <c r="E97" s="166" t="s">
        <v>593</v>
      </c>
      <c r="F97" s="167">
        <v>43678</v>
      </c>
      <c r="G97" s="167">
        <v>44043</v>
      </c>
      <c r="H97" s="168">
        <v>4940</v>
      </c>
    </row>
    <row r="98" spans="1:8" ht="13.7" customHeight="1" x14ac:dyDescent="0.25">
      <c r="A98" s="166" t="s">
        <v>599</v>
      </c>
      <c r="B98" s="166" t="s">
        <v>591</v>
      </c>
      <c r="C98" s="166" t="s">
        <v>588</v>
      </c>
      <c r="D98" s="166" t="s">
        <v>592</v>
      </c>
      <c r="E98" s="166" t="s">
        <v>593</v>
      </c>
      <c r="F98" s="167">
        <v>43678</v>
      </c>
      <c r="G98" s="167">
        <v>44043</v>
      </c>
      <c r="H98" s="168">
        <v>10977</v>
      </c>
    </row>
    <row r="99" spans="1:8" ht="13.7" customHeight="1" x14ac:dyDescent="0.25">
      <c r="A99" s="166" t="s">
        <v>600</v>
      </c>
      <c r="B99" s="166" t="s">
        <v>591</v>
      </c>
      <c r="C99" s="166" t="s">
        <v>588</v>
      </c>
      <c r="D99" s="166" t="s">
        <v>592</v>
      </c>
      <c r="E99" s="166" t="s">
        <v>593</v>
      </c>
      <c r="F99" s="167">
        <v>43678</v>
      </c>
      <c r="G99" s="167">
        <v>44043</v>
      </c>
      <c r="H99" s="168">
        <v>17980</v>
      </c>
    </row>
    <row r="100" spans="1:8" ht="13.7" customHeight="1" x14ac:dyDescent="0.25">
      <c r="A100" s="166" t="s">
        <v>601</v>
      </c>
      <c r="B100" s="166" t="s">
        <v>591</v>
      </c>
      <c r="C100" s="166" t="s">
        <v>588</v>
      </c>
      <c r="D100" s="166" t="s">
        <v>602</v>
      </c>
      <c r="E100" s="166" t="s">
        <v>582</v>
      </c>
      <c r="F100" s="167">
        <v>43586</v>
      </c>
      <c r="G100" s="167">
        <v>43951</v>
      </c>
      <c r="H100" s="168">
        <v>50000</v>
      </c>
    </row>
    <row r="101" spans="1:8" ht="13.7" customHeight="1" x14ac:dyDescent="0.25">
      <c r="A101" s="166" t="s">
        <v>603</v>
      </c>
      <c r="B101" s="166" t="s">
        <v>591</v>
      </c>
      <c r="C101" s="166" t="s">
        <v>588</v>
      </c>
      <c r="D101" s="166" t="s">
        <v>604</v>
      </c>
      <c r="E101" s="166" t="s">
        <v>593</v>
      </c>
      <c r="F101" s="167">
        <v>42064</v>
      </c>
      <c r="G101" s="167">
        <v>44408</v>
      </c>
      <c r="H101" s="168">
        <v>362500</v>
      </c>
    </row>
    <row r="102" spans="1:8" ht="13.7" customHeight="1" x14ac:dyDescent="0.25">
      <c r="A102" s="166" t="s">
        <v>605</v>
      </c>
      <c r="B102" s="166" t="s">
        <v>606</v>
      </c>
      <c r="C102" s="166" t="s">
        <v>588</v>
      </c>
      <c r="D102" s="166" t="s">
        <v>607</v>
      </c>
      <c r="E102" s="166" t="s">
        <v>593</v>
      </c>
      <c r="F102" s="167">
        <v>43831</v>
      </c>
      <c r="G102" s="167">
        <v>44196</v>
      </c>
      <c r="H102" s="168">
        <v>2700</v>
      </c>
    </row>
    <row r="103" spans="1:8" ht="13.7" customHeight="1" x14ac:dyDescent="0.25">
      <c r="A103" s="166" t="s">
        <v>605</v>
      </c>
      <c r="B103" s="166" t="s">
        <v>606</v>
      </c>
      <c r="C103" s="166" t="s">
        <v>588</v>
      </c>
      <c r="D103" s="166" t="s">
        <v>607</v>
      </c>
      <c r="E103" s="166" t="s">
        <v>593</v>
      </c>
      <c r="F103" s="167">
        <v>43831</v>
      </c>
      <c r="G103" s="167">
        <v>44196</v>
      </c>
      <c r="H103" s="168">
        <v>1000</v>
      </c>
    </row>
    <row r="104" spans="1:8" ht="13.7" customHeight="1" x14ac:dyDescent="0.25">
      <c r="A104" s="166" t="s">
        <v>605</v>
      </c>
      <c r="B104" s="166" t="s">
        <v>606</v>
      </c>
      <c r="C104" s="166" t="s">
        <v>588</v>
      </c>
      <c r="D104" s="166" t="s">
        <v>607</v>
      </c>
      <c r="E104" s="166" t="s">
        <v>593</v>
      </c>
      <c r="F104" s="167">
        <v>43831</v>
      </c>
      <c r="G104" s="167">
        <v>44196</v>
      </c>
      <c r="H104" s="168">
        <v>60854</v>
      </c>
    </row>
    <row r="105" spans="1:8" ht="13.7" customHeight="1" x14ac:dyDescent="0.25">
      <c r="A105" s="166" t="s">
        <v>608</v>
      </c>
      <c r="B105" s="166" t="s">
        <v>609</v>
      </c>
      <c r="C105" s="166" t="s">
        <v>430</v>
      </c>
      <c r="D105" s="166" t="s">
        <v>610</v>
      </c>
      <c r="E105" s="166" t="s">
        <v>611</v>
      </c>
      <c r="F105" s="167">
        <v>43713</v>
      </c>
      <c r="G105" s="167">
        <v>44439</v>
      </c>
      <c r="H105" s="168">
        <v>104165</v>
      </c>
    </row>
    <row r="106" spans="1:8" ht="13.7" customHeight="1" x14ac:dyDescent="0.25">
      <c r="A106" s="166" t="s">
        <v>608</v>
      </c>
      <c r="B106" s="166" t="s">
        <v>609</v>
      </c>
      <c r="C106" s="166" t="s">
        <v>430</v>
      </c>
      <c r="D106" s="166" t="s">
        <v>610</v>
      </c>
      <c r="E106" s="166" t="s">
        <v>611</v>
      </c>
      <c r="F106" s="167">
        <v>43713</v>
      </c>
      <c r="G106" s="167">
        <v>44439</v>
      </c>
      <c r="H106" s="168">
        <v>269585</v>
      </c>
    </row>
    <row r="107" spans="1:8" ht="13.7" customHeight="1" x14ac:dyDescent="0.25">
      <c r="A107" s="166" t="s">
        <v>612</v>
      </c>
      <c r="B107" s="166" t="s">
        <v>609</v>
      </c>
      <c r="C107" s="166" t="s">
        <v>430</v>
      </c>
      <c r="D107" s="166" t="s">
        <v>613</v>
      </c>
      <c r="E107" s="166" t="s">
        <v>614</v>
      </c>
      <c r="F107" s="167">
        <v>43532</v>
      </c>
      <c r="G107" s="167">
        <v>44255</v>
      </c>
      <c r="H107" s="168">
        <v>74226</v>
      </c>
    </row>
    <row r="108" spans="1:8" ht="13.7" customHeight="1" x14ac:dyDescent="0.25">
      <c r="A108" s="166" t="s">
        <v>615</v>
      </c>
      <c r="B108" s="166" t="s">
        <v>616</v>
      </c>
      <c r="C108" s="166" t="s">
        <v>617</v>
      </c>
      <c r="D108" s="166" t="s">
        <v>618</v>
      </c>
      <c r="E108" s="166" t="s">
        <v>619</v>
      </c>
      <c r="F108" s="167">
        <v>42765</v>
      </c>
      <c r="G108" s="167">
        <v>43861</v>
      </c>
      <c r="H108" s="168">
        <v>6685</v>
      </c>
    </row>
    <row r="109" spans="1:8" ht="13.7" customHeight="1" x14ac:dyDescent="0.25">
      <c r="A109" s="166" t="s">
        <v>620</v>
      </c>
      <c r="B109" s="166" t="s">
        <v>616</v>
      </c>
      <c r="C109" s="166" t="s">
        <v>617</v>
      </c>
      <c r="D109" s="166" t="s">
        <v>621</v>
      </c>
      <c r="E109" s="166" t="s">
        <v>622</v>
      </c>
      <c r="F109" s="167">
        <v>43739</v>
      </c>
      <c r="G109" s="167">
        <v>44469</v>
      </c>
      <c r="H109" s="168">
        <v>58787</v>
      </c>
    </row>
    <row r="110" spans="1:8" ht="13.7" customHeight="1" x14ac:dyDescent="0.25">
      <c r="A110" s="166" t="s">
        <v>623</v>
      </c>
      <c r="B110" s="166" t="s">
        <v>616</v>
      </c>
      <c r="C110" s="166" t="s">
        <v>617</v>
      </c>
      <c r="D110" s="166" t="s">
        <v>621</v>
      </c>
      <c r="E110" s="166" t="s">
        <v>622</v>
      </c>
      <c r="F110" s="167">
        <v>43739</v>
      </c>
      <c r="G110" s="167">
        <v>44469</v>
      </c>
      <c r="H110" s="168">
        <v>184994</v>
      </c>
    </row>
    <row r="111" spans="1:8" ht="13.7" customHeight="1" x14ac:dyDescent="0.25">
      <c r="A111" s="166" t="s">
        <v>624</v>
      </c>
      <c r="B111" s="166" t="s">
        <v>616</v>
      </c>
      <c r="C111" s="166" t="s">
        <v>617</v>
      </c>
      <c r="D111" s="166" t="s">
        <v>625</v>
      </c>
      <c r="E111" s="166" t="s">
        <v>622</v>
      </c>
      <c r="F111" s="167">
        <v>43948</v>
      </c>
      <c r="G111" s="167">
        <v>44677</v>
      </c>
      <c r="H111" s="168">
        <v>112136</v>
      </c>
    </row>
    <row r="112" spans="1:8" ht="13.7" customHeight="1" x14ac:dyDescent="0.25">
      <c r="A112" s="166" t="s">
        <v>626</v>
      </c>
      <c r="B112" s="166" t="s">
        <v>627</v>
      </c>
      <c r="C112" s="166" t="s">
        <v>617</v>
      </c>
      <c r="D112" s="166" t="s">
        <v>628</v>
      </c>
      <c r="E112" s="166" t="s">
        <v>629</v>
      </c>
      <c r="F112" s="167">
        <v>43423</v>
      </c>
      <c r="G112" s="167">
        <v>44129</v>
      </c>
      <c r="H112" s="168">
        <v>4000</v>
      </c>
    </row>
    <row r="113" spans="1:8" ht="13.7" customHeight="1" x14ac:dyDescent="0.25">
      <c r="A113" s="166" t="s">
        <v>626</v>
      </c>
      <c r="B113" s="166" t="s">
        <v>627</v>
      </c>
      <c r="C113" s="166" t="s">
        <v>617</v>
      </c>
      <c r="D113" s="166" t="s">
        <v>628</v>
      </c>
      <c r="E113" s="166" t="s">
        <v>629</v>
      </c>
      <c r="F113" s="167">
        <v>43423</v>
      </c>
      <c r="G113" s="167">
        <v>44129</v>
      </c>
      <c r="H113" s="168">
        <v>-4000</v>
      </c>
    </row>
    <row r="114" spans="1:8" ht="13.7" customHeight="1" x14ac:dyDescent="0.25">
      <c r="A114" s="166" t="s">
        <v>630</v>
      </c>
      <c r="B114" s="166" t="s">
        <v>631</v>
      </c>
      <c r="C114" s="166" t="s">
        <v>632</v>
      </c>
      <c r="D114" s="166" t="s">
        <v>633</v>
      </c>
      <c r="E114" s="166" t="s">
        <v>634</v>
      </c>
      <c r="F114" s="167">
        <v>43913</v>
      </c>
      <c r="G114" s="167">
        <v>44074</v>
      </c>
      <c r="H114" s="168">
        <v>24000</v>
      </c>
    </row>
    <row r="115" spans="1:8" ht="13.7" customHeight="1" x14ac:dyDescent="0.25">
      <c r="A115" s="166" t="s">
        <v>630</v>
      </c>
      <c r="B115" s="166" t="s">
        <v>631</v>
      </c>
      <c r="C115" s="166" t="s">
        <v>632</v>
      </c>
      <c r="D115" s="166" t="s">
        <v>633</v>
      </c>
      <c r="E115" s="166" t="s">
        <v>634</v>
      </c>
      <c r="F115" s="167">
        <v>43913</v>
      </c>
      <c r="G115" s="167">
        <v>44074</v>
      </c>
      <c r="H115" s="168">
        <v>1000</v>
      </c>
    </row>
    <row r="116" spans="1:8" ht="13.7" customHeight="1" x14ac:dyDescent="0.25">
      <c r="A116" s="166" t="s">
        <v>635</v>
      </c>
      <c r="B116" s="166" t="s">
        <v>636</v>
      </c>
      <c r="C116" s="166" t="s">
        <v>632</v>
      </c>
      <c r="D116" s="166" t="s">
        <v>637</v>
      </c>
      <c r="E116" s="166" t="s">
        <v>638</v>
      </c>
      <c r="F116" s="167">
        <v>43558</v>
      </c>
      <c r="G116" s="167">
        <v>43769</v>
      </c>
      <c r="H116" s="168">
        <v>0</v>
      </c>
    </row>
    <row r="117" spans="1:8" ht="13.7" customHeight="1" x14ac:dyDescent="0.25">
      <c r="A117" s="166" t="s">
        <v>639</v>
      </c>
      <c r="B117" s="166" t="s">
        <v>636</v>
      </c>
      <c r="C117" s="166" t="s">
        <v>632</v>
      </c>
      <c r="D117" s="166" t="s">
        <v>640</v>
      </c>
      <c r="E117" s="166" t="s">
        <v>641</v>
      </c>
      <c r="F117" s="167">
        <v>43418</v>
      </c>
      <c r="G117" s="167">
        <v>44469</v>
      </c>
      <c r="H117" s="168">
        <v>30000</v>
      </c>
    </row>
    <row r="118" spans="1:8" ht="13.7" customHeight="1" x14ac:dyDescent="0.25">
      <c r="A118" s="166" t="s">
        <v>642</v>
      </c>
      <c r="B118" s="166" t="s">
        <v>643</v>
      </c>
      <c r="C118" s="166" t="s">
        <v>632</v>
      </c>
      <c r="D118" s="166" t="s">
        <v>644</v>
      </c>
      <c r="E118" s="166" t="s">
        <v>645</v>
      </c>
      <c r="F118" s="167">
        <v>42634</v>
      </c>
      <c r="G118" s="167">
        <v>44469</v>
      </c>
      <c r="H118" s="168">
        <v>73380</v>
      </c>
    </row>
    <row r="119" spans="1:8" ht="13.7" customHeight="1" x14ac:dyDescent="0.25">
      <c r="A119" s="166" t="s">
        <v>642</v>
      </c>
      <c r="B119" s="166" t="s">
        <v>643</v>
      </c>
      <c r="C119" s="166" t="s">
        <v>632</v>
      </c>
      <c r="D119" s="166" t="s">
        <v>644</v>
      </c>
      <c r="E119" s="166" t="s">
        <v>645</v>
      </c>
      <c r="F119" s="167">
        <v>42634</v>
      </c>
      <c r="G119" s="167">
        <v>44469</v>
      </c>
      <c r="H119" s="168">
        <v>5820</v>
      </c>
    </row>
    <row r="120" spans="1:8" ht="13.7" customHeight="1" x14ac:dyDescent="0.25">
      <c r="A120" s="166" t="s">
        <v>646</v>
      </c>
      <c r="B120" s="166" t="s">
        <v>643</v>
      </c>
      <c r="C120" s="166" t="s">
        <v>632</v>
      </c>
      <c r="D120" s="166" t="s">
        <v>647</v>
      </c>
      <c r="E120" s="166" t="s">
        <v>648</v>
      </c>
      <c r="F120" s="167">
        <v>43549</v>
      </c>
      <c r="G120" s="167">
        <v>45382</v>
      </c>
      <c r="H120" s="168">
        <v>19930</v>
      </c>
    </row>
    <row r="121" spans="1:8" ht="13.7" customHeight="1" x14ac:dyDescent="0.25">
      <c r="A121" s="166" t="s">
        <v>646</v>
      </c>
      <c r="B121" s="166" t="s">
        <v>643</v>
      </c>
      <c r="C121" s="166" t="s">
        <v>632</v>
      </c>
      <c r="D121" s="166" t="s">
        <v>647</v>
      </c>
      <c r="E121" s="166" t="s">
        <v>648</v>
      </c>
      <c r="F121" s="167">
        <v>43549</v>
      </c>
      <c r="G121" s="167">
        <v>45382</v>
      </c>
      <c r="H121" s="168">
        <v>10070</v>
      </c>
    </row>
    <row r="122" spans="1:8" ht="13.7" customHeight="1" x14ac:dyDescent="0.25">
      <c r="A122" s="166" t="s">
        <v>649</v>
      </c>
      <c r="B122" s="166" t="s">
        <v>643</v>
      </c>
      <c r="C122" s="166" t="s">
        <v>632</v>
      </c>
      <c r="D122" s="166" t="s">
        <v>650</v>
      </c>
      <c r="E122" s="166" t="s">
        <v>651</v>
      </c>
      <c r="F122" s="167">
        <v>43662</v>
      </c>
      <c r="G122" s="167">
        <v>44834</v>
      </c>
      <c r="H122" s="168">
        <v>217242</v>
      </c>
    </row>
    <row r="123" spans="1:8" ht="13.7" customHeight="1" x14ac:dyDescent="0.25">
      <c r="A123" s="166" t="s">
        <v>649</v>
      </c>
      <c r="B123" s="166" t="s">
        <v>643</v>
      </c>
      <c r="C123" s="166" t="s">
        <v>632</v>
      </c>
      <c r="D123" s="166" t="s">
        <v>650</v>
      </c>
      <c r="E123" s="166" t="s">
        <v>651</v>
      </c>
      <c r="F123" s="167">
        <v>43662</v>
      </c>
      <c r="G123" s="167">
        <v>44834</v>
      </c>
      <c r="H123" s="168">
        <v>12758</v>
      </c>
    </row>
    <row r="124" spans="1:8" ht="13.7" customHeight="1" x14ac:dyDescent="0.25">
      <c r="A124" s="166" t="s">
        <v>652</v>
      </c>
      <c r="B124" s="166" t="s">
        <v>643</v>
      </c>
      <c r="C124" s="166" t="s">
        <v>632</v>
      </c>
      <c r="D124" s="166" t="s">
        <v>647</v>
      </c>
      <c r="E124" s="166" t="s">
        <v>648</v>
      </c>
      <c r="F124" s="167">
        <v>43549</v>
      </c>
      <c r="G124" s="167">
        <v>45382</v>
      </c>
      <c r="H124" s="168">
        <v>35500</v>
      </c>
    </row>
    <row r="125" spans="1:8" ht="13.7" customHeight="1" x14ac:dyDescent="0.25">
      <c r="A125" s="166" t="s">
        <v>653</v>
      </c>
      <c r="B125" s="166" t="s">
        <v>643</v>
      </c>
      <c r="C125" s="166" t="s">
        <v>632</v>
      </c>
      <c r="D125" s="166" t="s">
        <v>654</v>
      </c>
      <c r="E125" s="166" t="s">
        <v>645</v>
      </c>
      <c r="F125" s="167">
        <v>43983</v>
      </c>
      <c r="G125" s="167">
        <v>45169</v>
      </c>
      <c r="H125" s="168">
        <v>140000.29999999999</v>
      </c>
    </row>
    <row r="126" spans="1:8" ht="13.7" customHeight="1" x14ac:dyDescent="0.25">
      <c r="A126" s="166" t="s">
        <v>655</v>
      </c>
      <c r="B126" s="166" t="s">
        <v>656</v>
      </c>
      <c r="C126" s="166" t="s">
        <v>632</v>
      </c>
      <c r="D126" s="166" t="s">
        <v>657</v>
      </c>
      <c r="E126" s="166" t="s">
        <v>658</v>
      </c>
      <c r="F126" s="167">
        <v>43770</v>
      </c>
      <c r="G126" s="167">
        <v>43951</v>
      </c>
      <c r="H126" s="168">
        <v>32909</v>
      </c>
    </row>
    <row r="127" spans="1:8" ht="13.7" customHeight="1" x14ac:dyDescent="0.25">
      <c r="A127" s="166" t="s">
        <v>659</v>
      </c>
      <c r="B127" s="166" t="s">
        <v>656</v>
      </c>
      <c r="C127" s="166" t="s">
        <v>632</v>
      </c>
      <c r="D127" s="166" t="s">
        <v>660</v>
      </c>
      <c r="E127" s="166" t="s">
        <v>661</v>
      </c>
      <c r="F127" s="167">
        <v>43761</v>
      </c>
      <c r="G127" s="167">
        <v>44058</v>
      </c>
      <c r="H127" s="168">
        <v>-70</v>
      </c>
    </row>
    <row r="128" spans="1:8" ht="13.7" customHeight="1" x14ac:dyDescent="0.25">
      <c r="A128" s="166" t="s">
        <v>659</v>
      </c>
      <c r="B128" s="166" t="s">
        <v>656</v>
      </c>
      <c r="C128" s="166" t="s">
        <v>632</v>
      </c>
      <c r="D128" s="166" t="s">
        <v>660</v>
      </c>
      <c r="E128" s="166" t="s">
        <v>661</v>
      </c>
      <c r="F128" s="167">
        <v>43761</v>
      </c>
      <c r="G128" s="167">
        <v>44058</v>
      </c>
      <c r="H128" s="168">
        <v>-2</v>
      </c>
    </row>
    <row r="129" spans="1:8" ht="13.7" customHeight="1" x14ac:dyDescent="0.25">
      <c r="A129" s="166" t="s">
        <v>659</v>
      </c>
      <c r="B129" s="166" t="s">
        <v>656</v>
      </c>
      <c r="C129" s="166" t="s">
        <v>632</v>
      </c>
      <c r="D129" s="166" t="s">
        <v>660</v>
      </c>
      <c r="E129" s="166" t="s">
        <v>661</v>
      </c>
      <c r="F129" s="167">
        <v>43761</v>
      </c>
      <c r="G129" s="167">
        <v>44058</v>
      </c>
      <c r="H129" s="168">
        <v>46666</v>
      </c>
    </row>
    <row r="130" spans="1:8" ht="13.7" customHeight="1" x14ac:dyDescent="0.25">
      <c r="A130" s="166" t="s">
        <v>662</v>
      </c>
      <c r="B130" s="166" t="s">
        <v>656</v>
      </c>
      <c r="C130" s="166" t="s">
        <v>632</v>
      </c>
      <c r="D130" s="166" t="s">
        <v>663</v>
      </c>
      <c r="E130" s="166" t="s">
        <v>664</v>
      </c>
      <c r="F130" s="167">
        <v>43945</v>
      </c>
      <c r="G130" s="167">
        <v>44309</v>
      </c>
      <c r="H130" s="168">
        <v>25000</v>
      </c>
    </row>
    <row r="131" spans="1:8" ht="13.7" customHeight="1" x14ac:dyDescent="0.25">
      <c r="A131" s="166" t="s">
        <v>665</v>
      </c>
      <c r="B131" s="166" t="s">
        <v>656</v>
      </c>
      <c r="C131" s="166" t="s">
        <v>632</v>
      </c>
      <c r="D131" s="166" t="s">
        <v>666</v>
      </c>
      <c r="E131" s="166" t="s">
        <v>641</v>
      </c>
      <c r="F131" s="167">
        <v>43698</v>
      </c>
      <c r="G131" s="167">
        <v>44063</v>
      </c>
      <c r="H131" s="168">
        <v>2481</v>
      </c>
    </row>
    <row r="132" spans="1:8" ht="13.7" customHeight="1" x14ac:dyDescent="0.25">
      <c r="A132" s="166" t="s">
        <v>665</v>
      </c>
      <c r="B132" s="166" t="s">
        <v>656</v>
      </c>
      <c r="C132" s="166" t="s">
        <v>632</v>
      </c>
      <c r="D132" s="166" t="s">
        <v>666</v>
      </c>
      <c r="E132" s="166" t="s">
        <v>641</v>
      </c>
      <c r="F132" s="167">
        <v>43698</v>
      </c>
      <c r="G132" s="167">
        <v>44063</v>
      </c>
      <c r="H132" s="168">
        <v>7519</v>
      </c>
    </row>
    <row r="133" spans="1:8" ht="13.7" customHeight="1" x14ac:dyDescent="0.25">
      <c r="A133" s="166" t="s">
        <v>665</v>
      </c>
      <c r="B133" s="166" t="s">
        <v>656</v>
      </c>
      <c r="C133" s="166" t="s">
        <v>632</v>
      </c>
      <c r="D133" s="166" t="s">
        <v>666</v>
      </c>
      <c r="E133" s="166" t="s">
        <v>641</v>
      </c>
      <c r="F133" s="167">
        <v>43698</v>
      </c>
      <c r="G133" s="167">
        <v>44063</v>
      </c>
      <c r="H133" s="168">
        <v>32000</v>
      </c>
    </row>
    <row r="134" spans="1:8" ht="13.7" customHeight="1" x14ac:dyDescent="0.25">
      <c r="A134" s="166" t="s">
        <v>667</v>
      </c>
      <c r="B134" s="166" t="s">
        <v>656</v>
      </c>
      <c r="C134" s="166" t="s">
        <v>632</v>
      </c>
      <c r="D134" s="166" t="s">
        <v>668</v>
      </c>
      <c r="E134" s="166" t="s">
        <v>669</v>
      </c>
      <c r="F134" s="167">
        <v>43737</v>
      </c>
      <c r="G134" s="167">
        <v>44196</v>
      </c>
      <c r="H134" s="168">
        <v>48000</v>
      </c>
    </row>
    <row r="135" spans="1:8" ht="13.7" customHeight="1" x14ac:dyDescent="0.25">
      <c r="A135" s="166" t="s">
        <v>670</v>
      </c>
      <c r="B135" s="166" t="s">
        <v>671</v>
      </c>
      <c r="C135" s="166" t="s">
        <v>672</v>
      </c>
      <c r="D135" s="166" t="s">
        <v>673</v>
      </c>
      <c r="E135" s="166" t="s">
        <v>674</v>
      </c>
      <c r="F135" s="167">
        <v>43681</v>
      </c>
      <c r="G135" s="167">
        <v>44156</v>
      </c>
      <c r="H135" s="168">
        <v>7000</v>
      </c>
    </row>
    <row r="136" spans="1:8" ht="13.7" customHeight="1" x14ac:dyDescent="0.25">
      <c r="A136" s="166" t="s">
        <v>670</v>
      </c>
      <c r="B136" s="166" t="s">
        <v>671</v>
      </c>
      <c r="C136" s="166" t="s">
        <v>672</v>
      </c>
      <c r="D136" s="166" t="s">
        <v>673</v>
      </c>
      <c r="E136" s="166" t="s">
        <v>674</v>
      </c>
      <c r="F136" s="167">
        <v>43681</v>
      </c>
      <c r="G136" s="167">
        <v>44156</v>
      </c>
      <c r="H136" s="168">
        <v>-7000</v>
      </c>
    </row>
    <row r="137" spans="1:8" ht="13.7" customHeight="1" x14ac:dyDescent="0.25">
      <c r="A137" s="166" t="s">
        <v>670</v>
      </c>
      <c r="B137" s="166" t="s">
        <v>671</v>
      </c>
      <c r="C137" s="166" t="s">
        <v>672</v>
      </c>
      <c r="D137" s="166" t="s">
        <v>673</v>
      </c>
      <c r="E137" s="166" t="s">
        <v>674</v>
      </c>
      <c r="F137" s="167">
        <v>43681</v>
      </c>
      <c r="G137" s="167">
        <v>44156</v>
      </c>
      <c r="H137" s="168">
        <v>114490</v>
      </c>
    </row>
    <row r="138" spans="1:8" ht="13.7" customHeight="1" x14ac:dyDescent="0.25">
      <c r="A138" s="166" t="s">
        <v>675</v>
      </c>
      <c r="B138" s="166" t="s">
        <v>671</v>
      </c>
      <c r="C138" s="166" t="s">
        <v>672</v>
      </c>
      <c r="D138" s="166" t="s">
        <v>673</v>
      </c>
      <c r="E138" s="166" t="s">
        <v>674</v>
      </c>
      <c r="F138" s="167">
        <v>43681</v>
      </c>
      <c r="G138" s="167">
        <v>44156</v>
      </c>
      <c r="H138" s="168">
        <v>7000</v>
      </c>
    </row>
    <row r="139" spans="1:8" ht="13.7" customHeight="1" x14ac:dyDescent="0.25">
      <c r="A139" s="166" t="s">
        <v>675</v>
      </c>
      <c r="B139" s="166" t="s">
        <v>671</v>
      </c>
      <c r="C139" s="166" t="s">
        <v>672</v>
      </c>
      <c r="D139" s="166" t="s">
        <v>673</v>
      </c>
      <c r="E139" s="166" t="s">
        <v>674</v>
      </c>
      <c r="F139" s="167">
        <v>43681</v>
      </c>
      <c r="G139" s="167">
        <v>44156</v>
      </c>
      <c r="H139" s="168">
        <v>292010</v>
      </c>
    </row>
    <row r="140" spans="1:8" ht="13.7" customHeight="1" x14ac:dyDescent="0.25">
      <c r="A140" s="166" t="s">
        <v>676</v>
      </c>
      <c r="B140" s="166" t="s">
        <v>671</v>
      </c>
      <c r="C140" s="166" t="s">
        <v>672</v>
      </c>
      <c r="D140" s="166" t="s">
        <v>673</v>
      </c>
      <c r="E140" s="166" t="s">
        <v>674</v>
      </c>
      <c r="F140" s="167">
        <v>43681</v>
      </c>
      <c r="G140" s="167">
        <v>44156</v>
      </c>
      <c r="H140" s="168">
        <v>99920</v>
      </c>
    </row>
    <row r="141" spans="1:8" ht="13.7" customHeight="1" x14ac:dyDescent="0.25">
      <c r="A141" s="166" t="s">
        <v>677</v>
      </c>
      <c r="B141" s="166" t="s">
        <v>671</v>
      </c>
      <c r="C141" s="166" t="s">
        <v>672</v>
      </c>
      <c r="D141" s="166" t="s">
        <v>678</v>
      </c>
      <c r="E141" s="166" t="s">
        <v>674</v>
      </c>
      <c r="F141" s="167">
        <v>43303</v>
      </c>
      <c r="G141" s="167">
        <v>44100</v>
      </c>
      <c r="H141" s="168">
        <v>34397</v>
      </c>
    </row>
    <row r="142" spans="1:8" ht="13.7" customHeight="1" x14ac:dyDescent="0.25">
      <c r="A142" s="166" t="s">
        <v>679</v>
      </c>
      <c r="B142" s="166" t="s">
        <v>671</v>
      </c>
      <c r="C142" s="166" t="s">
        <v>672</v>
      </c>
      <c r="D142" s="166" t="s">
        <v>680</v>
      </c>
      <c r="E142" s="166" t="s">
        <v>674</v>
      </c>
      <c r="F142" s="167">
        <v>43738</v>
      </c>
      <c r="G142" s="167">
        <v>44103</v>
      </c>
      <c r="H142" s="168">
        <v>20000</v>
      </c>
    </row>
    <row r="143" spans="1:8" ht="13.7" customHeight="1" x14ac:dyDescent="0.25">
      <c r="A143" s="166" t="s">
        <v>681</v>
      </c>
      <c r="B143" s="166" t="s">
        <v>671</v>
      </c>
      <c r="C143" s="166" t="s">
        <v>672</v>
      </c>
      <c r="D143" s="166" t="s">
        <v>682</v>
      </c>
      <c r="E143" s="166" t="s">
        <v>683</v>
      </c>
      <c r="F143" s="167">
        <v>43709</v>
      </c>
      <c r="G143" s="167">
        <v>44074</v>
      </c>
      <c r="H143" s="168">
        <v>31065</v>
      </c>
    </row>
    <row r="144" spans="1:8" ht="13.7" customHeight="1" x14ac:dyDescent="0.25">
      <c r="A144" s="166" t="s">
        <v>681</v>
      </c>
      <c r="B144" s="166" t="s">
        <v>671</v>
      </c>
      <c r="C144" s="166" t="s">
        <v>672</v>
      </c>
      <c r="D144" s="166" t="s">
        <v>682</v>
      </c>
      <c r="E144" s="166" t="s">
        <v>683</v>
      </c>
      <c r="F144" s="167">
        <v>43709</v>
      </c>
      <c r="G144" s="167">
        <v>44074</v>
      </c>
      <c r="H144" s="168">
        <v>8526</v>
      </c>
    </row>
    <row r="145" spans="1:8" ht="13.7" customHeight="1" x14ac:dyDescent="0.25">
      <c r="A145" s="166" t="s">
        <v>681</v>
      </c>
      <c r="B145" s="166" t="s">
        <v>671</v>
      </c>
      <c r="C145" s="166" t="s">
        <v>672</v>
      </c>
      <c r="D145" s="166" t="s">
        <v>682</v>
      </c>
      <c r="E145" s="166" t="s">
        <v>683</v>
      </c>
      <c r="F145" s="167">
        <v>43709</v>
      </c>
      <c r="G145" s="167">
        <v>44074</v>
      </c>
      <c r="H145" s="168">
        <v>8127</v>
      </c>
    </row>
    <row r="146" spans="1:8" ht="13.7" customHeight="1" x14ac:dyDescent="0.25">
      <c r="A146" s="166" t="s">
        <v>681</v>
      </c>
      <c r="B146" s="166" t="s">
        <v>671</v>
      </c>
      <c r="C146" s="166" t="s">
        <v>672</v>
      </c>
      <c r="D146" s="166" t="s">
        <v>682</v>
      </c>
      <c r="E146" s="166" t="s">
        <v>683</v>
      </c>
      <c r="F146" s="167">
        <v>43709</v>
      </c>
      <c r="G146" s="167">
        <v>44074</v>
      </c>
      <c r="H146" s="168">
        <v>11266</v>
      </c>
    </row>
    <row r="147" spans="1:8" ht="13.7" customHeight="1" x14ac:dyDescent="0.25">
      <c r="A147" s="166" t="s">
        <v>681</v>
      </c>
      <c r="B147" s="166" t="s">
        <v>671</v>
      </c>
      <c r="C147" s="166" t="s">
        <v>672</v>
      </c>
      <c r="D147" s="166" t="s">
        <v>682</v>
      </c>
      <c r="E147" s="166" t="s">
        <v>683</v>
      </c>
      <c r="F147" s="167">
        <v>43709</v>
      </c>
      <c r="G147" s="167">
        <v>44074</v>
      </c>
      <c r="H147" s="168">
        <v>-1553</v>
      </c>
    </row>
    <row r="148" spans="1:8" ht="13.7" customHeight="1" x14ac:dyDescent="0.25">
      <c r="A148" s="166" t="s">
        <v>681</v>
      </c>
      <c r="B148" s="166" t="s">
        <v>671</v>
      </c>
      <c r="C148" s="166" t="s">
        <v>672</v>
      </c>
      <c r="D148" s="166" t="s">
        <v>682</v>
      </c>
      <c r="E148" s="166" t="s">
        <v>683</v>
      </c>
      <c r="F148" s="167">
        <v>43709</v>
      </c>
      <c r="G148" s="167">
        <v>44074</v>
      </c>
      <c r="H148" s="168">
        <v>-29512</v>
      </c>
    </row>
    <row r="149" spans="1:8" ht="13.7" customHeight="1" x14ac:dyDescent="0.25">
      <c r="A149" s="166" t="s">
        <v>681</v>
      </c>
      <c r="B149" s="166" t="s">
        <v>671</v>
      </c>
      <c r="C149" s="166" t="s">
        <v>672</v>
      </c>
      <c r="D149" s="166" t="s">
        <v>682</v>
      </c>
      <c r="E149" s="166" t="s">
        <v>683</v>
      </c>
      <c r="F149" s="167">
        <v>43709</v>
      </c>
      <c r="G149" s="167">
        <v>44074</v>
      </c>
      <c r="H149" s="168">
        <v>95851</v>
      </c>
    </row>
    <row r="150" spans="1:8" ht="13.7" customHeight="1" x14ac:dyDescent="0.25">
      <c r="A150" s="166" t="s">
        <v>684</v>
      </c>
      <c r="B150" s="166" t="s">
        <v>671</v>
      </c>
      <c r="C150" s="166" t="s">
        <v>672</v>
      </c>
      <c r="D150" s="166" t="s">
        <v>682</v>
      </c>
      <c r="E150" s="166" t="s">
        <v>683</v>
      </c>
      <c r="F150" s="167">
        <v>43709</v>
      </c>
      <c r="G150" s="167">
        <v>44074</v>
      </c>
      <c r="H150" s="168">
        <v>8526</v>
      </c>
    </row>
    <row r="151" spans="1:8" ht="13.7" customHeight="1" x14ac:dyDescent="0.25">
      <c r="A151" s="166" t="s">
        <v>684</v>
      </c>
      <c r="B151" s="166" t="s">
        <v>671</v>
      </c>
      <c r="C151" s="166" t="s">
        <v>672</v>
      </c>
      <c r="D151" s="166" t="s">
        <v>682</v>
      </c>
      <c r="E151" s="166" t="s">
        <v>683</v>
      </c>
      <c r="F151" s="167">
        <v>43709</v>
      </c>
      <c r="G151" s="167">
        <v>44074</v>
      </c>
      <c r="H151" s="168">
        <v>31074</v>
      </c>
    </row>
    <row r="152" spans="1:8" ht="13.7" customHeight="1" x14ac:dyDescent="0.25">
      <c r="A152" s="166" t="s">
        <v>684</v>
      </c>
      <c r="B152" s="166" t="s">
        <v>671</v>
      </c>
      <c r="C152" s="166" t="s">
        <v>672</v>
      </c>
      <c r="D152" s="166" t="s">
        <v>682</v>
      </c>
      <c r="E152" s="166" t="s">
        <v>683</v>
      </c>
      <c r="F152" s="167">
        <v>43709</v>
      </c>
      <c r="G152" s="167">
        <v>44074</v>
      </c>
      <c r="H152" s="168">
        <v>-19394</v>
      </c>
    </row>
    <row r="153" spans="1:8" ht="13.7" customHeight="1" x14ac:dyDescent="0.25">
      <c r="A153" s="166" t="s">
        <v>684</v>
      </c>
      <c r="B153" s="166" t="s">
        <v>671</v>
      </c>
      <c r="C153" s="166" t="s">
        <v>672</v>
      </c>
      <c r="D153" s="166" t="s">
        <v>682</v>
      </c>
      <c r="E153" s="166" t="s">
        <v>683</v>
      </c>
      <c r="F153" s="167">
        <v>43709</v>
      </c>
      <c r="G153" s="167">
        <v>44074</v>
      </c>
      <c r="H153" s="168">
        <v>23860</v>
      </c>
    </row>
    <row r="154" spans="1:8" ht="13.7" customHeight="1" x14ac:dyDescent="0.25">
      <c r="A154" s="166" t="s">
        <v>684</v>
      </c>
      <c r="B154" s="166" t="s">
        <v>671</v>
      </c>
      <c r="C154" s="166" t="s">
        <v>672</v>
      </c>
      <c r="D154" s="166" t="s">
        <v>682</v>
      </c>
      <c r="E154" s="166" t="s">
        <v>683</v>
      </c>
      <c r="F154" s="167">
        <v>43709</v>
      </c>
      <c r="G154" s="167">
        <v>44074</v>
      </c>
      <c r="H154" s="168">
        <v>-8526</v>
      </c>
    </row>
    <row r="155" spans="1:8" ht="13.7" customHeight="1" x14ac:dyDescent="0.25">
      <c r="A155" s="166" t="s">
        <v>684</v>
      </c>
      <c r="B155" s="166" t="s">
        <v>671</v>
      </c>
      <c r="C155" s="166" t="s">
        <v>672</v>
      </c>
      <c r="D155" s="166" t="s">
        <v>682</v>
      </c>
      <c r="E155" s="166" t="s">
        <v>683</v>
      </c>
      <c r="F155" s="167">
        <v>43709</v>
      </c>
      <c r="G155" s="167">
        <v>44074</v>
      </c>
      <c r="H155" s="168">
        <v>-18646</v>
      </c>
    </row>
    <row r="156" spans="1:8" ht="13.7" customHeight="1" x14ac:dyDescent="0.25">
      <c r="A156" s="166" t="s">
        <v>684</v>
      </c>
      <c r="B156" s="166" t="s">
        <v>671</v>
      </c>
      <c r="C156" s="166" t="s">
        <v>672</v>
      </c>
      <c r="D156" s="166" t="s">
        <v>682</v>
      </c>
      <c r="E156" s="166" t="s">
        <v>683</v>
      </c>
      <c r="F156" s="167">
        <v>43709</v>
      </c>
      <c r="G156" s="167">
        <v>44074</v>
      </c>
      <c r="H156" s="168">
        <v>-5214</v>
      </c>
    </row>
    <row r="157" spans="1:8" ht="13.7" customHeight="1" x14ac:dyDescent="0.25">
      <c r="A157" s="166" t="s">
        <v>684</v>
      </c>
      <c r="B157" s="166" t="s">
        <v>671</v>
      </c>
      <c r="C157" s="166" t="s">
        <v>672</v>
      </c>
      <c r="D157" s="166" t="s">
        <v>682</v>
      </c>
      <c r="E157" s="166" t="s">
        <v>683</v>
      </c>
      <c r="F157" s="167">
        <v>43709</v>
      </c>
      <c r="G157" s="167">
        <v>44074</v>
      </c>
      <c r="H157" s="168">
        <v>158287</v>
      </c>
    </row>
    <row r="158" spans="1:8" ht="13.7" customHeight="1" x14ac:dyDescent="0.25">
      <c r="A158" s="166" t="s">
        <v>684</v>
      </c>
      <c r="B158" s="166" t="s">
        <v>671</v>
      </c>
      <c r="C158" s="166" t="s">
        <v>672</v>
      </c>
      <c r="D158" s="166" t="s">
        <v>682</v>
      </c>
      <c r="E158" s="166" t="s">
        <v>683</v>
      </c>
      <c r="F158" s="167">
        <v>43709</v>
      </c>
      <c r="G158" s="167">
        <v>44074</v>
      </c>
      <c r="H158" s="168">
        <v>36288</v>
      </c>
    </row>
    <row r="159" spans="1:8" ht="13.7" customHeight="1" x14ac:dyDescent="0.25">
      <c r="A159" s="166" t="s">
        <v>685</v>
      </c>
      <c r="B159" s="166" t="s">
        <v>671</v>
      </c>
      <c r="C159" s="166" t="s">
        <v>672</v>
      </c>
      <c r="D159" s="166" t="s">
        <v>682</v>
      </c>
      <c r="E159" s="166" t="s">
        <v>686</v>
      </c>
      <c r="F159" s="167">
        <v>43709</v>
      </c>
      <c r="G159" s="167">
        <v>44074</v>
      </c>
      <c r="H159" s="168">
        <v>18314</v>
      </c>
    </row>
    <row r="160" spans="1:8" ht="13.7" customHeight="1" x14ac:dyDescent="0.25">
      <c r="A160" s="166" t="s">
        <v>685</v>
      </c>
      <c r="B160" s="166" t="s">
        <v>671</v>
      </c>
      <c r="C160" s="166" t="s">
        <v>672</v>
      </c>
      <c r="D160" s="166" t="s">
        <v>682</v>
      </c>
      <c r="E160" s="166" t="s">
        <v>686</v>
      </c>
      <c r="F160" s="167">
        <v>43709</v>
      </c>
      <c r="G160" s="167">
        <v>44074</v>
      </c>
      <c r="H160" s="168">
        <v>4578</v>
      </c>
    </row>
    <row r="161" spans="1:8" ht="13.7" customHeight="1" x14ac:dyDescent="0.25">
      <c r="A161" s="166" t="s">
        <v>685</v>
      </c>
      <c r="B161" s="166" t="s">
        <v>671</v>
      </c>
      <c r="C161" s="166" t="s">
        <v>672</v>
      </c>
      <c r="D161" s="166" t="s">
        <v>682</v>
      </c>
      <c r="E161" s="166" t="s">
        <v>686</v>
      </c>
      <c r="F161" s="167">
        <v>43709</v>
      </c>
      <c r="G161" s="167">
        <v>44074</v>
      </c>
      <c r="H161" s="168">
        <v>-23860</v>
      </c>
    </row>
    <row r="162" spans="1:8" ht="13.7" customHeight="1" x14ac:dyDescent="0.25">
      <c r="A162" s="166" t="s">
        <v>685</v>
      </c>
      <c r="B162" s="166" t="s">
        <v>671</v>
      </c>
      <c r="C162" s="166" t="s">
        <v>672</v>
      </c>
      <c r="D162" s="166" t="s">
        <v>682</v>
      </c>
      <c r="E162" s="166" t="s">
        <v>686</v>
      </c>
      <c r="F162" s="167">
        <v>43709</v>
      </c>
      <c r="G162" s="167">
        <v>44074</v>
      </c>
      <c r="H162" s="168">
        <v>-7213</v>
      </c>
    </row>
    <row r="163" spans="1:8" ht="13.7" customHeight="1" x14ac:dyDescent="0.25">
      <c r="A163" s="166" t="s">
        <v>685</v>
      </c>
      <c r="B163" s="166" t="s">
        <v>671</v>
      </c>
      <c r="C163" s="166" t="s">
        <v>672</v>
      </c>
      <c r="D163" s="166" t="s">
        <v>682</v>
      </c>
      <c r="E163" s="166" t="s">
        <v>686</v>
      </c>
      <c r="F163" s="167">
        <v>43709</v>
      </c>
      <c r="G163" s="167">
        <v>44074</v>
      </c>
      <c r="H163" s="168">
        <v>84241</v>
      </c>
    </row>
    <row r="164" spans="1:8" ht="13.7" customHeight="1" x14ac:dyDescent="0.25">
      <c r="A164" s="166" t="s">
        <v>687</v>
      </c>
      <c r="B164" s="166" t="s">
        <v>688</v>
      </c>
      <c r="C164" s="166" t="s">
        <v>689</v>
      </c>
      <c r="D164" s="166" t="s">
        <v>690</v>
      </c>
      <c r="E164" s="166" t="s">
        <v>691</v>
      </c>
      <c r="F164" s="167">
        <v>43678</v>
      </c>
      <c r="G164" s="167">
        <v>44043</v>
      </c>
      <c r="H164" s="168">
        <v>12452.72</v>
      </c>
    </row>
    <row r="165" spans="1:8" ht="13.7" customHeight="1" x14ac:dyDescent="0.25">
      <c r="A165" s="166" t="s">
        <v>687</v>
      </c>
      <c r="B165" s="166" t="s">
        <v>688</v>
      </c>
      <c r="C165" s="166" t="s">
        <v>689</v>
      </c>
      <c r="D165" s="166" t="s">
        <v>690</v>
      </c>
      <c r="E165" s="166" t="s">
        <v>691</v>
      </c>
      <c r="F165" s="167">
        <v>43678</v>
      </c>
      <c r="G165" s="167">
        <v>44043</v>
      </c>
      <c r="H165" s="168">
        <v>2398.62</v>
      </c>
    </row>
    <row r="166" spans="1:8" ht="13.7" customHeight="1" x14ac:dyDescent="0.25">
      <c r="A166" s="166" t="s">
        <v>692</v>
      </c>
      <c r="B166" s="166" t="s">
        <v>693</v>
      </c>
      <c r="C166" s="166" t="s">
        <v>694</v>
      </c>
      <c r="D166" s="166" t="s">
        <v>695</v>
      </c>
      <c r="E166" s="166" t="s">
        <v>696</v>
      </c>
      <c r="F166" s="167">
        <v>43682</v>
      </c>
      <c r="G166" s="167">
        <v>44408</v>
      </c>
      <c r="H166" s="168">
        <v>124665</v>
      </c>
    </row>
    <row r="167" spans="1:8" ht="13.7" customHeight="1" x14ac:dyDescent="0.25">
      <c r="A167" s="166" t="s">
        <v>692</v>
      </c>
      <c r="B167" s="166" t="s">
        <v>693</v>
      </c>
      <c r="C167" s="166" t="s">
        <v>694</v>
      </c>
      <c r="D167" s="166" t="s">
        <v>695</v>
      </c>
      <c r="E167" s="166" t="s">
        <v>696</v>
      </c>
      <c r="F167" s="167">
        <v>43682</v>
      </c>
      <c r="G167" s="167">
        <v>44408</v>
      </c>
      <c r="H167" s="168">
        <v>300000</v>
      </c>
    </row>
    <row r="168" spans="1:8" ht="13.7" customHeight="1" x14ac:dyDescent="0.25">
      <c r="A168" s="166" t="s">
        <v>697</v>
      </c>
      <c r="B168" s="166" t="s">
        <v>698</v>
      </c>
      <c r="C168" s="166" t="s">
        <v>694</v>
      </c>
      <c r="D168" s="166" t="s">
        <v>699</v>
      </c>
      <c r="E168" s="166" t="s">
        <v>611</v>
      </c>
      <c r="F168" s="167">
        <v>43435</v>
      </c>
      <c r="G168" s="167">
        <v>44196</v>
      </c>
      <c r="H168" s="168">
        <v>72500</v>
      </c>
    </row>
    <row r="169" spans="1:8" ht="13.7" customHeight="1" x14ac:dyDescent="0.25">
      <c r="A169" s="166" t="s">
        <v>700</v>
      </c>
      <c r="B169" s="166" t="s">
        <v>698</v>
      </c>
      <c r="C169" s="166" t="s">
        <v>694</v>
      </c>
      <c r="D169" s="166" t="s">
        <v>701</v>
      </c>
      <c r="E169" s="166" t="s">
        <v>702</v>
      </c>
      <c r="F169" s="167">
        <v>43713</v>
      </c>
      <c r="G169" s="167">
        <v>44443</v>
      </c>
      <c r="H169" s="168">
        <v>131820</v>
      </c>
    </row>
    <row r="170" spans="1:8" ht="13.7" customHeight="1" x14ac:dyDescent="0.25">
      <c r="A170" s="166" t="s">
        <v>700</v>
      </c>
      <c r="B170" s="166" t="s">
        <v>698</v>
      </c>
      <c r="C170" s="166" t="s">
        <v>694</v>
      </c>
      <c r="D170" s="166" t="s">
        <v>701</v>
      </c>
      <c r="E170" s="166" t="s">
        <v>702</v>
      </c>
      <c r="F170" s="167">
        <v>43713</v>
      </c>
      <c r="G170" s="167">
        <v>44443</v>
      </c>
      <c r="H170" s="168">
        <v>10952</v>
      </c>
    </row>
    <row r="171" spans="1:8" ht="13.7" customHeight="1" x14ac:dyDescent="0.25">
      <c r="A171" s="166" t="s">
        <v>703</v>
      </c>
      <c r="B171" s="166" t="s">
        <v>704</v>
      </c>
      <c r="C171" s="166" t="s">
        <v>694</v>
      </c>
      <c r="D171" s="166" t="s">
        <v>705</v>
      </c>
      <c r="E171" s="166" t="s">
        <v>611</v>
      </c>
      <c r="F171" s="167">
        <v>42522</v>
      </c>
      <c r="G171" s="167">
        <v>44347</v>
      </c>
      <c r="H171" s="168">
        <v>120488</v>
      </c>
    </row>
    <row r="172" spans="1:8" ht="13.7" customHeight="1" x14ac:dyDescent="0.25">
      <c r="A172" s="166" t="s">
        <v>703</v>
      </c>
      <c r="B172" s="166" t="s">
        <v>704</v>
      </c>
      <c r="C172" s="166" t="s">
        <v>694</v>
      </c>
      <c r="D172" s="166" t="s">
        <v>705</v>
      </c>
      <c r="E172" s="166" t="s">
        <v>611</v>
      </c>
      <c r="F172" s="167">
        <v>42522</v>
      </c>
      <c r="G172" s="167">
        <v>44347</v>
      </c>
      <c r="H172" s="168">
        <v>271050</v>
      </c>
    </row>
    <row r="173" spans="1:8" ht="13.7" customHeight="1" x14ac:dyDescent="0.25">
      <c r="A173" s="166" t="s">
        <v>706</v>
      </c>
      <c r="B173" s="166" t="s">
        <v>707</v>
      </c>
      <c r="C173" s="166" t="s">
        <v>694</v>
      </c>
      <c r="D173" s="166" t="s">
        <v>708</v>
      </c>
      <c r="E173" s="166" t="s">
        <v>611</v>
      </c>
      <c r="F173" s="167">
        <v>43259</v>
      </c>
      <c r="G173" s="167">
        <v>44347</v>
      </c>
      <c r="H173" s="168">
        <v>431032</v>
      </c>
    </row>
    <row r="174" spans="1:8" ht="13.7" customHeight="1" x14ac:dyDescent="0.25">
      <c r="A174" s="166" t="s">
        <v>706</v>
      </c>
      <c r="B174" s="166" t="s">
        <v>707</v>
      </c>
      <c r="C174" s="166" t="s">
        <v>694</v>
      </c>
      <c r="D174" s="166" t="s">
        <v>708</v>
      </c>
      <c r="E174" s="166" t="s">
        <v>611</v>
      </c>
      <c r="F174" s="167">
        <v>43259</v>
      </c>
      <c r="G174" s="167">
        <v>44347</v>
      </c>
      <c r="H174" s="168">
        <v>7716</v>
      </c>
    </row>
    <row r="175" spans="1:8" ht="13.7" customHeight="1" x14ac:dyDescent="0.25">
      <c r="A175" s="166" t="s">
        <v>709</v>
      </c>
      <c r="B175" s="166" t="s">
        <v>710</v>
      </c>
      <c r="C175" s="166" t="s">
        <v>694</v>
      </c>
      <c r="D175" s="166" t="s">
        <v>711</v>
      </c>
      <c r="E175" s="166" t="s">
        <v>611</v>
      </c>
      <c r="F175" s="167">
        <v>43070</v>
      </c>
      <c r="G175" s="167">
        <v>44165</v>
      </c>
      <c r="H175" s="168">
        <v>0</v>
      </c>
    </row>
    <row r="176" spans="1:8" ht="13.7" customHeight="1" x14ac:dyDescent="0.25">
      <c r="A176" s="166" t="s">
        <v>712</v>
      </c>
      <c r="B176" s="166" t="s">
        <v>591</v>
      </c>
      <c r="C176" s="166" t="s">
        <v>694</v>
      </c>
      <c r="D176" s="166" t="s">
        <v>592</v>
      </c>
      <c r="E176" s="166" t="s">
        <v>593</v>
      </c>
      <c r="F176" s="167">
        <v>43678</v>
      </c>
      <c r="G176" s="167">
        <v>44043</v>
      </c>
      <c r="H176" s="168">
        <v>-8050</v>
      </c>
    </row>
    <row r="177" spans="1:8" ht="13.7" customHeight="1" x14ac:dyDescent="0.25">
      <c r="A177" s="166" t="s">
        <v>712</v>
      </c>
      <c r="B177" s="166" t="s">
        <v>591</v>
      </c>
      <c r="C177" s="166" t="s">
        <v>694</v>
      </c>
      <c r="D177" s="166" t="s">
        <v>592</v>
      </c>
      <c r="E177" s="166" t="s">
        <v>593</v>
      </c>
      <c r="F177" s="167">
        <v>43678</v>
      </c>
      <c r="G177" s="167">
        <v>44043</v>
      </c>
      <c r="H177" s="168">
        <v>-16700</v>
      </c>
    </row>
    <row r="178" spans="1:8" ht="13.7" customHeight="1" x14ac:dyDescent="0.25">
      <c r="A178" s="166" t="s">
        <v>712</v>
      </c>
      <c r="B178" s="166" t="s">
        <v>591</v>
      </c>
      <c r="C178" s="166" t="s">
        <v>694</v>
      </c>
      <c r="D178" s="166" t="s">
        <v>592</v>
      </c>
      <c r="E178" s="166" t="s">
        <v>593</v>
      </c>
      <c r="F178" s="167">
        <v>43678</v>
      </c>
      <c r="G178" s="167">
        <v>44043</v>
      </c>
      <c r="H178" s="168">
        <v>209730</v>
      </c>
    </row>
    <row r="179" spans="1:8" ht="13.7" customHeight="1" x14ac:dyDescent="0.25">
      <c r="A179" s="166" t="s">
        <v>713</v>
      </c>
      <c r="B179" s="166" t="s">
        <v>591</v>
      </c>
      <c r="C179" s="166" t="s">
        <v>694</v>
      </c>
      <c r="D179" s="166" t="s">
        <v>592</v>
      </c>
      <c r="E179" s="166" t="s">
        <v>593</v>
      </c>
      <c r="F179" s="167">
        <v>43678</v>
      </c>
      <c r="G179" s="167">
        <v>44043</v>
      </c>
      <c r="H179" s="168">
        <v>24750</v>
      </c>
    </row>
    <row r="180" spans="1:8" ht="13.7" customHeight="1" x14ac:dyDescent="0.25">
      <c r="A180" s="166" t="s">
        <v>713</v>
      </c>
      <c r="B180" s="166" t="s">
        <v>591</v>
      </c>
      <c r="C180" s="166" t="s">
        <v>694</v>
      </c>
      <c r="D180" s="166" t="s">
        <v>592</v>
      </c>
      <c r="E180" s="166" t="s">
        <v>593</v>
      </c>
      <c r="F180" s="167">
        <v>43678</v>
      </c>
      <c r="G180" s="167">
        <v>44043</v>
      </c>
      <c r="H180" s="168">
        <v>28900</v>
      </c>
    </row>
    <row r="181" spans="1:8" ht="13.7" customHeight="1" x14ac:dyDescent="0.25">
      <c r="A181" s="166" t="s">
        <v>714</v>
      </c>
      <c r="B181" s="166" t="s">
        <v>591</v>
      </c>
      <c r="C181" s="166" t="s">
        <v>694</v>
      </c>
      <c r="D181" s="166" t="s">
        <v>592</v>
      </c>
      <c r="E181" s="166" t="s">
        <v>593</v>
      </c>
      <c r="F181" s="167">
        <v>43678</v>
      </c>
      <c r="G181" s="167">
        <v>44043</v>
      </c>
      <c r="H181" s="168">
        <v>4403</v>
      </c>
    </row>
    <row r="182" spans="1:8" ht="13.7" customHeight="1" x14ac:dyDescent="0.25">
      <c r="A182" s="166" t="s">
        <v>714</v>
      </c>
      <c r="B182" s="166" t="s">
        <v>591</v>
      </c>
      <c r="C182" s="166" t="s">
        <v>694</v>
      </c>
      <c r="D182" s="166" t="s">
        <v>592</v>
      </c>
      <c r="E182" s="166" t="s">
        <v>593</v>
      </c>
      <c r="F182" s="167">
        <v>43678</v>
      </c>
      <c r="G182" s="167">
        <v>44043</v>
      </c>
      <c r="H182" s="168">
        <v>12261</v>
      </c>
    </row>
    <row r="183" spans="1:8" ht="13.7" customHeight="1" x14ac:dyDescent="0.25">
      <c r="A183" s="166" t="s">
        <v>715</v>
      </c>
      <c r="B183" s="166" t="s">
        <v>591</v>
      </c>
      <c r="C183" s="166" t="s">
        <v>694</v>
      </c>
      <c r="D183" s="166" t="s">
        <v>592</v>
      </c>
      <c r="E183" s="166" t="s">
        <v>593</v>
      </c>
      <c r="F183" s="167">
        <v>43678</v>
      </c>
      <c r="G183" s="167">
        <v>44043</v>
      </c>
      <c r="H183" s="168">
        <v>22475</v>
      </c>
    </row>
    <row r="184" spans="1:8" ht="13.7" customHeight="1" x14ac:dyDescent="0.25">
      <c r="A184" s="166" t="s">
        <v>716</v>
      </c>
      <c r="B184" s="166" t="s">
        <v>717</v>
      </c>
      <c r="C184" s="166" t="s">
        <v>694</v>
      </c>
      <c r="D184" s="166" t="s">
        <v>718</v>
      </c>
      <c r="E184" s="166" t="s">
        <v>593</v>
      </c>
      <c r="F184" s="167">
        <v>43709</v>
      </c>
      <c r="G184" s="167">
        <v>44347</v>
      </c>
      <c r="H184" s="168">
        <v>293413</v>
      </c>
    </row>
    <row r="185" spans="1:8" ht="13.7" customHeight="1" x14ac:dyDescent="0.25">
      <c r="A185" s="166" t="s">
        <v>716</v>
      </c>
      <c r="B185" s="166" t="s">
        <v>717</v>
      </c>
      <c r="C185" s="166" t="s">
        <v>694</v>
      </c>
      <c r="D185" s="166" t="s">
        <v>718</v>
      </c>
      <c r="E185" s="166" t="s">
        <v>593</v>
      </c>
      <c r="F185" s="167">
        <v>43709</v>
      </c>
      <c r="G185" s="167">
        <v>44347</v>
      </c>
      <c r="H185" s="168">
        <v>311149</v>
      </c>
    </row>
    <row r="186" spans="1:8" ht="13.7" customHeight="1" x14ac:dyDescent="0.25">
      <c r="A186" s="166" t="s">
        <v>719</v>
      </c>
      <c r="B186" s="166" t="s">
        <v>720</v>
      </c>
      <c r="C186" s="166" t="s">
        <v>721</v>
      </c>
      <c r="D186" s="166" t="s">
        <v>722</v>
      </c>
      <c r="E186" s="166" t="s">
        <v>723</v>
      </c>
      <c r="F186" s="167">
        <v>42536</v>
      </c>
      <c r="G186" s="167">
        <v>44347</v>
      </c>
      <c r="H186" s="168">
        <v>312688</v>
      </c>
    </row>
    <row r="187" spans="1:8" ht="13.7" customHeight="1" x14ac:dyDescent="0.25">
      <c r="A187" s="166" t="s">
        <v>719</v>
      </c>
      <c r="B187" s="166" t="s">
        <v>720</v>
      </c>
      <c r="C187" s="166" t="s">
        <v>721</v>
      </c>
      <c r="D187" s="166" t="s">
        <v>722</v>
      </c>
      <c r="E187" s="166" t="s">
        <v>723</v>
      </c>
      <c r="F187" s="167">
        <v>42536</v>
      </c>
      <c r="G187" s="167">
        <v>44347</v>
      </c>
      <c r="H187" s="168">
        <v>4500</v>
      </c>
    </row>
    <row r="188" spans="1:8" ht="13.7" customHeight="1" x14ac:dyDescent="0.25">
      <c r="A188" s="166" t="s">
        <v>724</v>
      </c>
      <c r="B188" s="166" t="s">
        <v>591</v>
      </c>
      <c r="C188" s="166" t="s">
        <v>721</v>
      </c>
      <c r="D188" s="166" t="s">
        <v>595</v>
      </c>
      <c r="E188" s="166" t="s">
        <v>593</v>
      </c>
      <c r="F188" s="167">
        <v>43313</v>
      </c>
      <c r="G188" s="167">
        <v>43677</v>
      </c>
      <c r="H188" s="168">
        <v>-12721</v>
      </c>
    </row>
    <row r="189" spans="1:8" ht="13.7" customHeight="1" x14ac:dyDescent="0.25">
      <c r="A189" s="166" t="s">
        <v>724</v>
      </c>
      <c r="B189" s="166" t="s">
        <v>591</v>
      </c>
      <c r="C189" s="166" t="s">
        <v>721</v>
      </c>
      <c r="D189" s="166" t="s">
        <v>595</v>
      </c>
      <c r="E189" s="166" t="s">
        <v>593</v>
      </c>
      <c r="F189" s="167">
        <v>43313</v>
      </c>
      <c r="G189" s="167">
        <v>43677</v>
      </c>
      <c r="H189" s="168">
        <v>-21.64</v>
      </c>
    </row>
    <row r="190" spans="1:8" ht="13.7" customHeight="1" x14ac:dyDescent="0.25">
      <c r="A190" s="166" t="s">
        <v>724</v>
      </c>
      <c r="B190" s="166" t="s">
        <v>591</v>
      </c>
      <c r="C190" s="166" t="s">
        <v>721</v>
      </c>
      <c r="D190" s="166" t="s">
        <v>595</v>
      </c>
      <c r="E190" s="166" t="s">
        <v>593</v>
      </c>
      <c r="F190" s="167">
        <v>43313</v>
      </c>
      <c r="G190" s="167">
        <v>43677</v>
      </c>
      <c r="H190" s="168">
        <v>-9.74</v>
      </c>
    </row>
    <row r="191" spans="1:8" ht="13.7" customHeight="1" x14ac:dyDescent="0.25">
      <c r="A191" s="166" t="s">
        <v>725</v>
      </c>
      <c r="B191" s="166" t="s">
        <v>591</v>
      </c>
      <c r="C191" s="166" t="s">
        <v>721</v>
      </c>
      <c r="D191" s="166" t="s">
        <v>592</v>
      </c>
      <c r="E191" s="166" t="s">
        <v>593</v>
      </c>
      <c r="F191" s="167">
        <v>43678</v>
      </c>
      <c r="G191" s="167">
        <v>44043</v>
      </c>
      <c r="H191" s="168">
        <v>213910</v>
      </c>
    </row>
    <row r="192" spans="1:8" ht="13.7" customHeight="1" x14ac:dyDescent="0.25">
      <c r="A192" s="166" t="s">
        <v>725</v>
      </c>
      <c r="B192" s="166" t="s">
        <v>591</v>
      </c>
      <c r="C192" s="166" t="s">
        <v>721</v>
      </c>
      <c r="D192" s="166" t="s">
        <v>592</v>
      </c>
      <c r="E192" s="166" t="s">
        <v>593</v>
      </c>
      <c r="F192" s="167">
        <v>43678</v>
      </c>
      <c r="G192" s="167">
        <v>44043</v>
      </c>
      <c r="H192" s="168">
        <v>2476</v>
      </c>
    </row>
    <row r="193" spans="1:8" ht="13.7" customHeight="1" x14ac:dyDescent="0.25">
      <c r="A193" s="166" t="s">
        <v>726</v>
      </c>
      <c r="B193" s="166" t="s">
        <v>591</v>
      </c>
      <c r="C193" s="166" t="s">
        <v>721</v>
      </c>
      <c r="D193" s="166" t="s">
        <v>592</v>
      </c>
      <c r="E193" s="166" t="s">
        <v>593</v>
      </c>
      <c r="F193" s="167">
        <v>43678</v>
      </c>
      <c r="G193" s="167">
        <v>44043</v>
      </c>
      <c r="H193" s="168">
        <v>215272</v>
      </c>
    </row>
    <row r="194" spans="1:8" ht="13.7" customHeight="1" x14ac:dyDescent="0.25">
      <c r="A194" s="166" t="s">
        <v>727</v>
      </c>
      <c r="B194" s="166" t="s">
        <v>591</v>
      </c>
      <c r="C194" s="166" t="s">
        <v>721</v>
      </c>
      <c r="D194" s="166" t="s">
        <v>592</v>
      </c>
      <c r="E194" s="166" t="s">
        <v>593</v>
      </c>
      <c r="F194" s="167">
        <v>43678</v>
      </c>
      <c r="G194" s="167">
        <v>44043</v>
      </c>
      <c r="H194" s="168">
        <v>72500</v>
      </c>
    </row>
    <row r="195" spans="1:8" ht="13.7" customHeight="1" x14ac:dyDescent="0.25">
      <c r="A195" s="166" t="s">
        <v>728</v>
      </c>
      <c r="B195" s="166" t="s">
        <v>591</v>
      </c>
      <c r="C195" s="166" t="s">
        <v>721</v>
      </c>
      <c r="D195" s="166" t="s">
        <v>592</v>
      </c>
      <c r="E195" s="166" t="s">
        <v>593</v>
      </c>
      <c r="F195" s="167">
        <v>43678</v>
      </c>
      <c r="G195" s="167">
        <v>44043</v>
      </c>
      <c r="H195" s="168">
        <v>81848</v>
      </c>
    </row>
    <row r="196" spans="1:8" ht="13.7" customHeight="1" x14ac:dyDescent="0.25">
      <c r="A196" s="166" t="s">
        <v>729</v>
      </c>
      <c r="B196" s="166" t="s">
        <v>717</v>
      </c>
      <c r="C196" s="166" t="s">
        <v>721</v>
      </c>
      <c r="D196" s="166" t="s">
        <v>718</v>
      </c>
      <c r="E196" s="166" t="s">
        <v>593</v>
      </c>
      <c r="F196" s="167">
        <v>43709</v>
      </c>
      <c r="G196" s="167">
        <v>43982</v>
      </c>
      <c r="H196" s="168">
        <v>-311149</v>
      </c>
    </row>
    <row r="197" spans="1:8" ht="13.7" customHeight="1" x14ac:dyDescent="0.25">
      <c r="A197" s="166" t="s">
        <v>729</v>
      </c>
      <c r="B197" s="166" t="s">
        <v>717</v>
      </c>
      <c r="C197" s="166" t="s">
        <v>721</v>
      </c>
      <c r="D197" s="166" t="s">
        <v>718</v>
      </c>
      <c r="E197" s="166" t="s">
        <v>593</v>
      </c>
      <c r="F197" s="167">
        <v>43709</v>
      </c>
      <c r="G197" s="167">
        <v>43982</v>
      </c>
      <c r="H197" s="168">
        <v>277316</v>
      </c>
    </row>
    <row r="198" spans="1:8" ht="13.7" customHeight="1" x14ac:dyDescent="0.25">
      <c r="A198" s="166" t="s">
        <v>729</v>
      </c>
      <c r="B198" s="166" t="s">
        <v>717</v>
      </c>
      <c r="C198" s="166" t="s">
        <v>721</v>
      </c>
      <c r="D198" s="166" t="s">
        <v>718</v>
      </c>
      <c r="E198" s="166" t="s">
        <v>593</v>
      </c>
      <c r="F198" s="167">
        <v>43709</v>
      </c>
      <c r="G198" s="167">
        <v>43982</v>
      </c>
      <c r="H198" s="168">
        <v>33833</v>
      </c>
    </row>
    <row r="199" spans="1:8" ht="13.7" customHeight="1" x14ac:dyDescent="0.25">
      <c r="A199" s="166" t="s">
        <v>730</v>
      </c>
      <c r="B199" s="166" t="s">
        <v>731</v>
      </c>
      <c r="C199" s="166" t="s">
        <v>732</v>
      </c>
      <c r="D199" s="166" t="s">
        <v>733</v>
      </c>
      <c r="E199" s="166" t="s">
        <v>0</v>
      </c>
      <c r="F199" s="167">
        <v>43952</v>
      </c>
      <c r="G199" s="167">
        <v>44439</v>
      </c>
      <c r="H199" s="168">
        <v>5000</v>
      </c>
    </row>
    <row r="200" spans="1:8" ht="13.7" customHeight="1" x14ac:dyDescent="0.25">
      <c r="A200" s="166" t="s">
        <v>734</v>
      </c>
      <c r="B200" s="166" t="s">
        <v>731</v>
      </c>
      <c r="C200" s="166" t="s">
        <v>732</v>
      </c>
      <c r="D200" s="166" t="s">
        <v>735</v>
      </c>
      <c r="E200" s="166" t="s">
        <v>486</v>
      </c>
      <c r="F200" s="167">
        <v>42430</v>
      </c>
      <c r="G200" s="167">
        <v>44255</v>
      </c>
      <c r="H200" s="168">
        <v>14587</v>
      </c>
    </row>
    <row r="201" spans="1:8" ht="13.7" customHeight="1" x14ac:dyDescent="0.25">
      <c r="A201" s="166" t="s">
        <v>736</v>
      </c>
      <c r="B201" s="166" t="s">
        <v>737</v>
      </c>
      <c r="C201" s="166" t="s">
        <v>732</v>
      </c>
      <c r="D201" s="166" t="s">
        <v>738</v>
      </c>
      <c r="E201" s="166" t="s">
        <v>486</v>
      </c>
      <c r="F201" s="167">
        <v>43831</v>
      </c>
      <c r="G201" s="167">
        <v>44926</v>
      </c>
      <c r="H201" s="168">
        <v>316253</v>
      </c>
    </row>
    <row r="202" spans="1:8" ht="13.7" customHeight="1" x14ac:dyDescent="0.25">
      <c r="A202" s="166" t="s">
        <v>736</v>
      </c>
      <c r="B202" s="166" t="s">
        <v>737</v>
      </c>
      <c r="C202" s="166" t="s">
        <v>732</v>
      </c>
      <c r="D202" s="166" t="s">
        <v>738</v>
      </c>
      <c r="E202" s="166" t="s">
        <v>486</v>
      </c>
      <c r="F202" s="167">
        <v>43831</v>
      </c>
      <c r="G202" s="167">
        <v>44926</v>
      </c>
      <c r="H202" s="168">
        <v>73747</v>
      </c>
    </row>
    <row r="203" spans="1:8" ht="13.7" customHeight="1" x14ac:dyDescent="0.25">
      <c r="A203" s="166" t="s">
        <v>739</v>
      </c>
      <c r="B203" s="166" t="s">
        <v>740</v>
      </c>
      <c r="C203" s="166" t="s">
        <v>732</v>
      </c>
      <c r="D203" s="166" t="s">
        <v>741</v>
      </c>
      <c r="E203" s="166" t="s">
        <v>593</v>
      </c>
      <c r="F203" s="167">
        <v>42217</v>
      </c>
      <c r="G203" s="167">
        <v>44439</v>
      </c>
      <c r="H203" s="168">
        <v>235275</v>
      </c>
    </row>
    <row r="204" spans="1:8" ht="13.7" customHeight="1" x14ac:dyDescent="0.25">
      <c r="A204" s="166" t="s">
        <v>739</v>
      </c>
      <c r="B204" s="166" t="s">
        <v>740</v>
      </c>
      <c r="C204" s="166" t="s">
        <v>732</v>
      </c>
      <c r="D204" s="166" t="s">
        <v>741</v>
      </c>
      <c r="E204" s="166" t="s">
        <v>593</v>
      </c>
      <c r="F204" s="167">
        <v>42217</v>
      </c>
      <c r="G204" s="167">
        <v>44439</v>
      </c>
      <c r="H204" s="168">
        <v>48445</v>
      </c>
    </row>
    <row r="205" spans="1:8" ht="13.7" customHeight="1" x14ac:dyDescent="0.25">
      <c r="A205" s="166" t="s">
        <v>739</v>
      </c>
      <c r="B205" s="166" t="s">
        <v>740</v>
      </c>
      <c r="C205" s="166" t="s">
        <v>732</v>
      </c>
      <c r="D205" s="166" t="s">
        <v>741</v>
      </c>
      <c r="E205" s="166" t="s">
        <v>593</v>
      </c>
      <c r="F205" s="167">
        <v>42217</v>
      </c>
      <c r="G205" s="167">
        <v>44439</v>
      </c>
      <c r="H205" s="168">
        <v>0</v>
      </c>
    </row>
    <row r="206" spans="1:8" ht="13.7" customHeight="1" x14ac:dyDescent="0.25">
      <c r="A206" s="166" t="s">
        <v>742</v>
      </c>
      <c r="B206" s="166" t="s">
        <v>591</v>
      </c>
      <c r="C206" s="166" t="s">
        <v>732</v>
      </c>
      <c r="D206" s="166" t="s">
        <v>592</v>
      </c>
      <c r="E206" s="166" t="s">
        <v>593</v>
      </c>
      <c r="F206" s="167">
        <v>42948</v>
      </c>
      <c r="G206" s="167">
        <v>43312</v>
      </c>
      <c r="H206" s="168">
        <v>-4449.1400000000003</v>
      </c>
    </row>
    <row r="207" spans="1:8" ht="13.7" customHeight="1" x14ac:dyDescent="0.25">
      <c r="A207" s="166" t="s">
        <v>743</v>
      </c>
      <c r="B207" s="166" t="s">
        <v>591</v>
      </c>
      <c r="C207" s="166" t="s">
        <v>732</v>
      </c>
      <c r="D207" s="166" t="s">
        <v>595</v>
      </c>
      <c r="E207" s="166" t="s">
        <v>593</v>
      </c>
      <c r="F207" s="167">
        <v>43313</v>
      </c>
      <c r="G207" s="167">
        <v>43677</v>
      </c>
      <c r="H207" s="168">
        <v>-26170.33</v>
      </c>
    </row>
    <row r="208" spans="1:8" ht="13.7" customHeight="1" x14ac:dyDescent="0.25">
      <c r="A208" s="166" t="s">
        <v>744</v>
      </c>
      <c r="B208" s="166" t="s">
        <v>591</v>
      </c>
      <c r="C208" s="166" t="s">
        <v>732</v>
      </c>
      <c r="D208" s="166" t="s">
        <v>592</v>
      </c>
      <c r="E208" s="166" t="s">
        <v>593</v>
      </c>
      <c r="F208" s="167">
        <v>43678</v>
      </c>
      <c r="G208" s="167">
        <v>44043</v>
      </c>
      <c r="H208" s="168">
        <v>57670</v>
      </c>
    </row>
    <row r="209" spans="1:8" ht="13.7" customHeight="1" x14ac:dyDescent="0.25">
      <c r="A209" s="166" t="s">
        <v>744</v>
      </c>
      <c r="B209" s="166" t="s">
        <v>591</v>
      </c>
      <c r="C209" s="166" t="s">
        <v>732</v>
      </c>
      <c r="D209" s="166" t="s">
        <v>592</v>
      </c>
      <c r="E209" s="166" t="s">
        <v>593</v>
      </c>
      <c r="F209" s="167">
        <v>43678</v>
      </c>
      <c r="G209" s="167">
        <v>44043</v>
      </c>
      <c r="H209" s="168">
        <v>12000</v>
      </c>
    </row>
    <row r="210" spans="1:8" ht="13.7" customHeight="1" x14ac:dyDescent="0.25">
      <c r="A210" s="166" t="s">
        <v>745</v>
      </c>
      <c r="B210" s="166" t="s">
        <v>591</v>
      </c>
      <c r="C210" s="166" t="s">
        <v>732</v>
      </c>
      <c r="D210" s="166" t="s">
        <v>592</v>
      </c>
      <c r="E210" s="166" t="s">
        <v>593</v>
      </c>
      <c r="F210" s="167">
        <v>43678</v>
      </c>
      <c r="G210" s="167">
        <v>44043</v>
      </c>
      <c r="H210" s="168">
        <v>105129</v>
      </c>
    </row>
    <row r="211" spans="1:8" ht="13.7" customHeight="1" x14ac:dyDescent="0.25">
      <c r="A211" s="166" t="s">
        <v>746</v>
      </c>
      <c r="B211" s="166" t="s">
        <v>591</v>
      </c>
      <c r="C211" s="166" t="s">
        <v>732</v>
      </c>
      <c r="D211" s="166" t="s">
        <v>592</v>
      </c>
      <c r="E211" s="166" t="s">
        <v>593</v>
      </c>
      <c r="F211" s="167">
        <v>43678</v>
      </c>
      <c r="G211" s="167">
        <v>44043</v>
      </c>
      <c r="H211" s="168">
        <v>53392</v>
      </c>
    </row>
    <row r="212" spans="1:8" ht="13.7" customHeight="1" x14ac:dyDescent="0.25">
      <c r="A212" s="166" t="s">
        <v>747</v>
      </c>
      <c r="B212" s="166" t="s">
        <v>591</v>
      </c>
      <c r="C212" s="166" t="s">
        <v>732</v>
      </c>
      <c r="D212" s="166" t="s">
        <v>592</v>
      </c>
      <c r="E212" s="166" t="s">
        <v>593</v>
      </c>
      <c r="F212" s="167">
        <v>43678</v>
      </c>
      <c r="G212" s="167">
        <v>44043</v>
      </c>
      <c r="H212" s="168">
        <v>27188</v>
      </c>
    </row>
    <row r="213" spans="1:8" ht="13.7" customHeight="1" x14ac:dyDescent="0.25">
      <c r="A213" s="166" t="s">
        <v>748</v>
      </c>
      <c r="B213" s="166" t="s">
        <v>591</v>
      </c>
      <c r="C213" s="166" t="s">
        <v>749</v>
      </c>
      <c r="D213" s="166" t="s">
        <v>592</v>
      </c>
      <c r="E213" s="166" t="s">
        <v>593</v>
      </c>
      <c r="F213" s="167">
        <v>43678</v>
      </c>
      <c r="G213" s="167">
        <v>44043</v>
      </c>
      <c r="H213" s="168">
        <v>184133</v>
      </c>
    </row>
    <row r="214" spans="1:8" ht="13.7" customHeight="1" x14ac:dyDescent="0.25">
      <c r="A214" s="166" t="s">
        <v>748</v>
      </c>
      <c r="B214" s="166" t="s">
        <v>591</v>
      </c>
      <c r="C214" s="166" t="s">
        <v>749</v>
      </c>
      <c r="D214" s="166" t="s">
        <v>592</v>
      </c>
      <c r="E214" s="166" t="s">
        <v>593</v>
      </c>
      <c r="F214" s="167">
        <v>43678</v>
      </c>
      <c r="G214" s="167">
        <v>44043</v>
      </c>
      <c r="H214" s="168">
        <v>29653</v>
      </c>
    </row>
    <row r="215" spans="1:8" ht="13.7" customHeight="1" x14ac:dyDescent="0.25">
      <c r="A215" s="166" t="s">
        <v>750</v>
      </c>
      <c r="B215" s="166" t="s">
        <v>751</v>
      </c>
      <c r="C215" s="166" t="s">
        <v>749</v>
      </c>
      <c r="D215" s="166" t="s">
        <v>752</v>
      </c>
      <c r="E215" s="166" t="s">
        <v>593</v>
      </c>
      <c r="F215" s="167">
        <v>43728</v>
      </c>
      <c r="G215" s="167">
        <v>44408</v>
      </c>
      <c r="H215" s="168">
        <v>286435</v>
      </c>
    </row>
    <row r="216" spans="1:8" ht="13.7" customHeight="1" x14ac:dyDescent="0.25">
      <c r="A216" s="166" t="s">
        <v>753</v>
      </c>
      <c r="B216" s="166" t="s">
        <v>751</v>
      </c>
      <c r="C216" s="166" t="s">
        <v>749</v>
      </c>
      <c r="D216" s="166" t="s">
        <v>754</v>
      </c>
      <c r="E216" s="166" t="s">
        <v>755</v>
      </c>
      <c r="F216" s="167">
        <v>43327</v>
      </c>
      <c r="G216" s="167">
        <v>44347</v>
      </c>
      <c r="H216" s="168">
        <v>79065</v>
      </c>
    </row>
    <row r="217" spans="1:8" ht="13.7" customHeight="1" x14ac:dyDescent="0.25">
      <c r="A217" s="166" t="s">
        <v>753</v>
      </c>
      <c r="B217" s="166" t="s">
        <v>751</v>
      </c>
      <c r="C217" s="166" t="s">
        <v>749</v>
      </c>
      <c r="D217" s="166" t="s">
        <v>754</v>
      </c>
      <c r="E217" s="166" t="s">
        <v>755</v>
      </c>
      <c r="F217" s="167">
        <v>43327</v>
      </c>
      <c r="G217" s="167">
        <v>44347</v>
      </c>
      <c r="H217" s="168">
        <v>80293</v>
      </c>
    </row>
    <row r="218" spans="1:8" ht="13.7" customHeight="1" x14ac:dyDescent="0.25">
      <c r="A218" s="166" t="s">
        <v>753</v>
      </c>
      <c r="B218" s="166" t="s">
        <v>751</v>
      </c>
      <c r="C218" s="166" t="s">
        <v>749</v>
      </c>
      <c r="D218" s="166" t="s">
        <v>754</v>
      </c>
      <c r="E218" s="166" t="s">
        <v>755</v>
      </c>
      <c r="F218" s="167">
        <v>43327</v>
      </c>
      <c r="G218" s="167">
        <v>44347</v>
      </c>
      <c r="H218" s="168">
        <v>100</v>
      </c>
    </row>
    <row r="219" spans="1:8" ht="13.7" customHeight="1" x14ac:dyDescent="0.25">
      <c r="A219" s="166" t="s">
        <v>756</v>
      </c>
      <c r="B219" s="166" t="s">
        <v>757</v>
      </c>
      <c r="C219" s="166" t="s">
        <v>758</v>
      </c>
      <c r="D219" s="166" t="s">
        <v>759</v>
      </c>
      <c r="E219" s="166" t="s">
        <v>760</v>
      </c>
      <c r="F219" s="167">
        <v>43654</v>
      </c>
      <c r="G219" s="167">
        <v>44377</v>
      </c>
      <c r="H219" s="168">
        <v>46898</v>
      </c>
    </row>
    <row r="220" spans="1:8" ht="13.7" customHeight="1" x14ac:dyDescent="0.25">
      <c r="A220" s="166" t="s">
        <v>756</v>
      </c>
      <c r="B220" s="166" t="s">
        <v>757</v>
      </c>
      <c r="C220" s="166" t="s">
        <v>758</v>
      </c>
      <c r="D220" s="166" t="s">
        <v>759</v>
      </c>
      <c r="E220" s="166" t="s">
        <v>760</v>
      </c>
      <c r="F220" s="167">
        <v>43654</v>
      </c>
      <c r="G220" s="167">
        <v>44377</v>
      </c>
      <c r="H220" s="168">
        <v>18665</v>
      </c>
    </row>
    <row r="221" spans="1:8" ht="13.7" customHeight="1" x14ac:dyDescent="0.25">
      <c r="A221" s="166" t="s">
        <v>761</v>
      </c>
      <c r="B221" s="166" t="s">
        <v>757</v>
      </c>
      <c r="C221" s="166" t="s">
        <v>758</v>
      </c>
      <c r="D221" s="166" t="s">
        <v>762</v>
      </c>
      <c r="E221" s="166" t="s">
        <v>536</v>
      </c>
      <c r="F221" s="167">
        <v>43831</v>
      </c>
      <c r="G221" s="167">
        <v>44196</v>
      </c>
      <c r="H221" s="168">
        <v>13500</v>
      </c>
    </row>
    <row r="222" spans="1:8" ht="13.7" customHeight="1" x14ac:dyDescent="0.25">
      <c r="A222" s="166" t="s">
        <v>763</v>
      </c>
      <c r="B222" s="166" t="s">
        <v>764</v>
      </c>
      <c r="C222" s="166" t="s">
        <v>765</v>
      </c>
      <c r="D222" s="166" t="s">
        <v>766</v>
      </c>
      <c r="E222" s="166" t="s">
        <v>593</v>
      </c>
      <c r="F222" s="167">
        <v>43313</v>
      </c>
      <c r="G222" s="167">
        <v>44408</v>
      </c>
      <c r="H222" s="168">
        <v>286375</v>
      </c>
    </row>
    <row r="223" spans="1:8" ht="13.7" customHeight="1" x14ac:dyDescent="0.25">
      <c r="A223" s="166" t="s">
        <v>767</v>
      </c>
      <c r="B223" s="166" t="s">
        <v>768</v>
      </c>
      <c r="C223" s="166" t="s">
        <v>765</v>
      </c>
      <c r="D223" s="166" t="s">
        <v>769</v>
      </c>
      <c r="E223" s="166" t="s">
        <v>486</v>
      </c>
      <c r="F223" s="167">
        <v>43966</v>
      </c>
      <c r="G223" s="167">
        <v>45412</v>
      </c>
      <c r="H223" s="168">
        <v>617875</v>
      </c>
    </row>
    <row r="224" spans="1:8" ht="13.7" customHeight="1" x14ac:dyDescent="0.25">
      <c r="A224" s="166" t="s">
        <v>767</v>
      </c>
      <c r="B224" s="166" t="s">
        <v>768</v>
      </c>
      <c r="C224" s="166" t="s">
        <v>765</v>
      </c>
      <c r="D224" s="166" t="s">
        <v>769</v>
      </c>
      <c r="E224" s="166" t="s">
        <v>486</v>
      </c>
      <c r="F224" s="167">
        <v>43966</v>
      </c>
      <c r="G224" s="167">
        <v>45412</v>
      </c>
      <c r="H224" s="168">
        <v>272503</v>
      </c>
    </row>
    <row r="225" spans="1:8" ht="13.7" customHeight="1" x14ac:dyDescent="0.25">
      <c r="A225" s="166" t="s">
        <v>770</v>
      </c>
      <c r="B225" s="166" t="s">
        <v>771</v>
      </c>
      <c r="C225" s="166" t="s">
        <v>765</v>
      </c>
      <c r="D225" s="166" t="s">
        <v>772</v>
      </c>
      <c r="E225" s="166" t="s">
        <v>773</v>
      </c>
      <c r="F225" s="167">
        <v>43709</v>
      </c>
      <c r="G225" s="167">
        <v>44439</v>
      </c>
      <c r="H225" s="168">
        <v>100626</v>
      </c>
    </row>
    <row r="226" spans="1:8" ht="13.7" customHeight="1" x14ac:dyDescent="0.25">
      <c r="A226" s="166" t="s">
        <v>774</v>
      </c>
      <c r="B226" s="166" t="s">
        <v>771</v>
      </c>
      <c r="C226" s="166" t="s">
        <v>765</v>
      </c>
      <c r="D226" s="166" t="s">
        <v>775</v>
      </c>
      <c r="E226" s="166" t="s">
        <v>776</v>
      </c>
      <c r="F226" s="167">
        <v>42979</v>
      </c>
      <c r="G226" s="167">
        <v>44439</v>
      </c>
      <c r="H226" s="168">
        <v>0</v>
      </c>
    </row>
    <row r="227" spans="1:8" ht="13.7" customHeight="1" x14ac:dyDescent="0.25">
      <c r="A227" s="166" t="s">
        <v>777</v>
      </c>
      <c r="B227" s="166" t="s">
        <v>771</v>
      </c>
      <c r="C227" s="166" t="s">
        <v>765</v>
      </c>
      <c r="D227" s="166" t="s">
        <v>778</v>
      </c>
      <c r="E227" s="166" t="s">
        <v>582</v>
      </c>
      <c r="F227" s="167">
        <v>43586</v>
      </c>
      <c r="G227" s="167">
        <v>43951</v>
      </c>
      <c r="H227" s="168">
        <v>7392</v>
      </c>
    </row>
    <row r="228" spans="1:8" ht="13.7" customHeight="1" x14ac:dyDescent="0.25">
      <c r="A228" s="166" t="s">
        <v>777</v>
      </c>
      <c r="B228" s="166" t="s">
        <v>771</v>
      </c>
      <c r="C228" s="166" t="s">
        <v>765</v>
      </c>
      <c r="D228" s="166" t="s">
        <v>778</v>
      </c>
      <c r="E228" s="166" t="s">
        <v>582</v>
      </c>
      <c r="F228" s="167">
        <v>43586</v>
      </c>
      <c r="G228" s="167">
        <v>43951</v>
      </c>
      <c r="H228" s="168">
        <v>56082</v>
      </c>
    </row>
    <row r="229" spans="1:8" ht="13.7" customHeight="1" x14ac:dyDescent="0.25">
      <c r="A229" s="166" t="s">
        <v>779</v>
      </c>
      <c r="B229" s="166" t="s">
        <v>771</v>
      </c>
      <c r="C229" s="166" t="s">
        <v>765</v>
      </c>
      <c r="D229" s="166" t="s">
        <v>780</v>
      </c>
      <c r="E229" s="166" t="s">
        <v>486</v>
      </c>
      <c r="F229" s="167">
        <v>43800</v>
      </c>
      <c r="G229" s="167">
        <v>44530</v>
      </c>
      <c r="H229" s="168">
        <v>185760</v>
      </c>
    </row>
    <row r="230" spans="1:8" ht="13.7" customHeight="1" x14ac:dyDescent="0.25">
      <c r="A230" s="166" t="s">
        <v>779</v>
      </c>
      <c r="B230" s="166" t="s">
        <v>771</v>
      </c>
      <c r="C230" s="166" t="s">
        <v>765</v>
      </c>
      <c r="D230" s="166" t="s">
        <v>780</v>
      </c>
      <c r="E230" s="166" t="s">
        <v>486</v>
      </c>
      <c r="F230" s="167">
        <v>43800</v>
      </c>
      <c r="G230" s="167">
        <v>44530</v>
      </c>
      <c r="H230" s="168">
        <v>77574</v>
      </c>
    </row>
    <row r="231" spans="1:8" ht="13.7" customHeight="1" x14ac:dyDescent="0.25">
      <c r="A231" s="166" t="s">
        <v>781</v>
      </c>
      <c r="B231" s="166" t="s">
        <v>782</v>
      </c>
      <c r="C231" s="166" t="s">
        <v>765</v>
      </c>
      <c r="D231" s="166" t="s">
        <v>783</v>
      </c>
      <c r="E231" s="166" t="s">
        <v>784</v>
      </c>
      <c r="F231" s="167">
        <v>43556</v>
      </c>
      <c r="G231" s="167">
        <v>44286</v>
      </c>
      <c r="H231" s="168">
        <v>299598</v>
      </c>
    </row>
    <row r="232" spans="1:8" ht="13.7" customHeight="1" x14ac:dyDescent="0.25">
      <c r="A232" s="166" t="s">
        <v>785</v>
      </c>
      <c r="B232" s="166" t="s">
        <v>786</v>
      </c>
      <c r="C232" s="166" t="s">
        <v>765</v>
      </c>
      <c r="D232" s="166" t="s">
        <v>787</v>
      </c>
      <c r="E232" s="166" t="s">
        <v>788</v>
      </c>
      <c r="F232" s="167">
        <v>43586</v>
      </c>
      <c r="G232" s="167">
        <v>43951</v>
      </c>
      <c r="H232" s="168">
        <v>21225</v>
      </c>
    </row>
    <row r="233" spans="1:8" ht="13.7" customHeight="1" x14ac:dyDescent="0.25">
      <c r="A233" s="166" t="s">
        <v>785</v>
      </c>
      <c r="B233" s="166" t="s">
        <v>786</v>
      </c>
      <c r="C233" s="166" t="s">
        <v>765</v>
      </c>
      <c r="D233" s="166" t="s">
        <v>787</v>
      </c>
      <c r="E233" s="166" t="s">
        <v>788</v>
      </c>
      <c r="F233" s="167">
        <v>43586</v>
      </c>
      <c r="G233" s="167">
        <v>43951</v>
      </c>
      <c r="H233" s="168">
        <v>9924</v>
      </c>
    </row>
    <row r="234" spans="1:8" ht="13.7" customHeight="1" x14ac:dyDescent="0.25">
      <c r="A234" s="166" t="s">
        <v>789</v>
      </c>
      <c r="B234" s="166" t="s">
        <v>786</v>
      </c>
      <c r="C234" s="166" t="s">
        <v>765</v>
      </c>
      <c r="D234" s="166" t="s">
        <v>787</v>
      </c>
      <c r="E234" s="166" t="s">
        <v>788</v>
      </c>
      <c r="F234" s="167">
        <v>43586</v>
      </c>
      <c r="G234" s="167">
        <v>43951</v>
      </c>
      <c r="H234" s="168">
        <v>17576</v>
      </c>
    </row>
    <row r="235" spans="1:8" ht="13.7" customHeight="1" x14ac:dyDescent="0.25">
      <c r="A235" s="166" t="s">
        <v>790</v>
      </c>
      <c r="B235" s="166" t="s">
        <v>791</v>
      </c>
      <c r="C235" s="166" t="s">
        <v>765</v>
      </c>
      <c r="D235" s="166" t="s">
        <v>792</v>
      </c>
      <c r="E235" s="166" t="s">
        <v>793</v>
      </c>
      <c r="F235" s="167">
        <v>43807</v>
      </c>
      <c r="G235" s="167">
        <v>44168</v>
      </c>
      <c r="H235" s="168">
        <v>16676</v>
      </c>
    </row>
    <row r="236" spans="1:8" ht="13.7" customHeight="1" x14ac:dyDescent="0.25">
      <c r="A236" s="166" t="s">
        <v>790</v>
      </c>
      <c r="B236" s="166" t="s">
        <v>791</v>
      </c>
      <c r="C236" s="166" t="s">
        <v>765</v>
      </c>
      <c r="D236" s="166" t="s">
        <v>792</v>
      </c>
      <c r="E236" s="166" t="s">
        <v>793</v>
      </c>
      <c r="F236" s="167">
        <v>43807</v>
      </c>
      <c r="G236" s="167">
        <v>44168</v>
      </c>
      <c r="H236" s="168">
        <v>4747</v>
      </c>
    </row>
    <row r="237" spans="1:8" ht="13.7" customHeight="1" x14ac:dyDescent="0.25">
      <c r="A237" s="166" t="s">
        <v>794</v>
      </c>
      <c r="B237" s="166" t="s">
        <v>791</v>
      </c>
      <c r="C237" s="166" t="s">
        <v>765</v>
      </c>
      <c r="D237" s="166" t="s">
        <v>795</v>
      </c>
      <c r="E237" s="166" t="s">
        <v>796</v>
      </c>
      <c r="F237" s="167">
        <v>43709</v>
      </c>
      <c r="G237" s="167">
        <v>44074</v>
      </c>
      <c r="H237" s="168">
        <v>20777</v>
      </c>
    </row>
    <row r="238" spans="1:8" ht="13.7" customHeight="1" x14ac:dyDescent="0.25">
      <c r="A238" s="166" t="s">
        <v>797</v>
      </c>
      <c r="B238" s="166" t="s">
        <v>798</v>
      </c>
      <c r="C238" s="166" t="s">
        <v>799</v>
      </c>
      <c r="D238" s="166" t="s">
        <v>800</v>
      </c>
      <c r="E238" s="166" t="s">
        <v>801</v>
      </c>
      <c r="F238" s="167">
        <v>43313</v>
      </c>
      <c r="G238" s="167">
        <v>43982</v>
      </c>
      <c r="H238" s="168">
        <v>-2500</v>
      </c>
    </row>
    <row r="239" spans="1:8" ht="13.7" customHeight="1" x14ac:dyDescent="0.25">
      <c r="A239" s="166" t="s">
        <v>797</v>
      </c>
      <c r="B239" s="166" t="s">
        <v>798</v>
      </c>
      <c r="C239" s="166" t="s">
        <v>799</v>
      </c>
      <c r="D239" s="166" t="s">
        <v>800</v>
      </c>
      <c r="E239" s="166" t="s">
        <v>801</v>
      </c>
      <c r="F239" s="167">
        <v>43313</v>
      </c>
      <c r="G239" s="167">
        <v>43982</v>
      </c>
      <c r="H239" s="168">
        <v>7500</v>
      </c>
    </row>
    <row r="240" spans="1:8" ht="13.7" customHeight="1" x14ac:dyDescent="0.25">
      <c r="A240" s="166" t="s">
        <v>802</v>
      </c>
      <c r="B240" s="166" t="s">
        <v>803</v>
      </c>
      <c r="C240" s="166" t="s">
        <v>804</v>
      </c>
      <c r="D240" s="166" t="s">
        <v>805</v>
      </c>
      <c r="E240" s="166" t="s">
        <v>806</v>
      </c>
      <c r="F240" s="167">
        <v>43860</v>
      </c>
      <c r="G240" s="167">
        <v>45687</v>
      </c>
      <c r="H240" s="168">
        <v>19250</v>
      </c>
    </row>
    <row r="241" spans="1:8" ht="13.7" customHeight="1" x14ac:dyDescent="0.25">
      <c r="A241" s="166" t="s">
        <v>807</v>
      </c>
      <c r="B241" s="166" t="s">
        <v>803</v>
      </c>
      <c r="C241" s="166" t="s">
        <v>804</v>
      </c>
      <c r="D241" s="166" t="s">
        <v>808</v>
      </c>
      <c r="E241" s="166" t="s">
        <v>809</v>
      </c>
      <c r="F241" s="167">
        <v>43770</v>
      </c>
      <c r="G241" s="167">
        <v>44104</v>
      </c>
      <c r="H241" s="168">
        <v>95568</v>
      </c>
    </row>
    <row r="242" spans="1:8" ht="13.7" customHeight="1" x14ac:dyDescent="0.25">
      <c r="A242" s="166" t="s">
        <v>807</v>
      </c>
      <c r="B242" s="166" t="s">
        <v>803</v>
      </c>
      <c r="C242" s="166" t="s">
        <v>804</v>
      </c>
      <c r="D242" s="166" t="s">
        <v>808</v>
      </c>
      <c r="E242" s="166" t="s">
        <v>809</v>
      </c>
      <c r="F242" s="167">
        <v>43770</v>
      </c>
      <c r="G242" s="167">
        <v>44104</v>
      </c>
      <c r="H242" s="168">
        <v>4432</v>
      </c>
    </row>
    <row r="243" spans="1:8" ht="13.7" customHeight="1" x14ac:dyDescent="0.25">
      <c r="A243" s="166" t="s">
        <v>810</v>
      </c>
      <c r="B243" s="166" t="s">
        <v>803</v>
      </c>
      <c r="C243" s="166" t="s">
        <v>804</v>
      </c>
      <c r="D243" s="166" t="s">
        <v>811</v>
      </c>
      <c r="E243" s="166" t="s">
        <v>812</v>
      </c>
      <c r="F243" s="167">
        <v>43922</v>
      </c>
      <c r="G243" s="167">
        <v>44469</v>
      </c>
      <c r="H243" s="168">
        <v>104328</v>
      </c>
    </row>
    <row r="244" spans="1:8" ht="13.7" customHeight="1" x14ac:dyDescent="0.25">
      <c r="A244" s="166" t="s">
        <v>813</v>
      </c>
      <c r="B244" s="166" t="s">
        <v>814</v>
      </c>
      <c r="C244" s="166" t="s">
        <v>815</v>
      </c>
      <c r="D244" s="166" t="s">
        <v>816</v>
      </c>
      <c r="E244" s="166" t="s">
        <v>817</v>
      </c>
      <c r="F244" s="167">
        <v>43545</v>
      </c>
      <c r="G244" s="167">
        <v>43951</v>
      </c>
      <c r="H244" s="168">
        <v>0.5</v>
      </c>
    </row>
    <row r="245" spans="1:8" ht="13.7" customHeight="1" x14ac:dyDescent="0.25">
      <c r="A245" s="166" t="s">
        <v>818</v>
      </c>
      <c r="B245" s="166" t="s">
        <v>814</v>
      </c>
      <c r="C245" s="166" t="s">
        <v>815</v>
      </c>
      <c r="D245" s="166" t="s">
        <v>816</v>
      </c>
      <c r="E245" s="166" t="s">
        <v>819</v>
      </c>
      <c r="F245" s="167">
        <v>43545</v>
      </c>
      <c r="G245" s="167">
        <v>43951</v>
      </c>
      <c r="H245" s="168">
        <v>-0.5</v>
      </c>
    </row>
    <row r="246" spans="1:8" ht="13.7" customHeight="1" x14ac:dyDescent="0.25">
      <c r="A246" s="166" t="s">
        <v>818</v>
      </c>
      <c r="B246" s="166" t="s">
        <v>814</v>
      </c>
      <c r="C246" s="166" t="s">
        <v>815</v>
      </c>
      <c r="D246" s="166" t="s">
        <v>816</v>
      </c>
      <c r="E246" s="166" t="s">
        <v>819</v>
      </c>
      <c r="F246" s="167">
        <v>43545</v>
      </c>
      <c r="G246" s="167">
        <v>43951</v>
      </c>
      <c r="H246" s="168">
        <v>2348</v>
      </c>
    </row>
    <row r="247" spans="1:8" ht="13.7" customHeight="1" x14ac:dyDescent="0.25">
      <c r="A247" s="166" t="s">
        <v>820</v>
      </c>
      <c r="B247" s="166" t="s">
        <v>814</v>
      </c>
      <c r="C247" s="166" t="s">
        <v>815</v>
      </c>
      <c r="D247" s="166" t="s">
        <v>821</v>
      </c>
      <c r="E247" s="166" t="s">
        <v>486</v>
      </c>
      <c r="F247" s="167">
        <v>42736</v>
      </c>
      <c r="G247" s="167">
        <v>44196</v>
      </c>
      <c r="H247" s="168">
        <v>64298</v>
      </c>
    </row>
    <row r="248" spans="1:8" ht="13.7" customHeight="1" x14ac:dyDescent="0.25">
      <c r="A248" s="166" t="s">
        <v>822</v>
      </c>
      <c r="B248" s="166" t="s">
        <v>823</v>
      </c>
      <c r="C248" s="166" t="s">
        <v>824</v>
      </c>
      <c r="D248" s="166" t="s">
        <v>825</v>
      </c>
      <c r="E248" s="166" t="s">
        <v>826</v>
      </c>
      <c r="F248" s="167">
        <v>43617</v>
      </c>
      <c r="G248" s="167">
        <v>44354</v>
      </c>
      <c r="H248" s="168">
        <v>5000</v>
      </c>
    </row>
    <row r="249" spans="1:8" ht="13.7" customHeight="1" x14ac:dyDescent="0.25">
      <c r="A249" s="166" t="s">
        <v>822</v>
      </c>
      <c r="B249" s="166" t="s">
        <v>823</v>
      </c>
      <c r="C249" s="166" t="s">
        <v>824</v>
      </c>
      <c r="D249" s="166" t="s">
        <v>825</v>
      </c>
      <c r="E249" s="166" t="s">
        <v>826</v>
      </c>
      <c r="F249" s="167">
        <v>43617</v>
      </c>
      <c r="G249" s="167">
        <v>44354</v>
      </c>
      <c r="H249" s="168">
        <v>10000</v>
      </c>
    </row>
    <row r="250" spans="1:8" ht="13.7" customHeight="1" x14ac:dyDescent="0.25">
      <c r="A250" s="166" t="s">
        <v>822</v>
      </c>
      <c r="B250" s="166" t="s">
        <v>823</v>
      </c>
      <c r="C250" s="166" t="s">
        <v>824</v>
      </c>
      <c r="D250" s="166" t="s">
        <v>825</v>
      </c>
      <c r="E250" s="166" t="s">
        <v>826</v>
      </c>
      <c r="F250" s="167">
        <v>43617</v>
      </c>
      <c r="G250" s="167">
        <v>44354</v>
      </c>
      <c r="H250" s="168">
        <v>30000</v>
      </c>
    </row>
    <row r="251" spans="1:8" ht="13.7" customHeight="1" x14ac:dyDescent="0.25">
      <c r="A251" s="166" t="s">
        <v>827</v>
      </c>
      <c r="B251" s="166" t="s">
        <v>823</v>
      </c>
      <c r="C251" s="166" t="s">
        <v>824</v>
      </c>
      <c r="D251" s="166" t="s">
        <v>828</v>
      </c>
      <c r="E251" s="166" t="s">
        <v>648</v>
      </c>
      <c r="F251" s="167">
        <v>43679</v>
      </c>
      <c r="G251" s="167">
        <v>45473</v>
      </c>
      <c r="H251" s="168">
        <v>3500</v>
      </c>
    </row>
    <row r="252" spans="1:8" ht="13.7" customHeight="1" x14ac:dyDescent="0.25">
      <c r="A252" s="166" t="s">
        <v>827</v>
      </c>
      <c r="B252" s="166" t="s">
        <v>823</v>
      </c>
      <c r="C252" s="166" t="s">
        <v>824</v>
      </c>
      <c r="D252" s="166" t="s">
        <v>828</v>
      </c>
      <c r="E252" s="166" t="s">
        <v>648</v>
      </c>
      <c r="F252" s="167">
        <v>43679</v>
      </c>
      <c r="G252" s="167">
        <v>45473</v>
      </c>
      <c r="H252" s="168">
        <v>11500</v>
      </c>
    </row>
    <row r="253" spans="1:8" ht="13.7" customHeight="1" x14ac:dyDescent="0.25">
      <c r="A253" s="166" t="s">
        <v>829</v>
      </c>
      <c r="B253" s="166" t="s">
        <v>823</v>
      </c>
      <c r="C253" s="166" t="s">
        <v>824</v>
      </c>
      <c r="D253" s="166" t="s">
        <v>830</v>
      </c>
      <c r="E253" s="166" t="s">
        <v>497</v>
      </c>
      <c r="F253" s="167">
        <v>43955</v>
      </c>
      <c r="G253" s="167">
        <v>44834</v>
      </c>
      <c r="H253" s="168">
        <v>16822</v>
      </c>
    </row>
    <row r="254" spans="1:8" ht="13.7" customHeight="1" x14ac:dyDescent="0.25">
      <c r="A254" s="166" t="s">
        <v>831</v>
      </c>
      <c r="B254" s="166" t="s">
        <v>823</v>
      </c>
      <c r="C254" s="166" t="s">
        <v>824</v>
      </c>
      <c r="D254" s="166" t="s">
        <v>832</v>
      </c>
      <c r="E254" s="166" t="s">
        <v>833</v>
      </c>
      <c r="F254" s="167">
        <v>42370</v>
      </c>
      <c r="G254" s="167">
        <v>45657</v>
      </c>
      <c r="H254" s="168">
        <v>45453</v>
      </c>
    </row>
    <row r="255" spans="1:8" ht="13.7" customHeight="1" x14ac:dyDescent="0.25">
      <c r="A255" s="166" t="s">
        <v>831</v>
      </c>
      <c r="B255" s="166" t="s">
        <v>823</v>
      </c>
      <c r="C255" s="166" t="s">
        <v>824</v>
      </c>
      <c r="D255" s="166" t="s">
        <v>832</v>
      </c>
      <c r="E255" s="166" t="s">
        <v>833</v>
      </c>
      <c r="F255" s="167">
        <v>42370</v>
      </c>
      <c r="G255" s="167">
        <v>45657</v>
      </c>
      <c r="H255" s="168">
        <v>-45453</v>
      </c>
    </row>
    <row r="256" spans="1:8" ht="13.7" customHeight="1" x14ac:dyDescent="0.25">
      <c r="A256" s="166" t="s">
        <v>834</v>
      </c>
      <c r="B256" s="166" t="s">
        <v>823</v>
      </c>
      <c r="C256" s="166" t="s">
        <v>824</v>
      </c>
      <c r="D256" s="166" t="s">
        <v>832</v>
      </c>
      <c r="E256" s="166" t="s">
        <v>833</v>
      </c>
      <c r="F256" s="167">
        <v>42370</v>
      </c>
      <c r="G256" s="167">
        <v>45657</v>
      </c>
      <c r="H256" s="168">
        <v>40453</v>
      </c>
    </row>
    <row r="257" spans="1:8" ht="13.7" customHeight="1" x14ac:dyDescent="0.25">
      <c r="A257" s="166" t="s">
        <v>834</v>
      </c>
      <c r="B257" s="166" t="s">
        <v>823</v>
      </c>
      <c r="C257" s="166" t="s">
        <v>824</v>
      </c>
      <c r="D257" s="166" t="s">
        <v>832</v>
      </c>
      <c r="E257" s="166" t="s">
        <v>833</v>
      </c>
      <c r="F257" s="167">
        <v>42370</v>
      </c>
      <c r="G257" s="167">
        <v>45657</v>
      </c>
      <c r="H257" s="168">
        <v>5000</v>
      </c>
    </row>
    <row r="258" spans="1:8" ht="13.7" customHeight="1" x14ac:dyDescent="0.25">
      <c r="A258" s="166" t="s">
        <v>834</v>
      </c>
      <c r="B258" s="166" t="s">
        <v>823</v>
      </c>
      <c r="C258" s="166" t="s">
        <v>824</v>
      </c>
      <c r="D258" s="166" t="s">
        <v>832</v>
      </c>
      <c r="E258" s="166" t="s">
        <v>833</v>
      </c>
      <c r="F258" s="167">
        <v>42370</v>
      </c>
      <c r="G258" s="167">
        <v>45657</v>
      </c>
      <c r="H258" s="168">
        <v>2670.79</v>
      </c>
    </row>
    <row r="259" spans="1:8" ht="13.7" customHeight="1" x14ac:dyDescent="0.25">
      <c r="A259" s="166" t="s">
        <v>835</v>
      </c>
      <c r="B259" s="166" t="s">
        <v>823</v>
      </c>
      <c r="C259" s="166" t="s">
        <v>824</v>
      </c>
      <c r="D259" s="166" t="s">
        <v>832</v>
      </c>
      <c r="E259" s="166" t="s">
        <v>833</v>
      </c>
      <c r="F259" s="167">
        <v>42370</v>
      </c>
      <c r="G259" s="167">
        <v>43830</v>
      </c>
      <c r="H259" s="168">
        <v>-1335.08</v>
      </c>
    </row>
    <row r="260" spans="1:8" ht="13.7" customHeight="1" x14ac:dyDescent="0.25">
      <c r="A260" s="166" t="s">
        <v>835</v>
      </c>
      <c r="B260" s="166" t="s">
        <v>823</v>
      </c>
      <c r="C260" s="166" t="s">
        <v>824</v>
      </c>
      <c r="D260" s="166" t="s">
        <v>832</v>
      </c>
      <c r="E260" s="166" t="s">
        <v>833</v>
      </c>
      <c r="F260" s="167">
        <v>42370</v>
      </c>
      <c r="G260" s="167">
        <v>43830</v>
      </c>
      <c r="H260" s="168">
        <v>-676.33</v>
      </c>
    </row>
    <row r="261" spans="1:8" ht="13.7" customHeight="1" x14ac:dyDescent="0.25">
      <c r="A261" s="166" t="s">
        <v>835</v>
      </c>
      <c r="B261" s="166" t="s">
        <v>823</v>
      </c>
      <c r="C261" s="166" t="s">
        <v>824</v>
      </c>
      <c r="D261" s="166" t="s">
        <v>832</v>
      </c>
      <c r="E261" s="166" t="s">
        <v>833</v>
      </c>
      <c r="F261" s="167">
        <v>42370</v>
      </c>
      <c r="G261" s="167">
        <v>43830</v>
      </c>
      <c r="H261" s="168">
        <v>-297.7</v>
      </c>
    </row>
    <row r="262" spans="1:8" ht="13.7" customHeight="1" x14ac:dyDescent="0.25">
      <c r="A262" s="166" t="s">
        <v>836</v>
      </c>
      <c r="B262" s="166" t="s">
        <v>823</v>
      </c>
      <c r="C262" s="166" t="s">
        <v>824</v>
      </c>
      <c r="D262" s="166" t="s">
        <v>832</v>
      </c>
      <c r="E262" s="166" t="s">
        <v>833</v>
      </c>
      <c r="F262" s="167">
        <v>42370</v>
      </c>
      <c r="G262" s="167">
        <v>43830</v>
      </c>
      <c r="H262" s="168">
        <v>-361.68</v>
      </c>
    </row>
    <row r="263" spans="1:8" ht="13.7" customHeight="1" x14ac:dyDescent="0.25">
      <c r="A263" s="166" t="s">
        <v>837</v>
      </c>
      <c r="B263" s="166" t="s">
        <v>838</v>
      </c>
      <c r="C263" s="166" t="s">
        <v>824</v>
      </c>
      <c r="D263" s="166" t="s">
        <v>839</v>
      </c>
      <c r="E263" s="166" t="s">
        <v>840</v>
      </c>
      <c r="F263" s="167">
        <v>43586</v>
      </c>
      <c r="G263" s="167">
        <v>45046</v>
      </c>
      <c r="H263" s="168">
        <v>116099</v>
      </c>
    </row>
    <row r="264" spans="1:8" ht="13.7" customHeight="1" x14ac:dyDescent="0.25">
      <c r="A264" s="166" t="s">
        <v>837</v>
      </c>
      <c r="B264" s="166" t="s">
        <v>838</v>
      </c>
      <c r="C264" s="166" t="s">
        <v>824</v>
      </c>
      <c r="D264" s="166" t="s">
        <v>839</v>
      </c>
      <c r="E264" s="166" t="s">
        <v>840</v>
      </c>
      <c r="F264" s="167">
        <v>43586</v>
      </c>
      <c r="G264" s="167">
        <v>45046</v>
      </c>
      <c r="H264" s="168">
        <v>28567</v>
      </c>
    </row>
    <row r="265" spans="1:8" ht="13.7" customHeight="1" x14ac:dyDescent="0.25">
      <c r="A265" s="166" t="s">
        <v>837</v>
      </c>
      <c r="B265" s="166" t="s">
        <v>838</v>
      </c>
      <c r="C265" s="166" t="s">
        <v>824</v>
      </c>
      <c r="D265" s="166" t="s">
        <v>839</v>
      </c>
      <c r="E265" s="166" t="s">
        <v>840</v>
      </c>
      <c r="F265" s="167">
        <v>43586</v>
      </c>
      <c r="G265" s="167">
        <v>45046</v>
      </c>
      <c r="H265" s="168">
        <v>-2512</v>
      </c>
    </row>
    <row r="266" spans="1:8" ht="13.7" customHeight="1" x14ac:dyDescent="0.25">
      <c r="A266" s="166" t="s">
        <v>837</v>
      </c>
      <c r="B266" s="166" t="s">
        <v>838</v>
      </c>
      <c r="C266" s="166" t="s">
        <v>824</v>
      </c>
      <c r="D266" s="166" t="s">
        <v>839</v>
      </c>
      <c r="E266" s="166" t="s">
        <v>840</v>
      </c>
      <c r="F266" s="167">
        <v>43586</v>
      </c>
      <c r="G266" s="167">
        <v>45046</v>
      </c>
      <c r="H266" s="168">
        <v>14001</v>
      </c>
    </row>
    <row r="267" spans="1:8" ht="13.7" customHeight="1" x14ac:dyDescent="0.25">
      <c r="A267" s="166" t="s">
        <v>837</v>
      </c>
      <c r="B267" s="166" t="s">
        <v>838</v>
      </c>
      <c r="C267" s="166" t="s">
        <v>824</v>
      </c>
      <c r="D267" s="166" t="s">
        <v>839</v>
      </c>
      <c r="E267" s="166" t="s">
        <v>840</v>
      </c>
      <c r="F267" s="167">
        <v>43586</v>
      </c>
      <c r="G267" s="167">
        <v>45046</v>
      </c>
      <c r="H267" s="168">
        <v>38773</v>
      </c>
    </row>
    <row r="268" spans="1:8" ht="13.7" customHeight="1" x14ac:dyDescent="0.25">
      <c r="A268" s="166" t="s">
        <v>841</v>
      </c>
      <c r="B268" s="166" t="s">
        <v>838</v>
      </c>
      <c r="C268" s="166" t="s">
        <v>824</v>
      </c>
      <c r="D268" s="166" t="s">
        <v>842</v>
      </c>
      <c r="E268" s="166" t="s">
        <v>843</v>
      </c>
      <c r="F268" s="167">
        <v>43891</v>
      </c>
      <c r="G268" s="167">
        <v>44561</v>
      </c>
      <c r="H268" s="168">
        <v>15000</v>
      </c>
    </row>
    <row r="269" spans="1:8" ht="13.7" customHeight="1" x14ac:dyDescent="0.25">
      <c r="A269" s="166" t="s">
        <v>844</v>
      </c>
      <c r="B269" s="166" t="s">
        <v>845</v>
      </c>
      <c r="C269" s="166" t="s">
        <v>824</v>
      </c>
      <c r="D269" s="166" t="s">
        <v>846</v>
      </c>
      <c r="E269" s="166" t="s">
        <v>847</v>
      </c>
      <c r="F269" s="167">
        <v>43282</v>
      </c>
      <c r="G269" s="167">
        <v>45169</v>
      </c>
      <c r="H269" s="168">
        <v>97912</v>
      </c>
    </row>
    <row r="270" spans="1:8" ht="13.7" customHeight="1" x14ac:dyDescent="0.25">
      <c r="A270" s="166" t="s">
        <v>844</v>
      </c>
      <c r="B270" s="166" t="s">
        <v>845</v>
      </c>
      <c r="C270" s="166" t="s">
        <v>824</v>
      </c>
      <c r="D270" s="166" t="s">
        <v>846</v>
      </c>
      <c r="E270" s="166" t="s">
        <v>847</v>
      </c>
      <c r="F270" s="167">
        <v>43282</v>
      </c>
      <c r="G270" s="167">
        <v>45169</v>
      </c>
      <c r="H270" s="168">
        <v>30201.599999999999</v>
      </c>
    </row>
    <row r="271" spans="1:8" ht="13.7" customHeight="1" x14ac:dyDescent="0.25">
      <c r="A271" s="166" t="s">
        <v>848</v>
      </c>
      <c r="B271" s="166" t="s">
        <v>845</v>
      </c>
      <c r="C271" s="166" t="s">
        <v>824</v>
      </c>
      <c r="D271" s="166" t="s">
        <v>846</v>
      </c>
      <c r="E271" s="166" t="s">
        <v>847</v>
      </c>
      <c r="F271" s="167">
        <v>43282</v>
      </c>
      <c r="G271" s="167">
        <v>45169</v>
      </c>
      <c r="H271" s="168">
        <v>158400</v>
      </c>
    </row>
    <row r="272" spans="1:8" ht="13.7" customHeight="1" x14ac:dyDescent="0.25">
      <c r="A272" s="166" t="s">
        <v>849</v>
      </c>
      <c r="B272" s="166" t="s">
        <v>845</v>
      </c>
      <c r="C272" s="166" t="s">
        <v>824</v>
      </c>
      <c r="D272" s="166" t="s">
        <v>850</v>
      </c>
      <c r="E272" s="166" t="s">
        <v>847</v>
      </c>
      <c r="F272" s="167">
        <v>43600</v>
      </c>
      <c r="G272" s="167">
        <v>45426</v>
      </c>
      <c r="H272" s="168">
        <v>8976</v>
      </c>
    </row>
    <row r="273" spans="1:8" ht="13.7" customHeight="1" x14ac:dyDescent="0.25">
      <c r="A273" s="166" t="s">
        <v>849</v>
      </c>
      <c r="B273" s="166" t="s">
        <v>845</v>
      </c>
      <c r="C273" s="166" t="s">
        <v>824</v>
      </c>
      <c r="D273" s="166" t="s">
        <v>850</v>
      </c>
      <c r="E273" s="166" t="s">
        <v>847</v>
      </c>
      <c r="F273" s="167">
        <v>43600</v>
      </c>
      <c r="G273" s="167">
        <v>45426</v>
      </c>
      <c r="H273" s="168">
        <v>46024</v>
      </c>
    </row>
    <row r="274" spans="1:8" ht="13.7" customHeight="1" x14ac:dyDescent="0.25">
      <c r="A274" s="166" t="s">
        <v>851</v>
      </c>
      <c r="B274" s="166" t="s">
        <v>852</v>
      </c>
      <c r="C274" s="166" t="s">
        <v>824</v>
      </c>
      <c r="D274" s="166" t="s">
        <v>853</v>
      </c>
      <c r="E274" s="166" t="s">
        <v>854</v>
      </c>
      <c r="F274" s="167">
        <v>43678</v>
      </c>
      <c r="G274" s="167">
        <v>44408</v>
      </c>
      <c r="H274" s="168">
        <v>780573</v>
      </c>
    </row>
    <row r="275" spans="1:8" ht="13.7" customHeight="1" x14ac:dyDescent="0.25">
      <c r="A275" s="166" t="s">
        <v>855</v>
      </c>
      <c r="B275" s="166" t="s">
        <v>852</v>
      </c>
      <c r="C275" s="166" t="s">
        <v>824</v>
      </c>
      <c r="D275" s="166" t="s">
        <v>856</v>
      </c>
      <c r="E275" s="166" t="s">
        <v>486</v>
      </c>
      <c r="F275" s="167">
        <v>43344</v>
      </c>
      <c r="G275" s="167">
        <v>44439</v>
      </c>
      <c r="H275" s="168">
        <v>46000</v>
      </c>
    </row>
    <row r="276" spans="1:8" ht="13.7" customHeight="1" x14ac:dyDescent="0.25">
      <c r="A276" s="166" t="s">
        <v>857</v>
      </c>
      <c r="B276" s="166" t="s">
        <v>858</v>
      </c>
      <c r="C276" s="166" t="s">
        <v>824</v>
      </c>
      <c r="D276" s="166" t="s">
        <v>859</v>
      </c>
      <c r="E276" s="166" t="s">
        <v>0</v>
      </c>
      <c r="F276" s="167">
        <v>43952</v>
      </c>
      <c r="G276" s="167">
        <v>44439</v>
      </c>
      <c r="H276" s="168">
        <v>1545</v>
      </c>
    </row>
    <row r="277" spans="1:8" ht="13.7" customHeight="1" x14ac:dyDescent="0.25">
      <c r="A277" s="166" t="s">
        <v>857</v>
      </c>
      <c r="B277" s="166" t="s">
        <v>858</v>
      </c>
      <c r="C277" s="166" t="s">
        <v>824</v>
      </c>
      <c r="D277" s="166" t="s">
        <v>859</v>
      </c>
      <c r="E277" s="166" t="s">
        <v>0</v>
      </c>
      <c r="F277" s="167">
        <v>43952</v>
      </c>
      <c r="G277" s="167">
        <v>44439</v>
      </c>
      <c r="H277" s="168">
        <v>3420</v>
      </c>
    </row>
    <row r="278" spans="1:8" ht="13.7" customHeight="1" x14ac:dyDescent="0.25">
      <c r="A278" s="166" t="s">
        <v>860</v>
      </c>
      <c r="B278" s="166" t="s">
        <v>861</v>
      </c>
      <c r="C278" s="166" t="s">
        <v>824</v>
      </c>
      <c r="D278" s="166" t="s">
        <v>862</v>
      </c>
      <c r="E278" s="166" t="s">
        <v>486</v>
      </c>
      <c r="F278" s="167">
        <v>43252</v>
      </c>
      <c r="G278" s="167">
        <v>43982</v>
      </c>
      <c r="H278" s="168">
        <v>46000</v>
      </c>
    </row>
    <row r="279" spans="1:8" ht="13.7" customHeight="1" x14ac:dyDescent="0.25">
      <c r="A279" s="166" t="s">
        <v>863</v>
      </c>
      <c r="B279" s="166" t="s">
        <v>864</v>
      </c>
      <c r="C279" s="166" t="s">
        <v>824</v>
      </c>
      <c r="D279" s="166" t="s">
        <v>865</v>
      </c>
      <c r="E279" s="166" t="s">
        <v>502</v>
      </c>
      <c r="F279" s="167">
        <v>42252</v>
      </c>
      <c r="G279" s="167">
        <v>44104</v>
      </c>
      <c r="H279" s="168">
        <v>55018</v>
      </c>
    </row>
    <row r="280" spans="1:8" ht="13.7" customHeight="1" x14ac:dyDescent="0.25">
      <c r="A280" s="166" t="s">
        <v>863</v>
      </c>
      <c r="B280" s="166" t="s">
        <v>864</v>
      </c>
      <c r="C280" s="166" t="s">
        <v>824</v>
      </c>
      <c r="D280" s="166" t="s">
        <v>865</v>
      </c>
      <c r="E280" s="166" t="s">
        <v>502</v>
      </c>
      <c r="F280" s="167">
        <v>42252</v>
      </c>
      <c r="G280" s="167">
        <v>44104</v>
      </c>
      <c r="H280" s="168">
        <v>314387</v>
      </c>
    </row>
    <row r="281" spans="1:8" ht="13.7" customHeight="1" x14ac:dyDescent="0.25">
      <c r="A281" s="166" t="s">
        <v>866</v>
      </c>
      <c r="B281" s="166" t="s">
        <v>867</v>
      </c>
      <c r="C281" s="166" t="s">
        <v>824</v>
      </c>
      <c r="D281" s="166" t="s">
        <v>868</v>
      </c>
      <c r="E281" s="166" t="s">
        <v>648</v>
      </c>
      <c r="F281" s="167">
        <v>42244</v>
      </c>
      <c r="G281" s="167">
        <v>44397</v>
      </c>
      <c r="H281" s="168">
        <v>92131</v>
      </c>
    </row>
    <row r="282" spans="1:8" ht="13.7" customHeight="1" x14ac:dyDescent="0.25">
      <c r="A282" s="166" t="s">
        <v>866</v>
      </c>
      <c r="B282" s="166" t="s">
        <v>867</v>
      </c>
      <c r="C282" s="166" t="s">
        <v>824</v>
      </c>
      <c r="D282" s="166" t="s">
        <v>868</v>
      </c>
      <c r="E282" s="166" t="s">
        <v>648</v>
      </c>
      <c r="F282" s="167">
        <v>42244</v>
      </c>
      <c r="G282" s="167">
        <v>44397</v>
      </c>
      <c r="H282" s="168">
        <v>650</v>
      </c>
    </row>
    <row r="283" spans="1:8" ht="13.7" customHeight="1" x14ac:dyDescent="0.25">
      <c r="A283" s="166" t="s">
        <v>869</v>
      </c>
      <c r="B283" s="166" t="s">
        <v>867</v>
      </c>
      <c r="C283" s="166" t="s">
        <v>824</v>
      </c>
      <c r="D283" s="166" t="s">
        <v>868</v>
      </c>
      <c r="E283" s="166" t="s">
        <v>648</v>
      </c>
      <c r="F283" s="167">
        <v>42244</v>
      </c>
      <c r="G283" s="167">
        <v>44032</v>
      </c>
      <c r="H283" s="168">
        <v>36563</v>
      </c>
    </row>
    <row r="284" spans="1:8" ht="13.7" customHeight="1" x14ac:dyDescent="0.25">
      <c r="A284" s="166" t="s">
        <v>869</v>
      </c>
      <c r="B284" s="166" t="s">
        <v>867</v>
      </c>
      <c r="C284" s="166" t="s">
        <v>824</v>
      </c>
      <c r="D284" s="166" t="s">
        <v>868</v>
      </c>
      <c r="E284" s="166" t="s">
        <v>648</v>
      </c>
      <c r="F284" s="167">
        <v>42244</v>
      </c>
      <c r="G284" s="167">
        <v>44032</v>
      </c>
      <c r="H284" s="168">
        <v>17068</v>
      </c>
    </row>
    <row r="285" spans="1:8" ht="13.7" customHeight="1" x14ac:dyDescent="0.25">
      <c r="A285" s="166" t="s">
        <v>869</v>
      </c>
      <c r="B285" s="166" t="s">
        <v>867</v>
      </c>
      <c r="C285" s="166" t="s">
        <v>824</v>
      </c>
      <c r="D285" s="166" t="s">
        <v>868</v>
      </c>
      <c r="E285" s="166" t="s">
        <v>648</v>
      </c>
      <c r="F285" s="167">
        <v>42244</v>
      </c>
      <c r="G285" s="167">
        <v>44032</v>
      </c>
      <c r="H285" s="168">
        <v>21448</v>
      </c>
    </row>
    <row r="286" spans="1:8" ht="13.7" customHeight="1" x14ac:dyDescent="0.25">
      <c r="A286" s="166" t="s">
        <v>870</v>
      </c>
      <c r="B286" s="166" t="s">
        <v>867</v>
      </c>
      <c r="C286" s="166" t="s">
        <v>824</v>
      </c>
      <c r="D286" s="166" t="s">
        <v>868</v>
      </c>
      <c r="E286" s="166" t="s">
        <v>648</v>
      </c>
      <c r="F286" s="167">
        <v>42244</v>
      </c>
      <c r="G286" s="167">
        <v>44014</v>
      </c>
      <c r="H286" s="168">
        <v>-26853</v>
      </c>
    </row>
    <row r="287" spans="1:8" ht="13.7" customHeight="1" x14ac:dyDescent="0.25">
      <c r="A287" s="166" t="s">
        <v>870</v>
      </c>
      <c r="B287" s="166" t="s">
        <v>867</v>
      </c>
      <c r="C287" s="166" t="s">
        <v>824</v>
      </c>
      <c r="D287" s="166" t="s">
        <v>868</v>
      </c>
      <c r="E287" s="166" t="s">
        <v>648</v>
      </c>
      <c r="F287" s="167">
        <v>42244</v>
      </c>
      <c r="G287" s="167">
        <v>44014</v>
      </c>
      <c r="H287" s="168">
        <v>-7951</v>
      </c>
    </row>
    <row r="288" spans="1:8" ht="13.7" customHeight="1" x14ac:dyDescent="0.25">
      <c r="A288" s="166" t="s">
        <v>871</v>
      </c>
      <c r="B288" s="166" t="s">
        <v>867</v>
      </c>
      <c r="C288" s="166" t="s">
        <v>824</v>
      </c>
      <c r="D288" s="166" t="s">
        <v>868</v>
      </c>
      <c r="E288" s="166" t="s">
        <v>648</v>
      </c>
      <c r="F288" s="167">
        <v>42244</v>
      </c>
      <c r="G288" s="167">
        <v>44032</v>
      </c>
      <c r="H288" s="168">
        <v>-3212</v>
      </c>
    </row>
    <row r="289" spans="1:8" ht="13.7" customHeight="1" x14ac:dyDescent="0.25">
      <c r="A289" s="166" t="s">
        <v>871</v>
      </c>
      <c r="B289" s="166" t="s">
        <v>867</v>
      </c>
      <c r="C289" s="166" t="s">
        <v>824</v>
      </c>
      <c r="D289" s="166" t="s">
        <v>868</v>
      </c>
      <c r="E289" s="166" t="s">
        <v>648</v>
      </c>
      <c r="F289" s="167">
        <v>42244</v>
      </c>
      <c r="G289" s="167">
        <v>44032</v>
      </c>
      <c r="H289" s="168">
        <v>-500</v>
      </c>
    </row>
    <row r="290" spans="1:8" ht="13.7" customHeight="1" x14ac:dyDescent="0.25">
      <c r="A290" s="166" t="s">
        <v>872</v>
      </c>
      <c r="B290" s="166" t="s">
        <v>867</v>
      </c>
      <c r="C290" s="166" t="s">
        <v>824</v>
      </c>
      <c r="D290" s="166" t="s">
        <v>868</v>
      </c>
      <c r="E290" s="166" t="s">
        <v>648</v>
      </c>
      <c r="F290" s="167">
        <v>42244</v>
      </c>
      <c r="G290" s="167">
        <v>44032</v>
      </c>
      <c r="H290" s="168">
        <v>12300</v>
      </c>
    </row>
    <row r="291" spans="1:8" ht="13.7" customHeight="1" x14ac:dyDescent="0.25">
      <c r="A291" s="166" t="s">
        <v>873</v>
      </c>
      <c r="B291" s="166" t="s">
        <v>874</v>
      </c>
      <c r="C291" s="166" t="s">
        <v>824</v>
      </c>
      <c r="D291" s="166" t="s">
        <v>875</v>
      </c>
      <c r="E291" s="166" t="s">
        <v>876</v>
      </c>
      <c r="F291" s="167">
        <v>43822</v>
      </c>
      <c r="G291" s="167">
        <v>44135</v>
      </c>
      <c r="H291" s="168">
        <v>6600</v>
      </c>
    </row>
    <row r="292" spans="1:8" ht="13.7" customHeight="1" x14ac:dyDescent="0.25">
      <c r="A292" s="166" t="s">
        <v>877</v>
      </c>
      <c r="B292" s="166" t="s">
        <v>874</v>
      </c>
      <c r="C292" s="166" t="s">
        <v>824</v>
      </c>
      <c r="D292" s="166" t="s">
        <v>878</v>
      </c>
      <c r="E292" s="166" t="s">
        <v>879</v>
      </c>
      <c r="F292" s="167">
        <v>43009</v>
      </c>
      <c r="G292" s="167">
        <v>43373</v>
      </c>
      <c r="H292" s="168">
        <v>-255719.42</v>
      </c>
    </row>
    <row r="293" spans="1:8" ht="13.7" customHeight="1" x14ac:dyDescent="0.25">
      <c r="A293" s="166" t="s">
        <v>880</v>
      </c>
      <c r="B293" s="166" t="s">
        <v>874</v>
      </c>
      <c r="C293" s="166" t="s">
        <v>824</v>
      </c>
      <c r="D293" s="166" t="s">
        <v>878</v>
      </c>
      <c r="E293" s="166" t="s">
        <v>879</v>
      </c>
      <c r="F293" s="167">
        <v>43009</v>
      </c>
      <c r="G293" s="167">
        <v>43373</v>
      </c>
      <c r="H293" s="168">
        <v>-26.96</v>
      </c>
    </row>
    <row r="294" spans="1:8" ht="13.7" customHeight="1" x14ac:dyDescent="0.25">
      <c r="A294" s="166" t="s">
        <v>881</v>
      </c>
      <c r="B294" s="166" t="s">
        <v>874</v>
      </c>
      <c r="C294" s="166" t="s">
        <v>824</v>
      </c>
      <c r="D294" s="166" t="s">
        <v>882</v>
      </c>
      <c r="E294" s="166" t="s">
        <v>879</v>
      </c>
      <c r="F294" s="167">
        <v>43374</v>
      </c>
      <c r="G294" s="167">
        <v>43738</v>
      </c>
      <c r="H294" s="168">
        <v>255746.38</v>
      </c>
    </row>
    <row r="295" spans="1:8" ht="13.7" customHeight="1" x14ac:dyDescent="0.25">
      <c r="A295" s="166" t="s">
        <v>881</v>
      </c>
      <c r="B295" s="166" t="s">
        <v>874</v>
      </c>
      <c r="C295" s="166" t="s">
        <v>824</v>
      </c>
      <c r="D295" s="166" t="s">
        <v>882</v>
      </c>
      <c r="E295" s="166" t="s">
        <v>879</v>
      </c>
      <c r="F295" s="167">
        <v>43374</v>
      </c>
      <c r="G295" s="167">
        <v>43738</v>
      </c>
      <c r="H295" s="168">
        <v>-437945.58</v>
      </c>
    </row>
    <row r="296" spans="1:8" ht="13.7" customHeight="1" x14ac:dyDescent="0.25">
      <c r="A296" s="166" t="s">
        <v>881</v>
      </c>
      <c r="B296" s="166" t="s">
        <v>874</v>
      </c>
      <c r="C296" s="166" t="s">
        <v>824</v>
      </c>
      <c r="D296" s="166" t="s">
        <v>882</v>
      </c>
      <c r="E296" s="166" t="s">
        <v>879</v>
      </c>
      <c r="F296" s="167">
        <v>43374</v>
      </c>
      <c r="G296" s="167">
        <v>43738</v>
      </c>
      <c r="H296" s="168">
        <v>-242</v>
      </c>
    </row>
    <row r="297" spans="1:8" ht="13.7" customHeight="1" x14ac:dyDescent="0.25">
      <c r="A297" s="166" t="s">
        <v>881</v>
      </c>
      <c r="B297" s="166" t="s">
        <v>874</v>
      </c>
      <c r="C297" s="166" t="s">
        <v>824</v>
      </c>
      <c r="D297" s="166" t="s">
        <v>882</v>
      </c>
      <c r="E297" s="166" t="s">
        <v>879</v>
      </c>
      <c r="F297" s="167">
        <v>43374</v>
      </c>
      <c r="G297" s="167">
        <v>43738</v>
      </c>
      <c r="H297" s="168">
        <v>698704</v>
      </c>
    </row>
    <row r="298" spans="1:8" ht="13.7" customHeight="1" x14ac:dyDescent="0.25">
      <c r="A298" s="166" t="s">
        <v>883</v>
      </c>
      <c r="B298" s="166" t="s">
        <v>884</v>
      </c>
      <c r="C298" s="166" t="s">
        <v>824</v>
      </c>
      <c r="D298" s="166" t="s">
        <v>885</v>
      </c>
      <c r="E298" s="166" t="s">
        <v>548</v>
      </c>
      <c r="F298" s="167">
        <v>43461</v>
      </c>
      <c r="G298" s="167">
        <v>44556</v>
      </c>
      <c r="H298" s="168">
        <v>283374</v>
      </c>
    </row>
    <row r="299" spans="1:8" ht="13.7" customHeight="1" x14ac:dyDescent="0.25">
      <c r="A299" s="166" t="s">
        <v>883</v>
      </c>
      <c r="B299" s="166" t="s">
        <v>884</v>
      </c>
      <c r="C299" s="166" t="s">
        <v>824</v>
      </c>
      <c r="D299" s="166" t="s">
        <v>885</v>
      </c>
      <c r="E299" s="166" t="s">
        <v>548</v>
      </c>
      <c r="F299" s="167">
        <v>43461</v>
      </c>
      <c r="G299" s="167">
        <v>44556</v>
      </c>
      <c r="H299" s="168">
        <v>11942</v>
      </c>
    </row>
    <row r="300" spans="1:8" ht="13.7" customHeight="1" x14ac:dyDescent="0.25">
      <c r="A300" s="166" t="s">
        <v>883</v>
      </c>
      <c r="B300" s="166" t="s">
        <v>884</v>
      </c>
      <c r="C300" s="166" t="s">
        <v>824</v>
      </c>
      <c r="D300" s="166" t="s">
        <v>885</v>
      </c>
      <c r="E300" s="166" t="s">
        <v>548</v>
      </c>
      <c r="F300" s="167">
        <v>43461</v>
      </c>
      <c r="G300" s="167">
        <v>44556</v>
      </c>
      <c r="H300" s="168">
        <v>0</v>
      </c>
    </row>
    <row r="301" spans="1:8" ht="13.7" customHeight="1" x14ac:dyDescent="0.25">
      <c r="A301" s="166" t="s">
        <v>886</v>
      </c>
      <c r="B301" s="166" t="s">
        <v>884</v>
      </c>
      <c r="C301" s="166" t="s">
        <v>824</v>
      </c>
      <c r="D301" s="166" t="s">
        <v>887</v>
      </c>
      <c r="E301" s="166" t="s">
        <v>544</v>
      </c>
      <c r="F301" s="167">
        <v>43846</v>
      </c>
      <c r="G301" s="167">
        <v>44227</v>
      </c>
      <c r="H301" s="168">
        <v>3110</v>
      </c>
    </row>
    <row r="302" spans="1:8" ht="13.7" customHeight="1" x14ac:dyDescent="0.25">
      <c r="A302" s="166" t="s">
        <v>886</v>
      </c>
      <c r="B302" s="166" t="s">
        <v>884</v>
      </c>
      <c r="C302" s="166" t="s">
        <v>824</v>
      </c>
      <c r="D302" s="166" t="s">
        <v>887</v>
      </c>
      <c r="E302" s="166" t="s">
        <v>544</v>
      </c>
      <c r="F302" s="167">
        <v>43846</v>
      </c>
      <c r="G302" s="167">
        <v>44227</v>
      </c>
      <c r="H302" s="168">
        <v>6912</v>
      </c>
    </row>
    <row r="303" spans="1:8" ht="13.7" customHeight="1" x14ac:dyDescent="0.25">
      <c r="A303" s="166" t="s">
        <v>886</v>
      </c>
      <c r="B303" s="166" t="s">
        <v>884</v>
      </c>
      <c r="C303" s="166" t="s">
        <v>824</v>
      </c>
      <c r="D303" s="166" t="s">
        <v>887</v>
      </c>
      <c r="E303" s="166" t="s">
        <v>544</v>
      </c>
      <c r="F303" s="167">
        <v>43846</v>
      </c>
      <c r="G303" s="167">
        <v>44227</v>
      </c>
      <c r="H303" s="168">
        <v>7770</v>
      </c>
    </row>
    <row r="304" spans="1:8" ht="13.7" customHeight="1" x14ac:dyDescent="0.25">
      <c r="A304" s="166" t="s">
        <v>886</v>
      </c>
      <c r="B304" s="166" t="s">
        <v>884</v>
      </c>
      <c r="C304" s="166" t="s">
        <v>824</v>
      </c>
      <c r="D304" s="166" t="s">
        <v>887</v>
      </c>
      <c r="E304" s="166" t="s">
        <v>544</v>
      </c>
      <c r="F304" s="167">
        <v>43846</v>
      </c>
      <c r="G304" s="167">
        <v>44227</v>
      </c>
      <c r="H304" s="168">
        <v>2498</v>
      </c>
    </row>
    <row r="305" spans="1:8" ht="13.7" customHeight="1" x14ac:dyDescent="0.25">
      <c r="A305" s="166" t="s">
        <v>888</v>
      </c>
      <c r="B305" s="166" t="s">
        <v>884</v>
      </c>
      <c r="C305" s="166" t="s">
        <v>824</v>
      </c>
      <c r="D305" s="166" t="s">
        <v>889</v>
      </c>
      <c r="E305" s="166" t="s">
        <v>497</v>
      </c>
      <c r="F305" s="167">
        <v>42172</v>
      </c>
      <c r="G305" s="167">
        <v>43998</v>
      </c>
      <c r="H305" s="168">
        <v>3294</v>
      </c>
    </row>
    <row r="306" spans="1:8" ht="13.7" customHeight="1" x14ac:dyDescent="0.25">
      <c r="A306" s="166" t="s">
        <v>888</v>
      </c>
      <c r="B306" s="166" t="s">
        <v>884</v>
      </c>
      <c r="C306" s="166" t="s">
        <v>824</v>
      </c>
      <c r="D306" s="166" t="s">
        <v>889</v>
      </c>
      <c r="E306" s="166" t="s">
        <v>497</v>
      </c>
      <c r="F306" s="167">
        <v>42172</v>
      </c>
      <c r="G306" s="167">
        <v>43998</v>
      </c>
      <c r="H306" s="168">
        <v>-3294</v>
      </c>
    </row>
    <row r="307" spans="1:8" ht="13.7" customHeight="1" x14ac:dyDescent="0.25">
      <c r="A307" s="166" t="s">
        <v>890</v>
      </c>
      <c r="B307" s="166" t="s">
        <v>891</v>
      </c>
      <c r="C307" s="166" t="s">
        <v>824</v>
      </c>
      <c r="D307" s="166" t="s">
        <v>892</v>
      </c>
      <c r="E307" s="166" t="s">
        <v>570</v>
      </c>
      <c r="F307" s="167">
        <v>43723</v>
      </c>
      <c r="G307" s="167">
        <v>45549</v>
      </c>
      <c r="H307" s="168">
        <v>55704</v>
      </c>
    </row>
    <row r="308" spans="1:8" ht="13.7" customHeight="1" x14ac:dyDescent="0.25">
      <c r="A308" s="166" t="s">
        <v>893</v>
      </c>
      <c r="B308" s="166" t="s">
        <v>891</v>
      </c>
      <c r="C308" s="166" t="s">
        <v>824</v>
      </c>
      <c r="D308" s="166" t="s">
        <v>894</v>
      </c>
      <c r="E308" s="166" t="s">
        <v>895</v>
      </c>
      <c r="F308" s="167">
        <v>42614</v>
      </c>
      <c r="G308" s="167">
        <v>43708</v>
      </c>
      <c r="H308" s="168">
        <v>0</v>
      </c>
    </row>
    <row r="309" spans="1:8" ht="13.7" customHeight="1" x14ac:dyDescent="0.25">
      <c r="A309" s="166" t="s">
        <v>896</v>
      </c>
      <c r="B309" s="166" t="s">
        <v>891</v>
      </c>
      <c r="C309" s="166" t="s">
        <v>824</v>
      </c>
      <c r="D309" s="166" t="s">
        <v>897</v>
      </c>
      <c r="E309" s="166" t="s">
        <v>898</v>
      </c>
      <c r="F309" s="167">
        <v>43634</v>
      </c>
      <c r="G309" s="167">
        <v>44196</v>
      </c>
      <c r="H309" s="168">
        <v>15000</v>
      </c>
    </row>
    <row r="310" spans="1:8" ht="13.7" customHeight="1" x14ac:dyDescent="0.25">
      <c r="A310" s="166" t="s">
        <v>899</v>
      </c>
      <c r="B310" s="166" t="s">
        <v>891</v>
      </c>
      <c r="C310" s="166" t="s">
        <v>824</v>
      </c>
      <c r="D310" s="166" t="s">
        <v>900</v>
      </c>
      <c r="E310" s="166" t="s">
        <v>901</v>
      </c>
      <c r="F310" s="167">
        <v>43251</v>
      </c>
      <c r="G310" s="167">
        <v>44104</v>
      </c>
      <c r="H310" s="168">
        <v>14281</v>
      </c>
    </row>
    <row r="311" spans="1:8" ht="13.7" customHeight="1" x14ac:dyDescent="0.25">
      <c r="A311" s="166" t="s">
        <v>899</v>
      </c>
      <c r="B311" s="166" t="s">
        <v>891</v>
      </c>
      <c r="C311" s="166" t="s">
        <v>824</v>
      </c>
      <c r="D311" s="166" t="s">
        <v>900</v>
      </c>
      <c r="E311" s="166" t="s">
        <v>901</v>
      </c>
      <c r="F311" s="167">
        <v>43251</v>
      </c>
      <c r="G311" s="167">
        <v>44104</v>
      </c>
      <c r="H311" s="168">
        <v>5719</v>
      </c>
    </row>
    <row r="312" spans="1:8" ht="13.7" customHeight="1" x14ac:dyDescent="0.25">
      <c r="A312" s="166" t="s">
        <v>899</v>
      </c>
      <c r="B312" s="166" t="s">
        <v>891</v>
      </c>
      <c r="C312" s="166" t="s">
        <v>824</v>
      </c>
      <c r="D312" s="166" t="s">
        <v>900</v>
      </c>
      <c r="E312" s="166" t="s">
        <v>901</v>
      </c>
      <c r="F312" s="167">
        <v>43251</v>
      </c>
      <c r="G312" s="167">
        <v>44104</v>
      </c>
      <c r="H312" s="168">
        <v>-15</v>
      </c>
    </row>
    <row r="313" spans="1:8" ht="13.7" customHeight="1" x14ac:dyDescent="0.25">
      <c r="A313" s="166" t="s">
        <v>902</v>
      </c>
      <c r="B313" s="166" t="s">
        <v>891</v>
      </c>
      <c r="C313" s="166" t="s">
        <v>824</v>
      </c>
      <c r="D313" s="166" t="s">
        <v>903</v>
      </c>
      <c r="E313" s="166" t="s">
        <v>904</v>
      </c>
      <c r="F313" s="167">
        <v>43544</v>
      </c>
      <c r="G313" s="167">
        <v>43830</v>
      </c>
      <c r="H313" s="168">
        <v>2000</v>
      </c>
    </row>
    <row r="314" spans="1:8" ht="13.7" customHeight="1" x14ac:dyDescent="0.25">
      <c r="A314" s="166" t="s">
        <v>905</v>
      </c>
      <c r="B314" s="166" t="s">
        <v>891</v>
      </c>
      <c r="C314" s="166" t="s">
        <v>824</v>
      </c>
      <c r="D314" s="166" t="s">
        <v>906</v>
      </c>
      <c r="E314" s="166" t="s">
        <v>497</v>
      </c>
      <c r="F314" s="167">
        <v>41850</v>
      </c>
      <c r="G314" s="167">
        <v>43675</v>
      </c>
      <c r="H314" s="168">
        <v>5461.56</v>
      </c>
    </row>
    <row r="315" spans="1:8" ht="13.7" customHeight="1" x14ac:dyDescent="0.25">
      <c r="A315" s="166" t="s">
        <v>905</v>
      </c>
      <c r="B315" s="166" t="s">
        <v>891</v>
      </c>
      <c r="C315" s="166" t="s">
        <v>824</v>
      </c>
      <c r="D315" s="166" t="s">
        <v>906</v>
      </c>
      <c r="E315" s="166" t="s">
        <v>497</v>
      </c>
      <c r="F315" s="167">
        <v>41850</v>
      </c>
      <c r="G315" s="167">
        <v>43675</v>
      </c>
      <c r="H315" s="168">
        <v>-5461.56</v>
      </c>
    </row>
    <row r="316" spans="1:8" ht="13.7" customHeight="1" x14ac:dyDescent="0.25">
      <c r="A316" s="166" t="s">
        <v>907</v>
      </c>
      <c r="B316" s="166" t="s">
        <v>891</v>
      </c>
      <c r="C316" s="166" t="s">
        <v>824</v>
      </c>
      <c r="D316" s="166" t="s">
        <v>908</v>
      </c>
      <c r="E316" s="166" t="s">
        <v>497</v>
      </c>
      <c r="F316" s="167">
        <v>42608</v>
      </c>
      <c r="G316" s="167">
        <v>44433</v>
      </c>
      <c r="H316" s="168">
        <v>0</v>
      </c>
    </row>
    <row r="317" spans="1:8" ht="13.7" customHeight="1" x14ac:dyDescent="0.25">
      <c r="A317" s="166" t="s">
        <v>909</v>
      </c>
      <c r="B317" s="166" t="s">
        <v>891</v>
      </c>
      <c r="C317" s="166" t="s">
        <v>824</v>
      </c>
      <c r="D317" s="166" t="s">
        <v>908</v>
      </c>
      <c r="E317" s="166" t="s">
        <v>497</v>
      </c>
      <c r="F317" s="167">
        <v>43606</v>
      </c>
      <c r="G317" s="167">
        <v>45352</v>
      </c>
      <c r="H317" s="168">
        <v>11964</v>
      </c>
    </row>
    <row r="318" spans="1:8" ht="13.7" customHeight="1" x14ac:dyDescent="0.25">
      <c r="A318" s="166" t="s">
        <v>910</v>
      </c>
      <c r="B318" s="166" t="s">
        <v>891</v>
      </c>
      <c r="C318" s="166" t="s">
        <v>824</v>
      </c>
      <c r="D318" s="166" t="s">
        <v>911</v>
      </c>
      <c r="E318" s="166" t="s">
        <v>497</v>
      </c>
      <c r="F318" s="167">
        <v>43720</v>
      </c>
      <c r="G318" s="167">
        <v>45505</v>
      </c>
      <c r="H318" s="168">
        <v>215738.27</v>
      </c>
    </row>
    <row r="319" spans="1:8" ht="13.7" customHeight="1" x14ac:dyDescent="0.25">
      <c r="A319" s="166" t="s">
        <v>912</v>
      </c>
      <c r="B319" s="166" t="s">
        <v>891</v>
      </c>
      <c r="C319" s="166" t="s">
        <v>824</v>
      </c>
      <c r="D319" s="166" t="s">
        <v>913</v>
      </c>
      <c r="E319" s="166" t="s">
        <v>914</v>
      </c>
      <c r="F319" s="167">
        <v>42522</v>
      </c>
      <c r="G319" s="167">
        <v>45838</v>
      </c>
      <c r="H319" s="168">
        <v>907</v>
      </c>
    </row>
    <row r="320" spans="1:8" ht="13.7" customHeight="1" x14ac:dyDescent="0.25">
      <c r="A320" s="166" t="s">
        <v>912</v>
      </c>
      <c r="B320" s="166" t="s">
        <v>891</v>
      </c>
      <c r="C320" s="166" t="s">
        <v>824</v>
      </c>
      <c r="D320" s="166" t="s">
        <v>913</v>
      </c>
      <c r="E320" s="166" t="s">
        <v>914</v>
      </c>
      <c r="F320" s="167">
        <v>42522</v>
      </c>
      <c r="G320" s="167">
        <v>45838</v>
      </c>
      <c r="H320" s="168">
        <v>45321</v>
      </c>
    </row>
    <row r="321" spans="1:8" ht="13.7" customHeight="1" x14ac:dyDescent="0.25">
      <c r="A321" s="166" t="s">
        <v>912</v>
      </c>
      <c r="B321" s="166" t="s">
        <v>891</v>
      </c>
      <c r="C321" s="166" t="s">
        <v>824</v>
      </c>
      <c r="D321" s="166" t="s">
        <v>913</v>
      </c>
      <c r="E321" s="166" t="s">
        <v>914</v>
      </c>
      <c r="F321" s="167">
        <v>42522</v>
      </c>
      <c r="G321" s="167">
        <v>45838</v>
      </c>
      <c r="H321" s="168">
        <v>-239141</v>
      </c>
    </row>
    <row r="322" spans="1:8" ht="13.7" customHeight="1" x14ac:dyDescent="0.25">
      <c r="A322" s="166" t="s">
        <v>912</v>
      </c>
      <c r="B322" s="166" t="s">
        <v>891</v>
      </c>
      <c r="C322" s="166" t="s">
        <v>824</v>
      </c>
      <c r="D322" s="166" t="s">
        <v>913</v>
      </c>
      <c r="E322" s="166" t="s">
        <v>914</v>
      </c>
      <c r="F322" s="167">
        <v>42522</v>
      </c>
      <c r="G322" s="167">
        <v>45838</v>
      </c>
      <c r="H322" s="168">
        <v>239141</v>
      </c>
    </row>
    <row r="323" spans="1:8" ht="13.7" customHeight="1" x14ac:dyDescent="0.25">
      <c r="A323" s="166" t="s">
        <v>915</v>
      </c>
      <c r="B323" s="166" t="s">
        <v>916</v>
      </c>
      <c r="C323" s="166" t="s">
        <v>824</v>
      </c>
      <c r="D323" s="166" t="s">
        <v>917</v>
      </c>
      <c r="E323" s="166" t="s">
        <v>468</v>
      </c>
      <c r="F323" s="167">
        <v>43723</v>
      </c>
      <c r="G323" s="167">
        <v>45536</v>
      </c>
      <c r="H323" s="168">
        <v>15134</v>
      </c>
    </row>
    <row r="324" spans="1:8" ht="13.7" customHeight="1" x14ac:dyDescent="0.25">
      <c r="A324" s="166" t="s">
        <v>918</v>
      </c>
      <c r="B324" s="166" t="s">
        <v>916</v>
      </c>
      <c r="C324" s="166" t="s">
        <v>824</v>
      </c>
      <c r="D324" s="166" t="s">
        <v>919</v>
      </c>
      <c r="E324" s="166" t="s">
        <v>920</v>
      </c>
      <c r="F324" s="167">
        <v>43730</v>
      </c>
      <c r="G324" s="167">
        <v>44825</v>
      </c>
      <c r="H324" s="168">
        <v>28373</v>
      </c>
    </row>
    <row r="325" spans="1:8" ht="13.7" customHeight="1" x14ac:dyDescent="0.25">
      <c r="A325" s="166" t="s">
        <v>921</v>
      </c>
      <c r="B325" s="166" t="s">
        <v>916</v>
      </c>
      <c r="C325" s="166" t="s">
        <v>824</v>
      </c>
      <c r="D325" s="166" t="s">
        <v>922</v>
      </c>
      <c r="E325" s="166" t="s">
        <v>920</v>
      </c>
      <c r="F325" s="167">
        <v>43730</v>
      </c>
      <c r="G325" s="167">
        <v>44825</v>
      </c>
      <c r="H325" s="168">
        <v>27544</v>
      </c>
    </row>
    <row r="326" spans="1:8" ht="13.7" customHeight="1" x14ac:dyDescent="0.25">
      <c r="A326" s="166" t="s">
        <v>921</v>
      </c>
      <c r="B326" s="166" t="s">
        <v>916</v>
      </c>
      <c r="C326" s="166" t="s">
        <v>824</v>
      </c>
      <c r="D326" s="166" t="s">
        <v>922</v>
      </c>
      <c r="E326" s="166" t="s">
        <v>920</v>
      </c>
      <c r="F326" s="167">
        <v>43730</v>
      </c>
      <c r="G326" s="167">
        <v>44825</v>
      </c>
      <c r="H326" s="168">
        <v>4456</v>
      </c>
    </row>
    <row r="327" spans="1:8" ht="13.7" customHeight="1" x14ac:dyDescent="0.25">
      <c r="A327" s="166" t="s">
        <v>923</v>
      </c>
      <c r="B327" s="166" t="s">
        <v>916</v>
      </c>
      <c r="C327" s="166" t="s">
        <v>824</v>
      </c>
      <c r="D327" s="166" t="s">
        <v>924</v>
      </c>
      <c r="E327" s="166" t="s">
        <v>925</v>
      </c>
      <c r="F327" s="167">
        <v>43983</v>
      </c>
      <c r="G327" s="167">
        <v>44196</v>
      </c>
      <c r="H327" s="168">
        <v>14553</v>
      </c>
    </row>
    <row r="328" spans="1:8" ht="13.7" customHeight="1" x14ac:dyDescent="0.25">
      <c r="A328" s="166" t="s">
        <v>926</v>
      </c>
      <c r="B328" s="166" t="s">
        <v>916</v>
      </c>
      <c r="C328" s="166" t="s">
        <v>824</v>
      </c>
      <c r="D328" s="166" t="s">
        <v>927</v>
      </c>
      <c r="E328" s="166" t="s">
        <v>928</v>
      </c>
      <c r="F328" s="167">
        <v>43604</v>
      </c>
      <c r="G328" s="167">
        <v>43861</v>
      </c>
      <c r="H328" s="168">
        <v>3000</v>
      </c>
    </row>
    <row r="329" spans="1:8" ht="13.7" customHeight="1" x14ac:dyDescent="0.25">
      <c r="A329" s="166" t="s">
        <v>929</v>
      </c>
      <c r="B329" s="166" t="s">
        <v>916</v>
      </c>
      <c r="C329" s="166" t="s">
        <v>824</v>
      </c>
      <c r="D329" s="166" t="s">
        <v>930</v>
      </c>
      <c r="E329" s="166" t="s">
        <v>931</v>
      </c>
      <c r="F329" s="167">
        <v>43606</v>
      </c>
      <c r="G329" s="167">
        <v>44196</v>
      </c>
      <c r="H329" s="168">
        <v>6000</v>
      </c>
    </row>
    <row r="330" spans="1:8" ht="13.7" customHeight="1" x14ac:dyDescent="0.25">
      <c r="A330" s="166" t="s">
        <v>929</v>
      </c>
      <c r="B330" s="166" t="s">
        <v>916</v>
      </c>
      <c r="C330" s="166" t="s">
        <v>824</v>
      </c>
      <c r="D330" s="166" t="s">
        <v>930</v>
      </c>
      <c r="E330" s="166" t="s">
        <v>931</v>
      </c>
      <c r="F330" s="167">
        <v>43606</v>
      </c>
      <c r="G330" s="167">
        <v>44196</v>
      </c>
      <c r="H330" s="168">
        <v>10000</v>
      </c>
    </row>
    <row r="331" spans="1:8" ht="13.7" customHeight="1" x14ac:dyDescent="0.25">
      <c r="A331" s="166" t="s">
        <v>932</v>
      </c>
      <c r="B331" s="166" t="s">
        <v>933</v>
      </c>
      <c r="C331" s="166" t="s">
        <v>824</v>
      </c>
      <c r="D331" s="166" t="s">
        <v>934</v>
      </c>
      <c r="E331" s="166" t="s">
        <v>548</v>
      </c>
      <c r="F331" s="167">
        <v>42979</v>
      </c>
      <c r="G331" s="167">
        <v>44074</v>
      </c>
      <c r="H331" s="168">
        <v>45000</v>
      </c>
    </row>
    <row r="332" spans="1:8" ht="13.7" customHeight="1" x14ac:dyDescent="0.25">
      <c r="A332" s="166" t="s">
        <v>935</v>
      </c>
      <c r="B332" s="166" t="s">
        <v>933</v>
      </c>
      <c r="C332" s="166" t="s">
        <v>824</v>
      </c>
      <c r="D332" s="166" t="s">
        <v>936</v>
      </c>
      <c r="E332" s="166" t="s">
        <v>937</v>
      </c>
      <c r="F332" s="167">
        <v>43800</v>
      </c>
      <c r="G332" s="167">
        <v>44196</v>
      </c>
      <c r="H332" s="168">
        <v>22500</v>
      </c>
    </row>
    <row r="333" spans="1:8" ht="13.7" customHeight="1" x14ac:dyDescent="0.25">
      <c r="A333" s="166" t="s">
        <v>938</v>
      </c>
      <c r="B333" s="166" t="s">
        <v>933</v>
      </c>
      <c r="C333" s="166" t="s">
        <v>824</v>
      </c>
      <c r="D333" s="166" t="s">
        <v>939</v>
      </c>
      <c r="E333" s="166" t="s">
        <v>940</v>
      </c>
      <c r="F333" s="167">
        <v>42826</v>
      </c>
      <c r="G333" s="167">
        <v>44043</v>
      </c>
      <c r="H333" s="168">
        <v>1405</v>
      </c>
    </row>
    <row r="334" spans="1:8" ht="13.7" customHeight="1" x14ac:dyDescent="0.25">
      <c r="A334" s="166" t="s">
        <v>941</v>
      </c>
      <c r="B334" s="166" t="s">
        <v>933</v>
      </c>
      <c r="C334" s="166" t="s">
        <v>824</v>
      </c>
      <c r="D334" s="166" t="s">
        <v>942</v>
      </c>
      <c r="E334" s="166" t="s">
        <v>943</v>
      </c>
      <c r="F334" s="167">
        <v>43282</v>
      </c>
      <c r="G334" s="167">
        <v>44012</v>
      </c>
      <c r="H334" s="168">
        <v>16080</v>
      </c>
    </row>
    <row r="335" spans="1:8" ht="13.7" customHeight="1" x14ac:dyDescent="0.25">
      <c r="A335" s="166" t="s">
        <v>941</v>
      </c>
      <c r="B335" s="166" t="s">
        <v>933</v>
      </c>
      <c r="C335" s="166" t="s">
        <v>824</v>
      </c>
      <c r="D335" s="166" t="s">
        <v>942</v>
      </c>
      <c r="E335" s="166" t="s">
        <v>943</v>
      </c>
      <c r="F335" s="167">
        <v>43282</v>
      </c>
      <c r="G335" s="167">
        <v>44012</v>
      </c>
      <c r="H335" s="168">
        <v>11920</v>
      </c>
    </row>
    <row r="336" spans="1:8" ht="13.7" customHeight="1" x14ac:dyDescent="0.25">
      <c r="A336" s="166" t="s">
        <v>944</v>
      </c>
      <c r="B336" s="166" t="s">
        <v>933</v>
      </c>
      <c r="C336" s="166" t="s">
        <v>824</v>
      </c>
      <c r="D336" s="166" t="s">
        <v>945</v>
      </c>
      <c r="E336" s="166" t="s">
        <v>946</v>
      </c>
      <c r="F336" s="167">
        <v>43647</v>
      </c>
      <c r="G336" s="167">
        <v>44012</v>
      </c>
      <c r="H336" s="168">
        <v>-15163</v>
      </c>
    </row>
    <row r="337" spans="1:8" ht="13.7" customHeight="1" x14ac:dyDescent="0.25">
      <c r="A337" s="166" t="s">
        <v>944</v>
      </c>
      <c r="B337" s="166" t="s">
        <v>933</v>
      </c>
      <c r="C337" s="166" t="s">
        <v>824</v>
      </c>
      <c r="D337" s="166" t="s">
        <v>945</v>
      </c>
      <c r="E337" s="166" t="s">
        <v>946</v>
      </c>
      <c r="F337" s="167">
        <v>43647</v>
      </c>
      <c r="G337" s="167">
        <v>44012</v>
      </c>
      <c r="H337" s="168">
        <v>15163</v>
      </c>
    </row>
    <row r="338" spans="1:8" ht="13.7" customHeight="1" x14ac:dyDescent="0.25">
      <c r="A338" s="166" t="s">
        <v>944</v>
      </c>
      <c r="B338" s="166" t="s">
        <v>933</v>
      </c>
      <c r="C338" s="166" t="s">
        <v>824</v>
      </c>
      <c r="D338" s="166" t="s">
        <v>945</v>
      </c>
      <c r="E338" s="166" t="s">
        <v>946</v>
      </c>
      <c r="F338" s="167">
        <v>43647</v>
      </c>
      <c r="G338" s="167">
        <v>44012</v>
      </c>
      <c r="H338" s="168">
        <v>50000</v>
      </c>
    </row>
    <row r="339" spans="1:8" ht="13.7" customHeight="1" x14ac:dyDescent="0.25">
      <c r="A339" s="166" t="s">
        <v>947</v>
      </c>
      <c r="B339" s="166" t="s">
        <v>933</v>
      </c>
      <c r="C339" s="166" t="s">
        <v>824</v>
      </c>
      <c r="D339" s="166" t="s">
        <v>948</v>
      </c>
      <c r="E339" s="166" t="s">
        <v>949</v>
      </c>
      <c r="F339" s="167">
        <v>43910</v>
      </c>
      <c r="G339" s="167">
        <v>44274</v>
      </c>
      <c r="H339" s="168">
        <v>5547</v>
      </c>
    </row>
    <row r="340" spans="1:8" ht="13.7" customHeight="1" x14ac:dyDescent="0.25">
      <c r="A340" s="166" t="s">
        <v>947</v>
      </c>
      <c r="B340" s="166" t="s">
        <v>933</v>
      </c>
      <c r="C340" s="166" t="s">
        <v>824</v>
      </c>
      <c r="D340" s="166" t="s">
        <v>948</v>
      </c>
      <c r="E340" s="166" t="s">
        <v>949</v>
      </c>
      <c r="F340" s="167">
        <v>43910</v>
      </c>
      <c r="G340" s="167">
        <v>44274</v>
      </c>
      <c r="H340" s="168">
        <v>-227.44</v>
      </c>
    </row>
    <row r="341" spans="1:8" ht="13.7" customHeight="1" x14ac:dyDescent="0.25">
      <c r="A341" s="166" t="s">
        <v>947</v>
      </c>
      <c r="B341" s="166" t="s">
        <v>933</v>
      </c>
      <c r="C341" s="166" t="s">
        <v>824</v>
      </c>
      <c r="D341" s="166" t="s">
        <v>948</v>
      </c>
      <c r="E341" s="166" t="s">
        <v>949</v>
      </c>
      <c r="F341" s="167">
        <v>43910</v>
      </c>
      <c r="G341" s="167">
        <v>44274</v>
      </c>
      <c r="H341" s="168">
        <v>0.44</v>
      </c>
    </row>
    <row r="342" spans="1:8" ht="13.7" customHeight="1" x14ac:dyDescent="0.25">
      <c r="A342" s="166" t="s">
        <v>950</v>
      </c>
      <c r="B342" s="166" t="s">
        <v>933</v>
      </c>
      <c r="C342" s="166" t="s">
        <v>824</v>
      </c>
      <c r="D342" s="166" t="s">
        <v>951</v>
      </c>
      <c r="E342" s="166" t="s">
        <v>952</v>
      </c>
      <c r="F342" s="167">
        <v>43917</v>
      </c>
      <c r="G342" s="167">
        <v>44286</v>
      </c>
      <c r="H342" s="168">
        <v>5393.26</v>
      </c>
    </row>
    <row r="343" spans="1:8" ht="13.7" customHeight="1" x14ac:dyDescent="0.25">
      <c r="A343" s="166" t="s">
        <v>950</v>
      </c>
      <c r="B343" s="166" t="s">
        <v>933</v>
      </c>
      <c r="C343" s="166" t="s">
        <v>824</v>
      </c>
      <c r="D343" s="166" t="s">
        <v>951</v>
      </c>
      <c r="E343" s="166" t="s">
        <v>952</v>
      </c>
      <c r="F343" s="167">
        <v>43917</v>
      </c>
      <c r="G343" s="167">
        <v>44286</v>
      </c>
      <c r="H343" s="168">
        <v>35955</v>
      </c>
    </row>
    <row r="344" spans="1:8" ht="13.7" customHeight="1" x14ac:dyDescent="0.25">
      <c r="A344" s="166" t="s">
        <v>953</v>
      </c>
      <c r="B344" s="166" t="s">
        <v>933</v>
      </c>
      <c r="C344" s="166" t="s">
        <v>824</v>
      </c>
      <c r="D344" s="166" t="s">
        <v>954</v>
      </c>
      <c r="E344" s="166" t="s">
        <v>955</v>
      </c>
      <c r="F344" s="167">
        <v>43922</v>
      </c>
      <c r="G344" s="167">
        <v>44286</v>
      </c>
      <c r="H344" s="168">
        <v>10500</v>
      </c>
    </row>
    <row r="345" spans="1:8" ht="13.7" customHeight="1" x14ac:dyDescent="0.25">
      <c r="A345" s="166" t="s">
        <v>956</v>
      </c>
      <c r="B345" s="166" t="s">
        <v>933</v>
      </c>
      <c r="C345" s="166" t="s">
        <v>824</v>
      </c>
      <c r="D345" s="166" t="s">
        <v>957</v>
      </c>
      <c r="E345" s="166" t="s">
        <v>958</v>
      </c>
      <c r="F345" s="167">
        <v>43966</v>
      </c>
      <c r="G345" s="167">
        <v>44286</v>
      </c>
      <c r="H345" s="168">
        <v>35575</v>
      </c>
    </row>
    <row r="346" spans="1:8" ht="13.7" customHeight="1" x14ac:dyDescent="0.25">
      <c r="A346" s="166" t="s">
        <v>956</v>
      </c>
      <c r="B346" s="166" t="s">
        <v>933</v>
      </c>
      <c r="C346" s="166" t="s">
        <v>824</v>
      </c>
      <c r="D346" s="166" t="s">
        <v>957</v>
      </c>
      <c r="E346" s="166" t="s">
        <v>958</v>
      </c>
      <c r="F346" s="167">
        <v>43966</v>
      </c>
      <c r="G346" s="167">
        <v>44286</v>
      </c>
      <c r="H346" s="168">
        <v>14340</v>
      </c>
    </row>
    <row r="347" spans="1:8" ht="13.7" customHeight="1" x14ac:dyDescent="0.25">
      <c r="A347" s="166" t="s">
        <v>959</v>
      </c>
      <c r="B347" s="166" t="s">
        <v>933</v>
      </c>
      <c r="C347" s="166" t="s">
        <v>824</v>
      </c>
      <c r="D347" s="166" t="s">
        <v>960</v>
      </c>
      <c r="E347" s="166" t="s">
        <v>920</v>
      </c>
      <c r="F347" s="167">
        <v>42614</v>
      </c>
      <c r="G347" s="167">
        <v>44469</v>
      </c>
      <c r="H347" s="168">
        <v>95000</v>
      </c>
    </row>
    <row r="348" spans="1:8" ht="13.7" customHeight="1" x14ac:dyDescent="0.25">
      <c r="A348" s="166" t="s">
        <v>961</v>
      </c>
      <c r="B348" s="166" t="s">
        <v>933</v>
      </c>
      <c r="C348" s="166" t="s">
        <v>824</v>
      </c>
      <c r="D348" s="166" t="s">
        <v>962</v>
      </c>
      <c r="E348" s="166" t="s">
        <v>486</v>
      </c>
      <c r="F348" s="167">
        <v>43617</v>
      </c>
      <c r="G348" s="167">
        <v>43982</v>
      </c>
      <c r="H348" s="168">
        <v>46000</v>
      </c>
    </row>
    <row r="349" spans="1:8" ht="13.7" customHeight="1" x14ac:dyDescent="0.25">
      <c r="A349" s="166" t="s">
        <v>963</v>
      </c>
      <c r="B349" s="166" t="s">
        <v>964</v>
      </c>
      <c r="C349" s="166" t="s">
        <v>824</v>
      </c>
      <c r="D349" s="166" t="s">
        <v>965</v>
      </c>
      <c r="E349" s="166" t="s">
        <v>966</v>
      </c>
      <c r="F349" s="167">
        <v>43983</v>
      </c>
      <c r="G349" s="167">
        <v>44408</v>
      </c>
      <c r="H349" s="168">
        <v>37019</v>
      </c>
    </row>
    <row r="350" spans="1:8" ht="13.7" customHeight="1" x14ac:dyDescent="0.25">
      <c r="A350" s="166" t="s">
        <v>967</v>
      </c>
      <c r="B350" s="166" t="s">
        <v>968</v>
      </c>
      <c r="C350" s="166" t="s">
        <v>824</v>
      </c>
      <c r="D350" s="166" t="s">
        <v>969</v>
      </c>
      <c r="E350" s="166" t="s">
        <v>970</v>
      </c>
      <c r="F350" s="167">
        <v>43930</v>
      </c>
      <c r="G350" s="167">
        <v>44316</v>
      </c>
      <c r="H350" s="168">
        <v>77821</v>
      </c>
    </row>
    <row r="351" spans="1:8" ht="13.7" customHeight="1" x14ac:dyDescent="0.25">
      <c r="A351" s="166" t="s">
        <v>967</v>
      </c>
      <c r="B351" s="166" t="s">
        <v>968</v>
      </c>
      <c r="C351" s="166" t="s">
        <v>824</v>
      </c>
      <c r="D351" s="166" t="s">
        <v>969</v>
      </c>
      <c r="E351" s="166" t="s">
        <v>970</v>
      </c>
      <c r="F351" s="167">
        <v>43930</v>
      </c>
      <c r="G351" s="167">
        <v>44316</v>
      </c>
      <c r="H351" s="168">
        <v>6000</v>
      </c>
    </row>
    <row r="352" spans="1:8" ht="13.7" customHeight="1" x14ac:dyDescent="0.25">
      <c r="A352" s="166" t="s">
        <v>971</v>
      </c>
      <c r="B352" s="166" t="s">
        <v>968</v>
      </c>
      <c r="C352" s="166" t="s">
        <v>824</v>
      </c>
      <c r="D352" s="166" t="s">
        <v>972</v>
      </c>
      <c r="E352" s="166" t="s">
        <v>973</v>
      </c>
      <c r="F352" s="167">
        <v>43410</v>
      </c>
      <c r="G352" s="167">
        <v>44165</v>
      </c>
      <c r="H352" s="168">
        <v>203668</v>
      </c>
    </row>
    <row r="353" spans="1:8" ht="13.7" customHeight="1" x14ac:dyDescent="0.25">
      <c r="A353" s="166" t="s">
        <v>971</v>
      </c>
      <c r="B353" s="166" t="s">
        <v>968</v>
      </c>
      <c r="C353" s="166" t="s">
        <v>824</v>
      </c>
      <c r="D353" s="166" t="s">
        <v>972</v>
      </c>
      <c r="E353" s="166" t="s">
        <v>973</v>
      </c>
      <c r="F353" s="167">
        <v>43410</v>
      </c>
      <c r="G353" s="167">
        <v>44165</v>
      </c>
      <c r="H353" s="168">
        <v>2000</v>
      </c>
    </row>
    <row r="354" spans="1:8" ht="13.7" customHeight="1" x14ac:dyDescent="0.25">
      <c r="A354" s="166" t="s">
        <v>974</v>
      </c>
      <c r="B354" s="166" t="s">
        <v>968</v>
      </c>
      <c r="C354" s="166" t="s">
        <v>824</v>
      </c>
      <c r="D354" s="166" t="s">
        <v>975</v>
      </c>
      <c r="E354" s="166" t="s">
        <v>976</v>
      </c>
      <c r="F354" s="167">
        <v>43556</v>
      </c>
      <c r="G354" s="167">
        <v>44196</v>
      </c>
      <c r="H354" s="168">
        <v>52282</v>
      </c>
    </row>
    <row r="355" spans="1:8" ht="13.7" customHeight="1" x14ac:dyDescent="0.25">
      <c r="A355" s="166" t="s">
        <v>977</v>
      </c>
      <c r="B355" s="166" t="s">
        <v>968</v>
      </c>
      <c r="C355" s="166" t="s">
        <v>824</v>
      </c>
      <c r="D355" s="166" t="s">
        <v>978</v>
      </c>
      <c r="E355" s="166" t="s">
        <v>979</v>
      </c>
      <c r="F355" s="167">
        <v>42933</v>
      </c>
      <c r="G355" s="167">
        <v>44651</v>
      </c>
      <c r="H355" s="168">
        <v>4000</v>
      </c>
    </row>
    <row r="356" spans="1:8" ht="13.7" customHeight="1" x14ac:dyDescent="0.25">
      <c r="A356" s="166" t="s">
        <v>980</v>
      </c>
      <c r="B356" s="166" t="s">
        <v>981</v>
      </c>
      <c r="C356" s="166" t="s">
        <v>824</v>
      </c>
      <c r="D356" s="166" t="s">
        <v>982</v>
      </c>
      <c r="E356" s="166" t="s">
        <v>983</v>
      </c>
      <c r="F356" s="167">
        <v>43344</v>
      </c>
      <c r="G356" s="167">
        <v>43708</v>
      </c>
      <c r="H356" s="168">
        <v>-17124.16</v>
      </c>
    </row>
    <row r="357" spans="1:8" ht="13.7" customHeight="1" x14ac:dyDescent="0.25">
      <c r="A357" s="166" t="s">
        <v>984</v>
      </c>
      <c r="B357" s="166" t="s">
        <v>981</v>
      </c>
      <c r="C357" s="166" t="s">
        <v>824</v>
      </c>
      <c r="D357" s="166" t="s">
        <v>985</v>
      </c>
      <c r="E357" s="166" t="s">
        <v>986</v>
      </c>
      <c r="F357" s="167">
        <v>43709</v>
      </c>
      <c r="G357" s="167">
        <v>44439</v>
      </c>
      <c r="H357" s="168">
        <v>0</v>
      </c>
    </row>
    <row r="358" spans="1:8" ht="13.7" customHeight="1" x14ac:dyDescent="0.25">
      <c r="A358" s="166" t="s">
        <v>984</v>
      </c>
      <c r="B358" s="166" t="s">
        <v>981</v>
      </c>
      <c r="C358" s="166" t="s">
        <v>824</v>
      </c>
      <c r="D358" s="166" t="s">
        <v>985</v>
      </c>
      <c r="E358" s="166" t="s">
        <v>986</v>
      </c>
      <c r="F358" s="167">
        <v>43709</v>
      </c>
      <c r="G358" s="167">
        <v>44439</v>
      </c>
      <c r="H358" s="168">
        <v>11023.64</v>
      </c>
    </row>
    <row r="359" spans="1:8" ht="13.7" customHeight="1" x14ac:dyDescent="0.25">
      <c r="A359" s="166" t="s">
        <v>984</v>
      </c>
      <c r="B359" s="166" t="s">
        <v>981</v>
      </c>
      <c r="C359" s="166" t="s">
        <v>824</v>
      </c>
      <c r="D359" s="166" t="s">
        <v>985</v>
      </c>
      <c r="E359" s="166" t="s">
        <v>986</v>
      </c>
      <c r="F359" s="167">
        <v>43709</v>
      </c>
      <c r="G359" s="167">
        <v>44439</v>
      </c>
      <c r="H359" s="168">
        <v>6100.52</v>
      </c>
    </row>
    <row r="360" spans="1:8" ht="13.7" customHeight="1" x14ac:dyDescent="0.25">
      <c r="A360" s="166" t="s">
        <v>984</v>
      </c>
      <c r="B360" s="166" t="s">
        <v>981</v>
      </c>
      <c r="C360" s="166" t="s">
        <v>824</v>
      </c>
      <c r="D360" s="166" t="s">
        <v>985</v>
      </c>
      <c r="E360" s="166" t="s">
        <v>986</v>
      </c>
      <c r="F360" s="167">
        <v>43709</v>
      </c>
      <c r="G360" s="167">
        <v>44439</v>
      </c>
      <c r="H360" s="168">
        <v>32222</v>
      </c>
    </row>
    <row r="361" spans="1:8" ht="13.7" customHeight="1" x14ac:dyDescent="0.25">
      <c r="A361" s="166" t="s">
        <v>984</v>
      </c>
      <c r="B361" s="166" t="s">
        <v>981</v>
      </c>
      <c r="C361" s="166" t="s">
        <v>824</v>
      </c>
      <c r="D361" s="166" t="s">
        <v>985</v>
      </c>
      <c r="E361" s="166" t="s">
        <v>986</v>
      </c>
      <c r="F361" s="167">
        <v>43709</v>
      </c>
      <c r="G361" s="167">
        <v>44439</v>
      </c>
      <c r="H361" s="168">
        <v>892</v>
      </c>
    </row>
    <row r="362" spans="1:8" ht="13.7" customHeight="1" x14ac:dyDescent="0.25">
      <c r="A362" s="166" t="s">
        <v>987</v>
      </c>
      <c r="B362" s="166" t="s">
        <v>981</v>
      </c>
      <c r="C362" s="166" t="s">
        <v>824</v>
      </c>
      <c r="D362" s="166" t="s">
        <v>988</v>
      </c>
      <c r="E362" s="166" t="s">
        <v>497</v>
      </c>
      <c r="F362" s="167">
        <v>42228</v>
      </c>
      <c r="G362" s="167">
        <v>44054</v>
      </c>
      <c r="H362" s="168">
        <v>0</v>
      </c>
    </row>
    <row r="363" spans="1:8" ht="13.7" customHeight="1" x14ac:dyDescent="0.25">
      <c r="A363" s="166" t="s">
        <v>987</v>
      </c>
      <c r="B363" s="166" t="s">
        <v>981</v>
      </c>
      <c r="C363" s="166" t="s">
        <v>824</v>
      </c>
      <c r="D363" s="166" t="s">
        <v>988</v>
      </c>
      <c r="E363" s="166" t="s">
        <v>497</v>
      </c>
      <c r="F363" s="167">
        <v>42228</v>
      </c>
      <c r="G363" s="167">
        <v>44054</v>
      </c>
      <c r="H363" s="168">
        <v>0</v>
      </c>
    </row>
    <row r="364" spans="1:8" ht="13.7" customHeight="1" x14ac:dyDescent="0.25">
      <c r="A364" s="166" t="s">
        <v>989</v>
      </c>
      <c r="B364" s="166" t="s">
        <v>981</v>
      </c>
      <c r="C364" s="166" t="s">
        <v>824</v>
      </c>
      <c r="D364" s="166" t="s">
        <v>990</v>
      </c>
      <c r="E364" s="166" t="s">
        <v>879</v>
      </c>
      <c r="F364" s="167">
        <v>43739</v>
      </c>
      <c r="G364" s="167">
        <v>44104</v>
      </c>
      <c r="H364" s="168">
        <v>998404.58</v>
      </c>
    </row>
    <row r="365" spans="1:8" ht="13.7" customHeight="1" x14ac:dyDescent="0.25">
      <c r="A365" s="166" t="s">
        <v>989</v>
      </c>
      <c r="B365" s="166" t="s">
        <v>981</v>
      </c>
      <c r="C365" s="166" t="s">
        <v>824</v>
      </c>
      <c r="D365" s="166" t="s">
        <v>990</v>
      </c>
      <c r="E365" s="166" t="s">
        <v>879</v>
      </c>
      <c r="F365" s="167">
        <v>43739</v>
      </c>
      <c r="G365" s="167">
        <v>44104</v>
      </c>
      <c r="H365" s="168">
        <v>-698462</v>
      </c>
    </row>
    <row r="366" spans="1:8" ht="13.7" customHeight="1" x14ac:dyDescent="0.25">
      <c r="A366" s="166" t="s">
        <v>989</v>
      </c>
      <c r="B366" s="166" t="s">
        <v>981</v>
      </c>
      <c r="C366" s="166" t="s">
        <v>824</v>
      </c>
      <c r="D366" s="166" t="s">
        <v>990</v>
      </c>
      <c r="E366" s="166" t="s">
        <v>879</v>
      </c>
      <c r="F366" s="167">
        <v>43739</v>
      </c>
      <c r="G366" s="167">
        <v>44104</v>
      </c>
      <c r="H366" s="168">
        <v>-40261</v>
      </c>
    </row>
    <row r="367" spans="1:8" ht="13.7" customHeight="1" x14ac:dyDescent="0.25">
      <c r="A367" s="166" t="s">
        <v>989</v>
      </c>
      <c r="B367" s="166" t="s">
        <v>981</v>
      </c>
      <c r="C367" s="166" t="s">
        <v>824</v>
      </c>
      <c r="D367" s="166" t="s">
        <v>990</v>
      </c>
      <c r="E367" s="166" t="s">
        <v>879</v>
      </c>
      <c r="F367" s="167">
        <v>43739</v>
      </c>
      <c r="G367" s="167">
        <v>44104</v>
      </c>
      <c r="H367" s="168">
        <v>-17255</v>
      </c>
    </row>
    <row r="368" spans="1:8" ht="13.7" customHeight="1" x14ac:dyDescent="0.25">
      <c r="A368" s="166" t="s">
        <v>989</v>
      </c>
      <c r="B368" s="166" t="s">
        <v>981</v>
      </c>
      <c r="C368" s="166" t="s">
        <v>824</v>
      </c>
      <c r="D368" s="166" t="s">
        <v>990</v>
      </c>
      <c r="E368" s="166" t="s">
        <v>879</v>
      </c>
      <c r="F368" s="167">
        <v>43739</v>
      </c>
      <c r="G368" s="167">
        <v>44104</v>
      </c>
      <c r="H368" s="168">
        <v>-63285</v>
      </c>
    </row>
    <row r="369" spans="1:8" ht="13.7" customHeight="1" x14ac:dyDescent="0.25">
      <c r="A369" s="166" t="s">
        <v>989</v>
      </c>
      <c r="B369" s="166" t="s">
        <v>981</v>
      </c>
      <c r="C369" s="166" t="s">
        <v>824</v>
      </c>
      <c r="D369" s="166" t="s">
        <v>990</v>
      </c>
      <c r="E369" s="166" t="s">
        <v>879</v>
      </c>
      <c r="F369" s="167">
        <v>43739</v>
      </c>
      <c r="G369" s="167">
        <v>44104</v>
      </c>
      <c r="H369" s="168">
        <v>-67045</v>
      </c>
    </row>
    <row r="370" spans="1:8" ht="13.7" customHeight="1" x14ac:dyDescent="0.25">
      <c r="A370" s="166" t="s">
        <v>989</v>
      </c>
      <c r="B370" s="166" t="s">
        <v>981</v>
      </c>
      <c r="C370" s="166" t="s">
        <v>824</v>
      </c>
      <c r="D370" s="166" t="s">
        <v>990</v>
      </c>
      <c r="E370" s="166" t="s">
        <v>879</v>
      </c>
      <c r="F370" s="167">
        <v>43739</v>
      </c>
      <c r="G370" s="167">
        <v>44104</v>
      </c>
      <c r="H370" s="168">
        <v>-50284</v>
      </c>
    </row>
    <row r="371" spans="1:8" ht="13.7" customHeight="1" x14ac:dyDescent="0.25">
      <c r="A371" s="166" t="s">
        <v>989</v>
      </c>
      <c r="B371" s="166" t="s">
        <v>981</v>
      </c>
      <c r="C371" s="166" t="s">
        <v>824</v>
      </c>
      <c r="D371" s="166" t="s">
        <v>990</v>
      </c>
      <c r="E371" s="166" t="s">
        <v>879</v>
      </c>
      <c r="F371" s="167">
        <v>43739</v>
      </c>
      <c r="G371" s="167">
        <v>44104</v>
      </c>
      <c r="H371" s="168">
        <v>-29800</v>
      </c>
    </row>
    <row r="372" spans="1:8" ht="13.7" customHeight="1" x14ac:dyDescent="0.25">
      <c r="A372" s="166" t="s">
        <v>989</v>
      </c>
      <c r="B372" s="166" t="s">
        <v>981</v>
      </c>
      <c r="C372" s="166" t="s">
        <v>824</v>
      </c>
      <c r="D372" s="166" t="s">
        <v>990</v>
      </c>
      <c r="E372" s="166" t="s">
        <v>879</v>
      </c>
      <c r="F372" s="167">
        <v>43739</v>
      </c>
      <c r="G372" s="167">
        <v>44104</v>
      </c>
      <c r="H372" s="168">
        <v>698462</v>
      </c>
    </row>
    <row r="373" spans="1:8" ht="13.7" customHeight="1" x14ac:dyDescent="0.25">
      <c r="A373" s="166" t="s">
        <v>991</v>
      </c>
      <c r="B373" s="166" t="s">
        <v>981</v>
      </c>
      <c r="C373" s="166" t="s">
        <v>824</v>
      </c>
      <c r="D373" s="166" t="s">
        <v>990</v>
      </c>
      <c r="E373" s="166" t="s">
        <v>879</v>
      </c>
      <c r="F373" s="167">
        <v>43739</v>
      </c>
      <c r="G373" s="167">
        <v>44104</v>
      </c>
      <c r="H373" s="168">
        <v>11350</v>
      </c>
    </row>
    <row r="374" spans="1:8" ht="13.7" customHeight="1" x14ac:dyDescent="0.25">
      <c r="A374" s="166" t="s">
        <v>992</v>
      </c>
      <c r="B374" s="166" t="s">
        <v>981</v>
      </c>
      <c r="C374" s="166" t="s">
        <v>824</v>
      </c>
      <c r="D374" s="166" t="s">
        <v>990</v>
      </c>
      <c r="E374" s="166" t="s">
        <v>879</v>
      </c>
      <c r="F374" s="167">
        <v>43739</v>
      </c>
      <c r="G374" s="167">
        <v>44104</v>
      </c>
      <c r="H374" s="168">
        <v>21999</v>
      </c>
    </row>
    <row r="375" spans="1:8" ht="13.7" customHeight="1" x14ac:dyDescent="0.25">
      <c r="A375" s="166" t="s">
        <v>993</v>
      </c>
      <c r="B375" s="166" t="s">
        <v>981</v>
      </c>
      <c r="C375" s="166" t="s">
        <v>824</v>
      </c>
      <c r="D375" s="166" t="s">
        <v>990</v>
      </c>
      <c r="E375" s="166" t="s">
        <v>879</v>
      </c>
      <c r="F375" s="167">
        <v>43739</v>
      </c>
      <c r="G375" s="167">
        <v>44104</v>
      </c>
      <c r="H375" s="168">
        <v>44890</v>
      </c>
    </row>
    <row r="376" spans="1:8" ht="13.7" customHeight="1" x14ac:dyDescent="0.25">
      <c r="A376" s="166" t="s">
        <v>994</v>
      </c>
      <c r="B376" s="166" t="s">
        <v>981</v>
      </c>
      <c r="C376" s="166" t="s">
        <v>824</v>
      </c>
      <c r="D376" s="166" t="s">
        <v>990</v>
      </c>
      <c r="E376" s="166" t="s">
        <v>879</v>
      </c>
      <c r="F376" s="167">
        <v>43739</v>
      </c>
      <c r="G376" s="167">
        <v>44104</v>
      </c>
      <c r="H376" s="168">
        <v>7560</v>
      </c>
    </row>
    <row r="377" spans="1:8" ht="13.7" customHeight="1" x14ac:dyDescent="0.25">
      <c r="A377" s="166" t="s">
        <v>994</v>
      </c>
      <c r="B377" s="166" t="s">
        <v>981</v>
      </c>
      <c r="C377" s="166" t="s">
        <v>824</v>
      </c>
      <c r="D377" s="166" t="s">
        <v>990</v>
      </c>
      <c r="E377" s="166" t="s">
        <v>879</v>
      </c>
      <c r="F377" s="167">
        <v>43739</v>
      </c>
      <c r="G377" s="167">
        <v>44104</v>
      </c>
      <c r="H377" s="168">
        <v>14697</v>
      </c>
    </row>
    <row r="378" spans="1:8" ht="13.7" customHeight="1" x14ac:dyDescent="0.25">
      <c r="A378" s="166" t="s">
        <v>995</v>
      </c>
      <c r="B378" s="166" t="s">
        <v>981</v>
      </c>
      <c r="C378" s="166" t="s">
        <v>824</v>
      </c>
      <c r="D378" s="166" t="s">
        <v>990</v>
      </c>
      <c r="E378" s="166" t="s">
        <v>879</v>
      </c>
      <c r="F378" s="167">
        <v>43739</v>
      </c>
      <c r="G378" s="167">
        <v>44104</v>
      </c>
      <c r="H378" s="168">
        <v>17463</v>
      </c>
    </row>
    <row r="379" spans="1:8" ht="13.7" customHeight="1" x14ac:dyDescent="0.25">
      <c r="A379" s="166" t="s">
        <v>995</v>
      </c>
      <c r="B379" s="166" t="s">
        <v>981</v>
      </c>
      <c r="C379" s="166" t="s">
        <v>824</v>
      </c>
      <c r="D379" s="166" t="s">
        <v>990</v>
      </c>
      <c r="E379" s="166" t="s">
        <v>879</v>
      </c>
      <c r="F379" s="167">
        <v>43739</v>
      </c>
      <c r="G379" s="167">
        <v>44104</v>
      </c>
      <c r="H379" s="168">
        <v>6443</v>
      </c>
    </row>
    <row r="380" spans="1:8" ht="13.7" customHeight="1" x14ac:dyDescent="0.25">
      <c r="A380" s="166" t="s">
        <v>996</v>
      </c>
      <c r="B380" s="166" t="s">
        <v>981</v>
      </c>
      <c r="C380" s="166" t="s">
        <v>824</v>
      </c>
      <c r="D380" s="166" t="s">
        <v>990</v>
      </c>
      <c r="E380" s="166" t="s">
        <v>879</v>
      </c>
      <c r="F380" s="167">
        <v>43739</v>
      </c>
      <c r="G380" s="167">
        <v>44104</v>
      </c>
      <c r="H380" s="168">
        <v>13601</v>
      </c>
    </row>
    <row r="381" spans="1:8" ht="13.7" customHeight="1" x14ac:dyDescent="0.25">
      <c r="A381" s="166" t="s">
        <v>997</v>
      </c>
      <c r="B381" s="166" t="s">
        <v>981</v>
      </c>
      <c r="C381" s="166" t="s">
        <v>824</v>
      </c>
      <c r="D381" s="166" t="s">
        <v>990</v>
      </c>
      <c r="E381" s="166" t="s">
        <v>879</v>
      </c>
      <c r="F381" s="167">
        <v>43739</v>
      </c>
      <c r="G381" s="167">
        <v>44104</v>
      </c>
      <c r="H381" s="168">
        <v>23327</v>
      </c>
    </row>
    <row r="382" spans="1:8" ht="13.7" customHeight="1" x14ac:dyDescent="0.25">
      <c r="A382" s="166" t="s">
        <v>998</v>
      </c>
      <c r="B382" s="166" t="s">
        <v>981</v>
      </c>
      <c r="C382" s="166" t="s">
        <v>824</v>
      </c>
      <c r="D382" s="166" t="s">
        <v>990</v>
      </c>
      <c r="E382" s="166" t="s">
        <v>879</v>
      </c>
      <c r="F382" s="167">
        <v>43739</v>
      </c>
      <c r="G382" s="167">
        <v>44104</v>
      </c>
      <c r="H382" s="168">
        <v>22533</v>
      </c>
    </row>
    <row r="383" spans="1:8" ht="13.7" customHeight="1" x14ac:dyDescent="0.25">
      <c r="A383" s="166" t="s">
        <v>999</v>
      </c>
      <c r="B383" s="166" t="s">
        <v>981</v>
      </c>
      <c r="C383" s="166" t="s">
        <v>824</v>
      </c>
      <c r="D383" s="166" t="s">
        <v>990</v>
      </c>
      <c r="E383" s="166" t="s">
        <v>879</v>
      </c>
      <c r="F383" s="167">
        <v>43739</v>
      </c>
      <c r="G383" s="167">
        <v>44104</v>
      </c>
      <c r="H383" s="168">
        <v>18845</v>
      </c>
    </row>
    <row r="384" spans="1:8" ht="13.7" customHeight="1" x14ac:dyDescent="0.25">
      <c r="A384" s="166" t="s">
        <v>999</v>
      </c>
      <c r="B384" s="166" t="s">
        <v>981</v>
      </c>
      <c r="C384" s="166" t="s">
        <v>824</v>
      </c>
      <c r="D384" s="166" t="s">
        <v>990</v>
      </c>
      <c r="E384" s="166" t="s">
        <v>879</v>
      </c>
      <c r="F384" s="167">
        <v>43739</v>
      </c>
      <c r="G384" s="167">
        <v>44104</v>
      </c>
      <c r="H384" s="168">
        <v>5000</v>
      </c>
    </row>
    <row r="385" spans="1:8" ht="13.7" customHeight="1" x14ac:dyDescent="0.25">
      <c r="A385" s="166" t="s">
        <v>1000</v>
      </c>
      <c r="B385" s="166" t="s">
        <v>981</v>
      </c>
      <c r="C385" s="166" t="s">
        <v>824</v>
      </c>
      <c r="D385" s="166" t="s">
        <v>990</v>
      </c>
      <c r="E385" s="166" t="s">
        <v>879</v>
      </c>
      <c r="F385" s="167">
        <v>43739</v>
      </c>
      <c r="G385" s="167">
        <v>44104</v>
      </c>
      <c r="H385" s="168">
        <v>23390</v>
      </c>
    </row>
    <row r="386" spans="1:8" ht="13.7" customHeight="1" x14ac:dyDescent="0.25">
      <c r="A386" s="166" t="s">
        <v>1001</v>
      </c>
      <c r="B386" s="166" t="s">
        <v>981</v>
      </c>
      <c r="C386" s="166" t="s">
        <v>824</v>
      </c>
      <c r="D386" s="166" t="s">
        <v>990</v>
      </c>
      <c r="E386" s="166" t="s">
        <v>879</v>
      </c>
      <c r="F386" s="167">
        <v>43739</v>
      </c>
      <c r="G386" s="167">
        <v>44104</v>
      </c>
      <c r="H386" s="168">
        <v>18632</v>
      </c>
    </row>
    <row r="387" spans="1:8" ht="13.7" customHeight="1" x14ac:dyDescent="0.25">
      <c r="A387" s="166" t="s">
        <v>1002</v>
      </c>
      <c r="B387" s="166" t="s">
        <v>981</v>
      </c>
      <c r="C387" s="166" t="s">
        <v>824</v>
      </c>
      <c r="D387" s="166" t="s">
        <v>990</v>
      </c>
      <c r="E387" s="166" t="s">
        <v>879</v>
      </c>
      <c r="F387" s="167">
        <v>43739</v>
      </c>
      <c r="G387" s="167">
        <v>44104</v>
      </c>
      <c r="H387" s="168">
        <v>14516</v>
      </c>
    </row>
    <row r="388" spans="1:8" ht="13.7" customHeight="1" x14ac:dyDescent="0.25">
      <c r="A388" s="166" t="s">
        <v>1002</v>
      </c>
      <c r="B388" s="166" t="s">
        <v>981</v>
      </c>
      <c r="C388" s="166" t="s">
        <v>824</v>
      </c>
      <c r="D388" s="166" t="s">
        <v>990</v>
      </c>
      <c r="E388" s="166" t="s">
        <v>879</v>
      </c>
      <c r="F388" s="167">
        <v>43739</v>
      </c>
      <c r="G388" s="167">
        <v>44104</v>
      </c>
      <c r="H388" s="168">
        <v>5602</v>
      </c>
    </row>
    <row r="389" spans="1:8" ht="13.7" customHeight="1" x14ac:dyDescent="0.25">
      <c r="A389" s="166" t="s">
        <v>1003</v>
      </c>
      <c r="B389" s="166" t="s">
        <v>981</v>
      </c>
      <c r="C389" s="166" t="s">
        <v>824</v>
      </c>
      <c r="D389" s="166" t="s">
        <v>990</v>
      </c>
      <c r="E389" s="166" t="s">
        <v>879</v>
      </c>
      <c r="F389" s="167">
        <v>43739</v>
      </c>
      <c r="G389" s="167">
        <v>44104</v>
      </c>
      <c r="H389" s="168">
        <v>0</v>
      </c>
    </row>
    <row r="390" spans="1:8" ht="13.7" customHeight="1" x14ac:dyDescent="0.25">
      <c r="A390" s="166" t="s">
        <v>1003</v>
      </c>
      <c r="B390" s="166" t="s">
        <v>981</v>
      </c>
      <c r="C390" s="166" t="s">
        <v>824</v>
      </c>
      <c r="D390" s="166" t="s">
        <v>990</v>
      </c>
      <c r="E390" s="166" t="s">
        <v>879</v>
      </c>
      <c r="F390" s="167">
        <v>43739</v>
      </c>
      <c r="G390" s="167">
        <v>44104</v>
      </c>
      <c r="H390" s="168">
        <v>0</v>
      </c>
    </row>
    <row r="391" spans="1:8" ht="13.7" customHeight="1" x14ac:dyDescent="0.25">
      <c r="A391" s="166" t="s">
        <v>1003</v>
      </c>
      <c r="B391" s="166" t="s">
        <v>981</v>
      </c>
      <c r="C391" s="166" t="s">
        <v>824</v>
      </c>
      <c r="D391" s="166" t="s">
        <v>990</v>
      </c>
      <c r="E391" s="166" t="s">
        <v>879</v>
      </c>
      <c r="F391" s="167">
        <v>43739</v>
      </c>
      <c r="G391" s="167">
        <v>44104</v>
      </c>
      <c r="H391" s="168">
        <v>24000</v>
      </c>
    </row>
    <row r="392" spans="1:8" ht="13.7" customHeight="1" x14ac:dyDescent="0.25">
      <c r="A392" s="166" t="s">
        <v>1004</v>
      </c>
      <c r="B392" s="166" t="s">
        <v>981</v>
      </c>
      <c r="C392" s="166" t="s">
        <v>824</v>
      </c>
      <c r="D392" s="166" t="s">
        <v>990</v>
      </c>
      <c r="E392" s="166" t="s">
        <v>879</v>
      </c>
      <c r="F392" s="167">
        <v>43739</v>
      </c>
      <c r="G392" s="167">
        <v>44104</v>
      </c>
      <c r="H392" s="168">
        <v>19000</v>
      </c>
    </row>
    <row r="393" spans="1:8" ht="13.7" customHeight="1" x14ac:dyDescent="0.25">
      <c r="A393" s="166" t="s">
        <v>1005</v>
      </c>
      <c r="B393" s="166" t="s">
        <v>981</v>
      </c>
      <c r="C393" s="166" t="s">
        <v>824</v>
      </c>
      <c r="D393" s="166" t="s">
        <v>990</v>
      </c>
      <c r="E393" s="166" t="s">
        <v>879</v>
      </c>
      <c r="F393" s="167">
        <v>43739</v>
      </c>
      <c r="G393" s="167">
        <v>44104</v>
      </c>
      <c r="H393" s="168">
        <v>43193</v>
      </c>
    </row>
    <row r="394" spans="1:8" ht="13.7" customHeight="1" x14ac:dyDescent="0.25">
      <c r="A394" s="166" t="s">
        <v>1006</v>
      </c>
      <c r="B394" s="166" t="s">
        <v>981</v>
      </c>
      <c r="C394" s="166" t="s">
        <v>824</v>
      </c>
      <c r="D394" s="166" t="s">
        <v>990</v>
      </c>
      <c r="E394" s="166" t="s">
        <v>879</v>
      </c>
      <c r="F394" s="167">
        <v>43739</v>
      </c>
      <c r="G394" s="167">
        <v>44104</v>
      </c>
      <c r="H394" s="168">
        <v>11000</v>
      </c>
    </row>
    <row r="395" spans="1:8" ht="13.7" customHeight="1" x14ac:dyDescent="0.25">
      <c r="A395" s="166" t="s">
        <v>1006</v>
      </c>
      <c r="B395" s="166" t="s">
        <v>981</v>
      </c>
      <c r="C395" s="166" t="s">
        <v>824</v>
      </c>
      <c r="D395" s="166" t="s">
        <v>990</v>
      </c>
      <c r="E395" s="166" t="s">
        <v>879</v>
      </c>
      <c r="F395" s="167">
        <v>43739</v>
      </c>
      <c r="G395" s="167">
        <v>44104</v>
      </c>
      <c r="H395" s="168">
        <v>9092</v>
      </c>
    </row>
    <row r="396" spans="1:8" ht="13.7" customHeight="1" x14ac:dyDescent="0.25">
      <c r="A396" s="166" t="s">
        <v>1007</v>
      </c>
      <c r="B396" s="166" t="s">
        <v>1008</v>
      </c>
      <c r="C396" s="166" t="s">
        <v>824</v>
      </c>
      <c r="D396" s="166" t="s">
        <v>1009</v>
      </c>
      <c r="E396" s="166" t="s">
        <v>914</v>
      </c>
      <c r="F396" s="167">
        <v>43647</v>
      </c>
      <c r="G396" s="167">
        <v>44012</v>
      </c>
      <c r="H396" s="168">
        <v>-1800</v>
      </c>
    </row>
    <row r="397" spans="1:8" ht="13.7" customHeight="1" x14ac:dyDescent="0.25">
      <c r="A397" s="166" t="s">
        <v>1007</v>
      </c>
      <c r="B397" s="166" t="s">
        <v>1008</v>
      </c>
      <c r="C397" s="166" t="s">
        <v>824</v>
      </c>
      <c r="D397" s="166" t="s">
        <v>1009</v>
      </c>
      <c r="E397" s="166" t="s">
        <v>914</v>
      </c>
      <c r="F397" s="167">
        <v>43647</v>
      </c>
      <c r="G397" s="167">
        <v>44012</v>
      </c>
      <c r="H397" s="168">
        <v>1800</v>
      </c>
    </row>
    <row r="398" spans="1:8" ht="13.7" customHeight="1" x14ac:dyDescent="0.25">
      <c r="A398" s="166" t="s">
        <v>1007</v>
      </c>
      <c r="B398" s="166" t="s">
        <v>1008</v>
      </c>
      <c r="C398" s="166" t="s">
        <v>824</v>
      </c>
      <c r="D398" s="166" t="s">
        <v>1009</v>
      </c>
      <c r="E398" s="166" t="s">
        <v>914</v>
      </c>
      <c r="F398" s="167">
        <v>43647</v>
      </c>
      <c r="G398" s="167">
        <v>44012</v>
      </c>
      <c r="H398" s="168">
        <v>198641</v>
      </c>
    </row>
    <row r="399" spans="1:8" ht="13.7" customHeight="1" x14ac:dyDescent="0.25">
      <c r="A399" s="166" t="s">
        <v>1007</v>
      </c>
      <c r="B399" s="166" t="s">
        <v>1008</v>
      </c>
      <c r="C399" s="166" t="s">
        <v>824</v>
      </c>
      <c r="D399" s="166" t="s">
        <v>1009</v>
      </c>
      <c r="E399" s="166" t="s">
        <v>914</v>
      </c>
      <c r="F399" s="167">
        <v>43647</v>
      </c>
      <c r="G399" s="167">
        <v>44012</v>
      </c>
      <c r="H399" s="168">
        <v>17835</v>
      </c>
    </row>
    <row r="400" spans="1:8" ht="13.7" customHeight="1" x14ac:dyDescent="0.25">
      <c r="A400" s="166" t="s">
        <v>1010</v>
      </c>
      <c r="B400" s="166" t="s">
        <v>1008</v>
      </c>
      <c r="C400" s="166" t="s">
        <v>824</v>
      </c>
      <c r="D400" s="166" t="s">
        <v>1011</v>
      </c>
      <c r="E400" s="166" t="s">
        <v>914</v>
      </c>
      <c r="F400" s="167">
        <v>44013</v>
      </c>
      <c r="G400" s="167">
        <v>44377</v>
      </c>
      <c r="H400" s="168">
        <v>161888</v>
      </c>
    </row>
    <row r="401" spans="1:8" ht="13.7" customHeight="1" x14ac:dyDescent="0.25">
      <c r="A401" s="166" t="s">
        <v>1012</v>
      </c>
      <c r="B401" s="166" t="s">
        <v>1008</v>
      </c>
      <c r="C401" s="166" t="s">
        <v>824</v>
      </c>
      <c r="D401" s="166" t="s">
        <v>1013</v>
      </c>
      <c r="E401" s="166" t="s">
        <v>497</v>
      </c>
      <c r="F401" s="167">
        <v>42986</v>
      </c>
      <c r="G401" s="167">
        <v>44469</v>
      </c>
      <c r="H401" s="168">
        <v>5737.87</v>
      </c>
    </row>
    <row r="402" spans="1:8" ht="13.7" customHeight="1" x14ac:dyDescent="0.25">
      <c r="A402" s="166" t="s">
        <v>1012</v>
      </c>
      <c r="B402" s="166" t="s">
        <v>1008</v>
      </c>
      <c r="C402" s="166" t="s">
        <v>824</v>
      </c>
      <c r="D402" s="166" t="s">
        <v>1013</v>
      </c>
      <c r="E402" s="166" t="s">
        <v>497</v>
      </c>
      <c r="F402" s="167">
        <v>42986</v>
      </c>
      <c r="G402" s="167">
        <v>44469</v>
      </c>
      <c r="H402" s="168">
        <v>-5737.87</v>
      </c>
    </row>
    <row r="403" spans="1:8" ht="13.7" customHeight="1" x14ac:dyDescent="0.25">
      <c r="A403" s="166" t="s">
        <v>1014</v>
      </c>
      <c r="B403" s="166" t="s">
        <v>1008</v>
      </c>
      <c r="C403" s="166" t="s">
        <v>824</v>
      </c>
      <c r="D403" s="166" t="s">
        <v>1015</v>
      </c>
      <c r="E403" s="166" t="s">
        <v>686</v>
      </c>
      <c r="F403" s="167">
        <v>43122</v>
      </c>
      <c r="G403" s="167">
        <v>44834</v>
      </c>
      <c r="H403" s="168">
        <v>-33363.51</v>
      </c>
    </row>
    <row r="404" spans="1:8" ht="13.7" customHeight="1" x14ac:dyDescent="0.25">
      <c r="A404" s="166" t="s">
        <v>1014</v>
      </c>
      <c r="B404" s="166" t="s">
        <v>1008</v>
      </c>
      <c r="C404" s="166" t="s">
        <v>824</v>
      </c>
      <c r="D404" s="166" t="s">
        <v>1015</v>
      </c>
      <c r="E404" s="166" t="s">
        <v>686</v>
      </c>
      <c r="F404" s="167">
        <v>43122</v>
      </c>
      <c r="G404" s="167">
        <v>44834</v>
      </c>
      <c r="H404" s="168">
        <v>121077.87</v>
      </c>
    </row>
    <row r="405" spans="1:8" ht="13.7" customHeight="1" x14ac:dyDescent="0.25">
      <c r="A405" s="166" t="s">
        <v>1016</v>
      </c>
      <c r="B405" s="166" t="s">
        <v>1008</v>
      </c>
      <c r="C405" s="166" t="s">
        <v>824</v>
      </c>
      <c r="D405" s="166" t="s">
        <v>1017</v>
      </c>
      <c r="E405" s="166" t="s">
        <v>497</v>
      </c>
      <c r="F405" s="167">
        <v>43614</v>
      </c>
      <c r="G405" s="167">
        <v>45437</v>
      </c>
      <c r="H405" s="168">
        <v>40533.360000000001</v>
      </c>
    </row>
    <row r="406" spans="1:8" ht="13.7" customHeight="1" x14ac:dyDescent="0.25">
      <c r="A406" s="166" t="s">
        <v>1018</v>
      </c>
      <c r="B406" s="166" t="s">
        <v>1008</v>
      </c>
      <c r="C406" s="166" t="s">
        <v>824</v>
      </c>
      <c r="D406" s="166" t="s">
        <v>1019</v>
      </c>
      <c r="E406" s="166" t="s">
        <v>497</v>
      </c>
      <c r="F406" s="167">
        <v>43714</v>
      </c>
      <c r="G406" s="167">
        <v>44469</v>
      </c>
      <c r="H406" s="168">
        <v>1886</v>
      </c>
    </row>
    <row r="407" spans="1:8" ht="13.7" customHeight="1" x14ac:dyDescent="0.25">
      <c r="A407" s="166" t="s">
        <v>1018</v>
      </c>
      <c r="B407" s="166" t="s">
        <v>1008</v>
      </c>
      <c r="C407" s="166" t="s">
        <v>824</v>
      </c>
      <c r="D407" s="166" t="s">
        <v>1019</v>
      </c>
      <c r="E407" s="166" t="s">
        <v>497</v>
      </c>
      <c r="F407" s="167">
        <v>43714</v>
      </c>
      <c r="G407" s="167">
        <v>44469</v>
      </c>
      <c r="H407" s="168">
        <v>-1886</v>
      </c>
    </row>
    <row r="408" spans="1:8" ht="13.7" customHeight="1" x14ac:dyDescent="0.25">
      <c r="A408" s="166" t="s">
        <v>1018</v>
      </c>
      <c r="B408" s="166" t="s">
        <v>1008</v>
      </c>
      <c r="C408" s="166" t="s">
        <v>824</v>
      </c>
      <c r="D408" s="166" t="s">
        <v>1019</v>
      </c>
      <c r="E408" s="166" t="s">
        <v>497</v>
      </c>
      <c r="F408" s="167">
        <v>43714</v>
      </c>
      <c r="G408" s="167">
        <v>44469</v>
      </c>
      <c r="H408" s="168">
        <v>227813</v>
      </c>
    </row>
    <row r="409" spans="1:8" ht="13.7" customHeight="1" x14ac:dyDescent="0.25">
      <c r="A409" s="166" t="s">
        <v>1020</v>
      </c>
      <c r="B409" s="166" t="s">
        <v>1008</v>
      </c>
      <c r="C409" s="166" t="s">
        <v>824</v>
      </c>
      <c r="D409" s="166" t="s">
        <v>1021</v>
      </c>
      <c r="E409" s="166" t="s">
        <v>497</v>
      </c>
      <c r="F409" s="167">
        <v>43843</v>
      </c>
      <c r="G409" s="167">
        <v>45657</v>
      </c>
      <c r="H409" s="168">
        <v>11130.15</v>
      </c>
    </row>
    <row r="410" spans="1:8" ht="13.7" customHeight="1" x14ac:dyDescent="0.25">
      <c r="A410" s="166" t="s">
        <v>1022</v>
      </c>
      <c r="B410" s="166" t="s">
        <v>1008</v>
      </c>
      <c r="C410" s="166" t="s">
        <v>824</v>
      </c>
      <c r="D410" s="166" t="s">
        <v>1023</v>
      </c>
      <c r="E410" s="166" t="s">
        <v>1024</v>
      </c>
      <c r="F410" s="167">
        <v>43922</v>
      </c>
      <c r="G410" s="167">
        <v>44469</v>
      </c>
      <c r="H410" s="168">
        <v>32602</v>
      </c>
    </row>
    <row r="411" spans="1:8" ht="13.7" customHeight="1" x14ac:dyDescent="0.25">
      <c r="A411" s="166" t="s">
        <v>1025</v>
      </c>
      <c r="B411" s="166" t="s">
        <v>1026</v>
      </c>
      <c r="C411" s="166" t="s">
        <v>824</v>
      </c>
      <c r="D411" s="166" t="s">
        <v>1027</v>
      </c>
      <c r="E411" s="166" t="s">
        <v>497</v>
      </c>
      <c r="F411" s="167">
        <v>43663</v>
      </c>
      <c r="G411" s="167">
        <v>45422</v>
      </c>
      <c r="H411" s="168">
        <v>60000</v>
      </c>
    </row>
    <row r="412" spans="1:8" ht="13.7" customHeight="1" x14ac:dyDescent="0.25">
      <c r="A412" s="166" t="s">
        <v>1028</v>
      </c>
      <c r="B412" s="166" t="s">
        <v>1026</v>
      </c>
      <c r="C412" s="166" t="s">
        <v>824</v>
      </c>
      <c r="D412" s="166" t="s">
        <v>1029</v>
      </c>
      <c r="E412" s="166" t="s">
        <v>486</v>
      </c>
      <c r="F412" s="167">
        <v>43252</v>
      </c>
      <c r="G412" s="167">
        <v>43982</v>
      </c>
      <c r="H412" s="168">
        <v>46000</v>
      </c>
    </row>
    <row r="413" spans="1:8" ht="13.7" customHeight="1" x14ac:dyDescent="0.25">
      <c r="A413" s="166" t="s">
        <v>1030</v>
      </c>
      <c r="B413" s="166" t="s">
        <v>1026</v>
      </c>
      <c r="C413" s="166" t="s">
        <v>824</v>
      </c>
      <c r="D413" s="166" t="s">
        <v>1031</v>
      </c>
      <c r="E413" s="166" t="s">
        <v>486</v>
      </c>
      <c r="F413" s="167">
        <v>43313</v>
      </c>
      <c r="G413" s="167">
        <v>44408</v>
      </c>
      <c r="H413" s="168">
        <v>40000</v>
      </c>
    </row>
    <row r="414" spans="1:8" ht="13.7" customHeight="1" x14ac:dyDescent="0.25">
      <c r="A414" s="166" t="s">
        <v>1032</v>
      </c>
      <c r="B414" s="166" t="s">
        <v>1033</v>
      </c>
      <c r="C414" s="166" t="s">
        <v>824</v>
      </c>
      <c r="D414" s="166" t="s">
        <v>1034</v>
      </c>
      <c r="E414" s="166" t="s">
        <v>1035</v>
      </c>
      <c r="F414" s="167">
        <v>43282</v>
      </c>
      <c r="G414" s="167">
        <v>45107</v>
      </c>
      <c r="H414" s="168">
        <v>12060</v>
      </c>
    </row>
    <row r="415" spans="1:8" ht="13.7" customHeight="1" x14ac:dyDescent="0.25">
      <c r="A415" s="166" t="s">
        <v>1032</v>
      </c>
      <c r="B415" s="166" t="s">
        <v>1033</v>
      </c>
      <c r="C415" s="166" t="s">
        <v>824</v>
      </c>
      <c r="D415" s="166" t="s">
        <v>1034</v>
      </c>
      <c r="E415" s="166" t="s">
        <v>1035</v>
      </c>
      <c r="F415" s="167">
        <v>43282</v>
      </c>
      <c r="G415" s="167">
        <v>45107</v>
      </c>
      <c r="H415" s="168">
        <v>134000</v>
      </c>
    </row>
    <row r="416" spans="1:8" ht="13.7" customHeight="1" x14ac:dyDescent="0.25">
      <c r="A416" s="166" t="s">
        <v>1036</v>
      </c>
      <c r="B416" s="166" t="s">
        <v>1033</v>
      </c>
      <c r="C416" s="166" t="s">
        <v>824</v>
      </c>
      <c r="D416" s="166" t="s">
        <v>1037</v>
      </c>
      <c r="E416" s="166" t="s">
        <v>1038</v>
      </c>
      <c r="F416" s="167">
        <v>43647</v>
      </c>
      <c r="G416" s="167">
        <v>44742</v>
      </c>
      <c r="H416" s="168">
        <v>130573</v>
      </c>
    </row>
    <row r="417" spans="1:8" ht="13.7" customHeight="1" x14ac:dyDescent="0.25">
      <c r="A417" s="166" t="s">
        <v>1036</v>
      </c>
      <c r="B417" s="166" t="s">
        <v>1033</v>
      </c>
      <c r="C417" s="166" t="s">
        <v>824</v>
      </c>
      <c r="D417" s="166" t="s">
        <v>1037</v>
      </c>
      <c r="E417" s="166" t="s">
        <v>1038</v>
      </c>
      <c r="F417" s="167">
        <v>43647</v>
      </c>
      <c r="G417" s="167">
        <v>44742</v>
      </c>
      <c r="H417" s="168">
        <v>3500</v>
      </c>
    </row>
    <row r="418" spans="1:8" ht="13.7" customHeight="1" x14ac:dyDescent="0.25">
      <c r="A418" s="166" t="s">
        <v>1039</v>
      </c>
      <c r="B418" s="166" t="s">
        <v>1033</v>
      </c>
      <c r="C418" s="166" t="s">
        <v>824</v>
      </c>
      <c r="D418" s="166" t="s">
        <v>1040</v>
      </c>
      <c r="E418" s="166" t="s">
        <v>1041</v>
      </c>
      <c r="F418" s="167">
        <v>43726</v>
      </c>
      <c r="G418" s="167">
        <v>45473</v>
      </c>
      <c r="H418" s="168">
        <v>400743</v>
      </c>
    </row>
    <row r="419" spans="1:8" ht="13.7" customHeight="1" x14ac:dyDescent="0.25">
      <c r="A419" s="166" t="s">
        <v>1039</v>
      </c>
      <c r="B419" s="166" t="s">
        <v>1033</v>
      </c>
      <c r="C419" s="166" t="s">
        <v>824</v>
      </c>
      <c r="D419" s="166" t="s">
        <v>1040</v>
      </c>
      <c r="E419" s="166" t="s">
        <v>1041</v>
      </c>
      <c r="F419" s="167">
        <v>43726</v>
      </c>
      <c r="G419" s="167">
        <v>45473</v>
      </c>
      <c r="H419" s="168">
        <v>312218</v>
      </c>
    </row>
    <row r="420" spans="1:8" ht="13.7" customHeight="1" x14ac:dyDescent="0.25">
      <c r="A420" s="166" t="s">
        <v>1042</v>
      </c>
      <c r="B420" s="166" t="s">
        <v>1033</v>
      </c>
      <c r="C420" s="166" t="s">
        <v>824</v>
      </c>
      <c r="D420" s="166" t="s">
        <v>1043</v>
      </c>
      <c r="E420" s="166" t="s">
        <v>1044</v>
      </c>
      <c r="F420" s="167">
        <v>43882</v>
      </c>
      <c r="G420" s="167">
        <v>44742</v>
      </c>
      <c r="H420" s="168">
        <v>68706</v>
      </c>
    </row>
    <row r="421" spans="1:8" ht="13.7" customHeight="1" x14ac:dyDescent="0.25">
      <c r="A421" s="166" t="s">
        <v>1045</v>
      </c>
      <c r="B421" s="166" t="s">
        <v>1046</v>
      </c>
      <c r="C421" s="166" t="s">
        <v>824</v>
      </c>
      <c r="D421" s="166" t="s">
        <v>1047</v>
      </c>
      <c r="E421" s="166" t="s">
        <v>1048</v>
      </c>
      <c r="F421" s="167">
        <v>43466</v>
      </c>
      <c r="G421" s="167">
        <v>44561</v>
      </c>
      <c r="H421" s="168">
        <v>0</v>
      </c>
    </row>
    <row r="422" spans="1:8" ht="13.7" customHeight="1" x14ac:dyDescent="0.25">
      <c r="A422" s="166" t="s">
        <v>1045</v>
      </c>
      <c r="B422" s="166" t="s">
        <v>1046</v>
      </c>
      <c r="C422" s="166" t="s">
        <v>824</v>
      </c>
      <c r="D422" s="166" t="s">
        <v>1047</v>
      </c>
      <c r="E422" s="166" t="s">
        <v>1048</v>
      </c>
      <c r="F422" s="167">
        <v>43466</v>
      </c>
      <c r="G422" s="167">
        <v>44561</v>
      </c>
      <c r="H422" s="168">
        <v>0</v>
      </c>
    </row>
    <row r="423" spans="1:8" ht="13.7" customHeight="1" x14ac:dyDescent="0.25">
      <c r="A423" s="166" t="s">
        <v>1049</v>
      </c>
      <c r="B423" s="166" t="s">
        <v>1046</v>
      </c>
      <c r="C423" s="166" t="s">
        <v>824</v>
      </c>
      <c r="D423" s="166" t="s">
        <v>1050</v>
      </c>
      <c r="E423" s="166" t="s">
        <v>497</v>
      </c>
      <c r="F423" s="167">
        <v>43679</v>
      </c>
      <c r="G423" s="167">
        <v>45443</v>
      </c>
      <c r="H423" s="168">
        <v>40826</v>
      </c>
    </row>
    <row r="424" spans="1:8" ht="13.7" customHeight="1" x14ac:dyDescent="0.25">
      <c r="A424" s="166" t="s">
        <v>1051</v>
      </c>
      <c r="B424" s="166" t="s">
        <v>1052</v>
      </c>
      <c r="C424" s="166" t="s">
        <v>824</v>
      </c>
      <c r="D424" s="166" t="s">
        <v>1053</v>
      </c>
      <c r="E424" s="166" t="s">
        <v>1054</v>
      </c>
      <c r="F424" s="167">
        <v>42552</v>
      </c>
      <c r="G424" s="167">
        <v>43434</v>
      </c>
      <c r="H424" s="168">
        <v>-120574.64</v>
      </c>
    </row>
    <row r="425" spans="1:8" ht="13.7" customHeight="1" x14ac:dyDescent="0.25">
      <c r="A425" s="166" t="s">
        <v>1055</v>
      </c>
      <c r="B425" s="166" t="s">
        <v>1052</v>
      </c>
      <c r="C425" s="166" t="s">
        <v>824</v>
      </c>
      <c r="D425" s="166" t="s">
        <v>1056</v>
      </c>
      <c r="E425" s="166" t="s">
        <v>1057</v>
      </c>
      <c r="F425" s="167">
        <v>42917</v>
      </c>
      <c r="G425" s="167">
        <v>44377</v>
      </c>
      <c r="H425" s="168">
        <v>219415</v>
      </c>
    </row>
    <row r="426" spans="1:8" ht="13.7" customHeight="1" x14ac:dyDescent="0.25">
      <c r="A426" s="166" t="s">
        <v>1055</v>
      </c>
      <c r="B426" s="166" t="s">
        <v>1052</v>
      </c>
      <c r="C426" s="166" t="s">
        <v>824</v>
      </c>
      <c r="D426" s="166" t="s">
        <v>1056</v>
      </c>
      <c r="E426" s="166" t="s">
        <v>1057</v>
      </c>
      <c r="F426" s="167">
        <v>42917</v>
      </c>
      <c r="G426" s="167">
        <v>44377</v>
      </c>
      <c r="H426" s="168">
        <v>0</v>
      </c>
    </row>
    <row r="427" spans="1:8" ht="13.7" customHeight="1" x14ac:dyDescent="0.25">
      <c r="A427" s="166" t="s">
        <v>1055</v>
      </c>
      <c r="B427" s="166" t="s">
        <v>1052</v>
      </c>
      <c r="C427" s="166" t="s">
        <v>824</v>
      </c>
      <c r="D427" s="166" t="s">
        <v>1056</v>
      </c>
      <c r="E427" s="166" t="s">
        <v>1057</v>
      </c>
      <c r="F427" s="167">
        <v>42917</v>
      </c>
      <c r="G427" s="167">
        <v>44377</v>
      </c>
      <c r="H427" s="168">
        <v>190630</v>
      </c>
    </row>
    <row r="428" spans="1:8" ht="13.7" customHeight="1" x14ac:dyDescent="0.25">
      <c r="A428" s="166" t="s">
        <v>1055</v>
      </c>
      <c r="B428" s="166" t="s">
        <v>1052</v>
      </c>
      <c r="C428" s="166" t="s">
        <v>824</v>
      </c>
      <c r="D428" s="166" t="s">
        <v>1056</v>
      </c>
      <c r="E428" s="166" t="s">
        <v>1057</v>
      </c>
      <c r="F428" s="167">
        <v>42917</v>
      </c>
      <c r="G428" s="167">
        <v>44377</v>
      </c>
      <c r="H428" s="168">
        <v>1195</v>
      </c>
    </row>
    <row r="429" spans="1:8" ht="13.7" customHeight="1" x14ac:dyDescent="0.25">
      <c r="A429" s="166" t="s">
        <v>1055</v>
      </c>
      <c r="B429" s="166" t="s">
        <v>1052</v>
      </c>
      <c r="C429" s="166" t="s">
        <v>824</v>
      </c>
      <c r="D429" s="166" t="s">
        <v>1056</v>
      </c>
      <c r="E429" s="166" t="s">
        <v>1057</v>
      </c>
      <c r="F429" s="167">
        <v>42917</v>
      </c>
      <c r="G429" s="167">
        <v>44377</v>
      </c>
      <c r="H429" s="168">
        <v>-700</v>
      </c>
    </row>
    <row r="430" spans="1:8" ht="13.7" customHeight="1" x14ac:dyDescent="0.25">
      <c r="A430" s="166" t="s">
        <v>1055</v>
      </c>
      <c r="B430" s="166" t="s">
        <v>1052</v>
      </c>
      <c r="C430" s="166" t="s">
        <v>824</v>
      </c>
      <c r="D430" s="166" t="s">
        <v>1056</v>
      </c>
      <c r="E430" s="166" t="s">
        <v>1057</v>
      </c>
      <c r="F430" s="167">
        <v>42917</v>
      </c>
      <c r="G430" s="167">
        <v>44377</v>
      </c>
      <c r="H430" s="168">
        <v>0</v>
      </c>
    </row>
    <row r="431" spans="1:8" ht="13.7" customHeight="1" x14ac:dyDescent="0.25">
      <c r="A431" s="166" t="s">
        <v>1058</v>
      </c>
      <c r="B431" s="166" t="s">
        <v>1052</v>
      </c>
      <c r="C431" s="166" t="s">
        <v>824</v>
      </c>
      <c r="D431" s="166" t="s">
        <v>1059</v>
      </c>
      <c r="E431" s="166" t="s">
        <v>1060</v>
      </c>
      <c r="F431" s="167">
        <v>43118</v>
      </c>
      <c r="G431" s="167">
        <v>44012</v>
      </c>
      <c r="H431" s="168">
        <v>25441</v>
      </c>
    </row>
    <row r="432" spans="1:8" ht="13.7" customHeight="1" x14ac:dyDescent="0.25">
      <c r="A432" s="166" t="s">
        <v>1058</v>
      </c>
      <c r="B432" s="166" t="s">
        <v>1052</v>
      </c>
      <c r="C432" s="166" t="s">
        <v>824</v>
      </c>
      <c r="D432" s="166" t="s">
        <v>1059</v>
      </c>
      <c r="E432" s="166" t="s">
        <v>1060</v>
      </c>
      <c r="F432" s="167">
        <v>43118</v>
      </c>
      <c r="G432" s="167">
        <v>44012</v>
      </c>
      <c r="H432" s="168">
        <v>1114</v>
      </c>
    </row>
    <row r="433" spans="1:8" ht="13.7" customHeight="1" x14ac:dyDescent="0.25">
      <c r="A433" s="166" t="s">
        <v>1061</v>
      </c>
      <c r="B433" s="166" t="s">
        <v>1052</v>
      </c>
      <c r="C433" s="166" t="s">
        <v>824</v>
      </c>
      <c r="D433" s="166" t="s">
        <v>1062</v>
      </c>
      <c r="E433" s="166" t="s">
        <v>497</v>
      </c>
      <c r="F433" s="167">
        <v>43321</v>
      </c>
      <c r="G433" s="167">
        <v>45061</v>
      </c>
      <c r="H433" s="168">
        <v>0</v>
      </c>
    </row>
    <row r="434" spans="1:8" ht="13.7" customHeight="1" x14ac:dyDescent="0.25">
      <c r="A434" s="166" t="s">
        <v>1061</v>
      </c>
      <c r="B434" s="166" t="s">
        <v>1052</v>
      </c>
      <c r="C434" s="166" t="s">
        <v>824</v>
      </c>
      <c r="D434" s="166" t="s">
        <v>1062</v>
      </c>
      <c r="E434" s="166" t="s">
        <v>497</v>
      </c>
      <c r="F434" s="167">
        <v>43321</v>
      </c>
      <c r="G434" s="167">
        <v>45061</v>
      </c>
      <c r="H434" s="168">
        <v>0</v>
      </c>
    </row>
    <row r="435" spans="1:8" ht="13.7" customHeight="1" x14ac:dyDescent="0.25">
      <c r="A435" s="166" t="s">
        <v>1061</v>
      </c>
      <c r="B435" s="166" t="s">
        <v>1052</v>
      </c>
      <c r="C435" s="166" t="s">
        <v>824</v>
      </c>
      <c r="D435" s="166" t="s">
        <v>1062</v>
      </c>
      <c r="E435" s="166" t="s">
        <v>497</v>
      </c>
      <c r="F435" s="167">
        <v>43321</v>
      </c>
      <c r="G435" s="167">
        <v>45061</v>
      </c>
      <c r="H435" s="168">
        <v>0</v>
      </c>
    </row>
    <row r="436" spans="1:8" ht="13.7" customHeight="1" x14ac:dyDescent="0.25">
      <c r="A436" s="166" t="s">
        <v>1063</v>
      </c>
      <c r="B436" s="166" t="s">
        <v>1052</v>
      </c>
      <c r="C436" s="166" t="s">
        <v>824</v>
      </c>
      <c r="D436" s="166" t="s">
        <v>1064</v>
      </c>
      <c r="E436" s="166" t="s">
        <v>497</v>
      </c>
      <c r="F436" s="167">
        <v>42514</v>
      </c>
      <c r="G436" s="167">
        <v>44317</v>
      </c>
      <c r="H436" s="168">
        <v>0</v>
      </c>
    </row>
    <row r="437" spans="1:8" ht="13.7" customHeight="1" x14ac:dyDescent="0.25">
      <c r="A437" s="166" t="s">
        <v>1063</v>
      </c>
      <c r="B437" s="166" t="s">
        <v>1052</v>
      </c>
      <c r="C437" s="166" t="s">
        <v>824</v>
      </c>
      <c r="D437" s="166" t="s">
        <v>1064</v>
      </c>
      <c r="E437" s="166" t="s">
        <v>497</v>
      </c>
      <c r="F437" s="167">
        <v>42514</v>
      </c>
      <c r="G437" s="167">
        <v>44317</v>
      </c>
      <c r="H437" s="168">
        <v>-11584.18</v>
      </c>
    </row>
    <row r="438" spans="1:8" ht="13.7" customHeight="1" x14ac:dyDescent="0.25">
      <c r="A438" s="166" t="s">
        <v>1063</v>
      </c>
      <c r="B438" s="166" t="s">
        <v>1052</v>
      </c>
      <c r="C438" s="166" t="s">
        <v>824</v>
      </c>
      <c r="D438" s="166" t="s">
        <v>1064</v>
      </c>
      <c r="E438" s="166" t="s">
        <v>497</v>
      </c>
      <c r="F438" s="167">
        <v>42514</v>
      </c>
      <c r="G438" s="167">
        <v>44317</v>
      </c>
      <c r="H438" s="168">
        <v>11584.18</v>
      </c>
    </row>
    <row r="439" spans="1:8" ht="13.7" customHeight="1" x14ac:dyDescent="0.25">
      <c r="A439" s="166" t="s">
        <v>1063</v>
      </c>
      <c r="B439" s="166" t="s">
        <v>1052</v>
      </c>
      <c r="C439" s="166" t="s">
        <v>824</v>
      </c>
      <c r="D439" s="166" t="s">
        <v>1064</v>
      </c>
      <c r="E439" s="166" t="s">
        <v>497</v>
      </c>
      <c r="F439" s="167">
        <v>42514</v>
      </c>
      <c r="G439" s="167">
        <v>44317</v>
      </c>
      <c r="H439" s="168">
        <v>0</v>
      </c>
    </row>
    <row r="440" spans="1:8" ht="13.7" customHeight="1" x14ac:dyDescent="0.25">
      <c r="A440" s="166" t="s">
        <v>1065</v>
      </c>
      <c r="B440" s="166" t="s">
        <v>1052</v>
      </c>
      <c r="C440" s="166" t="s">
        <v>824</v>
      </c>
      <c r="D440" s="166" t="s">
        <v>1066</v>
      </c>
      <c r="E440" s="166" t="s">
        <v>497</v>
      </c>
      <c r="F440" s="167">
        <v>43664</v>
      </c>
      <c r="G440" s="167">
        <v>45413</v>
      </c>
      <c r="H440" s="168">
        <v>0</v>
      </c>
    </row>
    <row r="441" spans="1:8" ht="13.7" customHeight="1" x14ac:dyDescent="0.25">
      <c r="A441" s="166" t="s">
        <v>1065</v>
      </c>
      <c r="B441" s="166" t="s">
        <v>1052</v>
      </c>
      <c r="C441" s="166" t="s">
        <v>824</v>
      </c>
      <c r="D441" s="166" t="s">
        <v>1066</v>
      </c>
      <c r="E441" s="166" t="s">
        <v>497</v>
      </c>
      <c r="F441" s="167">
        <v>43664</v>
      </c>
      <c r="G441" s="167">
        <v>45413</v>
      </c>
      <c r="H441" s="168">
        <v>0</v>
      </c>
    </row>
    <row r="442" spans="1:8" ht="13.7" customHeight="1" x14ac:dyDescent="0.25">
      <c r="A442" s="166" t="s">
        <v>1065</v>
      </c>
      <c r="B442" s="166" t="s">
        <v>1052</v>
      </c>
      <c r="C442" s="166" t="s">
        <v>824</v>
      </c>
      <c r="D442" s="166" t="s">
        <v>1066</v>
      </c>
      <c r="E442" s="166" t="s">
        <v>497</v>
      </c>
      <c r="F442" s="167">
        <v>43664</v>
      </c>
      <c r="G442" s="167">
        <v>45413</v>
      </c>
      <c r="H442" s="168">
        <v>0</v>
      </c>
    </row>
    <row r="443" spans="1:8" ht="13.7" customHeight="1" x14ac:dyDescent="0.25">
      <c r="A443" s="166" t="s">
        <v>1065</v>
      </c>
      <c r="B443" s="166" t="s">
        <v>1052</v>
      </c>
      <c r="C443" s="166" t="s">
        <v>824</v>
      </c>
      <c r="D443" s="166" t="s">
        <v>1066</v>
      </c>
      <c r="E443" s="166" t="s">
        <v>497</v>
      </c>
      <c r="F443" s="167">
        <v>43664</v>
      </c>
      <c r="G443" s="167">
        <v>45413</v>
      </c>
      <c r="H443" s="168">
        <v>87052</v>
      </c>
    </row>
    <row r="444" spans="1:8" ht="13.7" customHeight="1" x14ac:dyDescent="0.25">
      <c r="A444" s="166" t="s">
        <v>1067</v>
      </c>
      <c r="B444" s="166" t="s">
        <v>1052</v>
      </c>
      <c r="C444" s="166" t="s">
        <v>824</v>
      </c>
      <c r="D444" s="166" t="s">
        <v>1068</v>
      </c>
      <c r="E444" s="166" t="s">
        <v>1069</v>
      </c>
      <c r="F444" s="167">
        <v>43831</v>
      </c>
      <c r="G444" s="167">
        <v>44377</v>
      </c>
      <c r="H444" s="168">
        <v>30000</v>
      </c>
    </row>
    <row r="445" spans="1:8" ht="13.7" customHeight="1" x14ac:dyDescent="0.25">
      <c r="A445" s="166" t="s">
        <v>1070</v>
      </c>
      <c r="B445" s="166" t="s">
        <v>1071</v>
      </c>
      <c r="C445" s="166" t="s">
        <v>824</v>
      </c>
      <c r="D445" s="166" t="s">
        <v>1072</v>
      </c>
      <c r="E445" s="166" t="s">
        <v>486</v>
      </c>
      <c r="F445" s="167">
        <v>43344</v>
      </c>
      <c r="G445" s="167">
        <v>44439</v>
      </c>
      <c r="H445" s="168">
        <v>46000</v>
      </c>
    </row>
    <row r="446" spans="1:8" ht="13.7" customHeight="1" x14ac:dyDescent="0.25">
      <c r="A446" s="166" t="s">
        <v>1073</v>
      </c>
      <c r="B446" s="166" t="s">
        <v>1074</v>
      </c>
      <c r="C446" s="166" t="s">
        <v>824</v>
      </c>
      <c r="D446" s="166" t="s">
        <v>1075</v>
      </c>
      <c r="E446" s="166" t="s">
        <v>1076</v>
      </c>
      <c r="F446" s="167">
        <v>43313</v>
      </c>
      <c r="G446" s="167">
        <v>45138</v>
      </c>
      <c r="H446" s="168">
        <v>26660</v>
      </c>
    </row>
    <row r="447" spans="1:8" ht="13.7" customHeight="1" x14ac:dyDescent="0.25">
      <c r="A447" s="166" t="s">
        <v>1073</v>
      </c>
      <c r="B447" s="166" t="s">
        <v>1074</v>
      </c>
      <c r="C447" s="166" t="s">
        <v>824</v>
      </c>
      <c r="D447" s="166" t="s">
        <v>1075</v>
      </c>
      <c r="E447" s="166" t="s">
        <v>1076</v>
      </c>
      <c r="F447" s="167">
        <v>43313</v>
      </c>
      <c r="G447" s="167">
        <v>45138</v>
      </c>
      <c r="H447" s="168">
        <v>27557</v>
      </c>
    </row>
    <row r="448" spans="1:8" ht="13.7" customHeight="1" x14ac:dyDescent="0.25">
      <c r="A448" s="166" t="s">
        <v>1077</v>
      </c>
      <c r="B448" s="166" t="s">
        <v>1078</v>
      </c>
      <c r="C448" s="166" t="s">
        <v>824</v>
      </c>
      <c r="D448" s="166" t="s">
        <v>1079</v>
      </c>
      <c r="E448" s="166" t="s">
        <v>468</v>
      </c>
      <c r="F448" s="167">
        <v>43731</v>
      </c>
      <c r="G448" s="167">
        <v>44834</v>
      </c>
      <c r="H448" s="168">
        <v>18098</v>
      </c>
    </row>
    <row r="449" spans="1:8" ht="13.7" customHeight="1" x14ac:dyDescent="0.25">
      <c r="A449" s="166" t="s">
        <v>1077</v>
      </c>
      <c r="B449" s="166" t="s">
        <v>1078</v>
      </c>
      <c r="C449" s="166" t="s">
        <v>824</v>
      </c>
      <c r="D449" s="166" t="s">
        <v>1079</v>
      </c>
      <c r="E449" s="166" t="s">
        <v>468</v>
      </c>
      <c r="F449" s="167">
        <v>43731</v>
      </c>
      <c r="G449" s="167">
        <v>44834</v>
      </c>
      <c r="H449" s="168">
        <v>11902</v>
      </c>
    </row>
    <row r="450" spans="1:8" ht="13.7" customHeight="1" x14ac:dyDescent="0.25">
      <c r="A450" s="166" t="s">
        <v>1077</v>
      </c>
      <c r="B450" s="166" t="s">
        <v>1078</v>
      </c>
      <c r="C450" s="166" t="s">
        <v>824</v>
      </c>
      <c r="D450" s="166" t="s">
        <v>1079</v>
      </c>
      <c r="E450" s="166" t="s">
        <v>468</v>
      </c>
      <c r="F450" s="167">
        <v>43731</v>
      </c>
      <c r="G450" s="167">
        <v>44834</v>
      </c>
      <c r="H450" s="168">
        <v>30000</v>
      </c>
    </row>
    <row r="451" spans="1:8" ht="13.7" customHeight="1" x14ac:dyDescent="0.25">
      <c r="A451" s="166" t="s">
        <v>1080</v>
      </c>
      <c r="B451" s="166" t="s">
        <v>1078</v>
      </c>
      <c r="C451" s="166" t="s">
        <v>824</v>
      </c>
      <c r="D451" s="166" t="s">
        <v>1081</v>
      </c>
      <c r="E451" s="166" t="s">
        <v>468</v>
      </c>
      <c r="F451" s="167">
        <v>43943</v>
      </c>
      <c r="G451" s="167">
        <v>45551</v>
      </c>
      <c r="H451" s="168">
        <v>7400</v>
      </c>
    </row>
    <row r="452" spans="1:8" ht="13.7" customHeight="1" x14ac:dyDescent="0.25">
      <c r="A452" s="166" t="s">
        <v>1082</v>
      </c>
      <c r="B452" s="166" t="s">
        <v>1083</v>
      </c>
      <c r="C452" s="166" t="s">
        <v>824</v>
      </c>
      <c r="D452" s="166" t="s">
        <v>1084</v>
      </c>
      <c r="E452" s="166" t="s">
        <v>1085</v>
      </c>
      <c r="F452" s="167">
        <v>43006</v>
      </c>
      <c r="G452" s="167">
        <v>44834</v>
      </c>
      <c r="H452" s="168">
        <v>12832.43</v>
      </c>
    </row>
    <row r="453" spans="1:8" ht="13.7" customHeight="1" x14ac:dyDescent="0.25">
      <c r="A453" s="166" t="s">
        <v>1082</v>
      </c>
      <c r="B453" s="166" t="s">
        <v>1083</v>
      </c>
      <c r="C453" s="166" t="s">
        <v>824</v>
      </c>
      <c r="D453" s="166" t="s">
        <v>1084</v>
      </c>
      <c r="E453" s="166" t="s">
        <v>1085</v>
      </c>
      <c r="F453" s="167">
        <v>43006</v>
      </c>
      <c r="G453" s="167">
        <v>44834</v>
      </c>
      <c r="H453" s="168">
        <v>85549.57</v>
      </c>
    </row>
    <row r="454" spans="1:8" ht="13.7" customHeight="1" x14ac:dyDescent="0.25">
      <c r="A454" s="166" t="s">
        <v>1086</v>
      </c>
      <c r="B454" s="166" t="s">
        <v>1083</v>
      </c>
      <c r="C454" s="166" t="s">
        <v>824</v>
      </c>
      <c r="D454" s="166" t="s">
        <v>1084</v>
      </c>
      <c r="E454" s="166" t="s">
        <v>1085</v>
      </c>
      <c r="F454" s="167">
        <v>43006</v>
      </c>
      <c r="G454" s="167">
        <v>44834</v>
      </c>
      <c r="H454" s="168">
        <v>5616</v>
      </c>
    </row>
    <row r="455" spans="1:8" ht="13.7" customHeight="1" x14ac:dyDescent="0.25">
      <c r="A455" s="166" t="s">
        <v>1087</v>
      </c>
      <c r="B455" s="166" t="s">
        <v>1088</v>
      </c>
      <c r="C455" s="166" t="s">
        <v>824</v>
      </c>
      <c r="D455" s="166" t="s">
        <v>1089</v>
      </c>
      <c r="E455" s="166" t="s">
        <v>1090</v>
      </c>
      <c r="F455" s="167">
        <v>43972</v>
      </c>
      <c r="G455" s="167">
        <v>44439</v>
      </c>
      <c r="H455" s="168">
        <v>84711</v>
      </c>
    </row>
    <row r="456" spans="1:8" ht="13.7" customHeight="1" x14ac:dyDescent="0.25">
      <c r="A456" s="166" t="s">
        <v>1087</v>
      </c>
      <c r="B456" s="166" t="s">
        <v>1088</v>
      </c>
      <c r="C456" s="166" t="s">
        <v>824</v>
      </c>
      <c r="D456" s="166" t="s">
        <v>1089</v>
      </c>
      <c r="E456" s="166" t="s">
        <v>1090</v>
      </c>
      <c r="F456" s="167">
        <v>43972</v>
      </c>
      <c r="G456" s="167">
        <v>44439</v>
      </c>
      <c r="H456" s="168">
        <v>10650</v>
      </c>
    </row>
    <row r="457" spans="1:8" ht="13.7" customHeight="1" x14ac:dyDescent="0.25">
      <c r="A457" s="166" t="s">
        <v>1091</v>
      </c>
      <c r="B457" s="166" t="s">
        <v>1092</v>
      </c>
      <c r="C457" s="166" t="s">
        <v>824</v>
      </c>
      <c r="D457" s="166" t="s">
        <v>1093</v>
      </c>
      <c r="E457" s="166" t="s">
        <v>920</v>
      </c>
      <c r="F457" s="167">
        <v>42999</v>
      </c>
      <c r="G457" s="167">
        <v>44834</v>
      </c>
      <c r="H457" s="168">
        <v>69</v>
      </c>
    </row>
    <row r="458" spans="1:8" ht="13.7" customHeight="1" x14ac:dyDescent="0.25">
      <c r="A458" s="166" t="s">
        <v>1091</v>
      </c>
      <c r="B458" s="166" t="s">
        <v>1092</v>
      </c>
      <c r="C458" s="166" t="s">
        <v>824</v>
      </c>
      <c r="D458" s="166" t="s">
        <v>1093</v>
      </c>
      <c r="E458" s="166" t="s">
        <v>920</v>
      </c>
      <c r="F458" s="167">
        <v>42999</v>
      </c>
      <c r="G458" s="167">
        <v>44834</v>
      </c>
      <c r="H458" s="168">
        <v>-69</v>
      </c>
    </row>
    <row r="459" spans="1:8" ht="13.7" customHeight="1" x14ac:dyDescent="0.25">
      <c r="A459" s="166" t="s">
        <v>1094</v>
      </c>
      <c r="B459" s="166" t="s">
        <v>1095</v>
      </c>
      <c r="C459" s="166" t="s">
        <v>824</v>
      </c>
      <c r="D459" s="166" t="s">
        <v>1096</v>
      </c>
      <c r="E459" s="166" t="s">
        <v>1097</v>
      </c>
      <c r="F459" s="167">
        <v>42993</v>
      </c>
      <c r="G459" s="167">
        <v>44196</v>
      </c>
      <c r="H459" s="168">
        <v>16558</v>
      </c>
    </row>
    <row r="460" spans="1:8" ht="13.7" customHeight="1" x14ac:dyDescent="0.25">
      <c r="A460" s="166" t="s">
        <v>1098</v>
      </c>
      <c r="B460" s="166" t="s">
        <v>1095</v>
      </c>
      <c r="C460" s="166" t="s">
        <v>824</v>
      </c>
      <c r="D460" s="166" t="s">
        <v>1099</v>
      </c>
      <c r="E460" s="166" t="s">
        <v>1100</v>
      </c>
      <c r="F460" s="167">
        <v>43191</v>
      </c>
      <c r="G460" s="167">
        <v>43830</v>
      </c>
      <c r="H460" s="168">
        <v>-5000</v>
      </c>
    </row>
    <row r="461" spans="1:8" ht="13.7" customHeight="1" x14ac:dyDescent="0.25">
      <c r="A461" s="166" t="s">
        <v>1101</v>
      </c>
      <c r="B461" s="166" t="s">
        <v>1095</v>
      </c>
      <c r="C461" s="166" t="s">
        <v>824</v>
      </c>
      <c r="D461" s="166" t="s">
        <v>1102</v>
      </c>
      <c r="E461" s="166" t="s">
        <v>648</v>
      </c>
      <c r="F461" s="167">
        <v>42895</v>
      </c>
      <c r="G461" s="167">
        <v>44721</v>
      </c>
      <c r="H461" s="168">
        <v>97154.63</v>
      </c>
    </row>
    <row r="462" spans="1:8" ht="13.7" customHeight="1" x14ac:dyDescent="0.25">
      <c r="A462" s="166" t="s">
        <v>1103</v>
      </c>
      <c r="B462" s="166" t="s">
        <v>1095</v>
      </c>
      <c r="C462" s="166" t="s">
        <v>824</v>
      </c>
      <c r="D462" s="166" t="s">
        <v>1104</v>
      </c>
      <c r="E462" s="166" t="s">
        <v>497</v>
      </c>
      <c r="F462" s="167">
        <v>43951</v>
      </c>
      <c r="G462" s="167">
        <v>44757</v>
      </c>
      <c r="H462" s="168">
        <v>38030</v>
      </c>
    </row>
    <row r="463" spans="1:8" ht="13.7" customHeight="1" x14ac:dyDescent="0.25">
      <c r="A463" s="166" t="s">
        <v>1105</v>
      </c>
      <c r="B463" s="166" t="s">
        <v>1095</v>
      </c>
      <c r="C463" s="166" t="s">
        <v>824</v>
      </c>
      <c r="D463" s="166" t="s">
        <v>1106</v>
      </c>
      <c r="E463" s="166" t="s">
        <v>468</v>
      </c>
      <c r="F463" s="167">
        <v>42536</v>
      </c>
      <c r="G463" s="167">
        <v>44561</v>
      </c>
      <c r="H463" s="168">
        <v>54193</v>
      </c>
    </row>
    <row r="464" spans="1:8" ht="13.7" customHeight="1" x14ac:dyDescent="0.25">
      <c r="A464" s="166" t="s">
        <v>1105</v>
      </c>
      <c r="B464" s="166" t="s">
        <v>1095</v>
      </c>
      <c r="C464" s="166" t="s">
        <v>824</v>
      </c>
      <c r="D464" s="166" t="s">
        <v>1106</v>
      </c>
      <c r="E464" s="166" t="s">
        <v>468</v>
      </c>
      <c r="F464" s="167">
        <v>42536</v>
      </c>
      <c r="G464" s="167">
        <v>44561</v>
      </c>
      <c r="H464" s="168">
        <v>62758.75</v>
      </c>
    </row>
    <row r="465" spans="1:8" ht="13.7" customHeight="1" x14ac:dyDescent="0.25">
      <c r="A465" s="166" t="s">
        <v>1107</v>
      </c>
      <c r="B465" s="166" t="s">
        <v>1108</v>
      </c>
      <c r="C465" s="166" t="s">
        <v>824</v>
      </c>
      <c r="D465" s="166" t="s">
        <v>1109</v>
      </c>
      <c r="E465" s="166" t="s">
        <v>760</v>
      </c>
      <c r="F465" s="167">
        <v>42552</v>
      </c>
      <c r="G465" s="167">
        <v>44377</v>
      </c>
      <c r="H465" s="168">
        <v>36102.879999999997</v>
      </c>
    </row>
    <row r="466" spans="1:8" ht="13.7" customHeight="1" x14ac:dyDescent="0.25">
      <c r="A466" s="166" t="s">
        <v>1107</v>
      </c>
      <c r="B466" s="166" t="s">
        <v>1108</v>
      </c>
      <c r="C466" s="166" t="s">
        <v>824</v>
      </c>
      <c r="D466" s="166" t="s">
        <v>1109</v>
      </c>
      <c r="E466" s="166" t="s">
        <v>760</v>
      </c>
      <c r="F466" s="167">
        <v>42552</v>
      </c>
      <c r="G466" s="167">
        <v>44377</v>
      </c>
      <c r="H466" s="168">
        <v>23457.119999999999</v>
      </c>
    </row>
    <row r="467" spans="1:8" ht="13.7" customHeight="1" x14ac:dyDescent="0.25">
      <c r="A467" s="166" t="s">
        <v>1107</v>
      </c>
      <c r="B467" s="166" t="s">
        <v>1108</v>
      </c>
      <c r="C467" s="166" t="s">
        <v>824</v>
      </c>
      <c r="D467" s="166" t="s">
        <v>1109</v>
      </c>
      <c r="E467" s="166" t="s">
        <v>760</v>
      </c>
      <c r="F467" s="167">
        <v>42552</v>
      </c>
      <c r="G467" s="167">
        <v>44377</v>
      </c>
      <c r="H467" s="168">
        <v>36310.83</v>
      </c>
    </row>
    <row r="468" spans="1:8" ht="13.7" customHeight="1" x14ac:dyDescent="0.25">
      <c r="A468" s="166" t="s">
        <v>1107</v>
      </c>
      <c r="B468" s="166" t="s">
        <v>1108</v>
      </c>
      <c r="C468" s="166" t="s">
        <v>824</v>
      </c>
      <c r="D468" s="166" t="s">
        <v>1109</v>
      </c>
      <c r="E468" s="166" t="s">
        <v>760</v>
      </c>
      <c r="F468" s="167">
        <v>42552</v>
      </c>
      <c r="G468" s="167">
        <v>44377</v>
      </c>
      <c r="H468" s="168">
        <v>181554.17</v>
      </c>
    </row>
    <row r="469" spans="1:8" ht="13.7" customHeight="1" x14ac:dyDescent="0.25">
      <c r="A469" s="166" t="s">
        <v>1107</v>
      </c>
      <c r="B469" s="166" t="s">
        <v>1108</v>
      </c>
      <c r="C469" s="166" t="s">
        <v>824</v>
      </c>
      <c r="D469" s="166" t="s">
        <v>1109</v>
      </c>
      <c r="E469" s="166" t="s">
        <v>760</v>
      </c>
      <c r="F469" s="167">
        <v>42552</v>
      </c>
      <c r="G469" s="167">
        <v>44377</v>
      </c>
      <c r="H469" s="168">
        <v>0</v>
      </c>
    </row>
    <row r="470" spans="1:8" ht="13.7" customHeight="1" x14ac:dyDescent="0.25">
      <c r="A470" s="166" t="s">
        <v>1110</v>
      </c>
      <c r="B470" s="166" t="s">
        <v>1108</v>
      </c>
      <c r="C470" s="166" t="s">
        <v>824</v>
      </c>
      <c r="D470" s="166" t="s">
        <v>1111</v>
      </c>
      <c r="E470" s="166" t="s">
        <v>544</v>
      </c>
      <c r="F470" s="167">
        <v>43678</v>
      </c>
      <c r="G470" s="167">
        <v>44043</v>
      </c>
      <c r="H470" s="168">
        <v>0</v>
      </c>
    </row>
    <row r="471" spans="1:8" ht="13.7" customHeight="1" x14ac:dyDescent="0.25">
      <c r="A471" s="166" t="s">
        <v>1110</v>
      </c>
      <c r="B471" s="166" t="s">
        <v>1108</v>
      </c>
      <c r="C471" s="166" t="s">
        <v>824</v>
      </c>
      <c r="D471" s="166" t="s">
        <v>1111</v>
      </c>
      <c r="E471" s="166" t="s">
        <v>544</v>
      </c>
      <c r="F471" s="167">
        <v>43678</v>
      </c>
      <c r="G471" s="167">
        <v>44043</v>
      </c>
      <c r="H471" s="168">
        <v>0</v>
      </c>
    </row>
    <row r="472" spans="1:8" ht="13.7" customHeight="1" x14ac:dyDescent="0.25">
      <c r="A472" s="166" t="s">
        <v>1110</v>
      </c>
      <c r="B472" s="166" t="s">
        <v>1108</v>
      </c>
      <c r="C472" s="166" t="s">
        <v>824</v>
      </c>
      <c r="D472" s="166" t="s">
        <v>1111</v>
      </c>
      <c r="E472" s="166" t="s">
        <v>544</v>
      </c>
      <c r="F472" s="167">
        <v>43678</v>
      </c>
      <c r="G472" s="167">
        <v>44043</v>
      </c>
      <c r="H472" s="168">
        <v>9845</v>
      </c>
    </row>
    <row r="473" spans="1:8" ht="13.7" customHeight="1" x14ac:dyDescent="0.25">
      <c r="A473" s="166" t="s">
        <v>1110</v>
      </c>
      <c r="B473" s="166" t="s">
        <v>1108</v>
      </c>
      <c r="C473" s="166" t="s">
        <v>824</v>
      </c>
      <c r="D473" s="166" t="s">
        <v>1111</v>
      </c>
      <c r="E473" s="166" t="s">
        <v>544</v>
      </c>
      <c r="F473" s="167">
        <v>43678</v>
      </c>
      <c r="G473" s="167">
        <v>44043</v>
      </c>
      <c r="H473" s="168">
        <v>23892</v>
      </c>
    </row>
    <row r="474" spans="1:8" ht="13.7" customHeight="1" x14ac:dyDescent="0.25">
      <c r="A474" s="166" t="s">
        <v>1112</v>
      </c>
      <c r="B474" s="166" t="s">
        <v>1108</v>
      </c>
      <c r="C474" s="166" t="s">
        <v>824</v>
      </c>
      <c r="D474" s="166" t="s">
        <v>1113</v>
      </c>
      <c r="E474" s="166" t="s">
        <v>1114</v>
      </c>
      <c r="F474" s="167">
        <v>42979</v>
      </c>
      <c r="G474" s="167">
        <v>44073</v>
      </c>
      <c r="H474" s="168">
        <v>92289.8</v>
      </c>
    </row>
    <row r="475" spans="1:8" ht="13.7" customHeight="1" x14ac:dyDescent="0.25">
      <c r="A475" s="166" t="s">
        <v>1112</v>
      </c>
      <c r="B475" s="166" t="s">
        <v>1108</v>
      </c>
      <c r="C475" s="166" t="s">
        <v>824</v>
      </c>
      <c r="D475" s="166" t="s">
        <v>1113</v>
      </c>
      <c r="E475" s="166" t="s">
        <v>1114</v>
      </c>
      <c r="F475" s="167">
        <v>42979</v>
      </c>
      <c r="G475" s="167">
        <v>44073</v>
      </c>
      <c r="H475" s="168">
        <v>147413.82</v>
      </c>
    </row>
    <row r="476" spans="1:8" ht="13.7" customHeight="1" x14ac:dyDescent="0.25">
      <c r="A476" s="166" t="s">
        <v>1115</v>
      </c>
      <c r="B476" s="166" t="s">
        <v>1108</v>
      </c>
      <c r="C476" s="166" t="s">
        <v>824</v>
      </c>
      <c r="D476" s="166" t="s">
        <v>1116</v>
      </c>
      <c r="E476" s="166" t="s">
        <v>486</v>
      </c>
      <c r="F476" s="167">
        <v>42856</v>
      </c>
      <c r="G476" s="167">
        <v>44681</v>
      </c>
      <c r="H476" s="168">
        <v>3341</v>
      </c>
    </row>
    <row r="477" spans="1:8" ht="13.7" customHeight="1" x14ac:dyDescent="0.25">
      <c r="A477" s="166" t="s">
        <v>1115</v>
      </c>
      <c r="B477" s="166" t="s">
        <v>1108</v>
      </c>
      <c r="C477" s="166" t="s">
        <v>824</v>
      </c>
      <c r="D477" s="166" t="s">
        <v>1116</v>
      </c>
      <c r="E477" s="166" t="s">
        <v>486</v>
      </c>
      <c r="F477" s="167">
        <v>42856</v>
      </c>
      <c r="G477" s="167">
        <v>44681</v>
      </c>
      <c r="H477" s="168">
        <v>7425</v>
      </c>
    </row>
    <row r="478" spans="1:8" ht="13.7" customHeight="1" x14ac:dyDescent="0.25">
      <c r="A478" s="166" t="s">
        <v>1115</v>
      </c>
      <c r="B478" s="166" t="s">
        <v>1108</v>
      </c>
      <c r="C478" s="166" t="s">
        <v>824</v>
      </c>
      <c r="D478" s="166" t="s">
        <v>1116</v>
      </c>
      <c r="E478" s="166" t="s">
        <v>486</v>
      </c>
      <c r="F478" s="167">
        <v>42856</v>
      </c>
      <c r="G478" s="167">
        <v>44681</v>
      </c>
      <c r="H478" s="168">
        <v>130955</v>
      </c>
    </row>
    <row r="479" spans="1:8" ht="13.7" customHeight="1" x14ac:dyDescent="0.25">
      <c r="A479" s="166" t="s">
        <v>1115</v>
      </c>
      <c r="B479" s="166" t="s">
        <v>1108</v>
      </c>
      <c r="C479" s="166" t="s">
        <v>824</v>
      </c>
      <c r="D479" s="166" t="s">
        <v>1116</v>
      </c>
      <c r="E479" s="166" t="s">
        <v>486</v>
      </c>
      <c r="F479" s="167">
        <v>42856</v>
      </c>
      <c r="G479" s="167">
        <v>44681</v>
      </c>
      <c r="H479" s="168">
        <v>119712</v>
      </c>
    </row>
    <row r="480" spans="1:8" ht="13.7" customHeight="1" x14ac:dyDescent="0.25">
      <c r="A480" s="166" t="s">
        <v>1117</v>
      </c>
      <c r="B480" s="166" t="s">
        <v>1108</v>
      </c>
      <c r="C480" s="166" t="s">
        <v>824</v>
      </c>
      <c r="D480" s="166" t="s">
        <v>1116</v>
      </c>
      <c r="E480" s="166" t="s">
        <v>486</v>
      </c>
      <c r="F480" s="167">
        <v>43510</v>
      </c>
      <c r="G480" s="167">
        <v>44681</v>
      </c>
      <c r="H480" s="168">
        <v>4000</v>
      </c>
    </row>
    <row r="481" spans="1:8" ht="13.7" customHeight="1" x14ac:dyDescent="0.25">
      <c r="A481" s="166" t="s">
        <v>1118</v>
      </c>
      <c r="B481" s="166" t="s">
        <v>1108</v>
      </c>
      <c r="C481" s="166" t="s">
        <v>824</v>
      </c>
      <c r="D481" s="166" t="s">
        <v>1119</v>
      </c>
      <c r="E481" s="166" t="s">
        <v>1120</v>
      </c>
      <c r="F481" s="167">
        <v>43906</v>
      </c>
      <c r="G481" s="167">
        <v>44742</v>
      </c>
      <c r="H481" s="168">
        <v>4796</v>
      </c>
    </row>
    <row r="482" spans="1:8" ht="13.7" customHeight="1" x14ac:dyDescent="0.25">
      <c r="A482" s="166" t="s">
        <v>1118</v>
      </c>
      <c r="B482" s="166" t="s">
        <v>1108</v>
      </c>
      <c r="C482" s="166" t="s">
        <v>824</v>
      </c>
      <c r="D482" s="166" t="s">
        <v>1119</v>
      </c>
      <c r="E482" s="166" t="s">
        <v>1120</v>
      </c>
      <c r="F482" s="167">
        <v>43906</v>
      </c>
      <c r="G482" s="167">
        <v>44742</v>
      </c>
      <c r="H482" s="168">
        <v>10204</v>
      </c>
    </row>
    <row r="483" spans="1:8" ht="13.7" customHeight="1" x14ac:dyDescent="0.25">
      <c r="A483" s="166" t="s">
        <v>1121</v>
      </c>
      <c r="B483" s="166" t="s">
        <v>1122</v>
      </c>
      <c r="C483" s="166" t="s">
        <v>824</v>
      </c>
      <c r="D483" s="166" t="s">
        <v>1123</v>
      </c>
      <c r="E483" s="166" t="s">
        <v>1124</v>
      </c>
      <c r="F483" s="167">
        <v>43617</v>
      </c>
      <c r="G483" s="167">
        <v>44012</v>
      </c>
      <c r="H483" s="168">
        <v>-460.52</v>
      </c>
    </row>
    <row r="484" spans="1:8" ht="13.7" customHeight="1" x14ac:dyDescent="0.25">
      <c r="A484" s="166" t="s">
        <v>1121</v>
      </c>
      <c r="B484" s="166" t="s">
        <v>1122</v>
      </c>
      <c r="C484" s="166" t="s">
        <v>824</v>
      </c>
      <c r="D484" s="166" t="s">
        <v>1123</v>
      </c>
      <c r="E484" s="166" t="s">
        <v>1124</v>
      </c>
      <c r="F484" s="167">
        <v>43617</v>
      </c>
      <c r="G484" s="167">
        <v>44012</v>
      </c>
      <c r="H484" s="168">
        <v>460.52</v>
      </c>
    </row>
    <row r="485" spans="1:8" ht="13.7" customHeight="1" x14ac:dyDescent="0.25">
      <c r="A485" s="166" t="s">
        <v>1121</v>
      </c>
      <c r="B485" s="166" t="s">
        <v>1122</v>
      </c>
      <c r="C485" s="166" t="s">
        <v>824</v>
      </c>
      <c r="D485" s="166" t="s">
        <v>1123</v>
      </c>
      <c r="E485" s="166" t="s">
        <v>1124</v>
      </c>
      <c r="F485" s="167">
        <v>43617</v>
      </c>
      <c r="G485" s="167">
        <v>44012</v>
      </c>
      <c r="H485" s="168">
        <v>0</v>
      </c>
    </row>
    <row r="486" spans="1:8" ht="13.7" customHeight="1" x14ac:dyDescent="0.25">
      <c r="A486" s="166" t="s">
        <v>1121</v>
      </c>
      <c r="B486" s="166" t="s">
        <v>1122</v>
      </c>
      <c r="C486" s="166" t="s">
        <v>824</v>
      </c>
      <c r="D486" s="166" t="s">
        <v>1123</v>
      </c>
      <c r="E486" s="166" t="s">
        <v>1124</v>
      </c>
      <c r="F486" s="167">
        <v>43617</v>
      </c>
      <c r="G486" s="167">
        <v>44012</v>
      </c>
      <c r="H486" s="168">
        <v>46714</v>
      </c>
    </row>
    <row r="487" spans="1:8" ht="13.7" customHeight="1" x14ac:dyDescent="0.25">
      <c r="A487" s="166" t="s">
        <v>1121</v>
      </c>
      <c r="B487" s="166" t="s">
        <v>1122</v>
      </c>
      <c r="C487" s="166" t="s">
        <v>824</v>
      </c>
      <c r="D487" s="166" t="s">
        <v>1123</v>
      </c>
      <c r="E487" s="166" t="s">
        <v>1124</v>
      </c>
      <c r="F487" s="167">
        <v>43617</v>
      </c>
      <c r="G487" s="167">
        <v>44012</v>
      </c>
      <c r="H487" s="168">
        <v>19185</v>
      </c>
    </row>
    <row r="488" spans="1:8" ht="13.7" customHeight="1" x14ac:dyDescent="0.25">
      <c r="A488" s="166" t="s">
        <v>1125</v>
      </c>
      <c r="B488" s="166" t="s">
        <v>1122</v>
      </c>
      <c r="C488" s="166" t="s">
        <v>824</v>
      </c>
      <c r="D488" s="166" t="s">
        <v>1126</v>
      </c>
      <c r="E488" s="166" t="s">
        <v>1127</v>
      </c>
      <c r="F488" s="167">
        <v>42880</v>
      </c>
      <c r="G488" s="167">
        <v>44104</v>
      </c>
      <c r="H488" s="168">
        <v>0</v>
      </c>
    </row>
    <row r="489" spans="1:8" ht="13.7" customHeight="1" x14ac:dyDescent="0.25">
      <c r="A489" s="166" t="s">
        <v>1125</v>
      </c>
      <c r="B489" s="166" t="s">
        <v>1122</v>
      </c>
      <c r="C489" s="166" t="s">
        <v>824</v>
      </c>
      <c r="D489" s="166" t="s">
        <v>1126</v>
      </c>
      <c r="E489" s="166" t="s">
        <v>1127</v>
      </c>
      <c r="F489" s="167">
        <v>42880</v>
      </c>
      <c r="G489" s="167">
        <v>44104</v>
      </c>
      <c r="H489" s="168">
        <v>0</v>
      </c>
    </row>
    <row r="490" spans="1:8" ht="13.7" customHeight="1" x14ac:dyDescent="0.25">
      <c r="A490" s="166" t="s">
        <v>1128</v>
      </c>
      <c r="B490" s="166" t="s">
        <v>1122</v>
      </c>
      <c r="C490" s="166" t="s">
        <v>824</v>
      </c>
      <c r="D490" s="166" t="s">
        <v>1129</v>
      </c>
      <c r="E490" s="166" t="s">
        <v>497</v>
      </c>
      <c r="F490" s="167">
        <v>43656</v>
      </c>
      <c r="G490" s="167">
        <v>44469</v>
      </c>
      <c r="H490" s="168">
        <v>79723</v>
      </c>
    </row>
    <row r="491" spans="1:8" ht="13.7" customHeight="1" x14ac:dyDescent="0.25">
      <c r="A491" s="166" t="s">
        <v>1128</v>
      </c>
      <c r="B491" s="166" t="s">
        <v>1122</v>
      </c>
      <c r="C491" s="166" t="s">
        <v>824</v>
      </c>
      <c r="D491" s="166" t="s">
        <v>1129</v>
      </c>
      <c r="E491" s="166" t="s">
        <v>497</v>
      </c>
      <c r="F491" s="167">
        <v>43656</v>
      </c>
      <c r="G491" s="167">
        <v>44469</v>
      </c>
      <c r="H491" s="168">
        <v>131973.07</v>
      </c>
    </row>
    <row r="492" spans="1:8" ht="13.7" customHeight="1" x14ac:dyDescent="0.25">
      <c r="A492" s="166" t="s">
        <v>1130</v>
      </c>
      <c r="B492" s="166" t="s">
        <v>1122</v>
      </c>
      <c r="C492" s="166" t="s">
        <v>824</v>
      </c>
      <c r="D492" s="166" t="s">
        <v>1131</v>
      </c>
      <c r="E492" s="166" t="s">
        <v>1132</v>
      </c>
      <c r="F492" s="167">
        <v>42723</v>
      </c>
      <c r="G492" s="167">
        <v>44012</v>
      </c>
      <c r="H492" s="168">
        <v>91273</v>
      </c>
    </row>
    <row r="493" spans="1:8" ht="13.7" customHeight="1" x14ac:dyDescent="0.25">
      <c r="A493" s="166" t="s">
        <v>1133</v>
      </c>
      <c r="B493" s="166" t="s">
        <v>1134</v>
      </c>
      <c r="C493" s="166" t="s">
        <v>1135</v>
      </c>
      <c r="D493" s="166" t="s">
        <v>1136</v>
      </c>
      <c r="E493" s="166" t="s">
        <v>1137</v>
      </c>
      <c r="F493" s="167">
        <v>43556</v>
      </c>
      <c r="G493" s="167">
        <v>44286</v>
      </c>
      <c r="H493" s="168">
        <v>-4952</v>
      </c>
    </row>
    <row r="494" spans="1:8" ht="13.7" customHeight="1" x14ac:dyDescent="0.25">
      <c r="A494" s="166" t="s">
        <v>1133</v>
      </c>
      <c r="B494" s="166" t="s">
        <v>1134</v>
      </c>
      <c r="C494" s="166" t="s">
        <v>1135</v>
      </c>
      <c r="D494" s="166" t="s">
        <v>1136</v>
      </c>
      <c r="E494" s="166" t="s">
        <v>1137</v>
      </c>
      <c r="F494" s="167">
        <v>43556</v>
      </c>
      <c r="G494" s="167">
        <v>44286</v>
      </c>
      <c r="H494" s="168">
        <v>49108</v>
      </c>
    </row>
    <row r="495" spans="1:8" ht="13.7" customHeight="1" x14ac:dyDescent="0.25">
      <c r="A495" s="166" t="s">
        <v>1133</v>
      </c>
      <c r="B495" s="166" t="s">
        <v>1134</v>
      </c>
      <c r="C495" s="166" t="s">
        <v>1135</v>
      </c>
      <c r="D495" s="166" t="s">
        <v>1136</v>
      </c>
      <c r="E495" s="166" t="s">
        <v>1137</v>
      </c>
      <c r="F495" s="167">
        <v>43556</v>
      </c>
      <c r="G495" s="167">
        <v>44286</v>
      </c>
      <c r="H495" s="168">
        <v>11503</v>
      </c>
    </row>
    <row r="496" spans="1:8" ht="13.7" customHeight="1" x14ac:dyDescent="0.25">
      <c r="A496" s="166" t="s">
        <v>1138</v>
      </c>
      <c r="B496" s="166" t="s">
        <v>1139</v>
      </c>
      <c r="C496" s="166" t="s">
        <v>1140</v>
      </c>
      <c r="D496" s="166" t="s">
        <v>1141</v>
      </c>
      <c r="E496" s="166" t="s">
        <v>0</v>
      </c>
      <c r="F496" s="167">
        <v>43586</v>
      </c>
      <c r="G496" s="167">
        <v>44074</v>
      </c>
      <c r="H496" s="168">
        <v>0</v>
      </c>
    </row>
    <row r="497" spans="1:8" ht="13.7" customHeight="1" x14ac:dyDescent="0.25">
      <c r="A497" s="166" t="s">
        <v>1142</v>
      </c>
      <c r="B497" s="166" t="s">
        <v>1139</v>
      </c>
      <c r="C497" s="166" t="s">
        <v>1140</v>
      </c>
      <c r="D497" s="166" t="s">
        <v>1143</v>
      </c>
      <c r="E497" s="166" t="s">
        <v>582</v>
      </c>
      <c r="F497" s="167">
        <v>43647</v>
      </c>
      <c r="G497" s="167">
        <v>43951</v>
      </c>
      <c r="H497" s="168">
        <v>1000</v>
      </c>
    </row>
    <row r="498" spans="1:8" ht="13.7" customHeight="1" x14ac:dyDescent="0.25">
      <c r="A498" s="166" t="s">
        <v>1142</v>
      </c>
      <c r="B498" s="166" t="s">
        <v>1139</v>
      </c>
      <c r="C498" s="166" t="s">
        <v>1140</v>
      </c>
      <c r="D498" s="166" t="s">
        <v>1143</v>
      </c>
      <c r="E498" s="166" t="s">
        <v>582</v>
      </c>
      <c r="F498" s="167">
        <v>43647</v>
      </c>
      <c r="G498" s="167">
        <v>43951</v>
      </c>
      <c r="H498" s="168">
        <v>6062</v>
      </c>
    </row>
    <row r="499" spans="1:8" ht="13.7" customHeight="1" x14ac:dyDescent="0.25">
      <c r="A499" s="166" t="s">
        <v>1142</v>
      </c>
      <c r="B499" s="166" t="s">
        <v>1139</v>
      </c>
      <c r="C499" s="166" t="s">
        <v>1140</v>
      </c>
      <c r="D499" s="166" t="s">
        <v>1143</v>
      </c>
      <c r="E499" s="166" t="s">
        <v>582</v>
      </c>
      <c r="F499" s="167">
        <v>43647</v>
      </c>
      <c r="G499" s="167">
        <v>43951</v>
      </c>
      <c r="H499" s="168">
        <v>58000</v>
      </c>
    </row>
    <row r="500" spans="1:8" ht="13.7" customHeight="1" x14ac:dyDescent="0.25">
      <c r="A500" s="166" t="s">
        <v>1144</v>
      </c>
      <c r="B500" s="166" t="s">
        <v>1145</v>
      </c>
      <c r="C500" s="166" t="s">
        <v>1140</v>
      </c>
      <c r="D500" s="166" t="s">
        <v>1146</v>
      </c>
      <c r="E500" s="166" t="s">
        <v>1147</v>
      </c>
      <c r="F500" s="167">
        <v>43647</v>
      </c>
      <c r="G500" s="167">
        <v>44012</v>
      </c>
      <c r="H500" s="168">
        <v>148500</v>
      </c>
    </row>
    <row r="501" spans="1:8" ht="13.7" customHeight="1" x14ac:dyDescent="0.25">
      <c r="A501" s="166" t="s">
        <v>1144</v>
      </c>
      <c r="B501" s="166" t="s">
        <v>1145</v>
      </c>
      <c r="C501" s="166" t="s">
        <v>1140</v>
      </c>
      <c r="D501" s="166" t="s">
        <v>1146</v>
      </c>
      <c r="E501" s="166" t="s">
        <v>1147</v>
      </c>
      <c r="F501" s="167">
        <v>43647</v>
      </c>
      <c r="G501" s="167">
        <v>44012</v>
      </c>
      <c r="H501" s="168">
        <v>11500</v>
      </c>
    </row>
    <row r="502" spans="1:8" ht="13.7" customHeight="1" x14ac:dyDescent="0.25">
      <c r="A502" s="166" t="s">
        <v>1148</v>
      </c>
      <c r="B502" s="166" t="s">
        <v>1145</v>
      </c>
      <c r="C502" s="166" t="s">
        <v>1140</v>
      </c>
      <c r="D502" s="166" t="s">
        <v>1149</v>
      </c>
      <c r="E502" s="166" t="s">
        <v>1150</v>
      </c>
      <c r="F502" s="167">
        <v>43647</v>
      </c>
      <c r="G502" s="167">
        <v>44012</v>
      </c>
      <c r="H502" s="168">
        <v>293386</v>
      </c>
    </row>
    <row r="503" spans="1:8" ht="13.7" customHeight="1" x14ac:dyDescent="0.25">
      <c r="A503" s="166" t="s">
        <v>1151</v>
      </c>
      <c r="B503" s="166" t="s">
        <v>1145</v>
      </c>
      <c r="C503" s="166" t="s">
        <v>1140</v>
      </c>
      <c r="D503" s="166" t="s">
        <v>1152</v>
      </c>
      <c r="E503" s="166" t="s">
        <v>1153</v>
      </c>
      <c r="F503" s="167">
        <v>44013</v>
      </c>
      <c r="G503" s="167">
        <v>44377</v>
      </c>
      <c r="H503" s="168">
        <v>32000</v>
      </c>
    </row>
    <row r="504" spans="1:8" ht="13.7" customHeight="1" x14ac:dyDescent="0.25">
      <c r="A504" s="166" t="s">
        <v>1154</v>
      </c>
      <c r="B504" s="166" t="s">
        <v>1145</v>
      </c>
      <c r="C504" s="166" t="s">
        <v>1140</v>
      </c>
      <c r="D504" s="166" t="s">
        <v>1155</v>
      </c>
      <c r="E504" s="166" t="s">
        <v>1153</v>
      </c>
      <c r="F504" s="167">
        <v>39264</v>
      </c>
      <c r="G504" s="167">
        <v>44012</v>
      </c>
      <c r="H504" s="168">
        <v>32000</v>
      </c>
    </row>
    <row r="505" spans="1:8" ht="13.7" customHeight="1" x14ac:dyDescent="0.25">
      <c r="A505" s="166" t="s">
        <v>1156</v>
      </c>
      <c r="B505" s="166" t="s">
        <v>1157</v>
      </c>
      <c r="C505" s="166" t="s">
        <v>1158</v>
      </c>
      <c r="D505" s="166" t="s">
        <v>1159</v>
      </c>
      <c r="E505" s="166" t="s">
        <v>1160</v>
      </c>
      <c r="F505" s="167">
        <v>42979</v>
      </c>
      <c r="G505" s="167">
        <v>44255</v>
      </c>
      <c r="H505" s="168">
        <v>63465</v>
      </c>
    </row>
    <row r="506" spans="1:8" ht="13.7" customHeight="1" x14ac:dyDescent="0.25">
      <c r="A506" s="166" t="s">
        <v>1161</v>
      </c>
      <c r="B506" s="166" t="s">
        <v>1162</v>
      </c>
      <c r="C506" s="166" t="s">
        <v>1158</v>
      </c>
      <c r="D506" s="166" t="s">
        <v>1163</v>
      </c>
      <c r="E506" s="166" t="s">
        <v>497</v>
      </c>
      <c r="F506" s="167">
        <v>43717</v>
      </c>
      <c r="G506" s="167">
        <v>44561</v>
      </c>
      <c r="H506" s="168">
        <v>29999.3</v>
      </c>
    </row>
    <row r="507" spans="1:8" ht="13.7" customHeight="1" x14ac:dyDescent="0.25">
      <c r="A507" s="166" t="s">
        <v>1164</v>
      </c>
      <c r="B507" s="166" t="s">
        <v>1165</v>
      </c>
      <c r="C507" s="166" t="s">
        <v>1158</v>
      </c>
      <c r="D507" s="166" t="s">
        <v>1166</v>
      </c>
      <c r="E507" s="166" t="s">
        <v>914</v>
      </c>
      <c r="F507" s="167">
        <v>43639</v>
      </c>
      <c r="G507" s="167">
        <v>44439</v>
      </c>
      <c r="H507" s="168">
        <v>138272</v>
      </c>
    </row>
    <row r="508" spans="1:8" ht="13.7" customHeight="1" x14ac:dyDescent="0.25">
      <c r="A508" s="166" t="s">
        <v>1164</v>
      </c>
      <c r="B508" s="166" t="s">
        <v>1165</v>
      </c>
      <c r="C508" s="166" t="s">
        <v>1158</v>
      </c>
      <c r="D508" s="166" t="s">
        <v>1166</v>
      </c>
      <c r="E508" s="166" t="s">
        <v>914</v>
      </c>
      <c r="F508" s="167">
        <v>43639</v>
      </c>
      <c r="G508" s="167">
        <v>44439</v>
      </c>
      <c r="H508" s="168">
        <v>54725</v>
      </c>
    </row>
    <row r="509" spans="1:8" ht="13.7" customHeight="1" x14ac:dyDescent="0.25">
      <c r="A509" s="166" t="s">
        <v>1164</v>
      </c>
      <c r="B509" s="166" t="s">
        <v>1165</v>
      </c>
      <c r="C509" s="166" t="s">
        <v>1158</v>
      </c>
      <c r="D509" s="166" t="s">
        <v>1166</v>
      </c>
      <c r="E509" s="166" t="s">
        <v>914</v>
      </c>
      <c r="F509" s="167">
        <v>43639</v>
      </c>
      <c r="G509" s="167">
        <v>44439</v>
      </c>
      <c r="H509" s="168">
        <v>1500</v>
      </c>
    </row>
    <row r="510" spans="1:8" ht="13.7" customHeight="1" x14ac:dyDescent="0.25">
      <c r="A510" s="166" t="s">
        <v>1167</v>
      </c>
      <c r="B510" s="166" t="s">
        <v>1168</v>
      </c>
      <c r="C510" s="166" t="s">
        <v>1169</v>
      </c>
      <c r="D510" s="166" t="s">
        <v>1170</v>
      </c>
      <c r="E510" s="166" t="s">
        <v>1171</v>
      </c>
      <c r="F510" s="167">
        <v>43552</v>
      </c>
      <c r="G510" s="167">
        <v>43917</v>
      </c>
      <c r="H510" s="168">
        <v>0</v>
      </c>
    </row>
    <row r="511" spans="1:8" ht="13.7" customHeight="1" x14ac:dyDescent="0.25">
      <c r="A511" s="166" t="s">
        <v>1172</v>
      </c>
      <c r="B511" s="166" t="s">
        <v>1168</v>
      </c>
      <c r="C511" s="166" t="s">
        <v>1169</v>
      </c>
      <c r="D511" s="166" t="s">
        <v>1173</v>
      </c>
      <c r="E511" s="166" t="s">
        <v>970</v>
      </c>
      <c r="F511" s="167">
        <v>43607</v>
      </c>
      <c r="G511" s="167">
        <v>44347</v>
      </c>
      <c r="H511" s="168">
        <v>48832</v>
      </c>
    </row>
    <row r="512" spans="1:8" ht="13.7" customHeight="1" x14ac:dyDescent="0.25">
      <c r="A512" s="166" t="s">
        <v>1172</v>
      </c>
      <c r="B512" s="166" t="s">
        <v>1168</v>
      </c>
      <c r="C512" s="166" t="s">
        <v>1169</v>
      </c>
      <c r="D512" s="166" t="s">
        <v>1173</v>
      </c>
      <c r="E512" s="166" t="s">
        <v>970</v>
      </c>
      <c r="F512" s="167">
        <v>43607</v>
      </c>
      <c r="G512" s="167">
        <v>44347</v>
      </c>
      <c r="H512" s="168">
        <v>78812</v>
      </c>
    </row>
    <row r="513" spans="1:8" ht="13.7" customHeight="1" x14ac:dyDescent="0.25">
      <c r="A513" s="166" t="s">
        <v>1172</v>
      </c>
      <c r="B513" s="166" t="s">
        <v>1168</v>
      </c>
      <c r="C513" s="166" t="s">
        <v>1169</v>
      </c>
      <c r="D513" s="166" t="s">
        <v>1173</v>
      </c>
      <c r="E513" s="166" t="s">
        <v>970</v>
      </c>
      <c r="F513" s="167">
        <v>43607</v>
      </c>
      <c r="G513" s="167">
        <v>44347</v>
      </c>
      <c r="H513" s="168">
        <v>23656</v>
      </c>
    </row>
    <row r="514" spans="1:8" ht="13.7" customHeight="1" x14ac:dyDescent="0.25">
      <c r="A514" s="166" t="s">
        <v>1172</v>
      </c>
      <c r="B514" s="166" t="s">
        <v>1168</v>
      </c>
      <c r="C514" s="166" t="s">
        <v>1169</v>
      </c>
      <c r="D514" s="166" t="s">
        <v>1173</v>
      </c>
      <c r="E514" s="166" t="s">
        <v>970</v>
      </c>
      <c r="F514" s="167">
        <v>43607</v>
      </c>
      <c r="G514" s="167">
        <v>44347</v>
      </c>
      <c r="H514" s="168">
        <v>-1503</v>
      </c>
    </row>
    <row r="515" spans="1:8" ht="13.7" customHeight="1" x14ac:dyDescent="0.25">
      <c r="A515" s="166" t="s">
        <v>1172</v>
      </c>
      <c r="B515" s="166" t="s">
        <v>1168</v>
      </c>
      <c r="C515" s="166" t="s">
        <v>1169</v>
      </c>
      <c r="D515" s="166" t="s">
        <v>1173</v>
      </c>
      <c r="E515" s="166" t="s">
        <v>970</v>
      </c>
      <c r="F515" s="167">
        <v>43607</v>
      </c>
      <c r="G515" s="167">
        <v>44347</v>
      </c>
      <c r="H515" s="168">
        <v>0</v>
      </c>
    </row>
    <row r="516" spans="1:8" ht="13.7" customHeight="1" x14ac:dyDescent="0.25">
      <c r="A516" s="166" t="s">
        <v>1174</v>
      </c>
      <c r="B516" s="166" t="s">
        <v>1168</v>
      </c>
      <c r="C516" s="166" t="s">
        <v>1169</v>
      </c>
      <c r="D516" s="166" t="s">
        <v>1173</v>
      </c>
      <c r="E516" s="166" t="s">
        <v>970</v>
      </c>
      <c r="F516" s="167">
        <v>43607</v>
      </c>
      <c r="G516" s="167">
        <v>44347</v>
      </c>
      <c r="H516" s="168">
        <v>508687</v>
      </c>
    </row>
    <row r="517" spans="1:8" ht="13.7" customHeight="1" x14ac:dyDescent="0.25">
      <c r="A517" s="166" t="s">
        <v>1174</v>
      </c>
      <c r="B517" s="166" t="s">
        <v>1168</v>
      </c>
      <c r="C517" s="166" t="s">
        <v>1169</v>
      </c>
      <c r="D517" s="166" t="s">
        <v>1173</v>
      </c>
      <c r="E517" s="166" t="s">
        <v>970</v>
      </c>
      <c r="F517" s="167">
        <v>43607</v>
      </c>
      <c r="G517" s="167">
        <v>44347</v>
      </c>
      <c r="H517" s="168">
        <v>-22153</v>
      </c>
    </row>
    <row r="518" spans="1:8" ht="13.7" customHeight="1" x14ac:dyDescent="0.25">
      <c r="A518" s="166" t="s">
        <v>1175</v>
      </c>
      <c r="B518" s="166" t="s">
        <v>1168</v>
      </c>
      <c r="C518" s="166" t="s">
        <v>1169</v>
      </c>
      <c r="D518" s="166" t="s">
        <v>1176</v>
      </c>
      <c r="E518" s="166" t="s">
        <v>1177</v>
      </c>
      <c r="F518" s="167">
        <v>43718</v>
      </c>
      <c r="G518" s="167">
        <v>44083</v>
      </c>
      <c r="H518" s="168">
        <v>193112</v>
      </c>
    </row>
    <row r="519" spans="1:8" ht="13.7" customHeight="1" x14ac:dyDescent="0.25">
      <c r="A519" s="166" t="s">
        <v>1178</v>
      </c>
      <c r="B519" s="166" t="s">
        <v>1168</v>
      </c>
      <c r="C519" s="166" t="s">
        <v>1169</v>
      </c>
      <c r="D519" s="166" t="s">
        <v>1179</v>
      </c>
      <c r="E519" s="166" t="s">
        <v>970</v>
      </c>
      <c r="F519" s="167">
        <v>43728</v>
      </c>
      <c r="G519" s="167">
        <v>45004</v>
      </c>
      <c r="H519" s="168">
        <v>13447</v>
      </c>
    </row>
    <row r="520" spans="1:8" ht="13.7" customHeight="1" x14ac:dyDescent="0.25">
      <c r="A520" s="166" t="s">
        <v>1178</v>
      </c>
      <c r="B520" s="166" t="s">
        <v>1168</v>
      </c>
      <c r="C520" s="166" t="s">
        <v>1169</v>
      </c>
      <c r="D520" s="166" t="s">
        <v>1179</v>
      </c>
      <c r="E520" s="166" t="s">
        <v>970</v>
      </c>
      <c r="F520" s="167">
        <v>43728</v>
      </c>
      <c r="G520" s="167">
        <v>45004</v>
      </c>
      <c r="H520" s="168">
        <v>76842</v>
      </c>
    </row>
    <row r="521" spans="1:8" ht="13.7" customHeight="1" x14ac:dyDescent="0.25">
      <c r="A521" s="166" t="s">
        <v>1180</v>
      </c>
      <c r="B521" s="166" t="s">
        <v>1168</v>
      </c>
      <c r="C521" s="166" t="s">
        <v>1169</v>
      </c>
      <c r="D521" s="166" t="s">
        <v>1181</v>
      </c>
      <c r="E521" s="166" t="s">
        <v>970</v>
      </c>
      <c r="F521" s="167">
        <v>43734</v>
      </c>
      <c r="G521" s="167">
        <v>44278</v>
      </c>
      <c r="H521" s="168">
        <v>14574</v>
      </c>
    </row>
    <row r="522" spans="1:8" ht="13.7" customHeight="1" x14ac:dyDescent="0.25">
      <c r="A522" s="166" t="s">
        <v>1180</v>
      </c>
      <c r="B522" s="166" t="s">
        <v>1168</v>
      </c>
      <c r="C522" s="166" t="s">
        <v>1169</v>
      </c>
      <c r="D522" s="166" t="s">
        <v>1181</v>
      </c>
      <c r="E522" s="166" t="s">
        <v>970</v>
      </c>
      <c r="F522" s="167">
        <v>43734</v>
      </c>
      <c r="G522" s="167">
        <v>44278</v>
      </c>
      <c r="H522" s="168">
        <v>44164</v>
      </c>
    </row>
    <row r="523" spans="1:8" ht="13.7" customHeight="1" x14ac:dyDescent="0.25">
      <c r="A523" s="166" t="s">
        <v>1182</v>
      </c>
      <c r="B523" s="166" t="s">
        <v>1168</v>
      </c>
      <c r="C523" s="166" t="s">
        <v>1169</v>
      </c>
      <c r="D523" s="166" t="s">
        <v>1183</v>
      </c>
      <c r="E523" s="166" t="s">
        <v>970</v>
      </c>
      <c r="F523" s="167">
        <v>43738</v>
      </c>
      <c r="G523" s="167">
        <v>44285</v>
      </c>
      <c r="H523" s="168">
        <v>0</v>
      </c>
    </row>
    <row r="524" spans="1:8" ht="13.7" customHeight="1" x14ac:dyDescent="0.25">
      <c r="A524" s="166" t="s">
        <v>1182</v>
      </c>
      <c r="B524" s="166" t="s">
        <v>1168</v>
      </c>
      <c r="C524" s="166" t="s">
        <v>1169</v>
      </c>
      <c r="D524" s="166" t="s">
        <v>1183</v>
      </c>
      <c r="E524" s="166" t="s">
        <v>970</v>
      </c>
      <c r="F524" s="167">
        <v>43738</v>
      </c>
      <c r="G524" s="167">
        <v>44285</v>
      </c>
      <c r="H524" s="168">
        <v>0</v>
      </c>
    </row>
    <row r="525" spans="1:8" ht="13.7" customHeight="1" x14ac:dyDescent="0.25">
      <c r="A525" s="166" t="s">
        <v>1182</v>
      </c>
      <c r="B525" s="166" t="s">
        <v>1168</v>
      </c>
      <c r="C525" s="166" t="s">
        <v>1169</v>
      </c>
      <c r="D525" s="166" t="s">
        <v>1183</v>
      </c>
      <c r="E525" s="166" t="s">
        <v>970</v>
      </c>
      <c r="F525" s="167">
        <v>43738</v>
      </c>
      <c r="G525" s="167">
        <v>44285</v>
      </c>
      <c r="H525" s="168">
        <v>0</v>
      </c>
    </row>
    <row r="526" spans="1:8" ht="13.7" customHeight="1" x14ac:dyDescent="0.25">
      <c r="A526" s="166" t="s">
        <v>1182</v>
      </c>
      <c r="B526" s="166" t="s">
        <v>1168</v>
      </c>
      <c r="C526" s="166" t="s">
        <v>1169</v>
      </c>
      <c r="D526" s="166" t="s">
        <v>1183</v>
      </c>
      <c r="E526" s="166" t="s">
        <v>970</v>
      </c>
      <c r="F526" s="167">
        <v>43738</v>
      </c>
      <c r="G526" s="167">
        <v>44285</v>
      </c>
      <c r="H526" s="168">
        <v>125867</v>
      </c>
    </row>
    <row r="527" spans="1:8" ht="13.7" customHeight="1" x14ac:dyDescent="0.25">
      <c r="A527" s="166" t="s">
        <v>1182</v>
      </c>
      <c r="B527" s="166" t="s">
        <v>1168</v>
      </c>
      <c r="C527" s="166" t="s">
        <v>1169</v>
      </c>
      <c r="D527" s="166" t="s">
        <v>1183</v>
      </c>
      <c r="E527" s="166" t="s">
        <v>970</v>
      </c>
      <c r="F527" s="167">
        <v>43738</v>
      </c>
      <c r="G527" s="167">
        <v>44285</v>
      </c>
      <c r="H527" s="168">
        <v>427479</v>
      </c>
    </row>
    <row r="528" spans="1:8" ht="13.7" customHeight="1" x14ac:dyDescent="0.25">
      <c r="A528" s="166" t="s">
        <v>1184</v>
      </c>
      <c r="B528" s="166" t="s">
        <v>1168</v>
      </c>
      <c r="C528" s="166" t="s">
        <v>1169</v>
      </c>
      <c r="D528" s="166" t="s">
        <v>1183</v>
      </c>
      <c r="E528" s="166" t="s">
        <v>970</v>
      </c>
      <c r="F528" s="167">
        <v>43738</v>
      </c>
      <c r="G528" s="167">
        <v>44285</v>
      </c>
      <c r="H528" s="168">
        <v>170191</v>
      </c>
    </row>
    <row r="529" spans="1:8" ht="13.7" customHeight="1" x14ac:dyDescent="0.25">
      <c r="A529" s="166" t="s">
        <v>1185</v>
      </c>
      <c r="B529" s="166" t="s">
        <v>1168</v>
      </c>
      <c r="C529" s="166" t="s">
        <v>1169</v>
      </c>
      <c r="D529" s="166" t="s">
        <v>1186</v>
      </c>
      <c r="E529" s="166" t="s">
        <v>970</v>
      </c>
      <c r="F529" s="167">
        <v>43983</v>
      </c>
      <c r="G529" s="167">
        <v>44347</v>
      </c>
      <c r="H529" s="168">
        <v>24647</v>
      </c>
    </row>
    <row r="530" spans="1:8" ht="13.7" customHeight="1" x14ac:dyDescent="0.25">
      <c r="A530" s="166" t="s">
        <v>1185</v>
      </c>
      <c r="B530" s="166" t="s">
        <v>1168</v>
      </c>
      <c r="C530" s="166" t="s">
        <v>1169</v>
      </c>
      <c r="D530" s="166" t="s">
        <v>1186</v>
      </c>
      <c r="E530" s="166" t="s">
        <v>970</v>
      </c>
      <c r="F530" s="167">
        <v>43983</v>
      </c>
      <c r="G530" s="167">
        <v>44347</v>
      </c>
      <c r="H530" s="168">
        <v>140842</v>
      </c>
    </row>
    <row r="531" spans="1:8" ht="13.7" customHeight="1" x14ac:dyDescent="0.25">
      <c r="A531" s="166" t="s">
        <v>1187</v>
      </c>
      <c r="B531" s="166" t="s">
        <v>1168</v>
      </c>
      <c r="C531" s="166" t="s">
        <v>1169</v>
      </c>
      <c r="D531" s="166" t="s">
        <v>1188</v>
      </c>
      <c r="E531" s="166" t="s">
        <v>1189</v>
      </c>
      <c r="F531" s="167">
        <v>43697</v>
      </c>
      <c r="G531" s="167">
        <v>44012</v>
      </c>
      <c r="H531" s="168">
        <v>53504</v>
      </c>
    </row>
    <row r="532" spans="1:8" ht="13.7" customHeight="1" x14ac:dyDescent="0.25">
      <c r="A532" s="166" t="s">
        <v>1190</v>
      </c>
      <c r="B532" s="166" t="s">
        <v>1168</v>
      </c>
      <c r="C532" s="166" t="s">
        <v>1169</v>
      </c>
      <c r="D532" s="166" t="s">
        <v>1191</v>
      </c>
      <c r="E532" s="166" t="s">
        <v>497</v>
      </c>
      <c r="F532" s="167">
        <v>43691</v>
      </c>
      <c r="G532" s="167">
        <v>44073</v>
      </c>
      <c r="H532" s="168">
        <v>29478</v>
      </c>
    </row>
    <row r="533" spans="1:8" ht="13.7" customHeight="1" x14ac:dyDescent="0.25">
      <c r="A533" s="166" t="s">
        <v>1192</v>
      </c>
      <c r="B533" s="166" t="s">
        <v>1193</v>
      </c>
      <c r="C533" s="166" t="s">
        <v>1194</v>
      </c>
      <c r="D533" s="166" t="s">
        <v>1195</v>
      </c>
      <c r="E533" s="166" t="s">
        <v>1196</v>
      </c>
      <c r="F533" s="167">
        <v>43008</v>
      </c>
      <c r="G533" s="167">
        <v>44439</v>
      </c>
      <c r="H533" s="168">
        <v>63161</v>
      </c>
    </row>
    <row r="534" spans="1:8" ht="13.7" customHeight="1" x14ac:dyDescent="0.25">
      <c r="A534" s="166" t="s">
        <v>1192</v>
      </c>
      <c r="B534" s="166" t="s">
        <v>1193</v>
      </c>
      <c r="C534" s="166" t="s">
        <v>1194</v>
      </c>
      <c r="D534" s="166" t="s">
        <v>1195</v>
      </c>
      <c r="E534" s="166" t="s">
        <v>1196</v>
      </c>
      <c r="F534" s="167">
        <v>43008</v>
      </c>
      <c r="G534" s="167">
        <v>44439</v>
      </c>
      <c r="H534" s="168">
        <v>50057</v>
      </c>
    </row>
    <row r="535" spans="1:8" ht="13.7" customHeight="1" x14ac:dyDescent="0.25">
      <c r="A535" s="166" t="s">
        <v>1197</v>
      </c>
      <c r="B535" s="166" t="s">
        <v>1198</v>
      </c>
      <c r="C535" s="166" t="s">
        <v>1194</v>
      </c>
      <c r="D535" s="166" t="s">
        <v>1199</v>
      </c>
      <c r="E535" s="166" t="s">
        <v>1147</v>
      </c>
      <c r="F535" s="167">
        <v>43801</v>
      </c>
      <c r="G535" s="167">
        <v>45565</v>
      </c>
      <c r="H535" s="168">
        <v>143348</v>
      </c>
    </row>
    <row r="536" spans="1:8" ht="13.7" customHeight="1" x14ac:dyDescent="0.25">
      <c r="A536" s="166" t="s">
        <v>1197</v>
      </c>
      <c r="B536" s="166" t="s">
        <v>1198</v>
      </c>
      <c r="C536" s="166" t="s">
        <v>1194</v>
      </c>
      <c r="D536" s="166" t="s">
        <v>1199</v>
      </c>
      <c r="E536" s="166" t="s">
        <v>1147</v>
      </c>
      <c r="F536" s="167">
        <v>43801</v>
      </c>
      <c r="G536" s="167">
        <v>45565</v>
      </c>
      <c r="H536" s="168">
        <v>697500</v>
      </c>
    </row>
    <row r="537" spans="1:8" ht="13.7" customHeight="1" x14ac:dyDescent="0.25">
      <c r="A537" s="166" t="s">
        <v>1200</v>
      </c>
      <c r="B537" s="166" t="s">
        <v>1201</v>
      </c>
      <c r="C537" s="166" t="s">
        <v>1202</v>
      </c>
      <c r="D537" s="166" t="s">
        <v>1203</v>
      </c>
      <c r="E537" s="166" t="s">
        <v>611</v>
      </c>
      <c r="F537" s="167">
        <v>43269</v>
      </c>
      <c r="G537" s="167">
        <v>44347</v>
      </c>
      <c r="H537" s="168">
        <v>258596</v>
      </c>
    </row>
    <row r="538" spans="1:8" ht="13.7" customHeight="1" x14ac:dyDescent="0.25">
      <c r="A538" s="166" t="s">
        <v>1200</v>
      </c>
      <c r="B538" s="166" t="s">
        <v>1201</v>
      </c>
      <c r="C538" s="166" t="s">
        <v>1202</v>
      </c>
      <c r="D538" s="166" t="s">
        <v>1203</v>
      </c>
      <c r="E538" s="166" t="s">
        <v>611</v>
      </c>
      <c r="F538" s="167">
        <v>43269</v>
      </c>
      <c r="G538" s="167">
        <v>44347</v>
      </c>
      <c r="H538" s="168">
        <v>376678</v>
      </c>
    </row>
    <row r="539" spans="1:8" ht="13.7" customHeight="1" x14ac:dyDescent="0.25">
      <c r="A539" s="166" t="s">
        <v>1200</v>
      </c>
      <c r="B539" s="166" t="s">
        <v>1201</v>
      </c>
      <c r="C539" s="166" t="s">
        <v>1202</v>
      </c>
      <c r="D539" s="166" t="s">
        <v>1203</v>
      </c>
      <c r="E539" s="166" t="s">
        <v>611</v>
      </c>
      <c r="F539" s="167">
        <v>43269</v>
      </c>
      <c r="G539" s="167">
        <v>44347</v>
      </c>
      <c r="H539" s="168">
        <v>0</v>
      </c>
    </row>
    <row r="540" spans="1:8" ht="13.7" customHeight="1" x14ac:dyDescent="0.25">
      <c r="A540" s="166" t="s">
        <v>1204</v>
      </c>
      <c r="B540" s="166" t="s">
        <v>1205</v>
      </c>
      <c r="C540" s="166" t="s">
        <v>1202</v>
      </c>
      <c r="D540" s="166" t="s">
        <v>1206</v>
      </c>
      <c r="E540" s="166" t="s">
        <v>611</v>
      </c>
      <c r="F540" s="167">
        <v>43738</v>
      </c>
      <c r="G540" s="167">
        <v>44468</v>
      </c>
      <c r="H540" s="168">
        <v>1425708</v>
      </c>
    </row>
    <row r="541" spans="1:8" ht="13.7" customHeight="1" x14ac:dyDescent="0.25">
      <c r="A541" s="166" t="s">
        <v>1207</v>
      </c>
      <c r="B541" s="166" t="s">
        <v>1205</v>
      </c>
      <c r="C541" s="166" t="s">
        <v>1202</v>
      </c>
      <c r="D541" s="166" t="s">
        <v>1208</v>
      </c>
      <c r="E541" s="166" t="s">
        <v>611</v>
      </c>
      <c r="F541" s="167">
        <v>43738</v>
      </c>
      <c r="G541" s="167">
        <v>44468</v>
      </c>
      <c r="H541" s="168">
        <v>847164</v>
      </c>
    </row>
    <row r="542" spans="1:8" ht="13.7" customHeight="1" x14ac:dyDescent="0.25">
      <c r="A542" s="166" t="s">
        <v>1209</v>
      </c>
      <c r="B542" s="166" t="s">
        <v>1205</v>
      </c>
      <c r="C542" s="166" t="s">
        <v>1202</v>
      </c>
      <c r="D542" s="166" t="s">
        <v>1210</v>
      </c>
      <c r="E542" s="166" t="s">
        <v>611</v>
      </c>
      <c r="F542" s="167">
        <v>43944</v>
      </c>
      <c r="G542" s="167">
        <v>44103</v>
      </c>
      <c r="H542" s="168">
        <v>25000</v>
      </c>
    </row>
    <row r="543" spans="1:8" ht="13.7" customHeight="1" x14ac:dyDescent="0.25">
      <c r="A543" s="166" t="s">
        <v>1209</v>
      </c>
      <c r="B543" s="166" t="s">
        <v>1205</v>
      </c>
      <c r="C543" s="166" t="s">
        <v>1202</v>
      </c>
      <c r="D543" s="166" t="s">
        <v>1210</v>
      </c>
      <c r="E543" s="166" t="s">
        <v>611</v>
      </c>
      <c r="F543" s="167">
        <v>43944</v>
      </c>
      <c r="G543" s="167">
        <v>44103</v>
      </c>
      <c r="H543" s="168">
        <v>-25000</v>
      </c>
    </row>
    <row r="544" spans="1:8" ht="13.7" customHeight="1" x14ac:dyDescent="0.25">
      <c r="A544" s="166" t="s">
        <v>1209</v>
      </c>
      <c r="B544" s="166" t="s">
        <v>1205</v>
      </c>
      <c r="C544" s="166" t="s">
        <v>1202</v>
      </c>
      <c r="D544" s="166" t="s">
        <v>1210</v>
      </c>
      <c r="E544" s="166" t="s">
        <v>611</v>
      </c>
      <c r="F544" s="167">
        <v>43944</v>
      </c>
      <c r="G544" s="167">
        <v>44103</v>
      </c>
      <c r="H544" s="168">
        <v>0</v>
      </c>
    </row>
    <row r="545" spans="1:8" ht="13.7" customHeight="1" x14ac:dyDescent="0.25">
      <c r="A545" s="166" t="s">
        <v>1209</v>
      </c>
      <c r="B545" s="166" t="s">
        <v>1205</v>
      </c>
      <c r="C545" s="166" t="s">
        <v>1202</v>
      </c>
      <c r="D545" s="166" t="s">
        <v>1210</v>
      </c>
      <c r="E545" s="166" t="s">
        <v>611</v>
      </c>
      <c r="F545" s="167">
        <v>43944</v>
      </c>
      <c r="G545" s="167">
        <v>44103</v>
      </c>
      <c r="H545" s="168">
        <v>1005535</v>
      </c>
    </row>
    <row r="546" spans="1:8" ht="13.7" customHeight="1" x14ac:dyDescent="0.25">
      <c r="A546" s="166" t="s">
        <v>1209</v>
      </c>
      <c r="B546" s="166" t="s">
        <v>1205</v>
      </c>
      <c r="C546" s="166" t="s">
        <v>1202</v>
      </c>
      <c r="D546" s="166" t="s">
        <v>1210</v>
      </c>
      <c r="E546" s="166" t="s">
        <v>611</v>
      </c>
      <c r="F546" s="167">
        <v>43944</v>
      </c>
      <c r="G546" s="167">
        <v>44103</v>
      </c>
      <c r="H546" s="168">
        <v>1494344</v>
      </c>
    </row>
    <row r="547" spans="1:8" ht="13.7" customHeight="1" x14ac:dyDescent="0.25">
      <c r="A547" s="166" t="s">
        <v>1211</v>
      </c>
      <c r="B547" s="166" t="s">
        <v>1205</v>
      </c>
      <c r="C547" s="166" t="s">
        <v>1202</v>
      </c>
      <c r="D547" s="166" t="s">
        <v>1212</v>
      </c>
      <c r="E547" s="166" t="s">
        <v>1213</v>
      </c>
      <c r="F547" s="167">
        <v>43497</v>
      </c>
      <c r="G547" s="167">
        <v>44103</v>
      </c>
      <c r="H547" s="168">
        <v>690178</v>
      </c>
    </row>
    <row r="548" spans="1:8" ht="13.7" customHeight="1" x14ac:dyDescent="0.25">
      <c r="A548" s="166" t="s">
        <v>1211</v>
      </c>
      <c r="B548" s="166" t="s">
        <v>1205</v>
      </c>
      <c r="C548" s="166" t="s">
        <v>1202</v>
      </c>
      <c r="D548" s="166" t="s">
        <v>1212</v>
      </c>
      <c r="E548" s="166" t="s">
        <v>1213</v>
      </c>
      <c r="F548" s="167">
        <v>43497</v>
      </c>
      <c r="G548" s="167">
        <v>44103</v>
      </c>
      <c r="H548" s="168">
        <v>76490</v>
      </c>
    </row>
    <row r="549" spans="1:8" ht="13.7" customHeight="1" x14ac:dyDescent="0.25">
      <c r="A549" s="166" t="s">
        <v>1214</v>
      </c>
      <c r="B549" s="166" t="s">
        <v>1205</v>
      </c>
      <c r="C549" s="166" t="s">
        <v>1202</v>
      </c>
      <c r="D549" s="166" t="s">
        <v>1215</v>
      </c>
      <c r="E549" s="166" t="s">
        <v>1216</v>
      </c>
      <c r="F549" s="167">
        <v>43709</v>
      </c>
      <c r="G549" s="167">
        <v>44074</v>
      </c>
      <c r="H549" s="168">
        <v>125238</v>
      </c>
    </row>
    <row r="550" spans="1:8" ht="13.7" customHeight="1" x14ac:dyDescent="0.25">
      <c r="A550" s="166" t="s">
        <v>1217</v>
      </c>
      <c r="B550" s="166" t="s">
        <v>710</v>
      </c>
      <c r="C550" s="166" t="s">
        <v>1202</v>
      </c>
      <c r="D550" s="166" t="s">
        <v>1218</v>
      </c>
      <c r="E550" s="166" t="s">
        <v>611</v>
      </c>
      <c r="F550" s="167">
        <v>43259</v>
      </c>
      <c r="G550" s="167">
        <v>43982</v>
      </c>
      <c r="H550" s="168">
        <v>142968</v>
      </c>
    </row>
    <row r="551" spans="1:8" ht="13.7" customHeight="1" x14ac:dyDescent="0.25">
      <c r="A551" s="166" t="s">
        <v>1217</v>
      </c>
      <c r="B551" s="166" t="s">
        <v>710</v>
      </c>
      <c r="C551" s="166" t="s">
        <v>1202</v>
      </c>
      <c r="D551" s="166" t="s">
        <v>1218</v>
      </c>
      <c r="E551" s="166" t="s">
        <v>611</v>
      </c>
      <c r="F551" s="167">
        <v>43259</v>
      </c>
      <c r="G551" s="167">
        <v>43982</v>
      </c>
      <c r="H551" s="168">
        <v>943407</v>
      </c>
    </row>
    <row r="552" spans="1:8" ht="13.7" customHeight="1" x14ac:dyDescent="0.25">
      <c r="A552" s="166" t="s">
        <v>1217</v>
      </c>
      <c r="B552" s="166" t="s">
        <v>710</v>
      </c>
      <c r="C552" s="166" t="s">
        <v>1202</v>
      </c>
      <c r="D552" s="166" t="s">
        <v>1218</v>
      </c>
      <c r="E552" s="166" t="s">
        <v>611</v>
      </c>
      <c r="F552" s="167">
        <v>43259</v>
      </c>
      <c r="G552" s="167">
        <v>43982</v>
      </c>
      <c r="H552" s="168">
        <v>869</v>
      </c>
    </row>
    <row r="553" spans="1:8" ht="13.7" customHeight="1" x14ac:dyDescent="0.25">
      <c r="A553" s="166" t="s">
        <v>1217</v>
      </c>
      <c r="B553" s="166" t="s">
        <v>710</v>
      </c>
      <c r="C553" s="166" t="s">
        <v>1202</v>
      </c>
      <c r="D553" s="166" t="s">
        <v>1218</v>
      </c>
      <c r="E553" s="166" t="s">
        <v>611</v>
      </c>
      <c r="F553" s="167">
        <v>43259</v>
      </c>
      <c r="G553" s="167">
        <v>43982</v>
      </c>
      <c r="H553" s="168">
        <v>-869</v>
      </c>
    </row>
    <row r="554" spans="1:8" ht="13.7" customHeight="1" x14ac:dyDescent="0.25">
      <c r="A554" s="166" t="s">
        <v>1217</v>
      </c>
      <c r="B554" s="166" t="s">
        <v>710</v>
      </c>
      <c r="C554" s="166" t="s">
        <v>1202</v>
      </c>
      <c r="D554" s="166" t="s">
        <v>1218</v>
      </c>
      <c r="E554" s="166" t="s">
        <v>611</v>
      </c>
      <c r="F554" s="167">
        <v>43259</v>
      </c>
      <c r="G554" s="167">
        <v>43982</v>
      </c>
      <c r="H554" s="168">
        <v>685.52</v>
      </c>
    </row>
    <row r="555" spans="1:8" ht="13.7" customHeight="1" x14ac:dyDescent="0.25">
      <c r="A555" s="166" t="s">
        <v>1217</v>
      </c>
      <c r="B555" s="166" t="s">
        <v>710</v>
      </c>
      <c r="C555" s="166" t="s">
        <v>1202</v>
      </c>
      <c r="D555" s="166" t="s">
        <v>1218</v>
      </c>
      <c r="E555" s="166" t="s">
        <v>611</v>
      </c>
      <c r="F555" s="167">
        <v>43259</v>
      </c>
      <c r="G555" s="167">
        <v>43982</v>
      </c>
      <c r="H555" s="168">
        <v>-685.52</v>
      </c>
    </row>
    <row r="556" spans="1:8" ht="13.7" customHeight="1" x14ac:dyDescent="0.25">
      <c r="A556" s="166" t="s">
        <v>1219</v>
      </c>
      <c r="B556" s="166" t="s">
        <v>710</v>
      </c>
      <c r="C556" s="166" t="s">
        <v>1202</v>
      </c>
      <c r="D556" s="166" t="s">
        <v>1220</v>
      </c>
      <c r="E556" s="166" t="s">
        <v>611</v>
      </c>
      <c r="F556" s="167">
        <v>43900</v>
      </c>
      <c r="G556" s="167">
        <v>44255</v>
      </c>
      <c r="H556" s="168">
        <v>204305</v>
      </c>
    </row>
    <row r="557" spans="1:8" ht="13.7" customHeight="1" x14ac:dyDescent="0.25">
      <c r="A557" s="166" t="s">
        <v>1221</v>
      </c>
      <c r="B557" s="166" t="s">
        <v>1222</v>
      </c>
      <c r="C557" s="166" t="s">
        <v>1202</v>
      </c>
      <c r="D557" s="166" t="s">
        <v>1223</v>
      </c>
      <c r="E557" s="166" t="s">
        <v>486</v>
      </c>
      <c r="F557" s="167">
        <v>43678</v>
      </c>
      <c r="G557" s="167">
        <v>44773</v>
      </c>
      <c r="H557" s="168">
        <v>710383</v>
      </c>
    </row>
    <row r="558" spans="1:8" ht="13.7" customHeight="1" x14ac:dyDescent="0.25">
      <c r="A558" s="166" t="s">
        <v>1224</v>
      </c>
      <c r="B558" s="166" t="s">
        <v>1222</v>
      </c>
      <c r="C558" s="166" t="s">
        <v>1202</v>
      </c>
      <c r="D558" s="166" t="s">
        <v>1223</v>
      </c>
      <c r="E558" s="166" t="s">
        <v>486</v>
      </c>
      <c r="F558" s="167">
        <v>43678</v>
      </c>
      <c r="G558" s="167">
        <v>44773</v>
      </c>
      <c r="H558" s="168">
        <v>15000</v>
      </c>
    </row>
    <row r="559" spans="1:8" ht="13.7" customHeight="1" x14ac:dyDescent="0.25">
      <c r="A559" s="166" t="s">
        <v>1225</v>
      </c>
      <c r="B559" s="166" t="s">
        <v>1226</v>
      </c>
      <c r="C559" s="166" t="s">
        <v>1202</v>
      </c>
      <c r="D559" s="166" t="s">
        <v>1227</v>
      </c>
      <c r="E559" s="166" t="s">
        <v>1228</v>
      </c>
      <c r="F559" s="167">
        <v>43862</v>
      </c>
      <c r="G559" s="167">
        <v>44592</v>
      </c>
      <c r="H559" s="168">
        <v>0</v>
      </c>
    </row>
    <row r="560" spans="1:8" ht="13.7" customHeight="1" x14ac:dyDescent="0.25">
      <c r="A560" s="166" t="s">
        <v>1225</v>
      </c>
      <c r="B560" s="166" t="s">
        <v>1226</v>
      </c>
      <c r="C560" s="166" t="s">
        <v>1202</v>
      </c>
      <c r="D560" s="166" t="s">
        <v>1227</v>
      </c>
      <c r="E560" s="166" t="s">
        <v>1228</v>
      </c>
      <c r="F560" s="167">
        <v>43862</v>
      </c>
      <c r="G560" s="167">
        <v>44592</v>
      </c>
      <c r="H560" s="168">
        <v>257162</v>
      </c>
    </row>
    <row r="561" spans="1:8" ht="13.7" customHeight="1" x14ac:dyDescent="0.25">
      <c r="A561" s="166" t="s">
        <v>1229</v>
      </c>
      <c r="B561" s="166" t="s">
        <v>1230</v>
      </c>
      <c r="C561" s="166" t="s">
        <v>1231</v>
      </c>
      <c r="D561" s="166" t="s">
        <v>1232</v>
      </c>
      <c r="E561" s="166" t="s">
        <v>1233</v>
      </c>
      <c r="F561" s="167">
        <v>43888</v>
      </c>
      <c r="G561" s="167">
        <v>43951</v>
      </c>
      <c r="H561" s="168">
        <v>20795</v>
      </c>
    </row>
    <row r="562" spans="1:8" ht="13.7" customHeight="1" x14ac:dyDescent="0.25">
      <c r="A562" s="166" t="s">
        <v>1234</v>
      </c>
      <c r="B562" s="166" t="s">
        <v>1230</v>
      </c>
      <c r="C562" s="166" t="s">
        <v>1231</v>
      </c>
      <c r="D562" s="166" t="s">
        <v>1235</v>
      </c>
      <c r="E562" s="166" t="s">
        <v>593</v>
      </c>
      <c r="F562" s="167">
        <v>42826</v>
      </c>
      <c r="G562" s="167">
        <v>44286</v>
      </c>
      <c r="H562" s="168">
        <v>43130.82</v>
      </c>
    </row>
    <row r="563" spans="1:8" ht="13.7" customHeight="1" x14ac:dyDescent="0.25">
      <c r="A563" s="166" t="s">
        <v>1234</v>
      </c>
      <c r="B563" s="166" t="s">
        <v>1230</v>
      </c>
      <c r="C563" s="166" t="s">
        <v>1231</v>
      </c>
      <c r="D563" s="166" t="s">
        <v>1235</v>
      </c>
      <c r="E563" s="166" t="s">
        <v>593</v>
      </c>
      <c r="F563" s="167">
        <v>42826</v>
      </c>
      <c r="G563" s="167">
        <v>44286</v>
      </c>
      <c r="H563" s="168">
        <v>53981.37</v>
      </c>
    </row>
    <row r="564" spans="1:8" ht="13.7" customHeight="1" x14ac:dyDescent="0.25">
      <c r="A564" s="166" t="s">
        <v>1234</v>
      </c>
      <c r="B564" s="166" t="s">
        <v>1230</v>
      </c>
      <c r="C564" s="166" t="s">
        <v>1231</v>
      </c>
      <c r="D564" s="166" t="s">
        <v>1235</v>
      </c>
      <c r="E564" s="166" t="s">
        <v>593</v>
      </c>
      <c r="F564" s="167">
        <v>42826</v>
      </c>
      <c r="G564" s="167">
        <v>44286</v>
      </c>
      <c r="H564" s="168">
        <v>-97112.19</v>
      </c>
    </row>
    <row r="565" spans="1:8" ht="13.7" customHeight="1" x14ac:dyDescent="0.25">
      <c r="A565" s="166" t="s">
        <v>1234</v>
      </c>
      <c r="B565" s="166" t="s">
        <v>1230</v>
      </c>
      <c r="C565" s="166" t="s">
        <v>1231</v>
      </c>
      <c r="D565" s="166" t="s">
        <v>1235</v>
      </c>
      <c r="E565" s="166" t="s">
        <v>593</v>
      </c>
      <c r="F565" s="167">
        <v>42826</v>
      </c>
      <c r="G565" s="167">
        <v>44286</v>
      </c>
      <c r="H565" s="168">
        <v>-53407.58</v>
      </c>
    </row>
    <row r="566" spans="1:8" ht="13.7" customHeight="1" x14ac:dyDescent="0.25">
      <c r="A566" s="166" t="s">
        <v>1234</v>
      </c>
      <c r="B566" s="166" t="s">
        <v>1230</v>
      </c>
      <c r="C566" s="166" t="s">
        <v>1231</v>
      </c>
      <c r="D566" s="166" t="s">
        <v>1235</v>
      </c>
      <c r="E566" s="166" t="s">
        <v>593</v>
      </c>
      <c r="F566" s="167">
        <v>42826</v>
      </c>
      <c r="G566" s="167">
        <v>44286</v>
      </c>
      <c r="H566" s="168">
        <v>-3150.13</v>
      </c>
    </row>
    <row r="567" spans="1:8" ht="13.7" customHeight="1" x14ac:dyDescent="0.25">
      <c r="A567" s="166" t="s">
        <v>1236</v>
      </c>
      <c r="B567" s="166" t="s">
        <v>1230</v>
      </c>
      <c r="C567" s="166" t="s">
        <v>1231</v>
      </c>
      <c r="D567" s="166" t="s">
        <v>1237</v>
      </c>
      <c r="E567" s="166" t="s">
        <v>1238</v>
      </c>
      <c r="F567" s="167">
        <v>43070</v>
      </c>
      <c r="G567" s="167">
        <v>44165</v>
      </c>
      <c r="H567" s="168">
        <v>36324</v>
      </c>
    </row>
    <row r="568" spans="1:8" ht="13.7" customHeight="1" x14ac:dyDescent="0.25">
      <c r="A568" s="166" t="s">
        <v>1236</v>
      </c>
      <c r="B568" s="166" t="s">
        <v>1230</v>
      </c>
      <c r="C568" s="166" t="s">
        <v>1231</v>
      </c>
      <c r="D568" s="166" t="s">
        <v>1237</v>
      </c>
      <c r="E568" s="166" t="s">
        <v>1238</v>
      </c>
      <c r="F568" s="167">
        <v>43070</v>
      </c>
      <c r="G568" s="167">
        <v>44165</v>
      </c>
      <c r="H568" s="168">
        <v>4086</v>
      </c>
    </row>
    <row r="569" spans="1:8" ht="13.7" customHeight="1" x14ac:dyDescent="0.25">
      <c r="A569" s="166" t="s">
        <v>1236</v>
      </c>
      <c r="B569" s="166" t="s">
        <v>1230</v>
      </c>
      <c r="C569" s="166" t="s">
        <v>1231</v>
      </c>
      <c r="D569" s="166" t="s">
        <v>1237</v>
      </c>
      <c r="E569" s="166" t="s">
        <v>1238</v>
      </c>
      <c r="F569" s="167">
        <v>43070</v>
      </c>
      <c r="G569" s="167">
        <v>44165</v>
      </c>
      <c r="H569" s="168">
        <v>-4086</v>
      </c>
    </row>
    <row r="570" spans="1:8" ht="13.7" customHeight="1" x14ac:dyDescent="0.25">
      <c r="A570" s="166" t="s">
        <v>1239</v>
      </c>
      <c r="B570" s="166" t="s">
        <v>1230</v>
      </c>
      <c r="C570" s="166" t="s">
        <v>1231</v>
      </c>
      <c r="D570" s="166" t="s">
        <v>1240</v>
      </c>
      <c r="E570" s="166" t="s">
        <v>1238</v>
      </c>
      <c r="F570" s="167">
        <v>43862</v>
      </c>
      <c r="G570" s="167">
        <v>44165</v>
      </c>
      <c r="H570" s="168">
        <v>62009</v>
      </c>
    </row>
    <row r="571" spans="1:8" ht="13.7" customHeight="1" x14ac:dyDescent="0.25">
      <c r="A571" s="166" t="s">
        <v>1241</v>
      </c>
      <c r="B571" s="166" t="s">
        <v>1230</v>
      </c>
      <c r="C571" s="166" t="s">
        <v>1231</v>
      </c>
      <c r="D571" s="166" t="s">
        <v>1240</v>
      </c>
      <c r="E571" s="166" t="s">
        <v>1238</v>
      </c>
      <c r="F571" s="167">
        <v>43862</v>
      </c>
      <c r="G571" s="167">
        <v>44165</v>
      </c>
      <c r="H571" s="168">
        <v>24000</v>
      </c>
    </row>
    <row r="572" spans="1:8" ht="13.7" customHeight="1" x14ac:dyDescent="0.25">
      <c r="A572" s="166" t="s">
        <v>1241</v>
      </c>
      <c r="B572" s="166" t="s">
        <v>1230</v>
      </c>
      <c r="C572" s="166" t="s">
        <v>1231</v>
      </c>
      <c r="D572" s="166" t="s">
        <v>1240</v>
      </c>
      <c r="E572" s="166" t="s">
        <v>1238</v>
      </c>
      <c r="F572" s="167">
        <v>43862</v>
      </c>
      <c r="G572" s="167">
        <v>44165</v>
      </c>
      <c r="H572" s="168">
        <v>16946</v>
      </c>
    </row>
    <row r="573" spans="1:8" ht="13.7" customHeight="1" x14ac:dyDescent="0.25">
      <c r="A573" s="166" t="s">
        <v>1242</v>
      </c>
      <c r="B573" s="166" t="s">
        <v>1230</v>
      </c>
      <c r="C573" s="166" t="s">
        <v>1231</v>
      </c>
      <c r="D573" s="166" t="s">
        <v>1243</v>
      </c>
      <c r="E573" s="166" t="s">
        <v>1244</v>
      </c>
      <c r="F573" s="167">
        <v>42887</v>
      </c>
      <c r="G573" s="167">
        <v>44347</v>
      </c>
      <c r="H573" s="168">
        <v>76958</v>
      </c>
    </row>
    <row r="574" spans="1:8" ht="13.7" customHeight="1" x14ac:dyDescent="0.25">
      <c r="A574" s="166" t="s">
        <v>1245</v>
      </c>
      <c r="B574" s="166" t="s">
        <v>1230</v>
      </c>
      <c r="C574" s="166" t="s">
        <v>1231</v>
      </c>
      <c r="D574" s="166" t="s">
        <v>1246</v>
      </c>
      <c r="E574" s="166" t="s">
        <v>582</v>
      </c>
      <c r="F574" s="167">
        <v>43888</v>
      </c>
      <c r="G574" s="167">
        <v>43951</v>
      </c>
      <c r="H574" s="168">
        <v>4502</v>
      </c>
    </row>
    <row r="575" spans="1:8" ht="13.7" customHeight="1" x14ac:dyDescent="0.25">
      <c r="A575" s="166" t="s">
        <v>1245</v>
      </c>
      <c r="B575" s="166" t="s">
        <v>1230</v>
      </c>
      <c r="C575" s="166" t="s">
        <v>1231</v>
      </c>
      <c r="D575" s="166" t="s">
        <v>1246</v>
      </c>
      <c r="E575" s="166" t="s">
        <v>582</v>
      </c>
      <c r="F575" s="167">
        <v>43888</v>
      </c>
      <c r="G575" s="167">
        <v>43951</v>
      </c>
      <c r="H575" s="168">
        <v>45498</v>
      </c>
    </row>
    <row r="576" spans="1:8" ht="13.7" customHeight="1" x14ac:dyDescent="0.25">
      <c r="A576" s="166" t="s">
        <v>1247</v>
      </c>
      <c r="B576" s="166" t="s">
        <v>1230</v>
      </c>
      <c r="C576" s="166" t="s">
        <v>1231</v>
      </c>
      <c r="D576" s="166" t="s">
        <v>1248</v>
      </c>
      <c r="E576" s="166" t="s">
        <v>1238</v>
      </c>
      <c r="F576" s="167">
        <v>42401</v>
      </c>
      <c r="G576" s="167">
        <v>43861</v>
      </c>
      <c r="H576" s="168">
        <v>-8150.01</v>
      </c>
    </row>
    <row r="577" spans="1:8" ht="13.7" customHeight="1" x14ac:dyDescent="0.25">
      <c r="A577" s="166" t="s">
        <v>1247</v>
      </c>
      <c r="B577" s="166" t="s">
        <v>1230</v>
      </c>
      <c r="C577" s="166" t="s">
        <v>1231</v>
      </c>
      <c r="D577" s="166" t="s">
        <v>1248</v>
      </c>
      <c r="E577" s="166" t="s">
        <v>1238</v>
      </c>
      <c r="F577" s="167">
        <v>42401</v>
      </c>
      <c r="G577" s="167">
        <v>43861</v>
      </c>
      <c r="H577" s="168">
        <v>8150.01</v>
      </c>
    </row>
    <row r="578" spans="1:8" ht="13.7" customHeight="1" x14ac:dyDescent="0.25">
      <c r="A578" s="166" t="s">
        <v>1249</v>
      </c>
      <c r="B578" s="166" t="s">
        <v>1230</v>
      </c>
      <c r="C578" s="166" t="s">
        <v>1231</v>
      </c>
      <c r="D578" s="166" t="s">
        <v>1250</v>
      </c>
      <c r="E578" s="166" t="s">
        <v>486</v>
      </c>
      <c r="F578" s="167">
        <v>43617</v>
      </c>
      <c r="G578" s="167">
        <v>43982</v>
      </c>
      <c r="H578" s="168">
        <v>46000</v>
      </c>
    </row>
    <row r="579" spans="1:8" ht="13.7" customHeight="1" x14ac:dyDescent="0.25">
      <c r="A579" s="166" t="s">
        <v>1251</v>
      </c>
      <c r="B579" s="166" t="s">
        <v>1252</v>
      </c>
      <c r="C579" s="166" t="s">
        <v>1231</v>
      </c>
      <c r="D579" s="166" t="s">
        <v>1253</v>
      </c>
      <c r="E579" s="166" t="s">
        <v>1254</v>
      </c>
      <c r="F579" s="167">
        <v>42926</v>
      </c>
      <c r="G579" s="167">
        <v>44012</v>
      </c>
      <c r="H579" s="168">
        <v>-1890</v>
      </c>
    </row>
    <row r="580" spans="1:8" ht="13.7" customHeight="1" x14ac:dyDescent="0.25">
      <c r="A580" s="166" t="s">
        <v>1251</v>
      </c>
      <c r="B580" s="166" t="s">
        <v>1252</v>
      </c>
      <c r="C580" s="166" t="s">
        <v>1231</v>
      </c>
      <c r="D580" s="166" t="s">
        <v>1253</v>
      </c>
      <c r="E580" s="166" t="s">
        <v>1254</v>
      </c>
      <c r="F580" s="167">
        <v>42926</v>
      </c>
      <c r="G580" s="167">
        <v>44012</v>
      </c>
      <c r="H580" s="168">
        <v>1890</v>
      </c>
    </row>
    <row r="581" spans="1:8" ht="13.7" customHeight="1" x14ac:dyDescent="0.25">
      <c r="A581" s="166" t="s">
        <v>1255</v>
      </c>
      <c r="B581" s="166" t="s">
        <v>1256</v>
      </c>
      <c r="C581" s="166" t="s">
        <v>1257</v>
      </c>
      <c r="D581" s="166" t="s">
        <v>1258</v>
      </c>
      <c r="E581" s="166" t="s">
        <v>914</v>
      </c>
      <c r="F581" s="167">
        <v>43455</v>
      </c>
      <c r="G581" s="167">
        <v>44926</v>
      </c>
      <c r="H581" s="168">
        <v>119582</v>
      </c>
    </row>
    <row r="582" spans="1:8" ht="13.7" customHeight="1" x14ac:dyDescent="0.25">
      <c r="A582" s="166" t="s">
        <v>1255</v>
      </c>
      <c r="B582" s="166" t="s">
        <v>1256</v>
      </c>
      <c r="C582" s="166" t="s">
        <v>1257</v>
      </c>
      <c r="D582" s="166" t="s">
        <v>1258</v>
      </c>
      <c r="E582" s="166" t="s">
        <v>914</v>
      </c>
      <c r="F582" s="167">
        <v>43455</v>
      </c>
      <c r="G582" s="167">
        <v>44926</v>
      </c>
      <c r="H582" s="168">
        <v>-119582</v>
      </c>
    </row>
    <row r="583" spans="1:8" ht="13.7" customHeight="1" x14ac:dyDescent="0.25">
      <c r="A583" s="166" t="s">
        <v>1259</v>
      </c>
      <c r="B583" s="166" t="s">
        <v>1260</v>
      </c>
      <c r="C583" s="166" t="s">
        <v>1257</v>
      </c>
      <c r="D583" s="166" t="s">
        <v>1261</v>
      </c>
      <c r="E583" s="166" t="s">
        <v>723</v>
      </c>
      <c r="F583" s="167">
        <v>42948</v>
      </c>
      <c r="G583" s="167">
        <v>43677</v>
      </c>
      <c r="H583" s="168">
        <v>0</v>
      </c>
    </row>
    <row r="584" spans="1:8" ht="13.7" customHeight="1" x14ac:dyDescent="0.25">
      <c r="A584" s="166" t="s">
        <v>1259</v>
      </c>
      <c r="B584" s="166" t="s">
        <v>1260</v>
      </c>
      <c r="C584" s="166" t="s">
        <v>1257</v>
      </c>
      <c r="D584" s="166" t="s">
        <v>1261</v>
      </c>
      <c r="E584" s="166" t="s">
        <v>723</v>
      </c>
      <c r="F584" s="167">
        <v>42948</v>
      </c>
      <c r="G584" s="167">
        <v>43677</v>
      </c>
      <c r="H584" s="168">
        <v>-20515.419999999998</v>
      </c>
    </row>
    <row r="585" spans="1:8" ht="13.7" customHeight="1" x14ac:dyDescent="0.25">
      <c r="A585" s="166" t="s">
        <v>1262</v>
      </c>
      <c r="B585" s="166" t="s">
        <v>1260</v>
      </c>
      <c r="C585" s="166" t="s">
        <v>1257</v>
      </c>
      <c r="D585" s="166" t="s">
        <v>1261</v>
      </c>
      <c r="E585" s="166" t="s">
        <v>723</v>
      </c>
      <c r="F585" s="167">
        <v>43313</v>
      </c>
      <c r="G585" s="167">
        <v>44043</v>
      </c>
      <c r="H585" s="168">
        <v>0</v>
      </c>
    </row>
    <row r="586" spans="1:8" ht="13.7" customHeight="1" x14ac:dyDescent="0.25">
      <c r="A586" s="166" t="s">
        <v>1262</v>
      </c>
      <c r="B586" s="166" t="s">
        <v>1260</v>
      </c>
      <c r="C586" s="166" t="s">
        <v>1257</v>
      </c>
      <c r="D586" s="166" t="s">
        <v>1261</v>
      </c>
      <c r="E586" s="166" t="s">
        <v>723</v>
      </c>
      <c r="F586" s="167">
        <v>43313</v>
      </c>
      <c r="G586" s="167">
        <v>44043</v>
      </c>
      <c r="H586" s="168">
        <v>20515.419999999998</v>
      </c>
    </row>
    <row r="587" spans="1:8" ht="13.7" customHeight="1" x14ac:dyDescent="0.25">
      <c r="A587" s="166" t="s">
        <v>1262</v>
      </c>
      <c r="B587" s="166" t="s">
        <v>1260</v>
      </c>
      <c r="C587" s="166" t="s">
        <v>1257</v>
      </c>
      <c r="D587" s="166" t="s">
        <v>1261</v>
      </c>
      <c r="E587" s="166" t="s">
        <v>723</v>
      </c>
      <c r="F587" s="167">
        <v>43313</v>
      </c>
      <c r="G587" s="167">
        <v>44043</v>
      </c>
      <c r="H587" s="168">
        <v>3339.49</v>
      </c>
    </row>
    <row r="588" spans="1:8" ht="13.7" customHeight="1" x14ac:dyDescent="0.25">
      <c r="A588" s="166" t="s">
        <v>1262</v>
      </c>
      <c r="B588" s="166" t="s">
        <v>1260</v>
      </c>
      <c r="C588" s="166" t="s">
        <v>1257</v>
      </c>
      <c r="D588" s="166" t="s">
        <v>1261</v>
      </c>
      <c r="E588" s="166" t="s">
        <v>723</v>
      </c>
      <c r="F588" s="167">
        <v>43313</v>
      </c>
      <c r="G588" s="167">
        <v>44043</v>
      </c>
      <c r="H588" s="168">
        <v>-3339.49</v>
      </c>
    </row>
    <row r="589" spans="1:8" ht="13.7" customHeight="1" x14ac:dyDescent="0.25">
      <c r="A589" s="166" t="s">
        <v>1262</v>
      </c>
      <c r="B589" s="166" t="s">
        <v>1260</v>
      </c>
      <c r="C589" s="166" t="s">
        <v>1257</v>
      </c>
      <c r="D589" s="166" t="s">
        <v>1261</v>
      </c>
      <c r="E589" s="166" t="s">
        <v>723</v>
      </c>
      <c r="F589" s="167">
        <v>43313</v>
      </c>
      <c r="G589" s="167">
        <v>44043</v>
      </c>
      <c r="H589" s="168">
        <v>0</v>
      </c>
    </row>
    <row r="590" spans="1:8" ht="13.7" customHeight="1" x14ac:dyDescent="0.25">
      <c r="A590" s="166" t="s">
        <v>1263</v>
      </c>
      <c r="B590" s="166" t="s">
        <v>1260</v>
      </c>
      <c r="C590" s="166" t="s">
        <v>1257</v>
      </c>
      <c r="D590" s="166" t="s">
        <v>1261</v>
      </c>
      <c r="E590" s="166" t="s">
        <v>723</v>
      </c>
      <c r="F590" s="167">
        <v>43678</v>
      </c>
      <c r="G590" s="167">
        <v>44408</v>
      </c>
      <c r="H590" s="168">
        <v>280940</v>
      </c>
    </row>
    <row r="591" spans="1:8" ht="13.7" customHeight="1" x14ac:dyDescent="0.25">
      <c r="A591" s="166" t="s">
        <v>1263</v>
      </c>
      <c r="B591" s="166" t="s">
        <v>1260</v>
      </c>
      <c r="C591" s="166" t="s">
        <v>1257</v>
      </c>
      <c r="D591" s="166" t="s">
        <v>1261</v>
      </c>
      <c r="E591" s="166" t="s">
        <v>723</v>
      </c>
      <c r="F591" s="167">
        <v>43678</v>
      </c>
      <c r="G591" s="167">
        <v>44408</v>
      </c>
      <c r="H591" s="168">
        <v>256792</v>
      </c>
    </row>
    <row r="592" spans="1:8" ht="13.7" customHeight="1" x14ac:dyDescent="0.25">
      <c r="A592" s="166" t="s">
        <v>1263</v>
      </c>
      <c r="B592" s="166" t="s">
        <v>1260</v>
      </c>
      <c r="C592" s="166" t="s">
        <v>1257</v>
      </c>
      <c r="D592" s="166" t="s">
        <v>1261</v>
      </c>
      <c r="E592" s="166" t="s">
        <v>723</v>
      </c>
      <c r="F592" s="167">
        <v>43678</v>
      </c>
      <c r="G592" s="167">
        <v>44408</v>
      </c>
      <c r="H592" s="168">
        <v>199493</v>
      </c>
    </row>
    <row r="593" spans="1:8" ht="13.7" customHeight="1" x14ac:dyDescent="0.25">
      <c r="A593" s="166" t="s">
        <v>1263</v>
      </c>
      <c r="B593" s="166" t="s">
        <v>1260</v>
      </c>
      <c r="C593" s="166" t="s">
        <v>1257</v>
      </c>
      <c r="D593" s="166" t="s">
        <v>1261</v>
      </c>
      <c r="E593" s="166" t="s">
        <v>723</v>
      </c>
      <c r="F593" s="167">
        <v>43678</v>
      </c>
      <c r="G593" s="167">
        <v>44408</v>
      </c>
      <c r="H593" s="168">
        <v>65360</v>
      </c>
    </row>
    <row r="594" spans="1:8" ht="13.7" customHeight="1" x14ac:dyDescent="0.25">
      <c r="A594" s="166" t="s">
        <v>1264</v>
      </c>
      <c r="B594" s="166" t="s">
        <v>1265</v>
      </c>
      <c r="C594" s="166" t="s">
        <v>1266</v>
      </c>
      <c r="D594" s="166" t="s">
        <v>1267</v>
      </c>
      <c r="E594" s="166" t="s">
        <v>1114</v>
      </c>
      <c r="F594" s="167">
        <v>43891</v>
      </c>
      <c r="G594" s="167">
        <v>44255</v>
      </c>
      <c r="H594" s="168">
        <v>614236</v>
      </c>
    </row>
    <row r="595" spans="1:8" ht="13.7" customHeight="1" x14ac:dyDescent="0.25">
      <c r="A595" s="166" t="s">
        <v>1268</v>
      </c>
      <c r="B595" s="166" t="s">
        <v>1265</v>
      </c>
      <c r="C595" s="166" t="s">
        <v>1266</v>
      </c>
      <c r="D595" s="166" t="s">
        <v>1269</v>
      </c>
      <c r="E595" s="166" t="s">
        <v>1114</v>
      </c>
      <c r="F595" s="167">
        <v>43891</v>
      </c>
      <c r="G595" s="167">
        <v>45046</v>
      </c>
      <c r="H595" s="168">
        <v>60740</v>
      </c>
    </row>
    <row r="596" spans="1:8" ht="13.7" customHeight="1" x14ac:dyDescent="0.25">
      <c r="A596" s="166" t="s">
        <v>1270</v>
      </c>
      <c r="B596" s="166" t="s">
        <v>1265</v>
      </c>
      <c r="C596" s="166" t="s">
        <v>1266</v>
      </c>
      <c r="D596" s="166" t="s">
        <v>1271</v>
      </c>
      <c r="E596" s="166" t="s">
        <v>497</v>
      </c>
      <c r="F596" s="167">
        <v>44008</v>
      </c>
      <c r="G596" s="167">
        <v>45839</v>
      </c>
      <c r="H596" s="168">
        <v>142360</v>
      </c>
    </row>
    <row r="597" spans="1:8" ht="13.7" customHeight="1" x14ac:dyDescent="0.25">
      <c r="A597" s="166" t="s">
        <v>1272</v>
      </c>
      <c r="B597" s="166" t="s">
        <v>1273</v>
      </c>
      <c r="C597" s="166" t="s">
        <v>1266</v>
      </c>
      <c r="D597" s="166" t="s">
        <v>1274</v>
      </c>
      <c r="E597" s="166" t="s">
        <v>1275</v>
      </c>
      <c r="F597" s="167">
        <v>43862</v>
      </c>
      <c r="G597" s="167">
        <v>44255</v>
      </c>
      <c r="H597" s="168">
        <v>517844</v>
      </c>
    </row>
    <row r="598" spans="1:8" ht="13.7" customHeight="1" x14ac:dyDescent="0.25">
      <c r="A598" s="166" t="s">
        <v>1272</v>
      </c>
      <c r="B598" s="166" t="s">
        <v>1273</v>
      </c>
      <c r="C598" s="166" t="s">
        <v>1266</v>
      </c>
      <c r="D598" s="166" t="s">
        <v>1274</v>
      </c>
      <c r="E598" s="166" t="s">
        <v>1275</v>
      </c>
      <c r="F598" s="167">
        <v>43862</v>
      </c>
      <c r="G598" s="167">
        <v>44255</v>
      </c>
      <c r="H598" s="168">
        <v>159200</v>
      </c>
    </row>
    <row r="599" spans="1:8" ht="13.7" customHeight="1" x14ac:dyDescent="0.25">
      <c r="A599" s="166" t="s">
        <v>1276</v>
      </c>
      <c r="B599" s="166" t="s">
        <v>1273</v>
      </c>
      <c r="C599" s="166" t="s">
        <v>1266</v>
      </c>
      <c r="D599" s="166" t="s">
        <v>1274</v>
      </c>
      <c r="E599" s="166" t="s">
        <v>1275</v>
      </c>
      <c r="F599" s="167">
        <v>43862</v>
      </c>
      <c r="G599" s="167">
        <v>44286</v>
      </c>
      <c r="H599" s="168">
        <v>125330</v>
      </c>
    </row>
    <row r="600" spans="1:8" ht="13.7" customHeight="1" x14ac:dyDescent="0.25">
      <c r="A600" s="166" t="s">
        <v>1276</v>
      </c>
      <c r="B600" s="166" t="s">
        <v>1273</v>
      </c>
      <c r="C600" s="166" t="s">
        <v>1266</v>
      </c>
      <c r="D600" s="166" t="s">
        <v>1274</v>
      </c>
      <c r="E600" s="166" t="s">
        <v>1275</v>
      </c>
      <c r="F600" s="167">
        <v>43862</v>
      </c>
      <c r="G600" s="167">
        <v>44286</v>
      </c>
      <c r="H600" s="168">
        <v>368384</v>
      </c>
    </row>
    <row r="601" spans="1:8" ht="13.7" customHeight="1" x14ac:dyDescent="0.25">
      <c r="A601" s="166" t="s">
        <v>1277</v>
      </c>
      <c r="B601" s="166" t="s">
        <v>1273</v>
      </c>
      <c r="C601" s="166" t="s">
        <v>1266</v>
      </c>
      <c r="D601" s="166" t="s">
        <v>1274</v>
      </c>
      <c r="E601" s="166" t="s">
        <v>1275</v>
      </c>
      <c r="F601" s="167">
        <v>43862</v>
      </c>
      <c r="G601" s="167">
        <v>44286</v>
      </c>
      <c r="H601" s="168">
        <v>199050</v>
      </c>
    </row>
    <row r="602" spans="1:8" ht="13.7" customHeight="1" x14ac:dyDescent="0.25">
      <c r="A602" s="166" t="s">
        <v>1277</v>
      </c>
      <c r="B602" s="166" t="s">
        <v>1273</v>
      </c>
      <c r="C602" s="166" t="s">
        <v>1266</v>
      </c>
      <c r="D602" s="166" t="s">
        <v>1274</v>
      </c>
      <c r="E602" s="166" t="s">
        <v>1275</v>
      </c>
      <c r="F602" s="167">
        <v>43862</v>
      </c>
      <c r="G602" s="167">
        <v>44286</v>
      </c>
      <c r="H602" s="168">
        <v>67674</v>
      </c>
    </row>
    <row r="603" spans="1:8" ht="13.7" customHeight="1" x14ac:dyDescent="0.25">
      <c r="A603" s="166" t="s">
        <v>1278</v>
      </c>
      <c r="B603" s="166" t="s">
        <v>1273</v>
      </c>
      <c r="C603" s="166" t="s">
        <v>1266</v>
      </c>
      <c r="D603" s="166" t="s">
        <v>1274</v>
      </c>
      <c r="E603" s="166" t="s">
        <v>1275</v>
      </c>
      <c r="F603" s="167">
        <v>43862</v>
      </c>
      <c r="G603" s="167">
        <v>44286</v>
      </c>
      <c r="H603" s="168">
        <v>227292</v>
      </c>
    </row>
    <row r="604" spans="1:8" ht="13.7" customHeight="1" x14ac:dyDescent="0.25">
      <c r="A604" s="166" t="s">
        <v>1278</v>
      </c>
      <c r="B604" s="166" t="s">
        <v>1273</v>
      </c>
      <c r="C604" s="166" t="s">
        <v>1266</v>
      </c>
      <c r="D604" s="166" t="s">
        <v>1274</v>
      </c>
      <c r="E604" s="166" t="s">
        <v>1275</v>
      </c>
      <c r="F604" s="167">
        <v>43862</v>
      </c>
      <c r="G604" s="167">
        <v>44286</v>
      </c>
      <c r="H604" s="168">
        <v>6932</v>
      </c>
    </row>
    <row r="605" spans="1:8" ht="13.7" customHeight="1" x14ac:dyDescent="0.25">
      <c r="A605" s="166" t="s">
        <v>1279</v>
      </c>
      <c r="B605" s="166" t="s">
        <v>1273</v>
      </c>
      <c r="C605" s="166" t="s">
        <v>1266</v>
      </c>
      <c r="D605" s="166" t="s">
        <v>1274</v>
      </c>
      <c r="E605" s="166" t="s">
        <v>1275</v>
      </c>
      <c r="F605" s="167">
        <v>43862</v>
      </c>
      <c r="G605" s="167">
        <v>44286</v>
      </c>
      <c r="H605" s="168">
        <v>227670</v>
      </c>
    </row>
    <row r="606" spans="1:8" ht="13.7" customHeight="1" x14ac:dyDescent="0.25">
      <c r="A606" s="166" t="s">
        <v>1279</v>
      </c>
      <c r="B606" s="166" t="s">
        <v>1273</v>
      </c>
      <c r="C606" s="166" t="s">
        <v>1266</v>
      </c>
      <c r="D606" s="166" t="s">
        <v>1274</v>
      </c>
      <c r="E606" s="166" t="s">
        <v>1275</v>
      </c>
      <c r="F606" s="167">
        <v>43862</v>
      </c>
      <c r="G606" s="167">
        <v>44286</v>
      </c>
      <c r="H606" s="168">
        <v>6932</v>
      </c>
    </row>
    <row r="607" spans="1:8" ht="13.7" customHeight="1" x14ac:dyDescent="0.25">
      <c r="A607" s="166" t="s">
        <v>1280</v>
      </c>
      <c r="B607" s="166" t="s">
        <v>1273</v>
      </c>
      <c r="C607" s="166" t="s">
        <v>1266</v>
      </c>
      <c r="D607" s="166" t="s">
        <v>1274</v>
      </c>
      <c r="E607" s="166" t="s">
        <v>1275</v>
      </c>
      <c r="F607" s="167">
        <v>43862</v>
      </c>
      <c r="G607" s="167">
        <v>44286</v>
      </c>
      <c r="H607" s="168">
        <v>200720</v>
      </c>
    </row>
    <row r="608" spans="1:8" ht="13.7" customHeight="1" x14ac:dyDescent="0.25">
      <c r="A608" s="166" t="s">
        <v>1280</v>
      </c>
      <c r="B608" s="166" t="s">
        <v>1273</v>
      </c>
      <c r="C608" s="166" t="s">
        <v>1266</v>
      </c>
      <c r="D608" s="166" t="s">
        <v>1274</v>
      </c>
      <c r="E608" s="166" t="s">
        <v>1275</v>
      </c>
      <c r="F608" s="167">
        <v>43862</v>
      </c>
      <c r="G608" s="167">
        <v>44286</v>
      </c>
      <c r="H608" s="168">
        <v>11932</v>
      </c>
    </row>
    <row r="609" spans="1:8" ht="13.7" customHeight="1" x14ac:dyDescent="0.25">
      <c r="A609" s="166" t="s">
        <v>1281</v>
      </c>
      <c r="B609" s="166" t="s">
        <v>1273</v>
      </c>
      <c r="C609" s="166" t="s">
        <v>1266</v>
      </c>
      <c r="D609" s="166" t="s">
        <v>1282</v>
      </c>
      <c r="E609" s="166" t="s">
        <v>1283</v>
      </c>
      <c r="F609" s="167">
        <v>43738</v>
      </c>
      <c r="G609" s="167">
        <v>44468</v>
      </c>
      <c r="H609" s="168">
        <v>50000</v>
      </c>
    </row>
    <row r="610" spans="1:8" ht="13.7" customHeight="1" x14ac:dyDescent="0.25">
      <c r="A610" s="166" t="s">
        <v>1284</v>
      </c>
      <c r="B610" s="166" t="s">
        <v>1285</v>
      </c>
      <c r="C610" s="166" t="s">
        <v>1286</v>
      </c>
      <c r="D610" s="166" t="s">
        <v>1287</v>
      </c>
      <c r="E610" s="166" t="s">
        <v>468</v>
      </c>
      <c r="F610" s="167">
        <v>42934</v>
      </c>
      <c r="G610" s="167">
        <v>44742</v>
      </c>
      <c r="H610" s="168">
        <v>-13450</v>
      </c>
    </row>
    <row r="611" spans="1:8" ht="13.7" customHeight="1" x14ac:dyDescent="0.25">
      <c r="A611" s="166" t="s">
        <v>1284</v>
      </c>
      <c r="B611" s="166" t="s">
        <v>1285</v>
      </c>
      <c r="C611" s="166" t="s">
        <v>1286</v>
      </c>
      <c r="D611" s="166" t="s">
        <v>1287</v>
      </c>
      <c r="E611" s="166" t="s">
        <v>468</v>
      </c>
      <c r="F611" s="167">
        <v>42934</v>
      </c>
      <c r="G611" s="167">
        <v>44742</v>
      </c>
      <c r="H611" s="168">
        <v>-4175</v>
      </c>
    </row>
    <row r="612" spans="1:8" ht="13.7" customHeight="1" x14ac:dyDescent="0.25">
      <c r="A612" s="166" t="s">
        <v>1288</v>
      </c>
      <c r="B612" s="166" t="s">
        <v>1289</v>
      </c>
      <c r="C612" s="166" t="s">
        <v>1290</v>
      </c>
      <c r="D612" s="166" t="s">
        <v>1291</v>
      </c>
      <c r="E612" s="166" t="s">
        <v>0</v>
      </c>
      <c r="F612" s="167">
        <v>43952</v>
      </c>
      <c r="G612" s="167">
        <v>44439</v>
      </c>
      <c r="H612" s="168">
        <v>0</v>
      </c>
    </row>
    <row r="613" spans="1:8" ht="13.7" customHeight="1" x14ac:dyDescent="0.25">
      <c r="A613" s="166" t="s">
        <v>1288</v>
      </c>
      <c r="B613" s="166" t="s">
        <v>1289</v>
      </c>
      <c r="C613" s="166" t="s">
        <v>1290</v>
      </c>
      <c r="D613" s="166" t="s">
        <v>1291</v>
      </c>
      <c r="E613" s="166" t="s">
        <v>0</v>
      </c>
      <c r="F613" s="167">
        <v>43952</v>
      </c>
      <c r="G613" s="167">
        <v>44439</v>
      </c>
      <c r="H613" s="168">
        <v>2394</v>
      </c>
    </row>
    <row r="614" spans="1:8" ht="13.7" customHeight="1" x14ac:dyDescent="0.25">
      <c r="A614" s="166" t="s">
        <v>1288</v>
      </c>
      <c r="B614" s="166" t="s">
        <v>1289</v>
      </c>
      <c r="C614" s="166" t="s">
        <v>1290</v>
      </c>
      <c r="D614" s="166" t="s">
        <v>1291</v>
      </c>
      <c r="E614" s="166" t="s">
        <v>0</v>
      </c>
      <c r="F614" s="167">
        <v>43952</v>
      </c>
      <c r="G614" s="167">
        <v>44439</v>
      </c>
      <c r="H614" s="168">
        <v>2599</v>
      </c>
    </row>
    <row r="615" spans="1:8" ht="13.7" customHeight="1" x14ac:dyDescent="0.25">
      <c r="A615" s="166" t="s">
        <v>1292</v>
      </c>
      <c r="B615" s="166" t="s">
        <v>1293</v>
      </c>
      <c r="C615" s="166" t="s">
        <v>1290</v>
      </c>
      <c r="D615" s="166" t="s">
        <v>1294</v>
      </c>
      <c r="E615" s="166" t="s">
        <v>1295</v>
      </c>
      <c r="F615" s="167">
        <v>43699</v>
      </c>
      <c r="G615" s="167">
        <v>44196</v>
      </c>
      <c r="H615" s="168">
        <v>-1426</v>
      </c>
    </row>
    <row r="616" spans="1:8" ht="13.7" customHeight="1" x14ac:dyDescent="0.25">
      <c r="A616" s="166" t="s">
        <v>1292</v>
      </c>
      <c r="B616" s="166" t="s">
        <v>1293</v>
      </c>
      <c r="C616" s="166" t="s">
        <v>1290</v>
      </c>
      <c r="D616" s="166" t="s">
        <v>1294</v>
      </c>
      <c r="E616" s="166" t="s">
        <v>1295</v>
      </c>
      <c r="F616" s="167">
        <v>43699</v>
      </c>
      <c r="G616" s="167">
        <v>44196</v>
      </c>
      <c r="H616" s="168">
        <v>1426</v>
      </c>
    </row>
    <row r="617" spans="1:8" ht="13.7" customHeight="1" x14ac:dyDescent="0.25">
      <c r="A617" s="166" t="s">
        <v>1292</v>
      </c>
      <c r="B617" s="166" t="s">
        <v>1293</v>
      </c>
      <c r="C617" s="166" t="s">
        <v>1290</v>
      </c>
      <c r="D617" s="166" t="s">
        <v>1294</v>
      </c>
      <c r="E617" s="166" t="s">
        <v>1295</v>
      </c>
      <c r="F617" s="167">
        <v>43699</v>
      </c>
      <c r="G617" s="167">
        <v>44196</v>
      </c>
      <c r="H617" s="168">
        <v>73148</v>
      </c>
    </row>
    <row r="618" spans="1:8" ht="13.7" customHeight="1" x14ac:dyDescent="0.25">
      <c r="A618" s="166" t="s">
        <v>1292</v>
      </c>
      <c r="B618" s="166" t="s">
        <v>1293</v>
      </c>
      <c r="C618" s="166" t="s">
        <v>1290</v>
      </c>
      <c r="D618" s="166" t="s">
        <v>1294</v>
      </c>
      <c r="E618" s="166" t="s">
        <v>1295</v>
      </c>
      <c r="F618" s="167">
        <v>43699</v>
      </c>
      <c r="G618" s="167">
        <v>44196</v>
      </c>
      <c r="H618" s="168">
        <v>41510</v>
      </c>
    </row>
    <row r="619" spans="1:8" ht="13.7" customHeight="1" x14ac:dyDescent="0.25">
      <c r="A619" s="166" t="s">
        <v>1296</v>
      </c>
      <c r="B619" s="166" t="s">
        <v>1293</v>
      </c>
      <c r="C619" s="166" t="s">
        <v>1290</v>
      </c>
      <c r="D619" s="166" t="s">
        <v>1297</v>
      </c>
      <c r="E619" s="166" t="s">
        <v>1298</v>
      </c>
      <c r="F619" s="167">
        <v>43676</v>
      </c>
      <c r="G619" s="167">
        <v>43835</v>
      </c>
      <c r="H619" s="168">
        <v>4998</v>
      </c>
    </row>
    <row r="620" spans="1:8" ht="13.7" customHeight="1" x14ac:dyDescent="0.25">
      <c r="A620" s="166" t="s">
        <v>1299</v>
      </c>
      <c r="B620" s="166" t="s">
        <v>1300</v>
      </c>
      <c r="C620" s="166" t="s">
        <v>1301</v>
      </c>
      <c r="D620" s="166" t="s">
        <v>1302</v>
      </c>
      <c r="E620" s="166" t="s">
        <v>914</v>
      </c>
      <c r="F620" s="167">
        <v>43831</v>
      </c>
      <c r="G620" s="167">
        <v>44804</v>
      </c>
      <c r="H620" s="168">
        <v>1883</v>
      </c>
    </row>
    <row r="621" spans="1:8" ht="13.7" customHeight="1" x14ac:dyDescent="0.25">
      <c r="A621" s="166" t="s">
        <v>1299</v>
      </c>
      <c r="B621" s="166" t="s">
        <v>1300</v>
      </c>
      <c r="C621" s="166" t="s">
        <v>1301</v>
      </c>
      <c r="D621" s="166" t="s">
        <v>1302</v>
      </c>
      <c r="E621" s="166" t="s">
        <v>914</v>
      </c>
      <c r="F621" s="167">
        <v>43831</v>
      </c>
      <c r="G621" s="167">
        <v>44804</v>
      </c>
      <c r="H621" s="168">
        <v>94117</v>
      </c>
    </row>
    <row r="622" spans="1:8" ht="13.7" customHeight="1" x14ac:dyDescent="0.25">
      <c r="A622" s="166" t="s">
        <v>1303</v>
      </c>
      <c r="B622" s="166" t="s">
        <v>1304</v>
      </c>
      <c r="C622" s="166" t="s">
        <v>1305</v>
      </c>
      <c r="D622" s="166" t="s">
        <v>1306</v>
      </c>
      <c r="E622" s="166" t="s">
        <v>486</v>
      </c>
      <c r="F622" s="167">
        <v>42887</v>
      </c>
      <c r="G622" s="167">
        <v>44439</v>
      </c>
      <c r="H622" s="168">
        <v>46000</v>
      </c>
    </row>
    <row r="623" spans="1:8" ht="13.7" customHeight="1" x14ac:dyDescent="0.25">
      <c r="A623" s="166" t="s">
        <v>1307</v>
      </c>
      <c r="B623" s="166" t="s">
        <v>1304</v>
      </c>
      <c r="C623" s="166" t="s">
        <v>1305</v>
      </c>
      <c r="D623" s="166" t="s">
        <v>1308</v>
      </c>
      <c r="E623" s="166" t="s">
        <v>914</v>
      </c>
      <c r="F623" s="167">
        <v>42461</v>
      </c>
      <c r="G623" s="167">
        <v>44377</v>
      </c>
      <c r="H623" s="168">
        <v>36122</v>
      </c>
    </row>
    <row r="624" spans="1:8" ht="13.7" customHeight="1" x14ac:dyDescent="0.25">
      <c r="A624" s="166" t="s">
        <v>1307</v>
      </c>
      <c r="B624" s="166" t="s">
        <v>1304</v>
      </c>
      <c r="C624" s="166" t="s">
        <v>1305</v>
      </c>
      <c r="D624" s="166" t="s">
        <v>1308</v>
      </c>
      <c r="E624" s="166" t="s">
        <v>914</v>
      </c>
      <c r="F624" s="167">
        <v>42461</v>
      </c>
      <c r="G624" s="167">
        <v>44377</v>
      </c>
      <c r="H624" s="168">
        <v>-37163</v>
      </c>
    </row>
    <row r="625" spans="1:8" ht="13.7" customHeight="1" x14ac:dyDescent="0.25">
      <c r="A625" s="166" t="s">
        <v>1309</v>
      </c>
      <c r="B625" s="166" t="s">
        <v>1310</v>
      </c>
      <c r="C625" s="166" t="s">
        <v>1305</v>
      </c>
      <c r="D625" s="166" t="s">
        <v>1311</v>
      </c>
      <c r="E625" s="166" t="s">
        <v>1312</v>
      </c>
      <c r="F625" s="167">
        <v>42856</v>
      </c>
      <c r="G625" s="167">
        <v>43982</v>
      </c>
      <c r="H625" s="168">
        <v>12058</v>
      </c>
    </row>
    <row r="626" spans="1:8" ht="13.7" customHeight="1" x14ac:dyDescent="0.25">
      <c r="A626" s="166" t="s">
        <v>1313</v>
      </c>
      <c r="B626" s="166" t="s">
        <v>1310</v>
      </c>
      <c r="C626" s="166" t="s">
        <v>1305</v>
      </c>
      <c r="D626" s="166" t="s">
        <v>1314</v>
      </c>
      <c r="E626" s="166" t="s">
        <v>468</v>
      </c>
      <c r="F626" s="167">
        <v>43252</v>
      </c>
      <c r="G626" s="167">
        <v>44926</v>
      </c>
      <c r="H626" s="168">
        <v>92743</v>
      </c>
    </row>
    <row r="627" spans="1:8" ht="13.7" customHeight="1" x14ac:dyDescent="0.25">
      <c r="A627" s="166" t="s">
        <v>1313</v>
      </c>
      <c r="B627" s="166" t="s">
        <v>1310</v>
      </c>
      <c r="C627" s="166" t="s">
        <v>1305</v>
      </c>
      <c r="D627" s="166" t="s">
        <v>1314</v>
      </c>
      <c r="E627" s="166" t="s">
        <v>468</v>
      </c>
      <c r="F627" s="167">
        <v>43252</v>
      </c>
      <c r="G627" s="167">
        <v>44926</v>
      </c>
      <c r="H627" s="168">
        <v>90000</v>
      </c>
    </row>
    <row r="628" spans="1:8" ht="13.7" customHeight="1" x14ac:dyDescent="0.25">
      <c r="A628" s="166" t="s">
        <v>1315</v>
      </c>
      <c r="B628" s="166" t="s">
        <v>1310</v>
      </c>
      <c r="C628" s="166" t="s">
        <v>1305</v>
      </c>
      <c r="D628" s="166" t="s">
        <v>1316</v>
      </c>
      <c r="E628" s="166" t="s">
        <v>486</v>
      </c>
      <c r="F628" s="167">
        <v>43344</v>
      </c>
      <c r="G628" s="167">
        <v>44439</v>
      </c>
      <c r="H628" s="168">
        <v>46000</v>
      </c>
    </row>
    <row r="629" spans="1:8" ht="13.7" customHeight="1" x14ac:dyDescent="0.25">
      <c r="A629" s="166" t="s">
        <v>1317</v>
      </c>
      <c r="B629" s="166" t="s">
        <v>1318</v>
      </c>
      <c r="C629" s="166" t="s">
        <v>1305</v>
      </c>
      <c r="D629" s="166" t="s">
        <v>1319</v>
      </c>
      <c r="E629" s="166" t="s">
        <v>788</v>
      </c>
      <c r="F629" s="167">
        <v>42248</v>
      </c>
      <c r="G629" s="167">
        <v>44074</v>
      </c>
      <c r="H629" s="168">
        <v>148065</v>
      </c>
    </row>
    <row r="630" spans="1:8" ht="13.7" customHeight="1" x14ac:dyDescent="0.25">
      <c r="A630" s="166" t="s">
        <v>1320</v>
      </c>
      <c r="B630" s="166" t="s">
        <v>1321</v>
      </c>
      <c r="C630" s="166" t="s">
        <v>1305</v>
      </c>
      <c r="D630" s="166" t="s">
        <v>1322</v>
      </c>
      <c r="E630" s="166" t="s">
        <v>1254</v>
      </c>
      <c r="F630" s="167">
        <v>42826</v>
      </c>
      <c r="G630" s="167">
        <v>43921</v>
      </c>
      <c r="H630" s="168">
        <v>2008</v>
      </c>
    </row>
    <row r="631" spans="1:8" ht="13.7" customHeight="1" x14ac:dyDescent="0.25">
      <c r="A631" s="166" t="s">
        <v>1323</v>
      </c>
      <c r="B631" s="166" t="s">
        <v>1321</v>
      </c>
      <c r="C631" s="166" t="s">
        <v>1305</v>
      </c>
      <c r="D631" s="166" t="s">
        <v>1324</v>
      </c>
      <c r="E631" s="166" t="s">
        <v>486</v>
      </c>
      <c r="F631" s="167">
        <v>43221</v>
      </c>
      <c r="G631" s="167">
        <v>44316</v>
      </c>
      <c r="H631" s="168">
        <v>15406</v>
      </c>
    </row>
    <row r="632" spans="1:8" ht="13.7" customHeight="1" x14ac:dyDescent="0.25">
      <c r="A632" s="166" t="s">
        <v>1323</v>
      </c>
      <c r="B632" s="166" t="s">
        <v>1321</v>
      </c>
      <c r="C632" s="166" t="s">
        <v>1305</v>
      </c>
      <c r="D632" s="166" t="s">
        <v>1324</v>
      </c>
      <c r="E632" s="166" t="s">
        <v>486</v>
      </c>
      <c r="F632" s="167">
        <v>43221</v>
      </c>
      <c r="G632" s="167">
        <v>44316</v>
      </c>
      <c r="H632" s="168">
        <v>34235</v>
      </c>
    </row>
    <row r="633" spans="1:8" ht="13.7" customHeight="1" x14ac:dyDescent="0.25">
      <c r="A633" s="166" t="s">
        <v>1325</v>
      </c>
      <c r="B633" s="166" t="s">
        <v>1321</v>
      </c>
      <c r="C633" s="166" t="s">
        <v>1305</v>
      </c>
      <c r="D633" s="166" t="s">
        <v>1326</v>
      </c>
      <c r="E633" s="166" t="s">
        <v>486</v>
      </c>
      <c r="F633" s="167">
        <v>43952</v>
      </c>
      <c r="G633" s="167">
        <v>45777</v>
      </c>
      <c r="H633" s="168">
        <v>576922</v>
      </c>
    </row>
    <row r="634" spans="1:8" ht="13.7" customHeight="1" x14ac:dyDescent="0.25">
      <c r="A634" s="166" t="s">
        <v>1327</v>
      </c>
      <c r="B634" s="166" t="s">
        <v>1328</v>
      </c>
      <c r="C634" s="166" t="s">
        <v>1305</v>
      </c>
      <c r="D634" s="166" t="s">
        <v>1329</v>
      </c>
      <c r="E634" s="166" t="s">
        <v>593</v>
      </c>
      <c r="F634" s="167">
        <v>42951</v>
      </c>
      <c r="G634" s="167">
        <v>44408</v>
      </c>
      <c r="H634" s="168">
        <v>360526</v>
      </c>
    </row>
    <row r="635" spans="1:8" ht="13.7" customHeight="1" x14ac:dyDescent="0.25">
      <c r="A635" s="166" t="s">
        <v>1330</v>
      </c>
      <c r="B635" s="166" t="s">
        <v>1331</v>
      </c>
      <c r="C635" s="166" t="s">
        <v>1305</v>
      </c>
      <c r="D635" s="166" t="s">
        <v>1332</v>
      </c>
      <c r="E635" s="166" t="s">
        <v>1333</v>
      </c>
      <c r="F635" s="167">
        <v>43951</v>
      </c>
      <c r="G635" s="167">
        <v>44286</v>
      </c>
      <c r="H635" s="168">
        <v>2000</v>
      </c>
    </row>
    <row r="636" spans="1:8" ht="13.7" customHeight="1" x14ac:dyDescent="0.25">
      <c r="A636" s="166" t="s">
        <v>1334</v>
      </c>
      <c r="B636" s="166" t="s">
        <v>1331</v>
      </c>
      <c r="C636" s="166" t="s">
        <v>1305</v>
      </c>
      <c r="D636" s="166" t="s">
        <v>1335</v>
      </c>
      <c r="E636" s="166" t="s">
        <v>486</v>
      </c>
      <c r="F636" s="167">
        <v>43983</v>
      </c>
      <c r="G636" s="167">
        <v>45443</v>
      </c>
      <c r="H636" s="168">
        <v>100931</v>
      </c>
    </row>
    <row r="637" spans="1:8" ht="13.7" customHeight="1" x14ac:dyDescent="0.25">
      <c r="A637" s="166" t="s">
        <v>1334</v>
      </c>
      <c r="B637" s="166" t="s">
        <v>1331</v>
      </c>
      <c r="C637" s="166" t="s">
        <v>1305</v>
      </c>
      <c r="D637" s="166" t="s">
        <v>1335</v>
      </c>
      <c r="E637" s="166" t="s">
        <v>486</v>
      </c>
      <c r="F637" s="167">
        <v>43983</v>
      </c>
      <c r="G637" s="167">
        <v>45443</v>
      </c>
      <c r="H637" s="168">
        <v>224291</v>
      </c>
    </row>
    <row r="638" spans="1:8" ht="13.7" customHeight="1" x14ac:dyDescent="0.25">
      <c r="A638" s="166" t="s">
        <v>1336</v>
      </c>
      <c r="B638" s="166" t="s">
        <v>1331</v>
      </c>
      <c r="C638" s="166" t="s">
        <v>1305</v>
      </c>
      <c r="D638" s="166" t="s">
        <v>1335</v>
      </c>
      <c r="E638" s="166" t="s">
        <v>486</v>
      </c>
      <c r="F638" s="167">
        <v>43983</v>
      </c>
      <c r="G638" s="167">
        <v>45443</v>
      </c>
      <c r="H638" s="168">
        <v>31013</v>
      </c>
    </row>
    <row r="639" spans="1:8" ht="13.7" customHeight="1" x14ac:dyDescent="0.25">
      <c r="A639" s="166" t="s">
        <v>1337</v>
      </c>
      <c r="B639" s="166" t="s">
        <v>1338</v>
      </c>
      <c r="C639" s="166" t="s">
        <v>1305</v>
      </c>
      <c r="D639" s="166" t="s">
        <v>1339</v>
      </c>
      <c r="E639" s="166" t="s">
        <v>914</v>
      </c>
      <c r="F639" s="167">
        <v>42095</v>
      </c>
      <c r="G639" s="167">
        <v>44377</v>
      </c>
      <c r="H639" s="168">
        <v>325896</v>
      </c>
    </row>
    <row r="640" spans="1:8" ht="13.7" customHeight="1" x14ac:dyDescent="0.25">
      <c r="A640" s="166" t="s">
        <v>1337</v>
      </c>
      <c r="B640" s="166" t="s">
        <v>1338</v>
      </c>
      <c r="C640" s="166" t="s">
        <v>1305</v>
      </c>
      <c r="D640" s="166" t="s">
        <v>1339</v>
      </c>
      <c r="E640" s="166" t="s">
        <v>914</v>
      </c>
      <c r="F640" s="167">
        <v>42095</v>
      </c>
      <c r="G640" s="167">
        <v>44377</v>
      </c>
      <c r="H640" s="168">
        <v>64739.13</v>
      </c>
    </row>
    <row r="641" spans="1:8" ht="13.7" customHeight="1" x14ac:dyDescent="0.25">
      <c r="A641" s="166" t="s">
        <v>1337</v>
      </c>
      <c r="B641" s="166" t="s">
        <v>1338</v>
      </c>
      <c r="C641" s="166" t="s">
        <v>1305</v>
      </c>
      <c r="D641" s="166" t="s">
        <v>1339</v>
      </c>
      <c r="E641" s="166" t="s">
        <v>914</v>
      </c>
      <c r="F641" s="167">
        <v>42095</v>
      </c>
      <c r="G641" s="167">
        <v>44377</v>
      </c>
      <c r="H641" s="168">
        <v>3672.87</v>
      </c>
    </row>
    <row r="642" spans="1:8" ht="13.7" customHeight="1" x14ac:dyDescent="0.25">
      <c r="A642" s="166" t="s">
        <v>1337</v>
      </c>
      <c r="B642" s="166" t="s">
        <v>1338</v>
      </c>
      <c r="C642" s="166" t="s">
        <v>1305</v>
      </c>
      <c r="D642" s="166" t="s">
        <v>1339</v>
      </c>
      <c r="E642" s="166" t="s">
        <v>914</v>
      </c>
      <c r="F642" s="167">
        <v>42095</v>
      </c>
      <c r="G642" s="167">
        <v>44377</v>
      </c>
      <c r="H642" s="168">
        <v>26756</v>
      </c>
    </row>
    <row r="643" spans="1:8" ht="13.7" customHeight="1" x14ac:dyDescent="0.25">
      <c r="A643" s="166" t="s">
        <v>1337</v>
      </c>
      <c r="B643" s="166" t="s">
        <v>1338</v>
      </c>
      <c r="C643" s="166" t="s">
        <v>1305</v>
      </c>
      <c r="D643" s="166" t="s">
        <v>1339</v>
      </c>
      <c r="E643" s="166" t="s">
        <v>914</v>
      </c>
      <c r="F643" s="167">
        <v>42095</v>
      </c>
      <c r="G643" s="167">
        <v>44377</v>
      </c>
      <c r="H643" s="168">
        <v>10407</v>
      </c>
    </row>
    <row r="644" spans="1:8" ht="13.7" customHeight="1" x14ac:dyDescent="0.25">
      <c r="A644" s="166" t="s">
        <v>1340</v>
      </c>
      <c r="B644" s="166" t="s">
        <v>1341</v>
      </c>
      <c r="C644" s="166" t="s">
        <v>1305</v>
      </c>
      <c r="D644" s="166" t="s">
        <v>1342</v>
      </c>
      <c r="E644" s="166" t="s">
        <v>1343</v>
      </c>
      <c r="F644" s="167">
        <v>43101</v>
      </c>
      <c r="G644" s="167">
        <v>44926</v>
      </c>
      <c r="H644" s="168">
        <v>251555</v>
      </c>
    </row>
    <row r="645" spans="1:8" ht="13.7" customHeight="1" x14ac:dyDescent="0.25">
      <c r="A645" s="166" t="s">
        <v>1340</v>
      </c>
      <c r="B645" s="166" t="s">
        <v>1341</v>
      </c>
      <c r="C645" s="166" t="s">
        <v>1305</v>
      </c>
      <c r="D645" s="166" t="s">
        <v>1342</v>
      </c>
      <c r="E645" s="166" t="s">
        <v>1343</v>
      </c>
      <c r="F645" s="167">
        <v>43101</v>
      </c>
      <c r="G645" s="167">
        <v>44926</v>
      </c>
      <c r="H645" s="168">
        <v>12786</v>
      </c>
    </row>
    <row r="646" spans="1:8" ht="13.7" customHeight="1" x14ac:dyDescent="0.25">
      <c r="A646" s="166" t="s">
        <v>1340</v>
      </c>
      <c r="B646" s="166" t="s">
        <v>1341</v>
      </c>
      <c r="C646" s="166" t="s">
        <v>1305</v>
      </c>
      <c r="D646" s="166" t="s">
        <v>1342</v>
      </c>
      <c r="E646" s="166" t="s">
        <v>1343</v>
      </c>
      <c r="F646" s="167">
        <v>43101</v>
      </c>
      <c r="G646" s="167">
        <v>44926</v>
      </c>
      <c r="H646" s="168">
        <v>29372</v>
      </c>
    </row>
    <row r="647" spans="1:8" ht="13.7" customHeight="1" x14ac:dyDescent="0.25">
      <c r="A647" s="166" t="s">
        <v>1340</v>
      </c>
      <c r="B647" s="166" t="s">
        <v>1341</v>
      </c>
      <c r="C647" s="166" t="s">
        <v>1305</v>
      </c>
      <c r="D647" s="166" t="s">
        <v>1342</v>
      </c>
      <c r="E647" s="166" t="s">
        <v>1343</v>
      </c>
      <c r="F647" s="167">
        <v>43101</v>
      </c>
      <c r="G647" s="167">
        <v>44926</v>
      </c>
      <c r="H647" s="168">
        <v>-1</v>
      </c>
    </row>
    <row r="648" spans="1:8" ht="13.7" customHeight="1" x14ac:dyDescent="0.25">
      <c r="A648" s="166" t="s">
        <v>1344</v>
      </c>
      <c r="B648" s="166" t="s">
        <v>1341</v>
      </c>
      <c r="C648" s="166" t="s">
        <v>1305</v>
      </c>
      <c r="D648" s="166" t="s">
        <v>1345</v>
      </c>
      <c r="E648" s="166" t="s">
        <v>497</v>
      </c>
      <c r="F648" s="167">
        <v>43685</v>
      </c>
      <c r="G648" s="167">
        <v>44104</v>
      </c>
      <c r="H648" s="168">
        <v>2000</v>
      </c>
    </row>
    <row r="649" spans="1:8" ht="13.7" customHeight="1" x14ac:dyDescent="0.25">
      <c r="A649" s="166" t="s">
        <v>1346</v>
      </c>
      <c r="B649" s="166" t="s">
        <v>1347</v>
      </c>
      <c r="C649" s="166" t="s">
        <v>1305</v>
      </c>
      <c r="D649" s="166" t="s">
        <v>1348</v>
      </c>
      <c r="E649" s="166" t="s">
        <v>1349</v>
      </c>
      <c r="F649" s="167">
        <v>43282</v>
      </c>
      <c r="G649" s="167">
        <v>44012</v>
      </c>
      <c r="H649" s="168">
        <v>184818</v>
      </c>
    </row>
    <row r="650" spans="1:8" ht="13.7" customHeight="1" x14ac:dyDescent="0.25">
      <c r="A650" s="166" t="s">
        <v>1346</v>
      </c>
      <c r="B650" s="166" t="s">
        <v>1347</v>
      </c>
      <c r="C650" s="166" t="s">
        <v>1305</v>
      </c>
      <c r="D650" s="166" t="s">
        <v>1348</v>
      </c>
      <c r="E650" s="166" t="s">
        <v>1349</v>
      </c>
      <c r="F650" s="167">
        <v>43282</v>
      </c>
      <c r="G650" s="167">
        <v>44012</v>
      </c>
      <c r="H650" s="168">
        <v>8750</v>
      </c>
    </row>
    <row r="651" spans="1:8" ht="13.7" customHeight="1" x14ac:dyDescent="0.25">
      <c r="A651" s="166" t="s">
        <v>1346</v>
      </c>
      <c r="B651" s="166" t="s">
        <v>1347</v>
      </c>
      <c r="C651" s="166" t="s">
        <v>1305</v>
      </c>
      <c r="D651" s="166" t="s">
        <v>1348</v>
      </c>
      <c r="E651" s="166" t="s">
        <v>1349</v>
      </c>
      <c r="F651" s="167">
        <v>43282</v>
      </c>
      <c r="G651" s="167">
        <v>44012</v>
      </c>
      <c r="H651" s="168">
        <v>-47261</v>
      </c>
    </row>
    <row r="652" spans="1:8" ht="13.7" customHeight="1" x14ac:dyDescent="0.25">
      <c r="A652" s="166" t="s">
        <v>1350</v>
      </c>
      <c r="B652" s="166" t="s">
        <v>1351</v>
      </c>
      <c r="C652" s="166" t="s">
        <v>1305</v>
      </c>
      <c r="D652" s="166" t="s">
        <v>1352</v>
      </c>
      <c r="E652" s="166" t="s">
        <v>486</v>
      </c>
      <c r="F652" s="167">
        <v>43349</v>
      </c>
      <c r="G652" s="167">
        <v>44439</v>
      </c>
      <c r="H652" s="168">
        <v>-22082</v>
      </c>
    </row>
    <row r="653" spans="1:8" ht="13.7" customHeight="1" x14ac:dyDescent="0.25">
      <c r="A653" s="166" t="s">
        <v>1350</v>
      </c>
      <c r="B653" s="166" t="s">
        <v>1351</v>
      </c>
      <c r="C653" s="166" t="s">
        <v>1305</v>
      </c>
      <c r="D653" s="166" t="s">
        <v>1352</v>
      </c>
      <c r="E653" s="166" t="s">
        <v>486</v>
      </c>
      <c r="F653" s="167">
        <v>43349</v>
      </c>
      <c r="G653" s="167">
        <v>44439</v>
      </c>
      <c r="H653" s="168">
        <v>22082</v>
      </c>
    </row>
    <row r="654" spans="1:8" ht="13.7" customHeight="1" x14ac:dyDescent="0.25">
      <c r="A654" s="166" t="s">
        <v>1353</v>
      </c>
      <c r="B654" s="166" t="s">
        <v>1354</v>
      </c>
      <c r="C654" s="166" t="s">
        <v>1305</v>
      </c>
      <c r="D654" s="166" t="s">
        <v>1355</v>
      </c>
      <c r="E654" s="166" t="s">
        <v>1356</v>
      </c>
      <c r="F654" s="167">
        <v>43692</v>
      </c>
      <c r="G654" s="167">
        <v>44196</v>
      </c>
      <c r="H654" s="168">
        <v>15000</v>
      </c>
    </row>
    <row r="655" spans="1:8" ht="13.7" customHeight="1" x14ac:dyDescent="0.25">
      <c r="A655" s="166" t="s">
        <v>1357</v>
      </c>
      <c r="B655" s="166" t="s">
        <v>1358</v>
      </c>
      <c r="C655" s="166" t="s">
        <v>1305</v>
      </c>
      <c r="D655" s="166" t="s">
        <v>1359</v>
      </c>
      <c r="E655" s="166" t="s">
        <v>1360</v>
      </c>
      <c r="F655" s="167">
        <v>43663</v>
      </c>
      <c r="G655" s="167">
        <v>44377</v>
      </c>
      <c r="H655" s="168">
        <v>108000</v>
      </c>
    </row>
    <row r="656" spans="1:8" ht="13.7" customHeight="1" x14ac:dyDescent="0.25">
      <c r="A656" s="166" t="s">
        <v>1357</v>
      </c>
      <c r="B656" s="166" t="s">
        <v>1358</v>
      </c>
      <c r="C656" s="166" t="s">
        <v>1305</v>
      </c>
      <c r="D656" s="166" t="s">
        <v>1359</v>
      </c>
      <c r="E656" s="166" t="s">
        <v>1360</v>
      </c>
      <c r="F656" s="167">
        <v>43663</v>
      </c>
      <c r="G656" s="167">
        <v>44377</v>
      </c>
      <c r="H656" s="168">
        <v>240000</v>
      </c>
    </row>
    <row r="657" spans="1:8" ht="13.7" customHeight="1" x14ac:dyDescent="0.25">
      <c r="A657" s="166" t="s">
        <v>1357</v>
      </c>
      <c r="B657" s="166" t="s">
        <v>1358</v>
      </c>
      <c r="C657" s="166" t="s">
        <v>1305</v>
      </c>
      <c r="D657" s="166" t="s">
        <v>1359</v>
      </c>
      <c r="E657" s="166" t="s">
        <v>1360</v>
      </c>
      <c r="F657" s="167">
        <v>43663</v>
      </c>
      <c r="G657" s="167">
        <v>44377</v>
      </c>
      <c r="H657" s="168">
        <v>10000</v>
      </c>
    </row>
    <row r="658" spans="1:8" ht="13.7" customHeight="1" x14ac:dyDescent="0.25">
      <c r="A658" s="166" t="s">
        <v>1361</v>
      </c>
      <c r="B658" s="166" t="s">
        <v>1362</v>
      </c>
      <c r="C658" s="166" t="s">
        <v>1305</v>
      </c>
      <c r="D658" s="166" t="s">
        <v>1363</v>
      </c>
      <c r="E658" s="166" t="s">
        <v>1364</v>
      </c>
      <c r="F658" s="167">
        <v>42795</v>
      </c>
      <c r="G658" s="167">
        <v>44985</v>
      </c>
      <c r="H658" s="168">
        <v>8655</v>
      </c>
    </row>
    <row r="659" spans="1:8" ht="13.7" customHeight="1" x14ac:dyDescent="0.25">
      <c r="A659" s="166" t="s">
        <v>1361</v>
      </c>
      <c r="B659" s="166" t="s">
        <v>1362</v>
      </c>
      <c r="C659" s="166" t="s">
        <v>1305</v>
      </c>
      <c r="D659" s="166" t="s">
        <v>1363</v>
      </c>
      <c r="E659" s="166" t="s">
        <v>1364</v>
      </c>
      <c r="F659" s="167">
        <v>42795</v>
      </c>
      <c r="G659" s="167">
        <v>44985</v>
      </c>
      <c r="H659" s="168">
        <v>6345</v>
      </c>
    </row>
    <row r="660" spans="1:8" ht="13.7" customHeight="1" x14ac:dyDescent="0.25">
      <c r="A660" s="166" t="s">
        <v>1365</v>
      </c>
      <c r="B660" s="166" t="s">
        <v>1362</v>
      </c>
      <c r="C660" s="166" t="s">
        <v>1305</v>
      </c>
      <c r="D660" s="166" t="s">
        <v>1366</v>
      </c>
      <c r="E660" s="166" t="s">
        <v>486</v>
      </c>
      <c r="F660" s="167">
        <v>42963</v>
      </c>
      <c r="G660" s="167">
        <v>44439</v>
      </c>
      <c r="H660" s="168">
        <v>5000</v>
      </c>
    </row>
    <row r="661" spans="1:8" ht="13.7" customHeight="1" x14ac:dyDescent="0.25">
      <c r="A661" s="166" t="s">
        <v>1367</v>
      </c>
      <c r="B661" s="166" t="s">
        <v>1362</v>
      </c>
      <c r="C661" s="166" t="s">
        <v>1305</v>
      </c>
      <c r="D661" s="166" t="s">
        <v>1368</v>
      </c>
      <c r="E661" s="166" t="s">
        <v>486</v>
      </c>
      <c r="F661" s="167">
        <v>42809</v>
      </c>
      <c r="G661" s="167">
        <v>44620</v>
      </c>
      <c r="H661" s="168">
        <v>6341</v>
      </c>
    </row>
    <row r="662" spans="1:8" ht="13.7" customHeight="1" x14ac:dyDescent="0.25">
      <c r="A662" s="166" t="s">
        <v>1367</v>
      </c>
      <c r="B662" s="166" t="s">
        <v>1362</v>
      </c>
      <c r="C662" s="166" t="s">
        <v>1305</v>
      </c>
      <c r="D662" s="166" t="s">
        <v>1368</v>
      </c>
      <c r="E662" s="166" t="s">
        <v>486</v>
      </c>
      <c r="F662" s="167">
        <v>42809</v>
      </c>
      <c r="G662" s="167">
        <v>44620</v>
      </c>
      <c r="H662" s="168">
        <v>1500</v>
      </c>
    </row>
    <row r="663" spans="1:8" ht="13.7" customHeight="1" x14ac:dyDescent="0.25">
      <c r="A663" s="166" t="s">
        <v>1367</v>
      </c>
      <c r="B663" s="166" t="s">
        <v>1362</v>
      </c>
      <c r="C663" s="166" t="s">
        <v>1305</v>
      </c>
      <c r="D663" s="166" t="s">
        <v>1368</v>
      </c>
      <c r="E663" s="166" t="s">
        <v>486</v>
      </c>
      <c r="F663" s="167">
        <v>42809</v>
      </c>
      <c r="G663" s="167">
        <v>44620</v>
      </c>
      <c r="H663" s="168">
        <v>155</v>
      </c>
    </row>
    <row r="664" spans="1:8" ht="13.7" customHeight="1" x14ac:dyDescent="0.25">
      <c r="A664" s="166" t="s">
        <v>1369</v>
      </c>
      <c r="B664" s="166" t="s">
        <v>1370</v>
      </c>
      <c r="C664" s="166" t="s">
        <v>1305</v>
      </c>
      <c r="D664" s="166" t="s">
        <v>1371</v>
      </c>
      <c r="E664" s="166" t="s">
        <v>497</v>
      </c>
      <c r="F664" s="167">
        <v>43605</v>
      </c>
      <c r="G664" s="167">
        <v>45000</v>
      </c>
      <c r="H664" s="168">
        <v>10200</v>
      </c>
    </row>
    <row r="665" spans="1:8" ht="13.7" customHeight="1" x14ac:dyDescent="0.25">
      <c r="A665" s="166" t="s">
        <v>1372</v>
      </c>
      <c r="B665" s="166" t="s">
        <v>1370</v>
      </c>
      <c r="C665" s="166" t="s">
        <v>1305</v>
      </c>
      <c r="D665" s="166" t="s">
        <v>1373</v>
      </c>
      <c r="E665" s="166" t="s">
        <v>486</v>
      </c>
      <c r="F665" s="167">
        <v>43647</v>
      </c>
      <c r="G665" s="167">
        <v>45107</v>
      </c>
      <c r="H665" s="168">
        <v>0</v>
      </c>
    </row>
    <row r="666" spans="1:8" ht="13.7" customHeight="1" x14ac:dyDescent="0.25">
      <c r="A666" s="166" t="s">
        <v>1374</v>
      </c>
      <c r="B666" s="166" t="s">
        <v>1370</v>
      </c>
      <c r="C666" s="166" t="s">
        <v>1305</v>
      </c>
      <c r="D666" s="166" t="s">
        <v>1375</v>
      </c>
      <c r="E666" s="166" t="s">
        <v>914</v>
      </c>
      <c r="F666" s="167">
        <v>42156</v>
      </c>
      <c r="G666" s="167">
        <v>44104</v>
      </c>
      <c r="H666" s="168">
        <v>46325</v>
      </c>
    </row>
    <row r="667" spans="1:8" ht="13.7" customHeight="1" x14ac:dyDescent="0.25">
      <c r="A667" s="166" t="s">
        <v>1374</v>
      </c>
      <c r="B667" s="166" t="s">
        <v>1370</v>
      </c>
      <c r="C667" s="166" t="s">
        <v>1305</v>
      </c>
      <c r="D667" s="166" t="s">
        <v>1375</v>
      </c>
      <c r="E667" s="166" t="s">
        <v>914</v>
      </c>
      <c r="F667" s="167">
        <v>42156</v>
      </c>
      <c r="G667" s="167">
        <v>44104</v>
      </c>
      <c r="H667" s="168">
        <v>29004</v>
      </c>
    </row>
    <row r="668" spans="1:8" ht="13.7" customHeight="1" x14ac:dyDescent="0.25">
      <c r="A668" s="166" t="s">
        <v>1376</v>
      </c>
      <c r="B668" s="166" t="s">
        <v>1377</v>
      </c>
      <c r="C668" s="166" t="s">
        <v>1305</v>
      </c>
      <c r="D668" s="166" t="s">
        <v>1378</v>
      </c>
      <c r="E668" s="166" t="s">
        <v>486</v>
      </c>
      <c r="F668" s="167">
        <v>42415</v>
      </c>
      <c r="G668" s="167">
        <v>44227</v>
      </c>
      <c r="H668" s="168">
        <v>214464</v>
      </c>
    </row>
    <row r="669" spans="1:8" ht="13.7" customHeight="1" x14ac:dyDescent="0.25">
      <c r="A669" s="166" t="s">
        <v>1376</v>
      </c>
      <c r="B669" s="166" t="s">
        <v>1377</v>
      </c>
      <c r="C669" s="166" t="s">
        <v>1305</v>
      </c>
      <c r="D669" s="166" t="s">
        <v>1378</v>
      </c>
      <c r="E669" s="166" t="s">
        <v>486</v>
      </c>
      <c r="F669" s="167">
        <v>42415</v>
      </c>
      <c r="G669" s="167">
        <v>44227</v>
      </c>
      <c r="H669" s="168">
        <v>31837</v>
      </c>
    </row>
    <row r="670" spans="1:8" ht="13.7" customHeight="1" x14ac:dyDescent="0.25">
      <c r="A670" s="166" t="s">
        <v>1376</v>
      </c>
      <c r="B670" s="166" t="s">
        <v>1377</v>
      </c>
      <c r="C670" s="166" t="s">
        <v>1305</v>
      </c>
      <c r="D670" s="166" t="s">
        <v>1378</v>
      </c>
      <c r="E670" s="166" t="s">
        <v>486</v>
      </c>
      <c r="F670" s="167">
        <v>42415</v>
      </c>
      <c r="G670" s="167">
        <v>44227</v>
      </c>
      <c r="H670" s="168">
        <v>648</v>
      </c>
    </row>
    <row r="671" spans="1:8" ht="13.7" customHeight="1" x14ac:dyDescent="0.25">
      <c r="A671" s="166" t="s">
        <v>1376</v>
      </c>
      <c r="B671" s="166" t="s">
        <v>1377</v>
      </c>
      <c r="C671" s="166" t="s">
        <v>1305</v>
      </c>
      <c r="D671" s="166" t="s">
        <v>1378</v>
      </c>
      <c r="E671" s="166" t="s">
        <v>486</v>
      </c>
      <c r="F671" s="167">
        <v>42415</v>
      </c>
      <c r="G671" s="167">
        <v>44227</v>
      </c>
      <c r="H671" s="168">
        <v>1439</v>
      </c>
    </row>
    <row r="672" spans="1:8" ht="13.7" customHeight="1" x14ac:dyDescent="0.25">
      <c r="A672" s="166" t="s">
        <v>1376</v>
      </c>
      <c r="B672" s="166" t="s">
        <v>1377</v>
      </c>
      <c r="C672" s="166" t="s">
        <v>1305</v>
      </c>
      <c r="D672" s="166" t="s">
        <v>1378</v>
      </c>
      <c r="E672" s="166" t="s">
        <v>486</v>
      </c>
      <c r="F672" s="167">
        <v>42415</v>
      </c>
      <c r="G672" s="167">
        <v>44227</v>
      </c>
      <c r="H672" s="168">
        <v>-10533</v>
      </c>
    </row>
    <row r="673" spans="1:8" ht="13.7" customHeight="1" x14ac:dyDescent="0.25">
      <c r="A673" s="166" t="s">
        <v>1376</v>
      </c>
      <c r="B673" s="166" t="s">
        <v>1377</v>
      </c>
      <c r="C673" s="166" t="s">
        <v>1305</v>
      </c>
      <c r="D673" s="166" t="s">
        <v>1378</v>
      </c>
      <c r="E673" s="166" t="s">
        <v>486</v>
      </c>
      <c r="F673" s="167">
        <v>42415</v>
      </c>
      <c r="G673" s="167">
        <v>44227</v>
      </c>
      <c r="H673" s="168">
        <v>10533</v>
      </c>
    </row>
    <row r="674" spans="1:8" ht="13.7" customHeight="1" x14ac:dyDescent="0.25">
      <c r="A674" s="166" t="s">
        <v>1379</v>
      </c>
      <c r="B674" s="166" t="s">
        <v>1380</v>
      </c>
      <c r="C674" s="166" t="s">
        <v>1305</v>
      </c>
      <c r="D674" s="166" t="s">
        <v>1381</v>
      </c>
      <c r="E674" s="166" t="s">
        <v>1382</v>
      </c>
      <c r="F674" s="167">
        <v>42644</v>
      </c>
      <c r="G674" s="167">
        <v>44196</v>
      </c>
      <c r="H674" s="168">
        <v>112480</v>
      </c>
    </row>
    <row r="675" spans="1:8" ht="13.7" customHeight="1" x14ac:dyDescent="0.25">
      <c r="A675" s="166" t="s">
        <v>1379</v>
      </c>
      <c r="B675" s="166" t="s">
        <v>1380</v>
      </c>
      <c r="C675" s="166" t="s">
        <v>1305</v>
      </c>
      <c r="D675" s="166" t="s">
        <v>1381</v>
      </c>
      <c r="E675" s="166" t="s">
        <v>1382</v>
      </c>
      <c r="F675" s="167">
        <v>42644</v>
      </c>
      <c r="G675" s="167">
        <v>44196</v>
      </c>
      <c r="H675" s="168">
        <v>98239</v>
      </c>
    </row>
    <row r="676" spans="1:8" ht="13.7" customHeight="1" x14ac:dyDescent="0.25">
      <c r="A676" s="166" t="s">
        <v>1379</v>
      </c>
      <c r="B676" s="166" t="s">
        <v>1380</v>
      </c>
      <c r="C676" s="166" t="s">
        <v>1305</v>
      </c>
      <c r="D676" s="166" t="s">
        <v>1381</v>
      </c>
      <c r="E676" s="166" t="s">
        <v>1382</v>
      </c>
      <c r="F676" s="167">
        <v>42644</v>
      </c>
      <c r="G676" s="167">
        <v>44196</v>
      </c>
      <c r="H676" s="168">
        <v>69167</v>
      </c>
    </row>
    <row r="677" spans="1:8" ht="13.7" customHeight="1" x14ac:dyDescent="0.25">
      <c r="A677" s="166" t="s">
        <v>1379</v>
      </c>
      <c r="B677" s="166" t="s">
        <v>1380</v>
      </c>
      <c r="C677" s="166" t="s">
        <v>1305</v>
      </c>
      <c r="D677" s="166" t="s">
        <v>1381</v>
      </c>
      <c r="E677" s="166" t="s">
        <v>1382</v>
      </c>
      <c r="F677" s="167">
        <v>42644</v>
      </c>
      <c r="G677" s="167">
        <v>44196</v>
      </c>
      <c r="H677" s="168">
        <v>31125</v>
      </c>
    </row>
    <row r="678" spans="1:8" ht="13.7" customHeight="1" x14ac:dyDescent="0.25">
      <c r="A678" s="166" t="s">
        <v>1379</v>
      </c>
      <c r="B678" s="166" t="s">
        <v>1380</v>
      </c>
      <c r="C678" s="166" t="s">
        <v>1305</v>
      </c>
      <c r="D678" s="166" t="s">
        <v>1381</v>
      </c>
      <c r="E678" s="166" t="s">
        <v>1382</v>
      </c>
      <c r="F678" s="167">
        <v>42644</v>
      </c>
      <c r="G678" s="167">
        <v>44196</v>
      </c>
      <c r="H678" s="168">
        <v>2470</v>
      </c>
    </row>
    <row r="679" spans="1:8" ht="13.7" customHeight="1" x14ac:dyDescent="0.25">
      <c r="A679" s="166" t="s">
        <v>1379</v>
      </c>
      <c r="B679" s="166" t="s">
        <v>1380</v>
      </c>
      <c r="C679" s="166" t="s">
        <v>1305</v>
      </c>
      <c r="D679" s="166" t="s">
        <v>1381</v>
      </c>
      <c r="E679" s="166" t="s">
        <v>1382</v>
      </c>
      <c r="F679" s="167">
        <v>42644</v>
      </c>
      <c r="G679" s="167">
        <v>44196</v>
      </c>
      <c r="H679" s="168">
        <v>-2470</v>
      </c>
    </row>
    <row r="680" spans="1:8" ht="13.7" customHeight="1" x14ac:dyDescent="0.25">
      <c r="A680" s="166" t="s">
        <v>1379</v>
      </c>
      <c r="B680" s="166" t="s">
        <v>1380</v>
      </c>
      <c r="C680" s="166" t="s">
        <v>1305</v>
      </c>
      <c r="D680" s="166" t="s">
        <v>1381</v>
      </c>
      <c r="E680" s="166" t="s">
        <v>1382</v>
      </c>
      <c r="F680" s="167">
        <v>42644</v>
      </c>
      <c r="G680" s="167">
        <v>44196</v>
      </c>
      <c r="H680" s="168">
        <v>100292</v>
      </c>
    </row>
    <row r="681" spans="1:8" ht="13.7" customHeight="1" x14ac:dyDescent="0.25">
      <c r="A681" s="166" t="s">
        <v>1379</v>
      </c>
      <c r="B681" s="166" t="s">
        <v>1380</v>
      </c>
      <c r="C681" s="166" t="s">
        <v>1305</v>
      </c>
      <c r="D681" s="166" t="s">
        <v>1381</v>
      </c>
      <c r="E681" s="166" t="s">
        <v>1382</v>
      </c>
      <c r="F681" s="167">
        <v>42644</v>
      </c>
      <c r="G681" s="167">
        <v>44196</v>
      </c>
      <c r="H681" s="168">
        <v>100292</v>
      </c>
    </row>
    <row r="682" spans="1:8" ht="13.7" customHeight="1" x14ac:dyDescent="0.25">
      <c r="A682" s="166" t="s">
        <v>1379</v>
      </c>
      <c r="B682" s="166" t="s">
        <v>1380</v>
      </c>
      <c r="C682" s="166" t="s">
        <v>1305</v>
      </c>
      <c r="D682" s="166" t="s">
        <v>1381</v>
      </c>
      <c r="E682" s="166" t="s">
        <v>1382</v>
      </c>
      <c r="F682" s="167">
        <v>42644</v>
      </c>
      <c r="G682" s="167">
        <v>44196</v>
      </c>
      <c r="H682" s="168">
        <v>-58453</v>
      </c>
    </row>
    <row r="683" spans="1:8" ht="13.7" customHeight="1" x14ac:dyDescent="0.25">
      <c r="A683" s="166" t="s">
        <v>1379</v>
      </c>
      <c r="B683" s="166" t="s">
        <v>1380</v>
      </c>
      <c r="C683" s="166" t="s">
        <v>1305</v>
      </c>
      <c r="D683" s="166" t="s">
        <v>1381</v>
      </c>
      <c r="E683" s="166" t="s">
        <v>1382</v>
      </c>
      <c r="F683" s="167">
        <v>42644</v>
      </c>
      <c r="G683" s="167">
        <v>44196</v>
      </c>
      <c r="H683" s="168">
        <v>-41839</v>
      </c>
    </row>
    <row r="684" spans="1:8" ht="13.7" customHeight="1" x14ac:dyDescent="0.25">
      <c r="A684" s="166" t="s">
        <v>1379</v>
      </c>
      <c r="B684" s="166" t="s">
        <v>1380</v>
      </c>
      <c r="C684" s="166" t="s">
        <v>1305</v>
      </c>
      <c r="D684" s="166" t="s">
        <v>1381</v>
      </c>
      <c r="E684" s="166" t="s">
        <v>1382</v>
      </c>
      <c r="F684" s="167">
        <v>42644</v>
      </c>
      <c r="G684" s="167">
        <v>44196</v>
      </c>
      <c r="H684" s="168">
        <v>-105406</v>
      </c>
    </row>
    <row r="685" spans="1:8" ht="13.7" customHeight="1" x14ac:dyDescent="0.25">
      <c r="A685" s="166" t="s">
        <v>1379</v>
      </c>
      <c r="B685" s="166" t="s">
        <v>1380</v>
      </c>
      <c r="C685" s="166" t="s">
        <v>1305</v>
      </c>
      <c r="D685" s="166" t="s">
        <v>1381</v>
      </c>
      <c r="E685" s="166" t="s">
        <v>1382</v>
      </c>
      <c r="F685" s="167">
        <v>42644</v>
      </c>
      <c r="G685" s="167">
        <v>44196</v>
      </c>
      <c r="H685" s="168">
        <v>5114</v>
      </c>
    </row>
    <row r="686" spans="1:8" ht="13.7" customHeight="1" x14ac:dyDescent="0.25">
      <c r="A686" s="166" t="s">
        <v>1383</v>
      </c>
      <c r="B686" s="166" t="s">
        <v>1380</v>
      </c>
      <c r="C686" s="166" t="s">
        <v>1305</v>
      </c>
      <c r="D686" s="166" t="s">
        <v>1381</v>
      </c>
      <c r="E686" s="166" t="s">
        <v>1382</v>
      </c>
      <c r="F686" s="167">
        <v>42644</v>
      </c>
      <c r="G686" s="167">
        <v>44196</v>
      </c>
      <c r="H686" s="168">
        <v>128463</v>
      </c>
    </row>
    <row r="687" spans="1:8" ht="13.7" customHeight="1" x14ac:dyDescent="0.25">
      <c r="A687" s="166" t="s">
        <v>1383</v>
      </c>
      <c r="B687" s="166" t="s">
        <v>1380</v>
      </c>
      <c r="C687" s="166" t="s">
        <v>1305</v>
      </c>
      <c r="D687" s="166" t="s">
        <v>1381</v>
      </c>
      <c r="E687" s="166" t="s">
        <v>1382</v>
      </c>
      <c r="F687" s="167">
        <v>42644</v>
      </c>
      <c r="G687" s="167">
        <v>44196</v>
      </c>
      <c r="H687" s="168">
        <v>67292</v>
      </c>
    </row>
    <row r="688" spans="1:8" ht="13.7" customHeight="1" x14ac:dyDescent="0.25">
      <c r="A688" s="166" t="s">
        <v>1383</v>
      </c>
      <c r="B688" s="166" t="s">
        <v>1380</v>
      </c>
      <c r="C688" s="166" t="s">
        <v>1305</v>
      </c>
      <c r="D688" s="166" t="s">
        <v>1381</v>
      </c>
      <c r="E688" s="166" t="s">
        <v>1382</v>
      </c>
      <c r="F688" s="167">
        <v>42644</v>
      </c>
      <c r="G688" s="167">
        <v>44196</v>
      </c>
      <c r="H688" s="168">
        <v>98966</v>
      </c>
    </row>
    <row r="689" spans="1:8" ht="13.7" customHeight="1" x14ac:dyDescent="0.25">
      <c r="A689" s="166" t="s">
        <v>1383</v>
      </c>
      <c r="B689" s="166" t="s">
        <v>1380</v>
      </c>
      <c r="C689" s="166" t="s">
        <v>1305</v>
      </c>
      <c r="D689" s="166" t="s">
        <v>1381</v>
      </c>
      <c r="E689" s="166" t="s">
        <v>1382</v>
      </c>
      <c r="F689" s="167">
        <v>42644</v>
      </c>
      <c r="G689" s="167">
        <v>44196</v>
      </c>
      <c r="H689" s="168">
        <v>31333</v>
      </c>
    </row>
    <row r="690" spans="1:8" ht="13.7" customHeight="1" x14ac:dyDescent="0.25">
      <c r="A690" s="166" t="s">
        <v>1383</v>
      </c>
      <c r="B690" s="166" t="s">
        <v>1380</v>
      </c>
      <c r="C690" s="166" t="s">
        <v>1305</v>
      </c>
      <c r="D690" s="166" t="s">
        <v>1381</v>
      </c>
      <c r="E690" s="166" t="s">
        <v>1382</v>
      </c>
      <c r="F690" s="167">
        <v>42644</v>
      </c>
      <c r="G690" s="167">
        <v>44196</v>
      </c>
      <c r="H690" s="168">
        <v>-98966</v>
      </c>
    </row>
    <row r="691" spans="1:8" ht="13.7" customHeight="1" x14ac:dyDescent="0.25">
      <c r="A691" s="166" t="s">
        <v>1383</v>
      </c>
      <c r="B691" s="166" t="s">
        <v>1380</v>
      </c>
      <c r="C691" s="166" t="s">
        <v>1305</v>
      </c>
      <c r="D691" s="166" t="s">
        <v>1381</v>
      </c>
      <c r="E691" s="166" t="s">
        <v>1382</v>
      </c>
      <c r="F691" s="167">
        <v>42644</v>
      </c>
      <c r="G691" s="167">
        <v>44196</v>
      </c>
      <c r="H691" s="168">
        <v>-31333</v>
      </c>
    </row>
    <row r="692" spans="1:8" ht="13.7" customHeight="1" x14ac:dyDescent="0.25">
      <c r="A692" s="166" t="s">
        <v>1383</v>
      </c>
      <c r="B692" s="166" t="s">
        <v>1380</v>
      </c>
      <c r="C692" s="166" t="s">
        <v>1305</v>
      </c>
      <c r="D692" s="166" t="s">
        <v>1381</v>
      </c>
      <c r="E692" s="166" t="s">
        <v>1382</v>
      </c>
      <c r="F692" s="167">
        <v>42644</v>
      </c>
      <c r="G692" s="167">
        <v>44196</v>
      </c>
      <c r="H692" s="168">
        <v>66489</v>
      </c>
    </row>
    <row r="693" spans="1:8" ht="13.7" customHeight="1" x14ac:dyDescent="0.25">
      <c r="A693" s="166" t="s">
        <v>1383</v>
      </c>
      <c r="B693" s="166" t="s">
        <v>1380</v>
      </c>
      <c r="C693" s="166" t="s">
        <v>1305</v>
      </c>
      <c r="D693" s="166" t="s">
        <v>1381</v>
      </c>
      <c r="E693" s="166" t="s">
        <v>1382</v>
      </c>
      <c r="F693" s="167">
        <v>42644</v>
      </c>
      <c r="G693" s="167">
        <v>44196</v>
      </c>
      <c r="H693" s="168">
        <v>33803</v>
      </c>
    </row>
    <row r="694" spans="1:8" ht="13.7" customHeight="1" x14ac:dyDescent="0.25">
      <c r="A694" s="166" t="s">
        <v>1383</v>
      </c>
      <c r="B694" s="166" t="s">
        <v>1380</v>
      </c>
      <c r="C694" s="166" t="s">
        <v>1305</v>
      </c>
      <c r="D694" s="166" t="s">
        <v>1381</v>
      </c>
      <c r="E694" s="166" t="s">
        <v>1382</v>
      </c>
      <c r="F694" s="167">
        <v>42644</v>
      </c>
      <c r="G694" s="167">
        <v>44196</v>
      </c>
      <c r="H694" s="168">
        <v>-69167</v>
      </c>
    </row>
    <row r="695" spans="1:8" ht="13.7" customHeight="1" x14ac:dyDescent="0.25">
      <c r="A695" s="166" t="s">
        <v>1383</v>
      </c>
      <c r="B695" s="166" t="s">
        <v>1380</v>
      </c>
      <c r="C695" s="166" t="s">
        <v>1305</v>
      </c>
      <c r="D695" s="166" t="s">
        <v>1381</v>
      </c>
      <c r="E695" s="166" t="s">
        <v>1382</v>
      </c>
      <c r="F695" s="167">
        <v>42644</v>
      </c>
      <c r="G695" s="167">
        <v>44196</v>
      </c>
      <c r="H695" s="168">
        <v>-31125</v>
      </c>
    </row>
    <row r="696" spans="1:8" ht="13.7" customHeight="1" x14ac:dyDescent="0.25">
      <c r="A696" s="166" t="s">
        <v>1383</v>
      </c>
      <c r="B696" s="166" t="s">
        <v>1380</v>
      </c>
      <c r="C696" s="166" t="s">
        <v>1305</v>
      </c>
      <c r="D696" s="166" t="s">
        <v>1381</v>
      </c>
      <c r="E696" s="166" t="s">
        <v>1382</v>
      </c>
      <c r="F696" s="167">
        <v>42644</v>
      </c>
      <c r="G696" s="167">
        <v>44196</v>
      </c>
      <c r="H696" s="168">
        <v>59843</v>
      </c>
    </row>
    <row r="697" spans="1:8" ht="13.7" customHeight="1" x14ac:dyDescent="0.25">
      <c r="A697" s="166" t="s">
        <v>1383</v>
      </c>
      <c r="B697" s="166" t="s">
        <v>1380</v>
      </c>
      <c r="C697" s="166" t="s">
        <v>1305</v>
      </c>
      <c r="D697" s="166" t="s">
        <v>1381</v>
      </c>
      <c r="E697" s="166" t="s">
        <v>1382</v>
      </c>
      <c r="F697" s="167">
        <v>42644</v>
      </c>
      <c r="G697" s="167">
        <v>44196</v>
      </c>
      <c r="H697" s="168">
        <v>40449</v>
      </c>
    </row>
    <row r="698" spans="1:8" ht="13.7" customHeight="1" x14ac:dyDescent="0.25">
      <c r="A698" s="166" t="s">
        <v>1384</v>
      </c>
      <c r="B698" s="166" t="s">
        <v>1380</v>
      </c>
      <c r="C698" s="166" t="s">
        <v>1305</v>
      </c>
      <c r="D698" s="166" t="s">
        <v>1381</v>
      </c>
      <c r="E698" s="166" t="s">
        <v>1382</v>
      </c>
      <c r="F698" s="167">
        <v>42644</v>
      </c>
      <c r="G698" s="167">
        <v>43820</v>
      </c>
      <c r="H698" s="168">
        <v>44555.62</v>
      </c>
    </row>
    <row r="699" spans="1:8" ht="13.7" customHeight="1" x14ac:dyDescent="0.25">
      <c r="A699" s="166" t="s">
        <v>1384</v>
      </c>
      <c r="B699" s="166" t="s">
        <v>1380</v>
      </c>
      <c r="C699" s="166" t="s">
        <v>1305</v>
      </c>
      <c r="D699" s="166" t="s">
        <v>1381</v>
      </c>
      <c r="E699" s="166" t="s">
        <v>1382</v>
      </c>
      <c r="F699" s="167">
        <v>42644</v>
      </c>
      <c r="G699" s="167">
        <v>43820</v>
      </c>
      <c r="H699" s="168">
        <v>20048.07</v>
      </c>
    </row>
    <row r="700" spans="1:8" ht="13.7" customHeight="1" x14ac:dyDescent="0.25">
      <c r="A700" s="166" t="s">
        <v>1384</v>
      </c>
      <c r="B700" s="166" t="s">
        <v>1380</v>
      </c>
      <c r="C700" s="166" t="s">
        <v>1305</v>
      </c>
      <c r="D700" s="166" t="s">
        <v>1381</v>
      </c>
      <c r="E700" s="166" t="s">
        <v>1382</v>
      </c>
      <c r="F700" s="167">
        <v>42644</v>
      </c>
      <c r="G700" s="167">
        <v>43820</v>
      </c>
      <c r="H700" s="168">
        <v>-32477</v>
      </c>
    </row>
    <row r="701" spans="1:8" ht="13.7" customHeight="1" x14ac:dyDescent="0.25">
      <c r="A701" s="166" t="s">
        <v>1384</v>
      </c>
      <c r="B701" s="166" t="s">
        <v>1380</v>
      </c>
      <c r="C701" s="166" t="s">
        <v>1305</v>
      </c>
      <c r="D701" s="166" t="s">
        <v>1381</v>
      </c>
      <c r="E701" s="166" t="s">
        <v>1382</v>
      </c>
      <c r="F701" s="167">
        <v>42644</v>
      </c>
      <c r="G701" s="167">
        <v>43820</v>
      </c>
      <c r="H701" s="168">
        <v>32477</v>
      </c>
    </row>
    <row r="702" spans="1:8" ht="13.7" customHeight="1" x14ac:dyDescent="0.25">
      <c r="A702" s="166" t="s">
        <v>1385</v>
      </c>
      <c r="B702" s="166" t="s">
        <v>1380</v>
      </c>
      <c r="C702" s="166" t="s">
        <v>1305</v>
      </c>
      <c r="D702" s="166" t="s">
        <v>1381</v>
      </c>
      <c r="E702" s="166" t="s">
        <v>1382</v>
      </c>
      <c r="F702" s="167">
        <v>42644</v>
      </c>
      <c r="G702" s="167">
        <v>43820</v>
      </c>
      <c r="H702" s="168">
        <v>16030.31</v>
      </c>
    </row>
    <row r="703" spans="1:8" ht="13.7" customHeight="1" x14ac:dyDescent="0.25">
      <c r="A703" s="166" t="s">
        <v>1386</v>
      </c>
      <c r="B703" s="166" t="s">
        <v>1387</v>
      </c>
      <c r="C703" s="166" t="s">
        <v>1305</v>
      </c>
      <c r="D703" s="166" t="s">
        <v>1388</v>
      </c>
      <c r="E703" s="166" t="s">
        <v>611</v>
      </c>
      <c r="F703" s="167">
        <v>43617</v>
      </c>
      <c r="G703" s="167">
        <v>44347</v>
      </c>
      <c r="H703" s="168">
        <v>68635</v>
      </c>
    </row>
    <row r="704" spans="1:8" ht="13.7" customHeight="1" x14ac:dyDescent="0.25">
      <c r="A704" s="166" t="s">
        <v>1386</v>
      </c>
      <c r="B704" s="166" t="s">
        <v>1387</v>
      </c>
      <c r="C704" s="166" t="s">
        <v>1305</v>
      </c>
      <c r="D704" s="166" t="s">
        <v>1388</v>
      </c>
      <c r="E704" s="166" t="s">
        <v>611</v>
      </c>
      <c r="F704" s="167">
        <v>43617</v>
      </c>
      <c r="G704" s="167">
        <v>44347</v>
      </c>
      <c r="H704" s="168">
        <v>3865</v>
      </c>
    </row>
    <row r="705" spans="1:8" ht="13.7" customHeight="1" x14ac:dyDescent="0.25">
      <c r="A705" s="166" t="s">
        <v>1389</v>
      </c>
      <c r="B705" s="166" t="s">
        <v>1390</v>
      </c>
      <c r="C705" s="166" t="s">
        <v>1305</v>
      </c>
      <c r="D705" s="166" t="s">
        <v>1391</v>
      </c>
      <c r="E705" s="166" t="s">
        <v>920</v>
      </c>
      <c r="F705" s="167">
        <v>42632</v>
      </c>
      <c r="G705" s="167">
        <v>44457</v>
      </c>
      <c r="H705" s="168">
        <v>3920</v>
      </c>
    </row>
    <row r="706" spans="1:8" ht="13.7" customHeight="1" x14ac:dyDescent="0.25">
      <c r="A706" s="166" t="s">
        <v>1389</v>
      </c>
      <c r="B706" s="166" t="s">
        <v>1390</v>
      </c>
      <c r="C706" s="166" t="s">
        <v>1305</v>
      </c>
      <c r="D706" s="166" t="s">
        <v>1391</v>
      </c>
      <c r="E706" s="166" t="s">
        <v>920</v>
      </c>
      <c r="F706" s="167">
        <v>42632</v>
      </c>
      <c r="G706" s="167">
        <v>44457</v>
      </c>
      <c r="H706" s="168">
        <v>22398</v>
      </c>
    </row>
    <row r="707" spans="1:8" ht="13.7" customHeight="1" x14ac:dyDescent="0.25">
      <c r="A707" s="166" t="s">
        <v>1392</v>
      </c>
      <c r="B707" s="166" t="s">
        <v>1390</v>
      </c>
      <c r="C707" s="166" t="s">
        <v>1305</v>
      </c>
      <c r="D707" s="166" t="s">
        <v>1393</v>
      </c>
      <c r="E707" s="166" t="s">
        <v>1394</v>
      </c>
      <c r="F707" s="167">
        <v>43635</v>
      </c>
      <c r="G707" s="167">
        <v>43830</v>
      </c>
      <c r="H707" s="168">
        <v>4500</v>
      </c>
    </row>
    <row r="708" spans="1:8" ht="13.7" customHeight="1" x14ac:dyDescent="0.25">
      <c r="A708" s="166" t="s">
        <v>1395</v>
      </c>
      <c r="B708" s="166" t="s">
        <v>1390</v>
      </c>
      <c r="C708" s="166" t="s">
        <v>1305</v>
      </c>
      <c r="D708" s="166" t="s">
        <v>1396</v>
      </c>
      <c r="E708" s="166" t="s">
        <v>1394</v>
      </c>
      <c r="F708" s="167">
        <v>43997</v>
      </c>
      <c r="G708" s="167">
        <v>44012</v>
      </c>
      <c r="H708" s="168">
        <v>1876</v>
      </c>
    </row>
    <row r="709" spans="1:8" ht="13.7" customHeight="1" x14ac:dyDescent="0.25">
      <c r="A709" s="166" t="s">
        <v>1395</v>
      </c>
      <c r="B709" s="166" t="s">
        <v>1390</v>
      </c>
      <c r="C709" s="166" t="s">
        <v>1305</v>
      </c>
      <c r="D709" s="166" t="s">
        <v>1396</v>
      </c>
      <c r="E709" s="166" t="s">
        <v>1394</v>
      </c>
      <c r="F709" s="167">
        <v>43997</v>
      </c>
      <c r="G709" s="167">
        <v>44012</v>
      </c>
      <c r="H709" s="168">
        <v>624</v>
      </c>
    </row>
    <row r="710" spans="1:8" ht="13.7" customHeight="1" x14ac:dyDescent="0.25">
      <c r="A710" s="166" t="s">
        <v>1397</v>
      </c>
      <c r="B710" s="166" t="s">
        <v>1390</v>
      </c>
      <c r="C710" s="166" t="s">
        <v>1305</v>
      </c>
      <c r="D710" s="166" t="s">
        <v>1398</v>
      </c>
      <c r="E710" s="166" t="s">
        <v>904</v>
      </c>
      <c r="F710" s="167">
        <v>42125</v>
      </c>
      <c r="G710" s="167">
        <v>44196</v>
      </c>
      <c r="H710" s="168">
        <v>19490</v>
      </c>
    </row>
    <row r="711" spans="1:8" ht="13.7" customHeight="1" x14ac:dyDescent="0.25">
      <c r="A711" s="166" t="s">
        <v>1397</v>
      </c>
      <c r="B711" s="166" t="s">
        <v>1390</v>
      </c>
      <c r="C711" s="166" t="s">
        <v>1305</v>
      </c>
      <c r="D711" s="166" t="s">
        <v>1398</v>
      </c>
      <c r="E711" s="166" t="s">
        <v>904</v>
      </c>
      <c r="F711" s="167">
        <v>42125</v>
      </c>
      <c r="G711" s="167">
        <v>44196</v>
      </c>
      <c r="H711" s="168">
        <v>8149</v>
      </c>
    </row>
    <row r="712" spans="1:8" ht="13.7" customHeight="1" x14ac:dyDescent="0.25">
      <c r="A712" s="166" t="s">
        <v>1399</v>
      </c>
      <c r="B712" s="166" t="s">
        <v>1400</v>
      </c>
      <c r="C712" s="166" t="s">
        <v>1305</v>
      </c>
      <c r="D712" s="166" t="s">
        <v>1401</v>
      </c>
      <c r="E712" s="166" t="s">
        <v>1402</v>
      </c>
      <c r="F712" s="167">
        <v>43922</v>
      </c>
      <c r="G712" s="167">
        <v>44500</v>
      </c>
      <c r="H712" s="168">
        <v>13440</v>
      </c>
    </row>
    <row r="713" spans="1:8" ht="13.7" customHeight="1" x14ac:dyDescent="0.25">
      <c r="A713" s="166" t="s">
        <v>1399</v>
      </c>
      <c r="B713" s="166" t="s">
        <v>1400</v>
      </c>
      <c r="C713" s="166" t="s">
        <v>1305</v>
      </c>
      <c r="D713" s="166" t="s">
        <v>1401</v>
      </c>
      <c r="E713" s="166" t="s">
        <v>1402</v>
      </c>
      <c r="F713" s="167">
        <v>43922</v>
      </c>
      <c r="G713" s="167">
        <v>44500</v>
      </c>
      <c r="H713" s="168">
        <v>16500</v>
      </c>
    </row>
    <row r="714" spans="1:8" ht="13.7" customHeight="1" x14ac:dyDescent="0.25">
      <c r="A714" s="166" t="s">
        <v>1403</v>
      </c>
      <c r="B714" s="166" t="s">
        <v>1400</v>
      </c>
      <c r="C714" s="166" t="s">
        <v>1305</v>
      </c>
      <c r="D714" s="166" t="s">
        <v>1404</v>
      </c>
      <c r="E714" s="166" t="s">
        <v>914</v>
      </c>
      <c r="F714" s="167">
        <v>42461</v>
      </c>
      <c r="G714" s="167">
        <v>44286</v>
      </c>
      <c r="H714" s="168">
        <v>64263</v>
      </c>
    </row>
    <row r="715" spans="1:8" ht="13.7" customHeight="1" x14ac:dyDescent="0.25">
      <c r="A715" s="166" t="s">
        <v>1403</v>
      </c>
      <c r="B715" s="166" t="s">
        <v>1400</v>
      </c>
      <c r="C715" s="166" t="s">
        <v>1305</v>
      </c>
      <c r="D715" s="166" t="s">
        <v>1404</v>
      </c>
      <c r="E715" s="166" t="s">
        <v>914</v>
      </c>
      <c r="F715" s="167">
        <v>42461</v>
      </c>
      <c r="G715" s="167">
        <v>44286</v>
      </c>
      <c r="H715" s="168">
        <v>15305</v>
      </c>
    </row>
    <row r="716" spans="1:8" ht="13.7" customHeight="1" x14ac:dyDescent="0.25">
      <c r="A716" s="166" t="s">
        <v>1403</v>
      </c>
      <c r="B716" s="166" t="s">
        <v>1400</v>
      </c>
      <c r="C716" s="166" t="s">
        <v>1305</v>
      </c>
      <c r="D716" s="166" t="s">
        <v>1404</v>
      </c>
      <c r="E716" s="166" t="s">
        <v>914</v>
      </c>
      <c r="F716" s="167">
        <v>42461</v>
      </c>
      <c r="G716" s="167">
        <v>44286</v>
      </c>
      <c r="H716" s="168">
        <v>23852</v>
      </c>
    </row>
    <row r="717" spans="1:8" ht="13.7" customHeight="1" x14ac:dyDescent="0.25">
      <c r="A717" s="166" t="s">
        <v>1403</v>
      </c>
      <c r="B717" s="166" t="s">
        <v>1400</v>
      </c>
      <c r="C717" s="166" t="s">
        <v>1305</v>
      </c>
      <c r="D717" s="166" t="s">
        <v>1404</v>
      </c>
      <c r="E717" s="166" t="s">
        <v>914</v>
      </c>
      <c r="F717" s="167">
        <v>42461</v>
      </c>
      <c r="G717" s="167">
        <v>44286</v>
      </c>
      <c r="H717" s="168">
        <v>2670</v>
      </c>
    </row>
    <row r="718" spans="1:8" ht="13.7" customHeight="1" x14ac:dyDescent="0.25">
      <c r="A718" s="166" t="s">
        <v>1405</v>
      </c>
      <c r="B718" s="166" t="s">
        <v>1406</v>
      </c>
      <c r="C718" s="166" t="s">
        <v>1305</v>
      </c>
      <c r="D718" s="166" t="s">
        <v>1407</v>
      </c>
      <c r="E718" s="166" t="s">
        <v>468</v>
      </c>
      <c r="F718" s="167">
        <v>43983</v>
      </c>
      <c r="G718" s="167">
        <v>45291</v>
      </c>
      <c r="H718" s="168">
        <v>16546</v>
      </c>
    </row>
    <row r="719" spans="1:8" ht="13.7" customHeight="1" x14ac:dyDescent="0.25">
      <c r="A719" s="166" t="s">
        <v>1405</v>
      </c>
      <c r="B719" s="166" t="s">
        <v>1406</v>
      </c>
      <c r="C719" s="166" t="s">
        <v>1305</v>
      </c>
      <c r="D719" s="166" t="s">
        <v>1407</v>
      </c>
      <c r="E719" s="166" t="s">
        <v>468</v>
      </c>
      <c r="F719" s="167">
        <v>43983</v>
      </c>
      <c r="G719" s="167">
        <v>45291</v>
      </c>
      <c r="H719" s="168">
        <v>9840</v>
      </c>
    </row>
    <row r="720" spans="1:8" ht="13.7" customHeight="1" x14ac:dyDescent="0.25">
      <c r="A720" s="166" t="s">
        <v>1408</v>
      </c>
      <c r="B720" s="166" t="s">
        <v>1406</v>
      </c>
      <c r="C720" s="166" t="s">
        <v>1305</v>
      </c>
      <c r="D720" s="166" t="s">
        <v>1409</v>
      </c>
      <c r="E720" s="166" t="s">
        <v>986</v>
      </c>
      <c r="F720" s="167">
        <v>43683</v>
      </c>
      <c r="G720" s="167">
        <v>44042</v>
      </c>
      <c r="H720" s="168">
        <v>22507</v>
      </c>
    </row>
    <row r="721" spans="1:8" ht="13.7" customHeight="1" x14ac:dyDescent="0.25">
      <c r="A721" s="166" t="s">
        <v>1410</v>
      </c>
      <c r="B721" s="166" t="s">
        <v>1406</v>
      </c>
      <c r="C721" s="166" t="s">
        <v>1305</v>
      </c>
      <c r="D721" s="166" t="s">
        <v>1411</v>
      </c>
      <c r="E721" s="166" t="s">
        <v>648</v>
      </c>
      <c r="F721" s="167">
        <v>43640</v>
      </c>
      <c r="G721" s="167">
        <v>44469</v>
      </c>
      <c r="H721" s="168">
        <v>35406</v>
      </c>
    </row>
    <row r="722" spans="1:8" ht="13.7" customHeight="1" x14ac:dyDescent="0.25">
      <c r="A722" s="166" t="s">
        <v>1410</v>
      </c>
      <c r="B722" s="166" t="s">
        <v>1406</v>
      </c>
      <c r="C722" s="166" t="s">
        <v>1305</v>
      </c>
      <c r="D722" s="166" t="s">
        <v>1411</v>
      </c>
      <c r="E722" s="166" t="s">
        <v>648</v>
      </c>
      <c r="F722" s="167">
        <v>43640</v>
      </c>
      <c r="G722" s="167">
        <v>44469</v>
      </c>
      <c r="H722" s="168">
        <v>29210</v>
      </c>
    </row>
    <row r="723" spans="1:8" ht="13.7" customHeight="1" x14ac:dyDescent="0.25">
      <c r="A723" s="166" t="s">
        <v>1410</v>
      </c>
      <c r="B723" s="166" t="s">
        <v>1406</v>
      </c>
      <c r="C723" s="166" t="s">
        <v>1305</v>
      </c>
      <c r="D723" s="166" t="s">
        <v>1411</v>
      </c>
      <c r="E723" s="166" t="s">
        <v>648</v>
      </c>
      <c r="F723" s="167">
        <v>43640</v>
      </c>
      <c r="G723" s="167">
        <v>44469</v>
      </c>
      <c r="H723" s="168">
        <v>918</v>
      </c>
    </row>
    <row r="724" spans="1:8" ht="13.7" customHeight="1" x14ac:dyDescent="0.25">
      <c r="A724" s="166" t="s">
        <v>1412</v>
      </c>
      <c r="B724" s="166" t="s">
        <v>1406</v>
      </c>
      <c r="C724" s="166" t="s">
        <v>1305</v>
      </c>
      <c r="D724" s="166" t="s">
        <v>1413</v>
      </c>
      <c r="E724" s="166" t="s">
        <v>536</v>
      </c>
      <c r="F724" s="167">
        <v>43980</v>
      </c>
      <c r="G724" s="167">
        <v>44438</v>
      </c>
      <c r="H724" s="168">
        <v>19573</v>
      </c>
    </row>
    <row r="725" spans="1:8" ht="13.7" customHeight="1" x14ac:dyDescent="0.25">
      <c r="A725" s="166" t="s">
        <v>1412</v>
      </c>
      <c r="B725" s="166" t="s">
        <v>1406</v>
      </c>
      <c r="C725" s="166" t="s">
        <v>1305</v>
      </c>
      <c r="D725" s="166" t="s">
        <v>1413</v>
      </c>
      <c r="E725" s="166" t="s">
        <v>536</v>
      </c>
      <c r="F725" s="167">
        <v>43980</v>
      </c>
      <c r="G725" s="167">
        <v>44438</v>
      </c>
      <c r="H725" s="168">
        <v>427</v>
      </c>
    </row>
    <row r="726" spans="1:8" ht="13.7" customHeight="1" x14ac:dyDescent="0.25">
      <c r="A726" s="166" t="s">
        <v>1414</v>
      </c>
      <c r="B726" s="166" t="s">
        <v>1415</v>
      </c>
      <c r="C726" s="166" t="s">
        <v>1305</v>
      </c>
      <c r="D726" s="166" t="s">
        <v>1416</v>
      </c>
      <c r="E726" s="166" t="s">
        <v>1417</v>
      </c>
      <c r="F726" s="167">
        <v>43101</v>
      </c>
      <c r="G726" s="167">
        <v>44043</v>
      </c>
      <c r="H726" s="168">
        <v>7447</v>
      </c>
    </row>
    <row r="727" spans="1:8" ht="13.7" customHeight="1" x14ac:dyDescent="0.25">
      <c r="A727" s="166" t="s">
        <v>1414</v>
      </c>
      <c r="B727" s="166" t="s">
        <v>1415</v>
      </c>
      <c r="C727" s="166" t="s">
        <v>1305</v>
      </c>
      <c r="D727" s="166" t="s">
        <v>1416</v>
      </c>
      <c r="E727" s="166" t="s">
        <v>1417</v>
      </c>
      <c r="F727" s="167">
        <v>43101</v>
      </c>
      <c r="G727" s="167">
        <v>44043</v>
      </c>
      <c r="H727" s="168">
        <v>551</v>
      </c>
    </row>
    <row r="728" spans="1:8" ht="13.7" customHeight="1" x14ac:dyDescent="0.25">
      <c r="A728" s="166" t="s">
        <v>1418</v>
      </c>
      <c r="B728" s="166" t="s">
        <v>1419</v>
      </c>
      <c r="C728" s="166" t="s">
        <v>1305</v>
      </c>
      <c r="D728" s="166" t="s">
        <v>1420</v>
      </c>
      <c r="E728" s="166" t="s">
        <v>1421</v>
      </c>
      <c r="F728" s="167">
        <v>43709</v>
      </c>
      <c r="G728" s="167">
        <v>44074</v>
      </c>
      <c r="H728" s="168">
        <v>134559</v>
      </c>
    </row>
    <row r="729" spans="1:8" ht="13.7" customHeight="1" x14ac:dyDescent="0.25">
      <c r="A729" s="166" t="s">
        <v>1418</v>
      </c>
      <c r="B729" s="166" t="s">
        <v>1419</v>
      </c>
      <c r="C729" s="166" t="s">
        <v>1305</v>
      </c>
      <c r="D729" s="166" t="s">
        <v>1420</v>
      </c>
      <c r="E729" s="166" t="s">
        <v>1421</v>
      </c>
      <c r="F729" s="167">
        <v>43709</v>
      </c>
      <c r="G729" s="167">
        <v>44074</v>
      </c>
      <c r="H729" s="168">
        <v>34978</v>
      </c>
    </row>
    <row r="730" spans="1:8" ht="13.7" customHeight="1" x14ac:dyDescent="0.25">
      <c r="A730" s="166" t="s">
        <v>1418</v>
      </c>
      <c r="B730" s="166" t="s">
        <v>1419</v>
      </c>
      <c r="C730" s="166" t="s">
        <v>1305</v>
      </c>
      <c r="D730" s="166" t="s">
        <v>1420</v>
      </c>
      <c r="E730" s="166" t="s">
        <v>1421</v>
      </c>
      <c r="F730" s="167">
        <v>43709</v>
      </c>
      <c r="G730" s="167">
        <v>44074</v>
      </c>
      <c r="H730" s="168">
        <v>42231</v>
      </c>
    </row>
    <row r="731" spans="1:8" ht="13.7" customHeight="1" x14ac:dyDescent="0.25">
      <c r="A731" s="166" t="s">
        <v>1422</v>
      </c>
      <c r="B731" s="166" t="s">
        <v>1419</v>
      </c>
      <c r="C731" s="166" t="s">
        <v>1305</v>
      </c>
      <c r="D731" s="166" t="s">
        <v>1423</v>
      </c>
      <c r="E731" s="166" t="s">
        <v>1424</v>
      </c>
      <c r="F731" s="167">
        <v>43831</v>
      </c>
      <c r="G731" s="167">
        <v>44196</v>
      </c>
      <c r="H731" s="168">
        <v>-1000</v>
      </c>
    </row>
    <row r="732" spans="1:8" ht="13.7" customHeight="1" x14ac:dyDescent="0.25">
      <c r="A732" s="166" t="s">
        <v>1422</v>
      </c>
      <c r="B732" s="166" t="s">
        <v>1419</v>
      </c>
      <c r="C732" s="166" t="s">
        <v>1305</v>
      </c>
      <c r="D732" s="166" t="s">
        <v>1423</v>
      </c>
      <c r="E732" s="166" t="s">
        <v>1424</v>
      </c>
      <c r="F732" s="167">
        <v>43831</v>
      </c>
      <c r="G732" s="167">
        <v>44196</v>
      </c>
      <c r="H732" s="168">
        <v>1000</v>
      </c>
    </row>
    <row r="733" spans="1:8" ht="13.7" customHeight="1" x14ac:dyDescent="0.25">
      <c r="A733" s="166" t="s">
        <v>1422</v>
      </c>
      <c r="B733" s="166" t="s">
        <v>1419</v>
      </c>
      <c r="C733" s="166" t="s">
        <v>1305</v>
      </c>
      <c r="D733" s="166" t="s">
        <v>1423</v>
      </c>
      <c r="E733" s="166" t="s">
        <v>1424</v>
      </c>
      <c r="F733" s="167">
        <v>43831</v>
      </c>
      <c r="G733" s="167">
        <v>44196</v>
      </c>
      <c r="H733" s="168">
        <v>61591</v>
      </c>
    </row>
    <row r="734" spans="1:8" ht="13.7" customHeight="1" x14ac:dyDescent="0.25">
      <c r="A734" s="166" t="s">
        <v>1422</v>
      </c>
      <c r="B734" s="166" t="s">
        <v>1419</v>
      </c>
      <c r="C734" s="166" t="s">
        <v>1305</v>
      </c>
      <c r="D734" s="166" t="s">
        <v>1423</v>
      </c>
      <c r="E734" s="166" t="s">
        <v>1424</v>
      </c>
      <c r="F734" s="167">
        <v>43831</v>
      </c>
      <c r="G734" s="167">
        <v>44196</v>
      </c>
      <c r="H734" s="168">
        <v>43800</v>
      </c>
    </row>
    <row r="735" spans="1:8" ht="13.7" customHeight="1" x14ac:dyDescent="0.25">
      <c r="A735" s="166" t="s">
        <v>1425</v>
      </c>
      <c r="B735" s="166" t="s">
        <v>1426</v>
      </c>
      <c r="C735" s="166" t="s">
        <v>1305</v>
      </c>
      <c r="D735" s="166" t="s">
        <v>1427</v>
      </c>
      <c r="E735" s="166" t="s">
        <v>914</v>
      </c>
      <c r="F735" s="167">
        <v>42461</v>
      </c>
      <c r="G735" s="167">
        <v>43983</v>
      </c>
      <c r="H735" s="168">
        <v>-23778</v>
      </c>
    </row>
    <row r="736" spans="1:8" ht="13.7" customHeight="1" x14ac:dyDescent="0.25">
      <c r="A736" s="166" t="s">
        <v>1425</v>
      </c>
      <c r="B736" s="166" t="s">
        <v>1426</v>
      </c>
      <c r="C736" s="166" t="s">
        <v>1305</v>
      </c>
      <c r="D736" s="166" t="s">
        <v>1427</v>
      </c>
      <c r="E736" s="166" t="s">
        <v>914</v>
      </c>
      <c r="F736" s="167">
        <v>42461</v>
      </c>
      <c r="G736" s="167">
        <v>43983</v>
      </c>
      <c r="H736" s="168">
        <v>23778</v>
      </c>
    </row>
    <row r="737" spans="1:8" ht="13.7" customHeight="1" x14ac:dyDescent="0.25">
      <c r="A737" s="166" t="s">
        <v>1428</v>
      </c>
      <c r="B737" s="166" t="s">
        <v>1429</v>
      </c>
      <c r="C737" s="166" t="s">
        <v>1305</v>
      </c>
      <c r="D737" s="166" t="s">
        <v>1430</v>
      </c>
      <c r="E737" s="166" t="s">
        <v>843</v>
      </c>
      <c r="F737" s="167">
        <v>43634</v>
      </c>
      <c r="G737" s="167">
        <v>44196</v>
      </c>
      <c r="H737" s="168">
        <v>8554</v>
      </c>
    </row>
    <row r="738" spans="1:8" ht="13.7" customHeight="1" x14ac:dyDescent="0.25">
      <c r="A738" s="166" t="s">
        <v>1428</v>
      </c>
      <c r="B738" s="166" t="s">
        <v>1429</v>
      </c>
      <c r="C738" s="166" t="s">
        <v>1305</v>
      </c>
      <c r="D738" s="166" t="s">
        <v>1430</v>
      </c>
      <c r="E738" s="166" t="s">
        <v>843</v>
      </c>
      <c r="F738" s="167">
        <v>43634</v>
      </c>
      <c r="G738" s="167">
        <v>44196</v>
      </c>
      <c r="H738" s="168">
        <v>6399</v>
      </c>
    </row>
    <row r="739" spans="1:8" ht="13.7" customHeight="1" x14ac:dyDescent="0.25">
      <c r="A739" s="166" t="s">
        <v>1431</v>
      </c>
      <c r="B739" s="166" t="s">
        <v>1429</v>
      </c>
      <c r="C739" s="166" t="s">
        <v>1305</v>
      </c>
      <c r="D739" s="166" t="s">
        <v>1432</v>
      </c>
      <c r="E739" s="166" t="s">
        <v>914</v>
      </c>
      <c r="F739" s="167">
        <v>42790</v>
      </c>
      <c r="G739" s="167">
        <v>44316</v>
      </c>
      <c r="H739" s="168">
        <v>38315</v>
      </c>
    </row>
    <row r="740" spans="1:8" ht="13.7" customHeight="1" x14ac:dyDescent="0.25">
      <c r="A740" s="166" t="s">
        <v>1433</v>
      </c>
      <c r="B740" s="166" t="s">
        <v>1134</v>
      </c>
      <c r="C740" s="166" t="s">
        <v>1434</v>
      </c>
      <c r="D740" s="166" t="s">
        <v>1435</v>
      </c>
      <c r="E740" s="166" t="s">
        <v>497</v>
      </c>
      <c r="F740" s="167">
        <v>42226</v>
      </c>
      <c r="G740" s="167">
        <v>44052</v>
      </c>
      <c r="H740" s="168">
        <v>6000</v>
      </c>
    </row>
    <row r="741" spans="1:8" ht="13.7" customHeight="1" x14ac:dyDescent="0.25">
      <c r="A741" s="166" t="s">
        <v>1433</v>
      </c>
      <c r="B741" s="166" t="s">
        <v>1134</v>
      </c>
      <c r="C741" s="166" t="s">
        <v>1434</v>
      </c>
      <c r="D741" s="166" t="s">
        <v>1435</v>
      </c>
      <c r="E741" s="166" t="s">
        <v>497</v>
      </c>
      <c r="F741" s="167">
        <v>42226</v>
      </c>
      <c r="G741" s="167">
        <v>44052</v>
      </c>
      <c r="H741" s="168">
        <v>6000</v>
      </c>
    </row>
    <row r="742" spans="1:8" ht="13.7" customHeight="1" x14ac:dyDescent="0.25">
      <c r="A742" s="166" t="s">
        <v>1433</v>
      </c>
      <c r="B742" s="166" t="s">
        <v>1134</v>
      </c>
      <c r="C742" s="166" t="s">
        <v>1434</v>
      </c>
      <c r="D742" s="166" t="s">
        <v>1435</v>
      </c>
      <c r="E742" s="166" t="s">
        <v>497</v>
      </c>
      <c r="F742" s="167">
        <v>42226</v>
      </c>
      <c r="G742" s="167">
        <v>44052</v>
      </c>
      <c r="H742" s="168">
        <v>25278.080000000002</v>
      </c>
    </row>
    <row r="743" spans="1:8" ht="13.7" customHeight="1" x14ac:dyDescent="0.25">
      <c r="A743" s="166" t="s">
        <v>1433</v>
      </c>
      <c r="B743" s="166" t="s">
        <v>1134</v>
      </c>
      <c r="C743" s="166" t="s">
        <v>1434</v>
      </c>
      <c r="D743" s="166" t="s">
        <v>1435</v>
      </c>
      <c r="E743" s="166" t="s">
        <v>497</v>
      </c>
      <c r="F743" s="167">
        <v>42226</v>
      </c>
      <c r="G743" s="167">
        <v>44052</v>
      </c>
      <c r="H743" s="168">
        <v>2721.92</v>
      </c>
    </row>
    <row r="744" spans="1:8" ht="13.7" customHeight="1" x14ac:dyDescent="0.25">
      <c r="A744" s="166" t="s">
        <v>1436</v>
      </c>
      <c r="B744" s="166" t="s">
        <v>1437</v>
      </c>
      <c r="C744" s="166" t="s">
        <v>1434</v>
      </c>
      <c r="D744" s="166" t="s">
        <v>1438</v>
      </c>
      <c r="E744" s="166" t="s">
        <v>0</v>
      </c>
      <c r="F744" s="167">
        <v>43952</v>
      </c>
      <c r="G744" s="167">
        <v>44439</v>
      </c>
      <c r="H744" s="168">
        <v>4992</v>
      </c>
    </row>
    <row r="745" spans="1:8" ht="13.7" customHeight="1" x14ac:dyDescent="0.25">
      <c r="A745" s="166" t="s">
        <v>1439</v>
      </c>
      <c r="B745" s="166" t="s">
        <v>1437</v>
      </c>
      <c r="C745" s="166" t="s">
        <v>1434</v>
      </c>
      <c r="D745" s="166" t="s">
        <v>1440</v>
      </c>
      <c r="E745" s="166" t="s">
        <v>486</v>
      </c>
      <c r="F745" s="167">
        <v>43344</v>
      </c>
      <c r="G745" s="167">
        <v>45169</v>
      </c>
      <c r="H745" s="168">
        <v>-4349</v>
      </c>
    </row>
    <row r="746" spans="1:8" ht="13.7" customHeight="1" x14ac:dyDescent="0.25">
      <c r="A746" s="166" t="s">
        <v>1439</v>
      </c>
      <c r="B746" s="166" t="s">
        <v>1437</v>
      </c>
      <c r="C746" s="166" t="s">
        <v>1434</v>
      </c>
      <c r="D746" s="166" t="s">
        <v>1440</v>
      </c>
      <c r="E746" s="166" t="s">
        <v>486</v>
      </c>
      <c r="F746" s="167">
        <v>43344</v>
      </c>
      <c r="G746" s="167">
        <v>45169</v>
      </c>
      <c r="H746" s="168">
        <v>3000</v>
      </c>
    </row>
    <row r="747" spans="1:8" ht="13.7" customHeight="1" x14ac:dyDescent="0.25">
      <c r="A747" s="166" t="s">
        <v>1439</v>
      </c>
      <c r="B747" s="166" t="s">
        <v>1437</v>
      </c>
      <c r="C747" s="166" t="s">
        <v>1434</v>
      </c>
      <c r="D747" s="166" t="s">
        <v>1440</v>
      </c>
      <c r="E747" s="166" t="s">
        <v>486</v>
      </c>
      <c r="F747" s="167">
        <v>43344</v>
      </c>
      <c r="G747" s="167">
        <v>45169</v>
      </c>
      <c r="H747" s="168">
        <v>-3000</v>
      </c>
    </row>
    <row r="748" spans="1:8" ht="13.7" customHeight="1" x14ac:dyDescent="0.25">
      <c r="A748" s="166" t="s">
        <v>1439</v>
      </c>
      <c r="B748" s="166" t="s">
        <v>1437</v>
      </c>
      <c r="C748" s="166" t="s">
        <v>1434</v>
      </c>
      <c r="D748" s="166" t="s">
        <v>1440</v>
      </c>
      <c r="E748" s="166" t="s">
        <v>486</v>
      </c>
      <c r="F748" s="167">
        <v>43344</v>
      </c>
      <c r="G748" s="167">
        <v>45169</v>
      </c>
      <c r="H748" s="168">
        <v>0</v>
      </c>
    </row>
    <row r="749" spans="1:8" ht="13.7" customHeight="1" x14ac:dyDescent="0.25">
      <c r="A749" s="166" t="s">
        <v>1439</v>
      </c>
      <c r="B749" s="166" t="s">
        <v>1437</v>
      </c>
      <c r="C749" s="166" t="s">
        <v>1434</v>
      </c>
      <c r="D749" s="166" t="s">
        <v>1440</v>
      </c>
      <c r="E749" s="166" t="s">
        <v>486</v>
      </c>
      <c r="F749" s="167">
        <v>43344</v>
      </c>
      <c r="G749" s="167">
        <v>45169</v>
      </c>
      <c r="H749" s="168">
        <v>3000</v>
      </c>
    </row>
    <row r="750" spans="1:8" ht="13.7" customHeight="1" x14ac:dyDescent="0.25">
      <c r="A750" s="166" t="s">
        <v>1441</v>
      </c>
      <c r="B750" s="166" t="s">
        <v>1442</v>
      </c>
      <c r="C750" s="166" t="s">
        <v>1443</v>
      </c>
      <c r="D750" s="166" t="s">
        <v>1444</v>
      </c>
      <c r="E750" s="166" t="s">
        <v>1445</v>
      </c>
      <c r="F750" s="167">
        <v>43739</v>
      </c>
      <c r="G750" s="167">
        <v>44834</v>
      </c>
      <c r="H750" s="168">
        <v>1000000</v>
      </c>
    </row>
    <row r="751" spans="1:8" ht="13.7" customHeight="1" x14ac:dyDescent="0.25">
      <c r="A751" s="166" t="s">
        <v>1446</v>
      </c>
      <c r="B751" s="166" t="s">
        <v>1447</v>
      </c>
      <c r="C751" s="166" t="s">
        <v>1448</v>
      </c>
      <c r="D751" s="166" t="s">
        <v>1449</v>
      </c>
      <c r="E751" s="166" t="s">
        <v>1450</v>
      </c>
      <c r="F751" s="167">
        <v>43008</v>
      </c>
      <c r="G751" s="167">
        <v>43372</v>
      </c>
      <c r="H751" s="168">
        <v>-375727.1</v>
      </c>
    </row>
    <row r="752" spans="1:8" ht="13.7" customHeight="1" x14ac:dyDescent="0.25">
      <c r="A752" s="166" t="s">
        <v>1446</v>
      </c>
      <c r="B752" s="166" t="s">
        <v>1447</v>
      </c>
      <c r="C752" s="166" t="s">
        <v>1448</v>
      </c>
      <c r="D752" s="166" t="s">
        <v>1449</v>
      </c>
      <c r="E752" s="166" t="s">
        <v>1450</v>
      </c>
      <c r="F752" s="167">
        <v>43008</v>
      </c>
      <c r="G752" s="167">
        <v>43372</v>
      </c>
      <c r="H752" s="168">
        <v>715.2</v>
      </c>
    </row>
    <row r="753" spans="1:8" ht="13.7" customHeight="1" x14ac:dyDescent="0.25">
      <c r="A753" s="166" t="s">
        <v>1451</v>
      </c>
      <c r="B753" s="166" t="s">
        <v>1447</v>
      </c>
      <c r="C753" s="166" t="s">
        <v>1448</v>
      </c>
      <c r="D753" s="166" t="s">
        <v>1449</v>
      </c>
      <c r="E753" s="166" t="s">
        <v>1452</v>
      </c>
      <c r="F753" s="167">
        <v>42643</v>
      </c>
      <c r="G753" s="167">
        <v>43007</v>
      </c>
      <c r="H753" s="168">
        <v>-0.1</v>
      </c>
    </row>
    <row r="754" spans="1:8" ht="13.7" customHeight="1" x14ac:dyDescent="0.25">
      <c r="A754" s="166" t="s">
        <v>1453</v>
      </c>
      <c r="B754" s="166" t="s">
        <v>1454</v>
      </c>
      <c r="C754" s="166" t="s">
        <v>1455</v>
      </c>
      <c r="D754" s="166" t="s">
        <v>1456</v>
      </c>
      <c r="E754" s="166" t="s">
        <v>0</v>
      </c>
      <c r="F754" s="167">
        <v>43952</v>
      </c>
      <c r="G754" s="167">
        <v>44439</v>
      </c>
      <c r="H754" s="168">
        <v>4066</v>
      </c>
    </row>
    <row r="755" spans="1:8" ht="13.7" customHeight="1" x14ac:dyDescent="0.25">
      <c r="A755" s="166" t="s">
        <v>1457</v>
      </c>
      <c r="B755" s="166" t="s">
        <v>1458</v>
      </c>
      <c r="C755" s="166" t="s">
        <v>1455</v>
      </c>
      <c r="D755" s="166" t="s">
        <v>1459</v>
      </c>
      <c r="E755" s="166" t="s">
        <v>1460</v>
      </c>
      <c r="F755" s="167">
        <v>39630</v>
      </c>
      <c r="G755" s="167">
        <v>44012</v>
      </c>
      <c r="H755" s="168">
        <v>19500</v>
      </c>
    </row>
    <row r="756" spans="1:8" ht="13.7" customHeight="1" x14ac:dyDescent="0.25">
      <c r="A756" s="166" t="s">
        <v>1457</v>
      </c>
      <c r="B756" s="166" t="s">
        <v>1458</v>
      </c>
      <c r="C756" s="166" t="s">
        <v>1455</v>
      </c>
      <c r="D756" s="166" t="s">
        <v>1459</v>
      </c>
      <c r="E756" s="166" t="s">
        <v>1460</v>
      </c>
      <c r="F756" s="167">
        <v>39630</v>
      </c>
      <c r="G756" s="167">
        <v>44012</v>
      </c>
      <c r="H756" s="168">
        <v>11160.8</v>
      </c>
    </row>
    <row r="757" spans="1:8" ht="13.7" customHeight="1" x14ac:dyDescent="0.25">
      <c r="A757" s="166" t="s">
        <v>1461</v>
      </c>
      <c r="B757" s="166" t="s">
        <v>1462</v>
      </c>
      <c r="C757" s="166" t="s">
        <v>1463</v>
      </c>
      <c r="D757" s="166" t="s">
        <v>1464</v>
      </c>
      <c r="E757" s="166" t="s">
        <v>497</v>
      </c>
      <c r="F757" s="167">
        <v>43858</v>
      </c>
      <c r="G757" s="167">
        <v>44561</v>
      </c>
      <c r="H757" s="168">
        <v>60000</v>
      </c>
    </row>
    <row r="758" spans="1:8" ht="13.7" customHeight="1" x14ac:dyDescent="0.25">
      <c r="A758" s="166" t="s">
        <v>1465</v>
      </c>
      <c r="B758" s="166" t="s">
        <v>1466</v>
      </c>
      <c r="C758" s="166" t="s">
        <v>1463</v>
      </c>
      <c r="D758" s="166" t="s">
        <v>1467</v>
      </c>
      <c r="E758" s="166" t="s">
        <v>1468</v>
      </c>
      <c r="F758" s="167">
        <v>43647</v>
      </c>
      <c r="G758" s="167">
        <v>43905</v>
      </c>
      <c r="H758" s="168">
        <v>18643</v>
      </c>
    </row>
    <row r="759" spans="1:8" ht="13.7" customHeight="1" x14ac:dyDescent="0.25">
      <c r="A759" s="166" t="s">
        <v>1469</v>
      </c>
      <c r="B759" s="166" t="s">
        <v>1470</v>
      </c>
      <c r="C759" s="166" t="s">
        <v>1471</v>
      </c>
      <c r="D759" s="166" t="s">
        <v>1472</v>
      </c>
      <c r="E759" s="166" t="s">
        <v>1196</v>
      </c>
      <c r="F759" s="167">
        <v>44013</v>
      </c>
      <c r="G759" s="167">
        <v>44377</v>
      </c>
      <c r="H759" s="168">
        <v>489278</v>
      </c>
    </row>
    <row r="760" spans="1:8" ht="13.7" customHeight="1" x14ac:dyDescent="0.25">
      <c r="A760" s="166" t="s">
        <v>1473</v>
      </c>
      <c r="B760" s="166" t="s">
        <v>1470</v>
      </c>
      <c r="C760" s="166" t="s">
        <v>1471</v>
      </c>
      <c r="D760" s="166" t="s">
        <v>1474</v>
      </c>
      <c r="E760" s="166" t="s">
        <v>664</v>
      </c>
      <c r="F760" s="167">
        <v>43686</v>
      </c>
      <c r="G760" s="167">
        <v>44416</v>
      </c>
      <c r="H760" s="168">
        <v>96159</v>
      </c>
    </row>
    <row r="761" spans="1:8" ht="13.7" customHeight="1" x14ac:dyDescent="0.25">
      <c r="A761" s="166" t="s">
        <v>1473</v>
      </c>
      <c r="B761" s="166" t="s">
        <v>1470</v>
      </c>
      <c r="C761" s="166" t="s">
        <v>1471</v>
      </c>
      <c r="D761" s="166" t="s">
        <v>1474</v>
      </c>
      <c r="E761" s="166" t="s">
        <v>664</v>
      </c>
      <c r="F761" s="167">
        <v>43686</v>
      </c>
      <c r="G761" s="167">
        <v>44416</v>
      </c>
      <c r="H761" s="168">
        <v>1200</v>
      </c>
    </row>
    <row r="762" spans="1:8" ht="13.7" customHeight="1" x14ac:dyDescent="0.25">
      <c r="A762" s="166" t="s">
        <v>1475</v>
      </c>
      <c r="B762" s="166" t="s">
        <v>1476</v>
      </c>
      <c r="C762" s="166" t="s">
        <v>1471</v>
      </c>
      <c r="D762" s="166" t="s">
        <v>1477</v>
      </c>
      <c r="E762" s="166" t="s">
        <v>1478</v>
      </c>
      <c r="F762" s="167">
        <v>43313</v>
      </c>
      <c r="G762" s="167">
        <v>44196</v>
      </c>
      <c r="H762" s="168">
        <v>15000</v>
      </c>
    </row>
    <row r="763" spans="1:8" ht="13.7" customHeight="1" x14ac:dyDescent="0.25">
      <c r="A763" s="166" t="s">
        <v>1479</v>
      </c>
      <c r="B763" s="166" t="s">
        <v>1476</v>
      </c>
      <c r="C763" s="166" t="s">
        <v>1471</v>
      </c>
      <c r="D763" s="166" t="s">
        <v>1480</v>
      </c>
      <c r="E763" s="166" t="s">
        <v>1481</v>
      </c>
      <c r="F763" s="167">
        <v>44013</v>
      </c>
      <c r="G763" s="167">
        <v>44377</v>
      </c>
      <c r="H763" s="168">
        <v>4000</v>
      </c>
    </row>
    <row r="764" spans="1:8" ht="13.7" customHeight="1" x14ac:dyDescent="0.25">
      <c r="A764" s="166" t="s">
        <v>1479</v>
      </c>
      <c r="B764" s="166" t="s">
        <v>1476</v>
      </c>
      <c r="C764" s="166" t="s">
        <v>1471</v>
      </c>
      <c r="D764" s="166" t="s">
        <v>1480</v>
      </c>
      <c r="E764" s="166" t="s">
        <v>1481</v>
      </c>
      <c r="F764" s="167">
        <v>44013</v>
      </c>
      <c r="G764" s="167">
        <v>44377</v>
      </c>
      <c r="H764" s="168">
        <v>6000</v>
      </c>
    </row>
    <row r="765" spans="1:8" ht="13.7" customHeight="1" x14ac:dyDescent="0.25">
      <c r="A765" s="166" t="s">
        <v>1482</v>
      </c>
      <c r="B765" s="166" t="s">
        <v>1483</v>
      </c>
      <c r="C765" s="166" t="s">
        <v>1471</v>
      </c>
      <c r="D765" s="166" t="s">
        <v>1484</v>
      </c>
      <c r="E765" s="166" t="s">
        <v>1485</v>
      </c>
      <c r="F765" s="167">
        <v>43374</v>
      </c>
      <c r="G765" s="167">
        <v>44377</v>
      </c>
      <c r="H765" s="168">
        <v>10927</v>
      </c>
    </row>
    <row r="766" spans="1:8" ht="13.7" customHeight="1" x14ac:dyDescent="0.25">
      <c r="A766" s="166" t="s">
        <v>1482</v>
      </c>
      <c r="B766" s="166" t="s">
        <v>1483</v>
      </c>
      <c r="C766" s="166" t="s">
        <v>1471</v>
      </c>
      <c r="D766" s="166" t="s">
        <v>1484</v>
      </c>
      <c r="E766" s="166" t="s">
        <v>1485</v>
      </c>
      <c r="F766" s="167">
        <v>43374</v>
      </c>
      <c r="G766" s="167">
        <v>44377</v>
      </c>
      <c r="H766" s="168">
        <v>500</v>
      </c>
    </row>
    <row r="767" spans="1:8" ht="13.7" customHeight="1" x14ac:dyDescent="0.25">
      <c r="A767" s="166" t="s">
        <v>1486</v>
      </c>
      <c r="B767" s="166" t="s">
        <v>1487</v>
      </c>
      <c r="C767" s="166" t="s">
        <v>1471</v>
      </c>
      <c r="D767" s="166" t="s">
        <v>1488</v>
      </c>
      <c r="E767" s="166" t="s">
        <v>914</v>
      </c>
      <c r="F767" s="167">
        <v>43466</v>
      </c>
      <c r="G767" s="167">
        <v>44196</v>
      </c>
      <c r="H767" s="168">
        <v>82967</v>
      </c>
    </row>
    <row r="768" spans="1:8" ht="13.7" customHeight="1" x14ac:dyDescent="0.25">
      <c r="A768" s="166" t="s">
        <v>1489</v>
      </c>
      <c r="B768" s="166" t="s">
        <v>1490</v>
      </c>
      <c r="C768" s="166" t="s">
        <v>1471</v>
      </c>
      <c r="D768" s="166" t="s">
        <v>1491</v>
      </c>
      <c r="E768" s="166" t="s">
        <v>664</v>
      </c>
      <c r="F768" s="167">
        <v>43647</v>
      </c>
      <c r="G768" s="167">
        <v>44043</v>
      </c>
      <c r="H768" s="168">
        <v>14961</v>
      </c>
    </row>
    <row r="769" spans="1:8" ht="13.7" customHeight="1" x14ac:dyDescent="0.25">
      <c r="A769" s="166" t="s">
        <v>1492</v>
      </c>
      <c r="B769" s="166" t="s">
        <v>1493</v>
      </c>
      <c r="C769" s="166" t="s">
        <v>1471</v>
      </c>
      <c r="D769" s="166" t="s">
        <v>1494</v>
      </c>
      <c r="E769" s="166" t="s">
        <v>1196</v>
      </c>
      <c r="F769" s="167">
        <v>43282</v>
      </c>
      <c r="G769" s="167">
        <v>43646</v>
      </c>
      <c r="H769" s="168">
        <v>-2736.66</v>
      </c>
    </row>
    <row r="770" spans="1:8" ht="13.7" customHeight="1" x14ac:dyDescent="0.25">
      <c r="A770" s="166" t="s">
        <v>1492</v>
      </c>
      <c r="B770" s="166" t="s">
        <v>1493</v>
      </c>
      <c r="C770" s="166" t="s">
        <v>1471</v>
      </c>
      <c r="D770" s="166" t="s">
        <v>1494</v>
      </c>
      <c r="E770" s="166" t="s">
        <v>1196</v>
      </c>
      <c r="F770" s="167">
        <v>43282</v>
      </c>
      <c r="G770" s="167">
        <v>43646</v>
      </c>
      <c r="H770" s="168">
        <v>-27050.93</v>
      </c>
    </row>
    <row r="771" spans="1:8" ht="13.7" customHeight="1" x14ac:dyDescent="0.25">
      <c r="A771" s="166" t="s">
        <v>1492</v>
      </c>
      <c r="B771" s="166" t="s">
        <v>1493</v>
      </c>
      <c r="C771" s="166" t="s">
        <v>1471</v>
      </c>
      <c r="D771" s="166" t="s">
        <v>1494</v>
      </c>
      <c r="E771" s="166" t="s">
        <v>1196</v>
      </c>
      <c r="F771" s="167">
        <v>43282</v>
      </c>
      <c r="G771" s="167">
        <v>43646</v>
      </c>
      <c r="H771" s="168">
        <v>28308.799999999999</v>
      </c>
    </row>
    <row r="772" spans="1:8" ht="13.7" customHeight="1" x14ac:dyDescent="0.25">
      <c r="A772" s="166" t="s">
        <v>1495</v>
      </c>
      <c r="B772" s="166" t="s">
        <v>1493</v>
      </c>
      <c r="C772" s="166" t="s">
        <v>1471</v>
      </c>
      <c r="D772" s="166" t="s">
        <v>1494</v>
      </c>
      <c r="E772" s="166" t="s">
        <v>1196</v>
      </c>
      <c r="F772" s="167">
        <v>43647</v>
      </c>
      <c r="G772" s="167">
        <v>44196</v>
      </c>
      <c r="H772" s="168">
        <v>19348.05</v>
      </c>
    </row>
    <row r="773" spans="1:8" ht="13.7" customHeight="1" x14ac:dyDescent="0.25">
      <c r="A773" s="166" t="s">
        <v>1496</v>
      </c>
      <c r="B773" s="166" t="s">
        <v>1493</v>
      </c>
      <c r="C773" s="166" t="s">
        <v>1471</v>
      </c>
      <c r="D773" s="166" t="s">
        <v>1497</v>
      </c>
      <c r="E773" s="166" t="s">
        <v>686</v>
      </c>
      <c r="F773" s="167">
        <v>43647</v>
      </c>
      <c r="G773" s="167">
        <v>44012</v>
      </c>
      <c r="H773" s="168">
        <v>8408019</v>
      </c>
    </row>
    <row r="774" spans="1:8" ht="13.7" customHeight="1" x14ac:dyDescent="0.25">
      <c r="A774" s="166" t="s">
        <v>1496</v>
      </c>
      <c r="B774" s="166" t="s">
        <v>1493</v>
      </c>
      <c r="C774" s="166" t="s">
        <v>1471</v>
      </c>
      <c r="D774" s="166" t="s">
        <v>1497</v>
      </c>
      <c r="E774" s="166" t="s">
        <v>686</v>
      </c>
      <c r="F774" s="167">
        <v>43647</v>
      </c>
      <c r="G774" s="167">
        <v>44012</v>
      </c>
      <c r="H774" s="168">
        <v>77580</v>
      </c>
    </row>
    <row r="775" spans="1:8" ht="13.7" customHeight="1" x14ac:dyDescent="0.25">
      <c r="A775" s="166" t="s">
        <v>1498</v>
      </c>
      <c r="B775" s="166" t="s">
        <v>1493</v>
      </c>
      <c r="C775" s="166" t="s">
        <v>1471</v>
      </c>
      <c r="D775" s="166" t="s">
        <v>1499</v>
      </c>
      <c r="E775" s="166" t="s">
        <v>686</v>
      </c>
      <c r="F775" s="167">
        <v>43831</v>
      </c>
      <c r="G775" s="167">
        <v>44010</v>
      </c>
      <c r="H775" s="168">
        <v>980016</v>
      </c>
    </row>
    <row r="776" spans="1:8" ht="13.7" customHeight="1" x14ac:dyDescent="0.25">
      <c r="A776" s="166" t="s">
        <v>1500</v>
      </c>
      <c r="B776" s="166" t="s">
        <v>1501</v>
      </c>
      <c r="C776" s="166" t="s">
        <v>1502</v>
      </c>
      <c r="D776" s="166" t="s">
        <v>1503</v>
      </c>
      <c r="E776" s="166" t="s">
        <v>1504</v>
      </c>
      <c r="F776" s="167">
        <v>43831</v>
      </c>
      <c r="G776" s="167">
        <v>44104</v>
      </c>
      <c r="H776" s="168">
        <v>26225</v>
      </c>
    </row>
    <row r="777" spans="1:8" ht="13.7" customHeight="1" x14ac:dyDescent="0.25">
      <c r="A777" s="166" t="s">
        <v>1500</v>
      </c>
      <c r="B777" s="166" t="s">
        <v>1501</v>
      </c>
      <c r="C777" s="166" t="s">
        <v>1502</v>
      </c>
      <c r="D777" s="166" t="s">
        <v>1503</v>
      </c>
      <c r="E777" s="166" t="s">
        <v>1504</v>
      </c>
      <c r="F777" s="167">
        <v>43831</v>
      </c>
      <c r="G777" s="167">
        <v>44104</v>
      </c>
      <c r="H777" s="168">
        <v>5000</v>
      </c>
    </row>
    <row r="778" spans="1:8" ht="13.7" customHeight="1" x14ac:dyDescent="0.25">
      <c r="A778" s="166" t="s">
        <v>1505</v>
      </c>
      <c r="B778" s="166" t="s">
        <v>1506</v>
      </c>
      <c r="C778" s="166" t="s">
        <v>1507</v>
      </c>
      <c r="D778" s="166" t="s">
        <v>1508</v>
      </c>
      <c r="E778" s="166" t="s">
        <v>1509</v>
      </c>
      <c r="F778" s="167">
        <v>41791</v>
      </c>
      <c r="G778" s="167">
        <v>44347</v>
      </c>
      <c r="H778" s="168">
        <v>112</v>
      </c>
    </row>
    <row r="779" spans="1:8" ht="13.7" customHeight="1" x14ac:dyDescent="0.25">
      <c r="A779" s="166" t="s">
        <v>1510</v>
      </c>
      <c r="B779" s="166" t="s">
        <v>1506</v>
      </c>
      <c r="C779" s="166" t="s">
        <v>1507</v>
      </c>
      <c r="D779" s="166" t="s">
        <v>1511</v>
      </c>
      <c r="E779" s="166" t="s">
        <v>570</v>
      </c>
      <c r="F779" s="167">
        <v>42536</v>
      </c>
      <c r="G779" s="167">
        <v>43799</v>
      </c>
      <c r="H779" s="168">
        <v>4250</v>
      </c>
    </row>
    <row r="780" spans="1:8" ht="13.7" customHeight="1" x14ac:dyDescent="0.25">
      <c r="A780" s="166" t="s">
        <v>1510</v>
      </c>
      <c r="B780" s="166" t="s">
        <v>1506</v>
      </c>
      <c r="C780" s="166" t="s">
        <v>1507</v>
      </c>
      <c r="D780" s="166" t="s">
        <v>1511</v>
      </c>
      <c r="E780" s="166" t="s">
        <v>570</v>
      </c>
      <c r="F780" s="167">
        <v>42536</v>
      </c>
      <c r="G780" s="167">
        <v>43799</v>
      </c>
      <c r="H780" s="168">
        <v>-4250</v>
      </c>
    </row>
    <row r="781" spans="1:8" ht="13.7" customHeight="1" x14ac:dyDescent="0.25">
      <c r="A781" s="166" t="s">
        <v>1512</v>
      </c>
      <c r="B781" s="166" t="s">
        <v>1506</v>
      </c>
      <c r="C781" s="166" t="s">
        <v>1507</v>
      </c>
      <c r="D781" s="166" t="s">
        <v>1508</v>
      </c>
      <c r="E781" s="166" t="s">
        <v>1513</v>
      </c>
      <c r="F781" s="167">
        <v>41791</v>
      </c>
      <c r="G781" s="167">
        <v>44347</v>
      </c>
      <c r="H781" s="168">
        <v>20000</v>
      </c>
    </row>
    <row r="782" spans="1:8" ht="13.7" customHeight="1" x14ac:dyDescent="0.25">
      <c r="A782" s="166" t="s">
        <v>1512</v>
      </c>
      <c r="B782" s="166" t="s">
        <v>1506</v>
      </c>
      <c r="C782" s="166" t="s">
        <v>1507</v>
      </c>
      <c r="D782" s="166" t="s">
        <v>1508</v>
      </c>
      <c r="E782" s="166" t="s">
        <v>1513</v>
      </c>
      <c r="F782" s="167">
        <v>41791</v>
      </c>
      <c r="G782" s="167">
        <v>44347</v>
      </c>
      <c r="H782" s="168">
        <v>-16111</v>
      </c>
    </row>
    <row r="783" spans="1:8" ht="13.7" customHeight="1" x14ac:dyDescent="0.25">
      <c r="A783" s="166" t="s">
        <v>1512</v>
      </c>
      <c r="B783" s="166" t="s">
        <v>1506</v>
      </c>
      <c r="C783" s="166" t="s">
        <v>1507</v>
      </c>
      <c r="D783" s="166" t="s">
        <v>1508</v>
      </c>
      <c r="E783" s="166" t="s">
        <v>1513</v>
      </c>
      <c r="F783" s="167">
        <v>41791</v>
      </c>
      <c r="G783" s="167">
        <v>44347</v>
      </c>
      <c r="H783" s="168">
        <v>-4001</v>
      </c>
    </row>
    <row r="784" spans="1:8" ht="13.7" customHeight="1" x14ac:dyDescent="0.25">
      <c r="A784" s="166" t="s">
        <v>1514</v>
      </c>
      <c r="B784" s="166" t="s">
        <v>1515</v>
      </c>
      <c r="C784" s="166" t="s">
        <v>1516</v>
      </c>
      <c r="D784" s="166" t="s">
        <v>1517</v>
      </c>
      <c r="E784" s="166" t="s">
        <v>486</v>
      </c>
      <c r="F784" s="167">
        <v>43647</v>
      </c>
      <c r="G784" s="167">
        <v>44742</v>
      </c>
      <c r="H784" s="168">
        <v>70331</v>
      </c>
    </row>
    <row r="785" spans="1:8" ht="13.7" customHeight="1" x14ac:dyDescent="0.25">
      <c r="A785" s="166" t="s">
        <v>1514</v>
      </c>
      <c r="B785" s="166" t="s">
        <v>1515</v>
      </c>
      <c r="C785" s="166" t="s">
        <v>1516</v>
      </c>
      <c r="D785" s="166" t="s">
        <v>1517</v>
      </c>
      <c r="E785" s="166" t="s">
        <v>486</v>
      </c>
      <c r="F785" s="167">
        <v>43647</v>
      </c>
      <c r="G785" s="167">
        <v>44742</v>
      </c>
      <c r="H785" s="168">
        <v>177104</v>
      </c>
    </row>
    <row r="786" spans="1:8" ht="13.7" customHeight="1" x14ac:dyDescent="0.25">
      <c r="A786" s="166" t="s">
        <v>1518</v>
      </c>
      <c r="B786" s="166" t="s">
        <v>1519</v>
      </c>
      <c r="C786" s="166" t="s">
        <v>1516</v>
      </c>
      <c r="D786" s="166" t="s">
        <v>1520</v>
      </c>
      <c r="E786" s="166" t="s">
        <v>486</v>
      </c>
      <c r="F786" s="167">
        <v>43344</v>
      </c>
      <c r="G786" s="167">
        <v>44439</v>
      </c>
      <c r="H786" s="168">
        <v>84420</v>
      </c>
    </row>
    <row r="787" spans="1:8" ht="13.7" customHeight="1" x14ac:dyDescent="0.25">
      <c r="A787" s="166" t="s">
        <v>1518</v>
      </c>
      <c r="B787" s="166" t="s">
        <v>1519</v>
      </c>
      <c r="C787" s="166" t="s">
        <v>1516</v>
      </c>
      <c r="D787" s="166" t="s">
        <v>1520</v>
      </c>
      <c r="E787" s="166" t="s">
        <v>486</v>
      </c>
      <c r="F787" s="167">
        <v>43344</v>
      </c>
      <c r="G787" s="167">
        <v>44439</v>
      </c>
      <c r="H787" s="168">
        <v>40800</v>
      </c>
    </row>
    <row r="788" spans="1:8" ht="13.7" customHeight="1" x14ac:dyDescent="0.25">
      <c r="A788" s="166" t="s">
        <v>1521</v>
      </c>
      <c r="B788" s="166" t="s">
        <v>1522</v>
      </c>
      <c r="C788" s="166" t="s">
        <v>1516</v>
      </c>
      <c r="D788" s="166" t="s">
        <v>1523</v>
      </c>
      <c r="E788" s="166" t="s">
        <v>1524</v>
      </c>
      <c r="F788" s="167">
        <v>43105</v>
      </c>
      <c r="G788" s="167">
        <v>44469</v>
      </c>
      <c r="H788" s="168">
        <v>30000</v>
      </c>
    </row>
    <row r="789" spans="1:8" ht="13.7" customHeight="1" x14ac:dyDescent="0.25">
      <c r="A789" s="166" t="s">
        <v>1525</v>
      </c>
      <c r="B789" s="166" t="s">
        <v>1522</v>
      </c>
      <c r="C789" s="166" t="s">
        <v>1516</v>
      </c>
      <c r="D789" s="166" t="s">
        <v>1526</v>
      </c>
      <c r="E789" s="166" t="s">
        <v>486</v>
      </c>
      <c r="F789" s="167">
        <v>43661</v>
      </c>
      <c r="G789" s="167">
        <v>44742</v>
      </c>
      <c r="H789" s="168">
        <v>488099</v>
      </c>
    </row>
    <row r="790" spans="1:8" ht="13.7" customHeight="1" x14ac:dyDescent="0.25">
      <c r="A790" s="166" t="s">
        <v>1527</v>
      </c>
      <c r="B790" s="166" t="s">
        <v>1528</v>
      </c>
      <c r="C790" s="166" t="s">
        <v>1516</v>
      </c>
      <c r="D790" s="166" t="s">
        <v>1529</v>
      </c>
      <c r="E790" s="166" t="s">
        <v>1530</v>
      </c>
      <c r="F790" s="167">
        <v>43770</v>
      </c>
      <c r="G790" s="167">
        <v>44561</v>
      </c>
      <c r="H790" s="168">
        <v>131316</v>
      </c>
    </row>
    <row r="791" spans="1:8" ht="13.7" customHeight="1" x14ac:dyDescent="0.25">
      <c r="A791" s="166" t="s">
        <v>1527</v>
      </c>
      <c r="B791" s="166" t="s">
        <v>1528</v>
      </c>
      <c r="C791" s="166" t="s">
        <v>1516</v>
      </c>
      <c r="D791" s="166" t="s">
        <v>1529</v>
      </c>
      <c r="E791" s="166" t="s">
        <v>1530</v>
      </c>
      <c r="F791" s="167">
        <v>43770</v>
      </c>
      <c r="G791" s="167">
        <v>44561</v>
      </c>
      <c r="H791" s="168">
        <v>48684</v>
      </c>
    </row>
    <row r="792" spans="1:8" ht="13.7" customHeight="1" x14ac:dyDescent="0.25">
      <c r="A792" s="166" t="s">
        <v>1531</v>
      </c>
      <c r="B792" s="166" t="s">
        <v>1532</v>
      </c>
      <c r="C792" s="166" t="s">
        <v>1516</v>
      </c>
      <c r="D792" s="166" t="s">
        <v>1533</v>
      </c>
      <c r="E792" s="166" t="s">
        <v>0</v>
      </c>
      <c r="F792" s="167">
        <v>43952</v>
      </c>
      <c r="G792" s="167">
        <v>44439</v>
      </c>
      <c r="H792" s="168">
        <v>1800</v>
      </c>
    </row>
    <row r="793" spans="1:8" ht="13.7" customHeight="1" x14ac:dyDescent="0.25">
      <c r="A793" s="166" t="s">
        <v>1531</v>
      </c>
      <c r="B793" s="166" t="s">
        <v>1532</v>
      </c>
      <c r="C793" s="166" t="s">
        <v>1516</v>
      </c>
      <c r="D793" s="166" t="s">
        <v>1533</v>
      </c>
      <c r="E793" s="166" t="s">
        <v>0</v>
      </c>
      <c r="F793" s="167">
        <v>43952</v>
      </c>
      <c r="G793" s="167">
        <v>44439</v>
      </c>
      <c r="H793" s="168">
        <v>3105</v>
      </c>
    </row>
    <row r="794" spans="1:8" ht="13.7" customHeight="1" x14ac:dyDescent="0.25">
      <c r="A794" s="166" t="s">
        <v>1534</v>
      </c>
      <c r="B794" s="166" t="s">
        <v>1535</v>
      </c>
      <c r="C794" s="166" t="s">
        <v>1516</v>
      </c>
      <c r="D794" s="166" t="s">
        <v>1536</v>
      </c>
      <c r="E794" s="166" t="s">
        <v>1537</v>
      </c>
      <c r="F794" s="167">
        <v>42109</v>
      </c>
      <c r="G794" s="167">
        <v>44107</v>
      </c>
      <c r="H794" s="168">
        <v>7403</v>
      </c>
    </row>
    <row r="795" spans="1:8" ht="13.7" customHeight="1" x14ac:dyDescent="0.25">
      <c r="A795" s="166" t="s">
        <v>1534</v>
      </c>
      <c r="B795" s="166" t="s">
        <v>1535</v>
      </c>
      <c r="C795" s="166" t="s">
        <v>1516</v>
      </c>
      <c r="D795" s="166" t="s">
        <v>1536</v>
      </c>
      <c r="E795" s="166" t="s">
        <v>1537</v>
      </c>
      <c r="F795" s="167">
        <v>42109</v>
      </c>
      <c r="G795" s="167">
        <v>44107</v>
      </c>
      <c r="H795" s="168">
        <v>16451</v>
      </c>
    </row>
    <row r="796" spans="1:8" ht="13.7" customHeight="1" x14ac:dyDescent="0.25">
      <c r="A796" s="166" t="s">
        <v>1538</v>
      </c>
      <c r="B796" s="166" t="s">
        <v>1539</v>
      </c>
      <c r="C796" s="166" t="s">
        <v>1516</v>
      </c>
      <c r="D796" s="166" t="s">
        <v>1540</v>
      </c>
      <c r="E796" s="166" t="s">
        <v>1417</v>
      </c>
      <c r="F796" s="167">
        <v>43586</v>
      </c>
      <c r="G796" s="167">
        <v>43951</v>
      </c>
      <c r="H796" s="168">
        <v>7500</v>
      </c>
    </row>
    <row r="797" spans="1:8" ht="13.7" customHeight="1" x14ac:dyDescent="0.25">
      <c r="A797" s="166" t="s">
        <v>1541</v>
      </c>
      <c r="B797" s="166" t="s">
        <v>1539</v>
      </c>
      <c r="C797" s="166" t="s">
        <v>1516</v>
      </c>
      <c r="D797" s="166" t="s">
        <v>1542</v>
      </c>
      <c r="E797" s="166" t="s">
        <v>1543</v>
      </c>
      <c r="F797" s="167">
        <v>43901</v>
      </c>
      <c r="G797" s="167">
        <v>44196</v>
      </c>
      <c r="H797" s="168">
        <v>7269</v>
      </c>
    </row>
    <row r="798" spans="1:8" ht="13.7" customHeight="1" x14ac:dyDescent="0.25">
      <c r="A798" s="166" t="s">
        <v>1541</v>
      </c>
      <c r="B798" s="166" t="s">
        <v>1539</v>
      </c>
      <c r="C798" s="166" t="s">
        <v>1516</v>
      </c>
      <c r="D798" s="166" t="s">
        <v>1542</v>
      </c>
      <c r="E798" s="166" t="s">
        <v>1543</v>
      </c>
      <c r="F798" s="167">
        <v>43901</v>
      </c>
      <c r="G798" s="167">
        <v>44196</v>
      </c>
      <c r="H798" s="168">
        <v>20450</v>
      </c>
    </row>
    <row r="799" spans="1:8" ht="13.7" customHeight="1" x14ac:dyDescent="0.25">
      <c r="A799" s="166" t="s">
        <v>1544</v>
      </c>
      <c r="B799" s="166" t="s">
        <v>1545</v>
      </c>
      <c r="C799" s="166" t="s">
        <v>1516</v>
      </c>
      <c r="D799" s="166" t="s">
        <v>1546</v>
      </c>
      <c r="E799" s="166" t="s">
        <v>486</v>
      </c>
      <c r="F799" s="167">
        <v>43862</v>
      </c>
      <c r="G799" s="167">
        <v>44592</v>
      </c>
      <c r="H799" s="168">
        <v>102533</v>
      </c>
    </row>
    <row r="800" spans="1:8" ht="13.7" customHeight="1" x14ac:dyDescent="0.25">
      <c r="A800" s="166" t="s">
        <v>1544</v>
      </c>
      <c r="B800" s="166" t="s">
        <v>1545</v>
      </c>
      <c r="C800" s="166" t="s">
        <v>1516</v>
      </c>
      <c r="D800" s="166" t="s">
        <v>1546</v>
      </c>
      <c r="E800" s="166" t="s">
        <v>486</v>
      </c>
      <c r="F800" s="167">
        <v>43862</v>
      </c>
      <c r="G800" s="167">
        <v>44592</v>
      </c>
      <c r="H800" s="168">
        <v>62200</v>
      </c>
    </row>
    <row r="801" spans="1:8" ht="13.7" customHeight="1" x14ac:dyDescent="0.25">
      <c r="A801" s="166" t="s">
        <v>1547</v>
      </c>
      <c r="B801" s="166" t="s">
        <v>814</v>
      </c>
      <c r="C801" s="166" t="s">
        <v>1516</v>
      </c>
      <c r="D801" s="166" t="s">
        <v>1548</v>
      </c>
      <c r="E801" s="166" t="s">
        <v>843</v>
      </c>
      <c r="F801" s="167">
        <v>42430</v>
      </c>
      <c r="G801" s="167">
        <v>44561</v>
      </c>
      <c r="H801" s="168">
        <v>3000</v>
      </c>
    </row>
    <row r="802" spans="1:8" ht="13.7" customHeight="1" x14ac:dyDescent="0.25">
      <c r="A802" s="166" t="s">
        <v>1549</v>
      </c>
      <c r="B802" s="166" t="s">
        <v>1550</v>
      </c>
      <c r="C802" s="166" t="s">
        <v>1551</v>
      </c>
      <c r="D802" s="166" t="s">
        <v>1552</v>
      </c>
      <c r="E802" s="166" t="s">
        <v>1233</v>
      </c>
      <c r="F802" s="167">
        <v>41883</v>
      </c>
      <c r="G802" s="167">
        <v>44286</v>
      </c>
      <c r="H802" s="168">
        <v>11852</v>
      </c>
    </row>
    <row r="803" spans="1:8" ht="13.7" customHeight="1" x14ac:dyDescent="0.25">
      <c r="A803" s="166" t="s">
        <v>1553</v>
      </c>
      <c r="B803" s="166" t="s">
        <v>1554</v>
      </c>
      <c r="C803" s="166" t="s">
        <v>1551</v>
      </c>
      <c r="D803" s="166" t="s">
        <v>1555</v>
      </c>
      <c r="E803" s="166" t="s">
        <v>486</v>
      </c>
      <c r="F803" s="167">
        <v>41913</v>
      </c>
      <c r="G803" s="167">
        <v>43921</v>
      </c>
      <c r="H803" s="168">
        <v>27.05</v>
      </c>
    </row>
    <row r="804" spans="1:8" ht="13.7" customHeight="1" x14ac:dyDescent="0.25">
      <c r="A804" s="166" t="s">
        <v>1553</v>
      </c>
      <c r="B804" s="166" t="s">
        <v>1554</v>
      </c>
      <c r="C804" s="166" t="s">
        <v>1551</v>
      </c>
      <c r="D804" s="166" t="s">
        <v>1555</v>
      </c>
      <c r="E804" s="166" t="s">
        <v>486</v>
      </c>
      <c r="F804" s="167">
        <v>41913</v>
      </c>
      <c r="G804" s="167">
        <v>43921</v>
      </c>
      <c r="H804" s="168">
        <v>-27.05</v>
      </c>
    </row>
    <row r="805" spans="1:8" ht="13.7" customHeight="1" x14ac:dyDescent="0.25">
      <c r="A805" s="166" t="s">
        <v>1556</v>
      </c>
      <c r="B805" s="166" t="s">
        <v>1554</v>
      </c>
      <c r="C805" s="166" t="s">
        <v>1551</v>
      </c>
      <c r="D805" s="166" t="s">
        <v>1555</v>
      </c>
      <c r="E805" s="166" t="s">
        <v>486</v>
      </c>
      <c r="F805" s="167">
        <v>41913</v>
      </c>
      <c r="G805" s="167">
        <v>43921</v>
      </c>
      <c r="H805" s="168">
        <v>0</v>
      </c>
    </row>
    <row r="806" spans="1:8" ht="13.7" customHeight="1" x14ac:dyDescent="0.25">
      <c r="A806" s="166" t="s">
        <v>1556</v>
      </c>
      <c r="B806" s="166" t="s">
        <v>1554</v>
      </c>
      <c r="C806" s="166" t="s">
        <v>1551</v>
      </c>
      <c r="D806" s="166" t="s">
        <v>1555</v>
      </c>
      <c r="E806" s="166" t="s">
        <v>486</v>
      </c>
      <c r="F806" s="167">
        <v>41913</v>
      </c>
      <c r="G806" s="167">
        <v>43921</v>
      </c>
      <c r="H806" s="168">
        <v>0</v>
      </c>
    </row>
    <row r="807" spans="1:8" ht="13.7" customHeight="1" x14ac:dyDescent="0.25">
      <c r="A807" s="166" t="s">
        <v>1557</v>
      </c>
      <c r="B807" s="166" t="s">
        <v>864</v>
      </c>
      <c r="C807" s="166" t="s">
        <v>1558</v>
      </c>
      <c r="D807" s="166" t="s">
        <v>1559</v>
      </c>
      <c r="E807" s="166" t="s">
        <v>1560</v>
      </c>
      <c r="F807" s="167">
        <v>43291</v>
      </c>
      <c r="G807" s="167">
        <v>43677</v>
      </c>
      <c r="H807" s="168">
        <v>2000</v>
      </c>
    </row>
    <row r="808" spans="1:8" ht="13.7" customHeight="1" x14ac:dyDescent="0.25">
      <c r="A808" s="166" t="s">
        <v>1561</v>
      </c>
      <c r="B808" s="166" t="s">
        <v>864</v>
      </c>
      <c r="C808" s="166" t="s">
        <v>1558</v>
      </c>
      <c r="D808" s="166" t="s">
        <v>1559</v>
      </c>
      <c r="E808" s="166" t="s">
        <v>1560</v>
      </c>
      <c r="F808" s="167">
        <v>43663</v>
      </c>
      <c r="G808" s="167">
        <v>44043</v>
      </c>
      <c r="H808" s="168">
        <v>35000</v>
      </c>
    </row>
    <row r="809" spans="1:8" ht="13.7" customHeight="1" x14ac:dyDescent="0.25">
      <c r="A809" s="166" t="s">
        <v>1562</v>
      </c>
      <c r="B809" s="166" t="s">
        <v>864</v>
      </c>
      <c r="C809" s="166" t="s">
        <v>1558</v>
      </c>
      <c r="D809" s="166" t="s">
        <v>1563</v>
      </c>
      <c r="E809" s="166" t="s">
        <v>1564</v>
      </c>
      <c r="F809" s="167">
        <v>43822</v>
      </c>
      <c r="G809" s="167">
        <v>44561</v>
      </c>
      <c r="H809" s="168">
        <v>35000</v>
      </c>
    </row>
    <row r="810" spans="1:8" ht="13.7" customHeight="1" x14ac:dyDescent="0.25">
      <c r="A810" s="166" t="s">
        <v>1562</v>
      </c>
      <c r="B810" s="166" t="s">
        <v>864</v>
      </c>
      <c r="C810" s="166" t="s">
        <v>1558</v>
      </c>
      <c r="D810" s="166" t="s">
        <v>1563</v>
      </c>
      <c r="E810" s="166" t="s">
        <v>1564</v>
      </c>
      <c r="F810" s="167">
        <v>43822</v>
      </c>
      <c r="G810" s="167">
        <v>44561</v>
      </c>
      <c r="H810" s="168">
        <v>35000</v>
      </c>
    </row>
    <row r="811" spans="1:8" ht="13.7" customHeight="1" x14ac:dyDescent="0.25">
      <c r="A811" s="166" t="s">
        <v>1565</v>
      </c>
      <c r="B811" s="166" t="s">
        <v>864</v>
      </c>
      <c r="C811" s="166" t="s">
        <v>1558</v>
      </c>
      <c r="D811" s="166" t="s">
        <v>1559</v>
      </c>
      <c r="E811" s="166" t="s">
        <v>1566</v>
      </c>
      <c r="F811" s="167">
        <v>43992</v>
      </c>
      <c r="G811" s="167">
        <v>44196</v>
      </c>
      <c r="H811" s="168">
        <v>5000</v>
      </c>
    </row>
    <row r="812" spans="1:8" ht="13.7" customHeight="1" x14ac:dyDescent="0.25">
      <c r="A812" s="166" t="s">
        <v>1567</v>
      </c>
      <c r="B812" s="166" t="s">
        <v>864</v>
      </c>
      <c r="C812" s="166" t="s">
        <v>1558</v>
      </c>
      <c r="D812" s="166" t="s">
        <v>1568</v>
      </c>
      <c r="E812" s="166" t="s">
        <v>648</v>
      </c>
      <c r="F812" s="167">
        <v>43255</v>
      </c>
      <c r="G812" s="167">
        <v>45076</v>
      </c>
      <c r="H812" s="168">
        <v>67118</v>
      </c>
    </row>
    <row r="813" spans="1:8" ht="13.7" customHeight="1" x14ac:dyDescent="0.25">
      <c r="A813" s="166" t="s">
        <v>1567</v>
      </c>
      <c r="B813" s="166" t="s">
        <v>864</v>
      </c>
      <c r="C813" s="166" t="s">
        <v>1558</v>
      </c>
      <c r="D813" s="166" t="s">
        <v>1568</v>
      </c>
      <c r="E813" s="166" t="s">
        <v>648</v>
      </c>
      <c r="F813" s="167">
        <v>43255</v>
      </c>
      <c r="G813" s="167">
        <v>45076</v>
      </c>
      <c r="H813" s="168">
        <v>33882</v>
      </c>
    </row>
    <row r="814" spans="1:8" ht="13.7" customHeight="1" x14ac:dyDescent="0.25">
      <c r="A814" s="166" t="s">
        <v>1567</v>
      </c>
      <c r="B814" s="166" t="s">
        <v>864</v>
      </c>
      <c r="C814" s="166" t="s">
        <v>1558</v>
      </c>
      <c r="D814" s="166" t="s">
        <v>1568</v>
      </c>
      <c r="E814" s="166" t="s">
        <v>648</v>
      </c>
      <c r="F814" s="167">
        <v>43255</v>
      </c>
      <c r="G814" s="167">
        <v>45076</v>
      </c>
      <c r="H814" s="168">
        <v>99538</v>
      </c>
    </row>
    <row r="815" spans="1:8" ht="13.7" customHeight="1" x14ac:dyDescent="0.25">
      <c r="A815" s="166" t="s">
        <v>1567</v>
      </c>
      <c r="B815" s="166" t="s">
        <v>864</v>
      </c>
      <c r="C815" s="166" t="s">
        <v>1558</v>
      </c>
      <c r="D815" s="166" t="s">
        <v>1568</v>
      </c>
      <c r="E815" s="166" t="s">
        <v>648</v>
      </c>
      <c r="F815" s="167">
        <v>43255</v>
      </c>
      <c r="G815" s="167">
        <v>45076</v>
      </c>
      <c r="H815" s="168">
        <v>86962</v>
      </c>
    </row>
    <row r="816" spans="1:8" ht="13.7" customHeight="1" x14ac:dyDescent="0.25">
      <c r="A816" s="166" t="s">
        <v>1569</v>
      </c>
      <c r="B816" s="166" t="s">
        <v>1570</v>
      </c>
      <c r="C816" s="166" t="s">
        <v>1571</v>
      </c>
      <c r="D816" s="166" t="s">
        <v>1572</v>
      </c>
      <c r="E816" s="166" t="s">
        <v>1573</v>
      </c>
      <c r="F816" s="167">
        <v>42443</v>
      </c>
      <c r="G816" s="167">
        <v>44561</v>
      </c>
      <c r="H816" s="168">
        <v>-63103.67</v>
      </c>
    </row>
    <row r="817" spans="1:8" ht="13.7" customHeight="1" x14ac:dyDescent="0.25">
      <c r="A817" s="166" t="s">
        <v>1569</v>
      </c>
      <c r="B817" s="166" t="s">
        <v>1570</v>
      </c>
      <c r="C817" s="166" t="s">
        <v>1571</v>
      </c>
      <c r="D817" s="166" t="s">
        <v>1572</v>
      </c>
      <c r="E817" s="166" t="s">
        <v>1573</v>
      </c>
      <c r="F817" s="167">
        <v>42443</v>
      </c>
      <c r="G817" s="167">
        <v>44561</v>
      </c>
      <c r="H817" s="168">
        <v>-74234.06</v>
      </c>
    </row>
    <row r="818" spans="1:8" ht="13.7" customHeight="1" x14ac:dyDescent="0.25">
      <c r="A818" s="166" t="s">
        <v>1569</v>
      </c>
      <c r="B818" s="166" t="s">
        <v>1570</v>
      </c>
      <c r="C818" s="166" t="s">
        <v>1571</v>
      </c>
      <c r="D818" s="166" t="s">
        <v>1572</v>
      </c>
      <c r="E818" s="166" t="s">
        <v>1573</v>
      </c>
      <c r="F818" s="167">
        <v>42443</v>
      </c>
      <c r="G818" s="167">
        <v>44561</v>
      </c>
      <c r="H818" s="168">
        <v>-13421.18</v>
      </c>
    </row>
    <row r="819" spans="1:8" ht="13.7" customHeight="1" x14ac:dyDescent="0.25">
      <c r="A819" s="166" t="s">
        <v>1574</v>
      </c>
      <c r="B819" s="166" t="s">
        <v>1575</v>
      </c>
      <c r="C819" s="166" t="s">
        <v>1571</v>
      </c>
      <c r="D819" s="166" t="s">
        <v>1576</v>
      </c>
      <c r="E819" s="166" t="s">
        <v>0</v>
      </c>
      <c r="F819" s="167">
        <v>43952</v>
      </c>
      <c r="G819" s="167">
        <v>44439</v>
      </c>
      <c r="H819" s="168">
        <v>4950</v>
      </c>
    </row>
    <row r="820" spans="1:8" ht="13.7" customHeight="1" x14ac:dyDescent="0.25">
      <c r="A820" s="166" t="s">
        <v>1577</v>
      </c>
      <c r="B820" s="166" t="s">
        <v>1575</v>
      </c>
      <c r="C820" s="166" t="s">
        <v>1571</v>
      </c>
      <c r="D820" s="166" t="s">
        <v>1578</v>
      </c>
      <c r="E820" s="166" t="s">
        <v>582</v>
      </c>
      <c r="F820" s="167">
        <v>43888</v>
      </c>
      <c r="G820" s="167">
        <v>43951</v>
      </c>
      <c r="H820" s="168">
        <v>39995</v>
      </c>
    </row>
    <row r="821" spans="1:8" ht="13.7" customHeight="1" x14ac:dyDescent="0.25">
      <c r="A821" s="166" t="s">
        <v>1579</v>
      </c>
      <c r="B821" s="166" t="s">
        <v>1575</v>
      </c>
      <c r="C821" s="166" t="s">
        <v>1571</v>
      </c>
      <c r="D821" s="166" t="s">
        <v>1580</v>
      </c>
      <c r="E821" s="166" t="s">
        <v>1581</v>
      </c>
      <c r="F821" s="167">
        <v>43974</v>
      </c>
      <c r="G821" s="167">
        <v>44408</v>
      </c>
      <c r="H821" s="168">
        <v>1000</v>
      </c>
    </row>
    <row r="822" spans="1:8" ht="13.7" customHeight="1" x14ac:dyDescent="0.25">
      <c r="A822" s="166" t="s">
        <v>1582</v>
      </c>
      <c r="B822" s="166" t="s">
        <v>1583</v>
      </c>
      <c r="C822" s="166" t="s">
        <v>1571</v>
      </c>
      <c r="D822" s="166" t="s">
        <v>1584</v>
      </c>
      <c r="E822" s="166" t="s">
        <v>1573</v>
      </c>
      <c r="F822" s="167">
        <v>43318</v>
      </c>
      <c r="G822" s="167">
        <v>45008</v>
      </c>
      <c r="H822" s="168">
        <v>20000</v>
      </c>
    </row>
    <row r="823" spans="1:8" ht="13.7" customHeight="1" x14ac:dyDescent="0.25">
      <c r="A823" s="166" t="s">
        <v>1585</v>
      </c>
      <c r="B823" s="166" t="s">
        <v>1586</v>
      </c>
      <c r="C823" s="166" t="s">
        <v>1571</v>
      </c>
      <c r="D823" s="166" t="s">
        <v>1587</v>
      </c>
      <c r="E823" s="166" t="s">
        <v>1588</v>
      </c>
      <c r="F823" s="167">
        <v>43709</v>
      </c>
      <c r="G823" s="167">
        <v>44377</v>
      </c>
      <c r="H823" s="168">
        <v>1112513</v>
      </c>
    </row>
    <row r="824" spans="1:8" ht="13.7" customHeight="1" x14ac:dyDescent="0.25">
      <c r="A824" s="166" t="s">
        <v>1585</v>
      </c>
      <c r="B824" s="166" t="s">
        <v>1586</v>
      </c>
      <c r="C824" s="166" t="s">
        <v>1571</v>
      </c>
      <c r="D824" s="166" t="s">
        <v>1587</v>
      </c>
      <c r="E824" s="166" t="s">
        <v>1588</v>
      </c>
      <c r="F824" s="167">
        <v>43709</v>
      </c>
      <c r="G824" s="167">
        <v>44377</v>
      </c>
      <c r="H824" s="168">
        <v>81560</v>
      </c>
    </row>
    <row r="825" spans="1:8" ht="13.7" customHeight="1" x14ac:dyDescent="0.25">
      <c r="A825" s="166" t="s">
        <v>1589</v>
      </c>
      <c r="B825" s="166" t="s">
        <v>1586</v>
      </c>
      <c r="C825" s="166" t="s">
        <v>1571</v>
      </c>
      <c r="D825" s="166" t="s">
        <v>1590</v>
      </c>
      <c r="E825" s="166" t="s">
        <v>1591</v>
      </c>
      <c r="F825" s="167">
        <v>43581</v>
      </c>
      <c r="G825" s="167">
        <v>44316</v>
      </c>
      <c r="H825" s="168">
        <v>152664.5</v>
      </c>
    </row>
    <row r="826" spans="1:8" ht="13.7" customHeight="1" x14ac:dyDescent="0.25">
      <c r="A826" s="166" t="s">
        <v>1589</v>
      </c>
      <c r="B826" s="166" t="s">
        <v>1586</v>
      </c>
      <c r="C826" s="166" t="s">
        <v>1571</v>
      </c>
      <c r="D826" s="166" t="s">
        <v>1590</v>
      </c>
      <c r="E826" s="166" t="s">
        <v>1591</v>
      </c>
      <c r="F826" s="167">
        <v>43581</v>
      </c>
      <c r="G826" s="167">
        <v>44316</v>
      </c>
      <c r="H826" s="168">
        <v>45827</v>
      </c>
    </row>
    <row r="827" spans="1:8" ht="13.7" customHeight="1" x14ac:dyDescent="0.25">
      <c r="A827" s="166" t="s">
        <v>1589</v>
      </c>
      <c r="B827" s="166" t="s">
        <v>1586</v>
      </c>
      <c r="C827" s="166" t="s">
        <v>1571</v>
      </c>
      <c r="D827" s="166" t="s">
        <v>1590</v>
      </c>
      <c r="E827" s="166" t="s">
        <v>1591</v>
      </c>
      <c r="F827" s="167">
        <v>43581</v>
      </c>
      <c r="G827" s="167">
        <v>44316</v>
      </c>
      <c r="H827" s="168">
        <v>106837.5</v>
      </c>
    </row>
    <row r="828" spans="1:8" ht="13.7" customHeight="1" x14ac:dyDescent="0.25">
      <c r="A828" s="166" t="s">
        <v>1592</v>
      </c>
      <c r="B828" s="166" t="s">
        <v>1586</v>
      </c>
      <c r="C828" s="166" t="s">
        <v>1571</v>
      </c>
      <c r="D828" s="166" t="s">
        <v>1593</v>
      </c>
      <c r="E828" s="166" t="s">
        <v>1594</v>
      </c>
      <c r="F828" s="167">
        <v>43755</v>
      </c>
      <c r="G828" s="167">
        <v>44123</v>
      </c>
      <c r="H828" s="168">
        <v>788</v>
      </c>
    </row>
    <row r="829" spans="1:8" ht="13.7" customHeight="1" x14ac:dyDescent="0.25">
      <c r="A829" s="166" t="s">
        <v>1592</v>
      </c>
      <c r="B829" s="166" t="s">
        <v>1586</v>
      </c>
      <c r="C829" s="166" t="s">
        <v>1571</v>
      </c>
      <c r="D829" s="166" t="s">
        <v>1593</v>
      </c>
      <c r="E829" s="166" t="s">
        <v>1594</v>
      </c>
      <c r="F829" s="167">
        <v>43755</v>
      </c>
      <c r="G829" s="167">
        <v>44123</v>
      </c>
      <c r="H829" s="168">
        <v>1750</v>
      </c>
    </row>
    <row r="830" spans="1:8" ht="13.7" customHeight="1" x14ac:dyDescent="0.25">
      <c r="A830" s="166" t="s">
        <v>1595</v>
      </c>
      <c r="B830" s="166" t="s">
        <v>1596</v>
      </c>
      <c r="C830" s="166" t="s">
        <v>1597</v>
      </c>
      <c r="D830" s="166" t="s">
        <v>1598</v>
      </c>
      <c r="E830" s="166" t="s">
        <v>1599</v>
      </c>
      <c r="F830" s="167">
        <v>43678</v>
      </c>
      <c r="G830" s="167">
        <v>44043</v>
      </c>
      <c r="H830" s="168">
        <v>50400</v>
      </c>
    </row>
    <row r="831" spans="1:8" ht="13.7" customHeight="1" x14ac:dyDescent="0.25">
      <c r="A831" s="166" t="s">
        <v>1600</v>
      </c>
      <c r="B831" s="166" t="s">
        <v>1601</v>
      </c>
      <c r="C831" s="166" t="s">
        <v>236</v>
      </c>
      <c r="D831" s="166" t="s">
        <v>1602</v>
      </c>
      <c r="E831" s="166" t="s">
        <v>1481</v>
      </c>
      <c r="F831" s="167">
        <v>43647</v>
      </c>
      <c r="G831" s="167">
        <v>44377</v>
      </c>
      <c r="H831" s="168">
        <v>77015</v>
      </c>
    </row>
    <row r="832" spans="1:8" ht="13.7" customHeight="1" x14ac:dyDescent="0.25">
      <c r="A832" s="166" t="s">
        <v>1603</v>
      </c>
      <c r="B832" s="166" t="s">
        <v>1604</v>
      </c>
      <c r="C832" s="166" t="s">
        <v>1605</v>
      </c>
      <c r="D832" s="166" t="s">
        <v>1606</v>
      </c>
      <c r="E832" s="166" t="s">
        <v>497</v>
      </c>
      <c r="F832" s="167">
        <v>42200</v>
      </c>
      <c r="G832" s="167">
        <v>44043</v>
      </c>
      <c r="H832" s="168">
        <v>101500</v>
      </c>
    </row>
    <row r="833" spans="1:8" ht="13.7" customHeight="1" x14ac:dyDescent="0.25">
      <c r="A833" s="166" t="s">
        <v>1603</v>
      </c>
      <c r="B833" s="166" t="s">
        <v>1604</v>
      </c>
      <c r="C833" s="166" t="s">
        <v>1605</v>
      </c>
      <c r="D833" s="166" t="s">
        <v>1606</v>
      </c>
      <c r="E833" s="166" t="s">
        <v>497</v>
      </c>
      <c r="F833" s="167">
        <v>42200</v>
      </c>
      <c r="G833" s="167">
        <v>44043</v>
      </c>
      <c r="H833" s="168">
        <v>2500</v>
      </c>
    </row>
    <row r="834" spans="1:8" ht="13.7" customHeight="1" x14ac:dyDescent="0.25">
      <c r="A834" s="166" t="s">
        <v>1607</v>
      </c>
      <c r="B834" s="166" t="s">
        <v>1426</v>
      </c>
      <c r="C834" s="166" t="s">
        <v>1608</v>
      </c>
      <c r="D834" s="166" t="s">
        <v>1609</v>
      </c>
      <c r="E834" s="166" t="s">
        <v>914</v>
      </c>
      <c r="F834" s="167">
        <v>43191</v>
      </c>
      <c r="G834" s="167">
        <v>44377</v>
      </c>
      <c r="H834" s="168">
        <v>28800</v>
      </c>
    </row>
    <row r="835" spans="1:8" ht="13.7" customHeight="1" x14ac:dyDescent="0.25">
      <c r="A835" s="166" t="s">
        <v>1610</v>
      </c>
      <c r="B835" s="166" t="s">
        <v>1426</v>
      </c>
      <c r="C835" s="166" t="s">
        <v>1608</v>
      </c>
      <c r="D835" s="166" t="s">
        <v>1611</v>
      </c>
      <c r="E835" s="166" t="s">
        <v>486</v>
      </c>
      <c r="F835" s="167">
        <v>42826</v>
      </c>
      <c r="G835" s="167">
        <v>44651</v>
      </c>
      <c r="H835" s="168">
        <v>0</v>
      </c>
    </row>
    <row r="836" spans="1:8" ht="13.7" customHeight="1" x14ac:dyDescent="0.25">
      <c r="A836" s="166" t="s">
        <v>1610</v>
      </c>
      <c r="B836" s="166" t="s">
        <v>1426</v>
      </c>
      <c r="C836" s="166" t="s">
        <v>1608</v>
      </c>
      <c r="D836" s="166" t="s">
        <v>1611</v>
      </c>
      <c r="E836" s="166" t="s">
        <v>486</v>
      </c>
      <c r="F836" s="167">
        <v>42826</v>
      </c>
      <c r="G836" s="167">
        <v>44651</v>
      </c>
      <c r="H836" s="168">
        <v>0</v>
      </c>
    </row>
    <row r="837" spans="1:8" ht="13.7" customHeight="1" x14ac:dyDescent="0.25">
      <c r="A837" s="166" t="s">
        <v>1612</v>
      </c>
      <c r="B837" s="166" t="s">
        <v>1426</v>
      </c>
      <c r="C837" s="166" t="s">
        <v>1608</v>
      </c>
      <c r="D837" s="166" t="s">
        <v>1613</v>
      </c>
      <c r="E837" s="166" t="s">
        <v>536</v>
      </c>
      <c r="F837" s="167">
        <v>43692</v>
      </c>
      <c r="G837" s="167">
        <v>44561</v>
      </c>
      <c r="H837" s="168">
        <v>94415</v>
      </c>
    </row>
    <row r="838" spans="1:8" ht="13.7" customHeight="1" x14ac:dyDescent="0.25">
      <c r="A838" s="166" t="s">
        <v>1612</v>
      </c>
      <c r="B838" s="166" t="s">
        <v>1426</v>
      </c>
      <c r="C838" s="166" t="s">
        <v>1608</v>
      </c>
      <c r="D838" s="166" t="s">
        <v>1613</v>
      </c>
      <c r="E838" s="166" t="s">
        <v>536</v>
      </c>
      <c r="F838" s="167">
        <v>43692</v>
      </c>
      <c r="G838" s="167">
        <v>44561</v>
      </c>
      <c r="H838" s="168">
        <v>25740</v>
      </c>
    </row>
    <row r="839" spans="1:8" ht="13.7" customHeight="1" x14ac:dyDescent="0.25">
      <c r="A839" s="166" t="s">
        <v>1614</v>
      </c>
      <c r="B839" s="166" t="s">
        <v>1426</v>
      </c>
      <c r="C839" s="166" t="s">
        <v>1608</v>
      </c>
      <c r="D839" s="166" t="s">
        <v>1615</v>
      </c>
      <c r="E839" s="166" t="s">
        <v>1616</v>
      </c>
      <c r="F839" s="167">
        <v>43678</v>
      </c>
      <c r="G839" s="167">
        <v>44561</v>
      </c>
      <c r="H839" s="168">
        <v>115335</v>
      </c>
    </row>
    <row r="840" spans="1:8" ht="13.7" customHeight="1" x14ac:dyDescent="0.25">
      <c r="A840" s="166" t="s">
        <v>1614</v>
      </c>
      <c r="B840" s="166" t="s">
        <v>1426</v>
      </c>
      <c r="C840" s="166" t="s">
        <v>1608</v>
      </c>
      <c r="D840" s="166" t="s">
        <v>1615</v>
      </c>
      <c r="E840" s="166" t="s">
        <v>1616</v>
      </c>
      <c r="F840" s="167">
        <v>43678</v>
      </c>
      <c r="G840" s="167">
        <v>44561</v>
      </c>
      <c r="H840" s="168">
        <v>14500</v>
      </c>
    </row>
    <row r="841" spans="1:8" ht="13.7" customHeight="1" x14ac:dyDescent="0.25">
      <c r="A841" s="166" t="s">
        <v>1617</v>
      </c>
      <c r="B841" s="166" t="s">
        <v>1618</v>
      </c>
      <c r="C841" s="166" t="s">
        <v>1619</v>
      </c>
      <c r="D841" s="166" t="s">
        <v>1620</v>
      </c>
      <c r="E841" s="166" t="s">
        <v>536</v>
      </c>
      <c r="F841" s="167">
        <v>43647</v>
      </c>
      <c r="G841" s="167">
        <v>44012</v>
      </c>
      <c r="H841" s="168">
        <v>2630</v>
      </c>
    </row>
    <row r="842" spans="1:8" ht="13.7" customHeight="1" x14ac:dyDescent="0.25">
      <c r="A842" s="166" t="s">
        <v>1617</v>
      </c>
      <c r="B842" s="166" t="s">
        <v>1618</v>
      </c>
      <c r="C842" s="166" t="s">
        <v>1619</v>
      </c>
      <c r="D842" s="166" t="s">
        <v>1620</v>
      </c>
      <c r="E842" s="166" t="s">
        <v>536</v>
      </c>
      <c r="F842" s="167">
        <v>43647</v>
      </c>
      <c r="G842" s="167">
        <v>44012</v>
      </c>
      <c r="H842" s="168">
        <v>3000</v>
      </c>
    </row>
    <row r="843" spans="1:8" ht="13.7" customHeight="1" x14ac:dyDescent="0.25">
      <c r="A843" s="166" t="s">
        <v>1621</v>
      </c>
      <c r="B843" s="166" t="s">
        <v>1618</v>
      </c>
      <c r="C843" s="166" t="s">
        <v>1619</v>
      </c>
      <c r="D843" s="166" t="s">
        <v>1622</v>
      </c>
      <c r="E843" s="166" t="s">
        <v>1394</v>
      </c>
      <c r="F843" s="167">
        <v>43709</v>
      </c>
      <c r="G843" s="167">
        <v>43830</v>
      </c>
      <c r="H843" s="168">
        <v>3857</v>
      </c>
    </row>
    <row r="844" spans="1:8" ht="13.7" customHeight="1" x14ac:dyDescent="0.25">
      <c r="A844" s="166" t="s">
        <v>1623</v>
      </c>
      <c r="B844" s="166" t="s">
        <v>1618</v>
      </c>
      <c r="C844" s="166" t="s">
        <v>1619</v>
      </c>
      <c r="D844" s="166" t="s">
        <v>1624</v>
      </c>
      <c r="E844" s="166" t="s">
        <v>536</v>
      </c>
      <c r="F844" s="167">
        <v>43781</v>
      </c>
      <c r="G844" s="167">
        <v>43951</v>
      </c>
      <c r="H844" s="168">
        <v>8765</v>
      </c>
    </row>
    <row r="845" spans="1:8" ht="13.7" customHeight="1" x14ac:dyDescent="0.25">
      <c r="A845" s="166" t="s">
        <v>1625</v>
      </c>
      <c r="B845" s="166" t="s">
        <v>1618</v>
      </c>
      <c r="C845" s="166" t="s">
        <v>1619</v>
      </c>
      <c r="D845" s="166" t="s">
        <v>1626</v>
      </c>
      <c r="E845" s="166" t="s">
        <v>536</v>
      </c>
      <c r="F845" s="167">
        <v>43781</v>
      </c>
      <c r="G845" s="167">
        <v>43951</v>
      </c>
      <c r="H845" s="168">
        <v>8765</v>
      </c>
    </row>
    <row r="846" spans="1:8" ht="13.7" customHeight="1" x14ac:dyDescent="0.25">
      <c r="A846" s="166" t="s">
        <v>1627</v>
      </c>
      <c r="B846" s="166" t="s">
        <v>1618</v>
      </c>
      <c r="C846" s="166" t="s">
        <v>1619</v>
      </c>
      <c r="D846" s="166" t="s">
        <v>1628</v>
      </c>
      <c r="E846" s="166" t="s">
        <v>536</v>
      </c>
      <c r="F846" s="167">
        <v>43936</v>
      </c>
      <c r="G846" s="167">
        <v>44301</v>
      </c>
      <c r="H846" s="168">
        <v>8765</v>
      </c>
    </row>
    <row r="847" spans="1:8" ht="13.7" customHeight="1" x14ac:dyDescent="0.25">
      <c r="A847" s="166" t="s">
        <v>1629</v>
      </c>
      <c r="B847" s="166" t="s">
        <v>1618</v>
      </c>
      <c r="C847" s="166" t="s">
        <v>1619</v>
      </c>
      <c r="D847" s="166" t="s">
        <v>1630</v>
      </c>
      <c r="E847" s="166" t="s">
        <v>536</v>
      </c>
      <c r="F847" s="167">
        <v>43936</v>
      </c>
      <c r="G847" s="167">
        <v>44301</v>
      </c>
      <c r="H847" s="168">
        <v>10096</v>
      </c>
    </row>
    <row r="848" spans="1:8" ht="13.7" customHeight="1" x14ac:dyDescent="0.25">
      <c r="A848" s="166" t="s">
        <v>1631</v>
      </c>
      <c r="B848" s="166" t="s">
        <v>1618</v>
      </c>
      <c r="C848" s="166" t="s">
        <v>1619</v>
      </c>
      <c r="D848" s="166" t="s">
        <v>1632</v>
      </c>
      <c r="E848" s="166" t="s">
        <v>1394</v>
      </c>
      <c r="F848" s="167">
        <v>43952</v>
      </c>
      <c r="G848" s="167">
        <v>44104</v>
      </c>
      <c r="H848" s="168">
        <v>7649</v>
      </c>
    </row>
    <row r="849" spans="1:8" ht="13.7" customHeight="1" x14ac:dyDescent="0.25">
      <c r="A849" s="166" t="s">
        <v>1631</v>
      </c>
      <c r="B849" s="166" t="s">
        <v>1618</v>
      </c>
      <c r="C849" s="166" t="s">
        <v>1619</v>
      </c>
      <c r="D849" s="166" t="s">
        <v>1632</v>
      </c>
      <c r="E849" s="166" t="s">
        <v>1394</v>
      </c>
      <c r="F849" s="167">
        <v>43952</v>
      </c>
      <c r="G849" s="167">
        <v>44104</v>
      </c>
      <c r="H849" s="168">
        <v>577</v>
      </c>
    </row>
    <row r="850" spans="1:8" ht="13.7" customHeight="1" x14ac:dyDescent="0.25">
      <c r="A850" s="166" t="s">
        <v>1633</v>
      </c>
      <c r="B850" s="166" t="s">
        <v>1618</v>
      </c>
      <c r="C850" s="166" t="s">
        <v>1619</v>
      </c>
      <c r="D850" s="166" t="s">
        <v>1634</v>
      </c>
      <c r="E850" s="166" t="s">
        <v>1394</v>
      </c>
      <c r="F850" s="167">
        <v>43952</v>
      </c>
      <c r="G850" s="167">
        <v>44104</v>
      </c>
      <c r="H850" s="168">
        <v>11218</v>
      </c>
    </row>
    <row r="851" spans="1:8" ht="13.7" customHeight="1" x14ac:dyDescent="0.25">
      <c r="A851" s="166" t="s">
        <v>1635</v>
      </c>
      <c r="B851" s="166" t="s">
        <v>1618</v>
      </c>
      <c r="C851" s="166" t="s">
        <v>1619</v>
      </c>
      <c r="D851" s="166" t="s">
        <v>1622</v>
      </c>
      <c r="E851" s="166" t="s">
        <v>1394</v>
      </c>
      <c r="F851" s="167">
        <v>43983</v>
      </c>
      <c r="G851" s="167">
        <v>44074</v>
      </c>
      <c r="H851" s="168">
        <v>1144</v>
      </c>
    </row>
    <row r="852" spans="1:8" ht="13.7" customHeight="1" x14ac:dyDescent="0.25">
      <c r="A852" s="166" t="s">
        <v>1635</v>
      </c>
      <c r="B852" s="166" t="s">
        <v>1618</v>
      </c>
      <c r="C852" s="166" t="s">
        <v>1619</v>
      </c>
      <c r="D852" s="166" t="s">
        <v>1622</v>
      </c>
      <c r="E852" s="166" t="s">
        <v>1394</v>
      </c>
      <c r="F852" s="167">
        <v>43983</v>
      </c>
      <c r="G852" s="167">
        <v>44074</v>
      </c>
      <c r="H852" s="168">
        <v>7292</v>
      </c>
    </row>
    <row r="853" spans="1:8" ht="13.7" customHeight="1" x14ac:dyDescent="0.25">
      <c r="A853" s="166" t="s">
        <v>1636</v>
      </c>
      <c r="B853" s="166" t="s">
        <v>1618</v>
      </c>
      <c r="C853" s="166" t="s">
        <v>1619</v>
      </c>
      <c r="D853" s="166" t="s">
        <v>1637</v>
      </c>
      <c r="E853" s="166" t="s">
        <v>1394</v>
      </c>
      <c r="F853" s="167">
        <v>43952</v>
      </c>
      <c r="G853" s="167">
        <v>44074</v>
      </c>
      <c r="H853" s="168">
        <v>6170</v>
      </c>
    </row>
    <row r="854" spans="1:8" ht="13.7" customHeight="1" x14ac:dyDescent="0.25">
      <c r="A854" s="166" t="s">
        <v>1638</v>
      </c>
      <c r="B854" s="166" t="s">
        <v>1618</v>
      </c>
      <c r="C854" s="166" t="s">
        <v>1619</v>
      </c>
      <c r="D854" s="166" t="s">
        <v>1639</v>
      </c>
      <c r="E854" s="166" t="s">
        <v>536</v>
      </c>
      <c r="F854" s="167">
        <v>43969</v>
      </c>
      <c r="G854" s="167">
        <v>44377</v>
      </c>
      <c r="H854" s="168">
        <v>1948</v>
      </c>
    </row>
    <row r="855" spans="1:8" ht="13.7" customHeight="1" x14ac:dyDescent="0.25">
      <c r="A855" s="166" t="s">
        <v>1638</v>
      </c>
      <c r="B855" s="166" t="s">
        <v>1618</v>
      </c>
      <c r="C855" s="166" t="s">
        <v>1619</v>
      </c>
      <c r="D855" s="166" t="s">
        <v>1639</v>
      </c>
      <c r="E855" s="166" t="s">
        <v>536</v>
      </c>
      <c r="F855" s="167">
        <v>43969</v>
      </c>
      <c r="G855" s="167">
        <v>44377</v>
      </c>
      <c r="H855" s="168">
        <v>24345</v>
      </c>
    </row>
    <row r="856" spans="1:8" ht="13.7" customHeight="1" x14ac:dyDescent="0.25">
      <c r="A856" s="166" t="s">
        <v>1640</v>
      </c>
      <c r="B856" s="166" t="s">
        <v>1618</v>
      </c>
      <c r="C856" s="166" t="s">
        <v>1619</v>
      </c>
      <c r="D856" s="166" t="s">
        <v>1641</v>
      </c>
      <c r="E856" s="166" t="s">
        <v>536</v>
      </c>
      <c r="F856" s="167">
        <v>43977</v>
      </c>
      <c r="G856" s="167">
        <v>44071</v>
      </c>
      <c r="H856" s="168">
        <v>10144</v>
      </c>
    </row>
    <row r="857" spans="1:8" ht="13.7" customHeight="1" x14ac:dyDescent="0.25">
      <c r="A857" s="166" t="s">
        <v>1642</v>
      </c>
      <c r="B857" s="166" t="s">
        <v>1618</v>
      </c>
      <c r="C857" s="166" t="s">
        <v>1619</v>
      </c>
      <c r="D857" s="166" t="s">
        <v>1643</v>
      </c>
      <c r="E857" s="166" t="s">
        <v>536</v>
      </c>
      <c r="F857" s="167">
        <v>43977</v>
      </c>
      <c r="G857" s="167">
        <v>44071</v>
      </c>
      <c r="H857" s="168">
        <v>10798</v>
      </c>
    </row>
    <row r="858" spans="1:8" ht="13.7" customHeight="1" x14ac:dyDescent="0.25">
      <c r="A858" s="166" t="s">
        <v>1644</v>
      </c>
      <c r="B858" s="166" t="s">
        <v>1618</v>
      </c>
      <c r="C858" s="166" t="s">
        <v>1619</v>
      </c>
      <c r="D858" s="166" t="s">
        <v>1645</v>
      </c>
      <c r="E858" s="166" t="s">
        <v>1394</v>
      </c>
      <c r="F858" s="167">
        <v>43990</v>
      </c>
      <c r="G858" s="167">
        <v>44064</v>
      </c>
      <c r="H858" s="168">
        <v>7292</v>
      </c>
    </row>
    <row r="859" spans="1:8" ht="13.7" customHeight="1" x14ac:dyDescent="0.25">
      <c r="A859" s="166" t="s">
        <v>1646</v>
      </c>
      <c r="B859" s="166" t="s">
        <v>1618</v>
      </c>
      <c r="C859" s="166" t="s">
        <v>1619</v>
      </c>
      <c r="D859" s="166" t="s">
        <v>1647</v>
      </c>
      <c r="E859" s="166" t="s">
        <v>1394</v>
      </c>
      <c r="F859" s="167">
        <v>43983</v>
      </c>
      <c r="G859" s="167">
        <v>44074</v>
      </c>
      <c r="H859" s="168">
        <v>5610</v>
      </c>
    </row>
    <row r="860" spans="1:8" ht="13.7" customHeight="1" x14ac:dyDescent="0.25">
      <c r="A860" s="166" t="s">
        <v>1648</v>
      </c>
      <c r="B860" s="166" t="s">
        <v>1618</v>
      </c>
      <c r="C860" s="166" t="s">
        <v>1619</v>
      </c>
      <c r="D860" s="166" t="s">
        <v>1649</v>
      </c>
      <c r="E860" s="166" t="s">
        <v>1394</v>
      </c>
      <c r="F860" s="167">
        <v>44013</v>
      </c>
      <c r="G860" s="167">
        <v>44074</v>
      </c>
      <c r="H860" s="168">
        <v>360</v>
      </c>
    </row>
    <row r="861" spans="1:8" ht="13.7" customHeight="1" x14ac:dyDescent="0.25">
      <c r="A861" s="166" t="s">
        <v>1648</v>
      </c>
      <c r="B861" s="166" t="s">
        <v>1618</v>
      </c>
      <c r="C861" s="166" t="s">
        <v>1619</v>
      </c>
      <c r="D861" s="166" t="s">
        <v>1649</v>
      </c>
      <c r="E861" s="166" t="s">
        <v>1394</v>
      </c>
      <c r="F861" s="167">
        <v>44013</v>
      </c>
      <c r="G861" s="167">
        <v>44074</v>
      </c>
      <c r="H861" s="168">
        <v>4501</v>
      </c>
    </row>
    <row r="862" spans="1:8" ht="13.7" customHeight="1" x14ac:dyDescent="0.25">
      <c r="A862" s="166" t="s">
        <v>1650</v>
      </c>
      <c r="B862" s="166" t="s">
        <v>1618</v>
      </c>
      <c r="C862" s="166" t="s">
        <v>1619</v>
      </c>
      <c r="D862" s="166" t="s">
        <v>1651</v>
      </c>
      <c r="E862" s="166" t="s">
        <v>1394</v>
      </c>
      <c r="F862" s="167">
        <v>43997</v>
      </c>
      <c r="G862" s="167">
        <v>44104</v>
      </c>
      <c r="H862" s="168">
        <v>7292</v>
      </c>
    </row>
    <row r="863" spans="1:8" ht="13.7" customHeight="1" x14ac:dyDescent="0.25">
      <c r="A863" s="166" t="s">
        <v>1652</v>
      </c>
      <c r="B863" s="166" t="s">
        <v>1618</v>
      </c>
      <c r="C863" s="166" t="s">
        <v>1619</v>
      </c>
      <c r="D863" s="166" t="s">
        <v>1653</v>
      </c>
      <c r="E863" s="166" t="s">
        <v>1394</v>
      </c>
      <c r="F863" s="167">
        <v>44013</v>
      </c>
      <c r="G863" s="167">
        <v>44331</v>
      </c>
      <c r="H863" s="168">
        <v>15191</v>
      </c>
    </row>
    <row r="864" spans="1:8" ht="13.7" customHeight="1" x14ac:dyDescent="0.25">
      <c r="A864" s="166" t="s">
        <v>1654</v>
      </c>
      <c r="B864" s="166" t="s">
        <v>1655</v>
      </c>
      <c r="C864" s="166" t="s">
        <v>1656</v>
      </c>
      <c r="D864" s="166" t="s">
        <v>1657</v>
      </c>
      <c r="E864" s="166" t="s">
        <v>1658</v>
      </c>
      <c r="F864" s="167">
        <v>43339</v>
      </c>
      <c r="G864" s="167">
        <v>43646</v>
      </c>
      <c r="H864" s="168">
        <v>-2803.5</v>
      </c>
    </row>
    <row r="865" spans="1:8" ht="13.7" customHeight="1" x14ac:dyDescent="0.25">
      <c r="A865" s="166" t="s">
        <v>1659</v>
      </c>
      <c r="B865" s="166" t="s">
        <v>1660</v>
      </c>
      <c r="C865" s="166" t="s">
        <v>1656</v>
      </c>
      <c r="D865" s="166" t="s">
        <v>1661</v>
      </c>
      <c r="E865" s="166" t="s">
        <v>1662</v>
      </c>
      <c r="F865" s="167">
        <v>43617</v>
      </c>
      <c r="G865" s="167">
        <v>44043</v>
      </c>
      <c r="H865" s="168">
        <v>1828694.06</v>
      </c>
    </row>
    <row r="866" spans="1:8" ht="13.7" customHeight="1" x14ac:dyDescent="0.25">
      <c r="A866" s="166" t="s">
        <v>1659</v>
      </c>
      <c r="B866" s="166" t="s">
        <v>1660</v>
      </c>
      <c r="C866" s="166" t="s">
        <v>1656</v>
      </c>
      <c r="D866" s="166" t="s">
        <v>1661</v>
      </c>
      <c r="E866" s="166" t="s">
        <v>1662</v>
      </c>
      <c r="F866" s="167">
        <v>43617</v>
      </c>
      <c r="G866" s="167">
        <v>44043</v>
      </c>
      <c r="H866" s="168">
        <v>167305.34</v>
      </c>
    </row>
    <row r="867" spans="1:8" ht="13.7" customHeight="1" x14ac:dyDescent="0.25">
      <c r="A867" s="166" t="s">
        <v>1663</v>
      </c>
      <c r="B867" s="166" t="s">
        <v>1660</v>
      </c>
      <c r="C867" s="166" t="s">
        <v>1656</v>
      </c>
      <c r="D867" s="166" t="s">
        <v>1664</v>
      </c>
      <c r="E867" s="166" t="s">
        <v>1662</v>
      </c>
      <c r="F867" s="167">
        <v>43709</v>
      </c>
      <c r="G867" s="167">
        <v>44074</v>
      </c>
      <c r="H867" s="168">
        <v>28133.15</v>
      </c>
    </row>
    <row r="868" spans="1:8" ht="13.7" customHeight="1" x14ac:dyDescent="0.25">
      <c r="A868" s="166" t="s">
        <v>1663</v>
      </c>
      <c r="B868" s="166" t="s">
        <v>1660</v>
      </c>
      <c r="C868" s="166" t="s">
        <v>1656</v>
      </c>
      <c r="D868" s="166" t="s">
        <v>1664</v>
      </c>
      <c r="E868" s="166" t="s">
        <v>1662</v>
      </c>
      <c r="F868" s="167">
        <v>43709</v>
      </c>
      <c r="G868" s="167">
        <v>44074</v>
      </c>
      <c r="H868" s="168">
        <v>15362.94</v>
      </c>
    </row>
    <row r="869" spans="1:8" ht="13.7" customHeight="1" x14ac:dyDescent="0.25">
      <c r="A869" s="166" t="s">
        <v>1663</v>
      </c>
      <c r="B869" s="166" t="s">
        <v>1660</v>
      </c>
      <c r="C869" s="166" t="s">
        <v>1656</v>
      </c>
      <c r="D869" s="166" t="s">
        <v>1664</v>
      </c>
      <c r="E869" s="166" t="s">
        <v>1662</v>
      </c>
      <c r="F869" s="167">
        <v>43709</v>
      </c>
      <c r="G869" s="167">
        <v>44074</v>
      </c>
      <c r="H869" s="168">
        <v>80325.86</v>
      </c>
    </row>
    <row r="870" spans="1:8" ht="13.7" customHeight="1" x14ac:dyDescent="0.25">
      <c r="A870" s="166" t="s">
        <v>1665</v>
      </c>
      <c r="B870" s="166" t="s">
        <v>1660</v>
      </c>
      <c r="C870" s="166" t="s">
        <v>1656</v>
      </c>
      <c r="D870" s="166" t="s">
        <v>1664</v>
      </c>
      <c r="E870" s="166" t="s">
        <v>1662</v>
      </c>
      <c r="F870" s="167">
        <v>43709</v>
      </c>
      <c r="G870" s="167">
        <v>44074</v>
      </c>
      <c r="H870" s="168">
        <v>-10032</v>
      </c>
    </row>
    <row r="871" spans="1:8" ht="13.7" customHeight="1" x14ac:dyDescent="0.25">
      <c r="A871" s="166" t="s">
        <v>1665</v>
      </c>
      <c r="B871" s="166" t="s">
        <v>1660</v>
      </c>
      <c r="C871" s="166" t="s">
        <v>1656</v>
      </c>
      <c r="D871" s="166" t="s">
        <v>1664</v>
      </c>
      <c r="E871" s="166" t="s">
        <v>1662</v>
      </c>
      <c r="F871" s="167">
        <v>43709</v>
      </c>
      <c r="G871" s="167">
        <v>44074</v>
      </c>
      <c r="H871" s="168">
        <v>-52894.5</v>
      </c>
    </row>
    <row r="872" spans="1:8" ht="13.7" customHeight="1" x14ac:dyDescent="0.25">
      <c r="A872" s="166" t="s">
        <v>1665</v>
      </c>
      <c r="B872" s="166" t="s">
        <v>1660</v>
      </c>
      <c r="C872" s="166" t="s">
        <v>1656</v>
      </c>
      <c r="D872" s="166" t="s">
        <v>1664</v>
      </c>
      <c r="E872" s="166" t="s">
        <v>1662</v>
      </c>
      <c r="F872" s="167">
        <v>43709</v>
      </c>
      <c r="G872" s="167">
        <v>44074</v>
      </c>
      <c r="H872" s="168">
        <v>84166.5</v>
      </c>
    </row>
    <row r="873" spans="1:8" ht="13.7" customHeight="1" x14ac:dyDescent="0.25">
      <c r="A873" s="166" t="s">
        <v>1666</v>
      </c>
      <c r="B873" s="166" t="s">
        <v>1667</v>
      </c>
      <c r="C873" s="166" t="s">
        <v>1656</v>
      </c>
      <c r="D873" s="166" t="s">
        <v>1668</v>
      </c>
      <c r="E873" s="166" t="s">
        <v>1233</v>
      </c>
      <c r="F873" s="167">
        <v>43678</v>
      </c>
      <c r="G873" s="167">
        <v>44561</v>
      </c>
      <c r="H873" s="168">
        <v>40589</v>
      </c>
    </row>
    <row r="874" spans="1:8" ht="13.7" customHeight="1" x14ac:dyDescent="0.25">
      <c r="A874" s="166" t="s">
        <v>1669</v>
      </c>
      <c r="B874" s="166" t="s">
        <v>1667</v>
      </c>
      <c r="C874" s="166" t="s">
        <v>1656</v>
      </c>
      <c r="D874" s="166" t="s">
        <v>1670</v>
      </c>
      <c r="E874" s="166" t="s">
        <v>1233</v>
      </c>
      <c r="F874" s="167">
        <v>43724</v>
      </c>
      <c r="G874" s="167">
        <v>44834</v>
      </c>
      <c r="H874" s="168">
        <v>18469</v>
      </c>
    </row>
    <row r="875" spans="1:8" ht="13.7" customHeight="1" x14ac:dyDescent="0.25">
      <c r="A875" s="166" t="s">
        <v>1671</v>
      </c>
      <c r="B875" s="166" t="s">
        <v>1667</v>
      </c>
      <c r="C875" s="166" t="s">
        <v>1656</v>
      </c>
      <c r="D875" s="166" t="s">
        <v>1672</v>
      </c>
      <c r="E875" s="166" t="s">
        <v>1673</v>
      </c>
      <c r="F875" s="167">
        <v>42993</v>
      </c>
      <c r="G875" s="167">
        <v>44104</v>
      </c>
      <c r="H875" s="168">
        <v>-3165</v>
      </c>
    </row>
    <row r="876" spans="1:8" ht="13.7" customHeight="1" x14ac:dyDescent="0.25">
      <c r="A876" s="166" t="s">
        <v>1671</v>
      </c>
      <c r="B876" s="166" t="s">
        <v>1667</v>
      </c>
      <c r="C876" s="166" t="s">
        <v>1656</v>
      </c>
      <c r="D876" s="166" t="s">
        <v>1672</v>
      </c>
      <c r="E876" s="166" t="s">
        <v>1673</v>
      </c>
      <c r="F876" s="167">
        <v>42993</v>
      </c>
      <c r="G876" s="167">
        <v>44104</v>
      </c>
      <c r="H876" s="168">
        <v>-2068</v>
      </c>
    </row>
    <row r="877" spans="1:8" ht="13.7" customHeight="1" x14ac:dyDescent="0.25">
      <c r="A877" s="166" t="s">
        <v>1671</v>
      </c>
      <c r="B877" s="166" t="s">
        <v>1667</v>
      </c>
      <c r="C877" s="166" t="s">
        <v>1656</v>
      </c>
      <c r="D877" s="166" t="s">
        <v>1672</v>
      </c>
      <c r="E877" s="166" t="s">
        <v>1673</v>
      </c>
      <c r="F877" s="167">
        <v>42993</v>
      </c>
      <c r="G877" s="167">
        <v>44104</v>
      </c>
      <c r="H877" s="168">
        <v>-682</v>
      </c>
    </row>
    <row r="878" spans="1:8" ht="13.7" customHeight="1" x14ac:dyDescent="0.25">
      <c r="A878" s="166" t="s">
        <v>1674</v>
      </c>
      <c r="B878" s="166" t="s">
        <v>1667</v>
      </c>
      <c r="C878" s="166" t="s">
        <v>1656</v>
      </c>
      <c r="D878" s="166" t="s">
        <v>1672</v>
      </c>
      <c r="E878" s="166" t="s">
        <v>1673</v>
      </c>
      <c r="F878" s="167">
        <v>42993</v>
      </c>
      <c r="G878" s="167">
        <v>44104</v>
      </c>
      <c r="H878" s="168">
        <v>3165</v>
      </c>
    </row>
    <row r="879" spans="1:8" ht="13.7" customHeight="1" x14ac:dyDescent="0.25">
      <c r="A879" s="166" t="s">
        <v>1674</v>
      </c>
      <c r="B879" s="166" t="s">
        <v>1667</v>
      </c>
      <c r="C879" s="166" t="s">
        <v>1656</v>
      </c>
      <c r="D879" s="166" t="s">
        <v>1672</v>
      </c>
      <c r="E879" s="166" t="s">
        <v>1673</v>
      </c>
      <c r="F879" s="167">
        <v>42993</v>
      </c>
      <c r="G879" s="167">
        <v>44104</v>
      </c>
      <c r="H879" s="168">
        <v>2750</v>
      </c>
    </row>
    <row r="880" spans="1:8" ht="13.7" customHeight="1" x14ac:dyDescent="0.25">
      <c r="A880" s="166" t="s">
        <v>1675</v>
      </c>
      <c r="B880" s="166" t="s">
        <v>1667</v>
      </c>
      <c r="C880" s="166" t="s">
        <v>1656</v>
      </c>
      <c r="D880" s="166" t="s">
        <v>1668</v>
      </c>
      <c r="E880" s="166" t="s">
        <v>1673</v>
      </c>
      <c r="F880" s="167">
        <v>43678</v>
      </c>
      <c r="G880" s="167">
        <v>44561</v>
      </c>
      <c r="H880" s="168">
        <v>128606</v>
      </c>
    </row>
    <row r="881" spans="1:8" ht="13.7" customHeight="1" x14ac:dyDescent="0.25">
      <c r="A881" s="166" t="s">
        <v>1675</v>
      </c>
      <c r="B881" s="166" t="s">
        <v>1667</v>
      </c>
      <c r="C881" s="166" t="s">
        <v>1656</v>
      </c>
      <c r="D881" s="166" t="s">
        <v>1668</v>
      </c>
      <c r="E881" s="166" t="s">
        <v>1673</v>
      </c>
      <c r="F881" s="167">
        <v>43678</v>
      </c>
      <c r="G881" s="167">
        <v>44561</v>
      </c>
      <c r="H881" s="168">
        <v>287223</v>
      </c>
    </row>
    <row r="882" spans="1:8" ht="13.7" customHeight="1" x14ac:dyDescent="0.25">
      <c r="A882" s="166" t="s">
        <v>1675</v>
      </c>
      <c r="B882" s="166" t="s">
        <v>1667</v>
      </c>
      <c r="C882" s="166" t="s">
        <v>1656</v>
      </c>
      <c r="D882" s="166" t="s">
        <v>1668</v>
      </c>
      <c r="E882" s="166" t="s">
        <v>1673</v>
      </c>
      <c r="F882" s="167">
        <v>43678</v>
      </c>
      <c r="G882" s="167">
        <v>44561</v>
      </c>
      <c r="H882" s="168">
        <v>54385</v>
      </c>
    </row>
    <row r="883" spans="1:8" ht="13.7" customHeight="1" x14ac:dyDescent="0.25">
      <c r="A883" s="166" t="s">
        <v>1676</v>
      </c>
      <c r="B883" s="166" t="s">
        <v>1667</v>
      </c>
      <c r="C883" s="166" t="s">
        <v>1656</v>
      </c>
      <c r="D883" s="166" t="s">
        <v>1668</v>
      </c>
      <c r="E883" s="166" t="s">
        <v>1673</v>
      </c>
      <c r="F883" s="167">
        <v>43678</v>
      </c>
      <c r="G883" s="167">
        <v>44561</v>
      </c>
      <c r="H883" s="168">
        <v>414486</v>
      </c>
    </row>
    <row r="884" spans="1:8" ht="13.7" customHeight="1" x14ac:dyDescent="0.25">
      <c r="A884" s="166" t="s">
        <v>1677</v>
      </c>
      <c r="B884" s="166" t="s">
        <v>1667</v>
      </c>
      <c r="C884" s="166" t="s">
        <v>1656</v>
      </c>
      <c r="D884" s="166" t="s">
        <v>1670</v>
      </c>
      <c r="E884" s="166" t="s">
        <v>1673</v>
      </c>
      <c r="F884" s="167">
        <v>43727</v>
      </c>
      <c r="G884" s="167">
        <v>44834</v>
      </c>
      <c r="H884" s="168">
        <v>313593</v>
      </c>
    </row>
    <row r="885" spans="1:8" ht="13.7" customHeight="1" x14ac:dyDescent="0.25">
      <c r="A885" s="166" t="s">
        <v>1677</v>
      </c>
      <c r="B885" s="166" t="s">
        <v>1667</v>
      </c>
      <c r="C885" s="166" t="s">
        <v>1656</v>
      </c>
      <c r="D885" s="166" t="s">
        <v>1670</v>
      </c>
      <c r="E885" s="166" t="s">
        <v>1673</v>
      </c>
      <c r="F885" s="167">
        <v>43727</v>
      </c>
      <c r="G885" s="167">
        <v>44834</v>
      </c>
      <c r="H885" s="168">
        <v>268652</v>
      </c>
    </row>
    <row r="886" spans="1:8" ht="13.7" customHeight="1" x14ac:dyDescent="0.25">
      <c r="A886" s="166" t="s">
        <v>1678</v>
      </c>
      <c r="B886" s="166" t="s">
        <v>1667</v>
      </c>
      <c r="C886" s="166" t="s">
        <v>1656</v>
      </c>
      <c r="D886" s="166" t="s">
        <v>1670</v>
      </c>
      <c r="E886" s="166" t="s">
        <v>1673</v>
      </c>
      <c r="F886" s="167">
        <v>43727</v>
      </c>
      <c r="G886" s="167">
        <v>44834</v>
      </c>
      <c r="H886" s="168">
        <v>117754</v>
      </c>
    </row>
    <row r="887" spans="1:8" ht="13.7" customHeight="1" x14ac:dyDescent="0.25">
      <c r="A887" s="166" t="s">
        <v>1679</v>
      </c>
      <c r="B887" s="166" t="s">
        <v>1667</v>
      </c>
      <c r="C887" s="166" t="s">
        <v>1656</v>
      </c>
      <c r="D887" s="166" t="s">
        <v>1680</v>
      </c>
      <c r="E887" s="166" t="s">
        <v>1681</v>
      </c>
      <c r="F887" s="167">
        <v>42552</v>
      </c>
      <c r="G887" s="167">
        <v>44377</v>
      </c>
      <c r="H887" s="168">
        <v>178917</v>
      </c>
    </row>
    <row r="888" spans="1:8" ht="13.7" customHeight="1" x14ac:dyDescent="0.25">
      <c r="A888" s="166" t="s">
        <v>1682</v>
      </c>
      <c r="B888" s="166" t="s">
        <v>1667</v>
      </c>
      <c r="C888" s="166" t="s">
        <v>1656</v>
      </c>
      <c r="D888" s="166" t="s">
        <v>1680</v>
      </c>
      <c r="E888" s="166" t="s">
        <v>686</v>
      </c>
      <c r="F888" s="167">
        <v>42552</v>
      </c>
      <c r="G888" s="167">
        <v>44377</v>
      </c>
      <c r="H888" s="168">
        <v>5500</v>
      </c>
    </row>
    <row r="889" spans="1:8" ht="13.7" customHeight="1" x14ac:dyDescent="0.25">
      <c r="A889" s="166" t="s">
        <v>1683</v>
      </c>
      <c r="B889" s="166" t="s">
        <v>1684</v>
      </c>
      <c r="C889" s="166" t="s">
        <v>147</v>
      </c>
      <c r="D889" s="166" t="s">
        <v>1685</v>
      </c>
      <c r="E889" s="166" t="s">
        <v>619</v>
      </c>
      <c r="F889" s="167">
        <v>43861</v>
      </c>
      <c r="G889" s="167">
        <v>44165</v>
      </c>
      <c r="H889" s="168">
        <v>1500</v>
      </c>
    </row>
    <row r="890" spans="1:8" ht="13.7" customHeight="1" x14ac:dyDescent="0.25">
      <c r="A890" s="166" t="s">
        <v>1686</v>
      </c>
      <c r="B890" s="166" t="s">
        <v>1684</v>
      </c>
      <c r="C890" s="166" t="s">
        <v>147</v>
      </c>
      <c r="D890" s="166" t="s">
        <v>1685</v>
      </c>
      <c r="E890" s="166" t="s">
        <v>686</v>
      </c>
      <c r="F890" s="167">
        <v>43861</v>
      </c>
      <c r="G890" s="167">
        <v>44165</v>
      </c>
      <c r="H890" s="168">
        <v>1250</v>
      </c>
    </row>
    <row r="891" spans="1:8" ht="13.7" customHeight="1" x14ac:dyDescent="0.25">
      <c r="A891" s="166" t="s">
        <v>1687</v>
      </c>
      <c r="B891" s="166" t="s">
        <v>1688</v>
      </c>
      <c r="C891" s="166" t="s">
        <v>1689</v>
      </c>
      <c r="D891" s="166" t="s">
        <v>1690</v>
      </c>
      <c r="E891" s="166" t="s">
        <v>1691</v>
      </c>
      <c r="F891" s="167">
        <v>43647</v>
      </c>
      <c r="G891" s="167">
        <v>44012</v>
      </c>
      <c r="H891" s="168">
        <v>41524</v>
      </c>
    </row>
    <row r="892" spans="1:8" ht="13.7" customHeight="1" x14ac:dyDescent="0.25">
      <c r="A892" s="166" t="s">
        <v>1692</v>
      </c>
      <c r="B892" s="166" t="s">
        <v>1693</v>
      </c>
      <c r="C892" s="166" t="s">
        <v>1689</v>
      </c>
      <c r="D892" s="166" t="s">
        <v>1694</v>
      </c>
      <c r="E892" s="166" t="s">
        <v>619</v>
      </c>
      <c r="F892" s="167">
        <v>43753</v>
      </c>
      <c r="G892" s="167">
        <v>43804</v>
      </c>
      <c r="H892" s="168">
        <v>825</v>
      </c>
    </row>
    <row r="893" spans="1:8" ht="13.7" customHeight="1" x14ac:dyDescent="0.25">
      <c r="A893" s="166" t="s">
        <v>1695</v>
      </c>
      <c r="B893" s="166" t="s">
        <v>1696</v>
      </c>
      <c r="C893" s="166" t="s">
        <v>1689</v>
      </c>
      <c r="D893" s="166" t="s">
        <v>1697</v>
      </c>
      <c r="E893" s="166" t="s">
        <v>570</v>
      </c>
      <c r="F893" s="167">
        <v>42856</v>
      </c>
      <c r="G893" s="167">
        <v>44469</v>
      </c>
      <c r="H893" s="168">
        <v>74393</v>
      </c>
    </row>
    <row r="894" spans="1:8" ht="13.7" customHeight="1" x14ac:dyDescent="0.25">
      <c r="A894" s="166" t="s">
        <v>1695</v>
      </c>
      <c r="B894" s="166" t="s">
        <v>1696</v>
      </c>
      <c r="C894" s="166" t="s">
        <v>1689</v>
      </c>
      <c r="D894" s="166" t="s">
        <v>1697</v>
      </c>
      <c r="E894" s="166" t="s">
        <v>570</v>
      </c>
      <c r="F894" s="167">
        <v>42856</v>
      </c>
      <c r="G894" s="167">
        <v>44469</v>
      </c>
      <c r="H894" s="168">
        <v>13019</v>
      </c>
    </row>
    <row r="895" spans="1:8" ht="13.7" customHeight="1" x14ac:dyDescent="0.25">
      <c r="A895" s="166" t="s">
        <v>1695</v>
      </c>
      <c r="B895" s="166" t="s">
        <v>1696</v>
      </c>
      <c r="C895" s="166" t="s">
        <v>1689</v>
      </c>
      <c r="D895" s="166" t="s">
        <v>1697</v>
      </c>
      <c r="E895" s="166" t="s">
        <v>570</v>
      </c>
      <c r="F895" s="167">
        <v>42856</v>
      </c>
      <c r="G895" s="167">
        <v>44469</v>
      </c>
      <c r="H895" s="168">
        <v>22100</v>
      </c>
    </row>
    <row r="896" spans="1:8" ht="13.7" customHeight="1" x14ac:dyDescent="0.25">
      <c r="A896" s="166" t="s">
        <v>1695</v>
      </c>
      <c r="B896" s="166" t="s">
        <v>1696</v>
      </c>
      <c r="C896" s="166" t="s">
        <v>1689</v>
      </c>
      <c r="D896" s="166" t="s">
        <v>1697</v>
      </c>
      <c r="E896" s="166" t="s">
        <v>570</v>
      </c>
      <c r="F896" s="167">
        <v>42856</v>
      </c>
      <c r="G896" s="167">
        <v>44469</v>
      </c>
      <c r="H896" s="168">
        <v>17900</v>
      </c>
    </row>
    <row r="897" spans="1:8" ht="13.7" customHeight="1" x14ac:dyDescent="0.25">
      <c r="A897" s="166" t="s">
        <v>1695</v>
      </c>
      <c r="B897" s="166" t="s">
        <v>1696</v>
      </c>
      <c r="C897" s="166" t="s">
        <v>1689</v>
      </c>
      <c r="D897" s="166" t="s">
        <v>1697</v>
      </c>
      <c r="E897" s="166" t="s">
        <v>570</v>
      </c>
      <c r="F897" s="167">
        <v>42856</v>
      </c>
      <c r="G897" s="167">
        <v>44469</v>
      </c>
      <c r="H897" s="168">
        <v>0</v>
      </c>
    </row>
    <row r="898" spans="1:8" ht="13.7" customHeight="1" x14ac:dyDescent="0.25">
      <c r="A898" s="166" t="s">
        <v>1695</v>
      </c>
      <c r="B898" s="166" t="s">
        <v>1696</v>
      </c>
      <c r="C898" s="166" t="s">
        <v>1689</v>
      </c>
      <c r="D898" s="166" t="s">
        <v>1697</v>
      </c>
      <c r="E898" s="166" t="s">
        <v>570</v>
      </c>
      <c r="F898" s="167">
        <v>42856</v>
      </c>
      <c r="G898" s="167">
        <v>44469</v>
      </c>
      <c r="H898" s="168">
        <v>-39219</v>
      </c>
    </row>
    <row r="899" spans="1:8" ht="13.7" customHeight="1" x14ac:dyDescent="0.25">
      <c r="A899" s="166" t="s">
        <v>1695</v>
      </c>
      <c r="B899" s="166" t="s">
        <v>1696</v>
      </c>
      <c r="C899" s="166" t="s">
        <v>1689</v>
      </c>
      <c r="D899" s="166" t="s">
        <v>1697</v>
      </c>
      <c r="E899" s="166" t="s">
        <v>570</v>
      </c>
      <c r="F899" s="167">
        <v>42856</v>
      </c>
      <c r="G899" s="167">
        <v>44469</v>
      </c>
      <c r="H899" s="168">
        <v>-7167.45</v>
      </c>
    </row>
    <row r="900" spans="1:8" ht="13.7" customHeight="1" x14ac:dyDescent="0.25">
      <c r="A900" s="166" t="s">
        <v>1698</v>
      </c>
      <c r="B900" s="166" t="s">
        <v>1699</v>
      </c>
      <c r="C900" s="166" t="s">
        <v>1689</v>
      </c>
      <c r="D900" s="166" t="s">
        <v>1700</v>
      </c>
      <c r="E900" s="166" t="s">
        <v>486</v>
      </c>
      <c r="F900" s="167">
        <v>42948</v>
      </c>
      <c r="G900" s="167">
        <v>44773</v>
      </c>
      <c r="H900" s="168">
        <v>0</v>
      </c>
    </row>
    <row r="901" spans="1:8" ht="13.7" customHeight="1" x14ac:dyDescent="0.25">
      <c r="A901" s="166" t="s">
        <v>1701</v>
      </c>
      <c r="B901" s="166" t="s">
        <v>1702</v>
      </c>
      <c r="C901" s="166" t="s">
        <v>1703</v>
      </c>
      <c r="D901" s="166" t="s">
        <v>1704</v>
      </c>
      <c r="E901" s="166" t="s">
        <v>1705</v>
      </c>
      <c r="F901" s="167">
        <v>43647</v>
      </c>
      <c r="G901" s="167">
        <v>44012</v>
      </c>
      <c r="H901" s="168">
        <v>335956</v>
      </c>
    </row>
    <row r="902" spans="1:8" ht="13.7" customHeight="1" x14ac:dyDescent="0.25">
      <c r="A902" s="166" t="s">
        <v>1706</v>
      </c>
      <c r="B902" s="166" t="s">
        <v>1707</v>
      </c>
      <c r="C902" s="166" t="s">
        <v>1703</v>
      </c>
      <c r="D902" s="166" t="s">
        <v>1708</v>
      </c>
      <c r="E902" s="166" t="s">
        <v>1705</v>
      </c>
      <c r="F902" s="167">
        <v>43647</v>
      </c>
      <c r="G902" s="167">
        <v>44012</v>
      </c>
      <c r="H902" s="168">
        <v>43575</v>
      </c>
    </row>
    <row r="903" spans="1:8" ht="13.7" customHeight="1" x14ac:dyDescent="0.25">
      <c r="A903" s="166" t="s">
        <v>1706</v>
      </c>
      <c r="B903" s="166" t="s">
        <v>1707</v>
      </c>
      <c r="C903" s="166" t="s">
        <v>1703</v>
      </c>
      <c r="D903" s="166" t="s">
        <v>1708</v>
      </c>
      <c r="E903" s="166" t="s">
        <v>1705</v>
      </c>
      <c r="F903" s="167">
        <v>43647</v>
      </c>
      <c r="G903" s="167">
        <v>44012</v>
      </c>
      <c r="H903" s="168">
        <v>6425</v>
      </c>
    </row>
    <row r="904" spans="1:8" ht="13.7" customHeight="1" x14ac:dyDescent="0.25">
      <c r="A904" s="166" t="s">
        <v>1709</v>
      </c>
      <c r="B904" s="166" t="s">
        <v>1710</v>
      </c>
      <c r="C904" s="166" t="s">
        <v>1711</v>
      </c>
      <c r="D904" s="166" t="s">
        <v>1712</v>
      </c>
      <c r="E904" s="166" t="s">
        <v>1713</v>
      </c>
      <c r="F904" s="167">
        <v>43647</v>
      </c>
      <c r="G904" s="167">
        <v>44012</v>
      </c>
      <c r="H904" s="168">
        <v>6000</v>
      </c>
    </row>
    <row r="905" spans="1:8" ht="13.7" customHeight="1" x14ac:dyDescent="0.25">
      <c r="A905" s="166" t="s">
        <v>1714</v>
      </c>
      <c r="B905" s="166" t="s">
        <v>1710</v>
      </c>
      <c r="C905" s="166" t="s">
        <v>1711</v>
      </c>
      <c r="D905" s="166" t="s">
        <v>1712</v>
      </c>
      <c r="E905" s="166" t="s">
        <v>686</v>
      </c>
      <c r="F905" s="167">
        <v>43647</v>
      </c>
      <c r="G905" s="167">
        <v>44012</v>
      </c>
      <c r="H905" s="168">
        <v>6000</v>
      </c>
    </row>
    <row r="906" spans="1:8" ht="13.7" customHeight="1" x14ac:dyDescent="0.25">
      <c r="A906" s="166" t="s">
        <v>1715</v>
      </c>
      <c r="B906" s="166" t="s">
        <v>1710</v>
      </c>
      <c r="C906" s="166" t="s">
        <v>1711</v>
      </c>
      <c r="D906" s="166" t="s">
        <v>1716</v>
      </c>
      <c r="E906" s="166" t="s">
        <v>1713</v>
      </c>
      <c r="F906" s="167">
        <v>43647</v>
      </c>
      <c r="G906" s="167">
        <v>44377</v>
      </c>
      <c r="H906" s="168">
        <v>6400</v>
      </c>
    </row>
    <row r="907" spans="1:8" ht="13.7" customHeight="1" x14ac:dyDescent="0.25">
      <c r="A907" s="166" t="s">
        <v>1717</v>
      </c>
      <c r="B907" s="166" t="s">
        <v>1710</v>
      </c>
      <c r="C907" s="166" t="s">
        <v>1711</v>
      </c>
      <c r="D907" s="166" t="s">
        <v>1718</v>
      </c>
      <c r="E907" s="166" t="s">
        <v>1719</v>
      </c>
      <c r="F907" s="167">
        <v>43647</v>
      </c>
      <c r="G907" s="167">
        <v>44377</v>
      </c>
      <c r="H907" s="168">
        <v>10000</v>
      </c>
    </row>
    <row r="908" spans="1:8" ht="13.7" customHeight="1" x14ac:dyDescent="0.25">
      <c r="A908" s="166" t="s">
        <v>1720</v>
      </c>
      <c r="B908" s="166" t="s">
        <v>1721</v>
      </c>
      <c r="C908" s="166" t="s">
        <v>1722</v>
      </c>
      <c r="D908" s="166" t="s">
        <v>1723</v>
      </c>
      <c r="E908" s="166" t="s">
        <v>1724</v>
      </c>
      <c r="F908" s="167">
        <v>43709</v>
      </c>
      <c r="G908" s="167">
        <v>45199</v>
      </c>
      <c r="H908" s="168">
        <v>103773.58</v>
      </c>
    </row>
    <row r="909" spans="1:8" ht="13.7" customHeight="1" x14ac:dyDescent="0.25">
      <c r="A909" s="166" t="s">
        <v>1725</v>
      </c>
      <c r="B909" s="166" t="s">
        <v>1721</v>
      </c>
      <c r="C909" s="166" t="s">
        <v>1722</v>
      </c>
      <c r="D909" s="166" t="s">
        <v>1726</v>
      </c>
      <c r="E909" s="166" t="s">
        <v>1724</v>
      </c>
      <c r="F909" s="167">
        <v>43709</v>
      </c>
      <c r="G909" s="167">
        <v>44561</v>
      </c>
      <c r="H909" s="168">
        <v>50769</v>
      </c>
    </row>
    <row r="910" spans="1:8" ht="13.7" customHeight="1" x14ac:dyDescent="0.25">
      <c r="A910" s="166" t="s">
        <v>1725</v>
      </c>
      <c r="B910" s="166" t="s">
        <v>1721</v>
      </c>
      <c r="C910" s="166" t="s">
        <v>1722</v>
      </c>
      <c r="D910" s="166" t="s">
        <v>1726</v>
      </c>
      <c r="E910" s="166" t="s">
        <v>1724</v>
      </c>
      <c r="F910" s="167">
        <v>43709</v>
      </c>
      <c r="G910" s="167">
        <v>44561</v>
      </c>
      <c r="H910" s="168">
        <v>27960</v>
      </c>
    </row>
    <row r="911" spans="1:8" ht="13.7" customHeight="1" x14ac:dyDescent="0.25">
      <c r="A911" s="166" t="s">
        <v>1727</v>
      </c>
      <c r="B911" s="166" t="s">
        <v>1728</v>
      </c>
      <c r="C911" s="166" t="s">
        <v>1722</v>
      </c>
      <c r="D911" s="166" t="s">
        <v>1729</v>
      </c>
      <c r="E911" s="166" t="s">
        <v>1724</v>
      </c>
      <c r="F911" s="167">
        <v>43656</v>
      </c>
      <c r="G911" s="167">
        <v>45292</v>
      </c>
      <c r="H911" s="168">
        <v>50449.74</v>
      </c>
    </row>
    <row r="912" spans="1:8" ht="13.7" customHeight="1" x14ac:dyDescent="0.25">
      <c r="A912" s="166" t="s">
        <v>1727</v>
      </c>
      <c r="B912" s="166" t="s">
        <v>1728</v>
      </c>
      <c r="C912" s="166" t="s">
        <v>1722</v>
      </c>
      <c r="D912" s="166" t="s">
        <v>1729</v>
      </c>
      <c r="E912" s="166" t="s">
        <v>1724</v>
      </c>
      <c r="F912" s="167">
        <v>43656</v>
      </c>
      <c r="G912" s="167">
        <v>45292</v>
      </c>
      <c r="H912" s="168">
        <v>6625.75</v>
      </c>
    </row>
    <row r="913" spans="1:8" ht="13.7" customHeight="1" x14ac:dyDescent="0.25">
      <c r="A913" s="166" t="s">
        <v>1730</v>
      </c>
      <c r="B913" s="166" t="s">
        <v>1728</v>
      </c>
      <c r="C913" s="166" t="s">
        <v>1722</v>
      </c>
      <c r="D913" s="166" t="s">
        <v>1731</v>
      </c>
      <c r="E913" s="166" t="s">
        <v>1732</v>
      </c>
      <c r="F913" s="167">
        <v>43731</v>
      </c>
      <c r="G913" s="167">
        <v>45557</v>
      </c>
      <c r="H913" s="168">
        <v>0</v>
      </c>
    </row>
    <row r="914" spans="1:8" ht="13.7" customHeight="1" x14ac:dyDescent="0.25">
      <c r="A914" s="166" t="s">
        <v>1730</v>
      </c>
      <c r="B914" s="166" t="s">
        <v>1728</v>
      </c>
      <c r="C914" s="166" t="s">
        <v>1722</v>
      </c>
      <c r="D914" s="166" t="s">
        <v>1731</v>
      </c>
      <c r="E914" s="166" t="s">
        <v>1732</v>
      </c>
      <c r="F914" s="167">
        <v>43731</v>
      </c>
      <c r="G914" s="167">
        <v>45557</v>
      </c>
      <c r="H914" s="168">
        <v>10000</v>
      </c>
    </row>
    <row r="915" spans="1:8" ht="13.7" customHeight="1" x14ac:dyDescent="0.25">
      <c r="A915" s="166" t="s">
        <v>1733</v>
      </c>
      <c r="B915" s="166" t="s">
        <v>1728</v>
      </c>
      <c r="C915" s="166" t="s">
        <v>1722</v>
      </c>
      <c r="D915" s="166" t="s">
        <v>1734</v>
      </c>
      <c r="E915" s="166" t="s">
        <v>1724</v>
      </c>
      <c r="F915" s="167">
        <v>43731</v>
      </c>
      <c r="G915" s="167">
        <v>45565</v>
      </c>
      <c r="H915" s="168">
        <v>49537</v>
      </c>
    </row>
    <row r="916" spans="1:8" ht="13.7" customHeight="1" x14ac:dyDescent="0.25">
      <c r="A916" s="166" t="s">
        <v>1735</v>
      </c>
      <c r="B916" s="166" t="s">
        <v>1728</v>
      </c>
      <c r="C916" s="166" t="s">
        <v>1722</v>
      </c>
      <c r="D916" s="166" t="s">
        <v>1736</v>
      </c>
      <c r="E916" s="166" t="s">
        <v>760</v>
      </c>
      <c r="F916" s="167">
        <v>42487</v>
      </c>
      <c r="G916" s="167">
        <v>44651</v>
      </c>
      <c r="H916" s="168">
        <v>120315</v>
      </c>
    </row>
    <row r="917" spans="1:8" ht="13.7" customHeight="1" x14ac:dyDescent="0.25">
      <c r="A917" s="166" t="s">
        <v>1735</v>
      </c>
      <c r="B917" s="166" t="s">
        <v>1728</v>
      </c>
      <c r="C917" s="166" t="s">
        <v>1722</v>
      </c>
      <c r="D917" s="166" t="s">
        <v>1736</v>
      </c>
      <c r="E917" s="166" t="s">
        <v>760</v>
      </c>
      <c r="F917" s="167">
        <v>42487</v>
      </c>
      <c r="G917" s="167">
        <v>44651</v>
      </c>
      <c r="H917" s="168">
        <v>6024</v>
      </c>
    </row>
    <row r="918" spans="1:8" ht="13.7" customHeight="1" x14ac:dyDescent="0.25">
      <c r="A918" s="166" t="s">
        <v>1737</v>
      </c>
      <c r="B918" s="166" t="s">
        <v>1728</v>
      </c>
      <c r="C918" s="166" t="s">
        <v>1722</v>
      </c>
      <c r="D918" s="166" t="s">
        <v>1738</v>
      </c>
      <c r="E918" s="166" t="s">
        <v>760</v>
      </c>
      <c r="F918" s="167">
        <v>42768</v>
      </c>
      <c r="G918" s="167">
        <v>44012</v>
      </c>
      <c r="H918" s="168">
        <v>112180</v>
      </c>
    </row>
    <row r="919" spans="1:8" ht="13.7" customHeight="1" x14ac:dyDescent="0.25">
      <c r="A919" s="166" t="s">
        <v>1737</v>
      </c>
      <c r="B919" s="166" t="s">
        <v>1728</v>
      </c>
      <c r="C919" s="166" t="s">
        <v>1722</v>
      </c>
      <c r="D919" s="166" t="s">
        <v>1738</v>
      </c>
      <c r="E919" s="166" t="s">
        <v>760</v>
      </c>
      <c r="F919" s="167">
        <v>42768</v>
      </c>
      <c r="G919" s="167">
        <v>44012</v>
      </c>
      <c r="H919" s="168">
        <v>11850</v>
      </c>
    </row>
    <row r="920" spans="1:8" ht="13.7" customHeight="1" x14ac:dyDescent="0.25">
      <c r="A920" s="166" t="s">
        <v>1737</v>
      </c>
      <c r="B920" s="166" t="s">
        <v>1728</v>
      </c>
      <c r="C920" s="166" t="s">
        <v>1722</v>
      </c>
      <c r="D920" s="166" t="s">
        <v>1738</v>
      </c>
      <c r="E920" s="166" t="s">
        <v>760</v>
      </c>
      <c r="F920" s="167">
        <v>42768</v>
      </c>
      <c r="G920" s="167">
        <v>44012</v>
      </c>
      <c r="H920" s="168">
        <v>0</v>
      </c>
    </row>
    <row r="921" spans="1:8" ht="13.7" customHeight="1" x14ac:dyDescent="0.25">
      <c r="A921" s="166" t="s">
        <v>1739</v>
      </c>
      <c r="B921" s="166" t="s">
        <v>1728</v>
      </c>
      <c r="C921" s="166" t="s">
        <v>1722</v>
      </c>
      <c r="D921" s="166" t="s">
        <v>1740</v>
      </c>
      <c r="E921" s="166" t="s">
        <v>1741</v>
      </c>
      <c r="F921" s="167">
        <v>43282</v>
      </c>
      <c r="G921" s="167">
        <v>44012</v>
      </c>
      <c r="H921" s="168">
        <v>32944</v>
      </c>
    </row>
    <row r="922" spans="1:8" ht="13.7" customHeight="1" x14ac:dyDescent="0.25">
      <c r="A922" s="166" t="s">
        <v>1739</v>
      </c>
      <c r="B922" s="166" t="s">
        <v>1728</v>
      </c>
      <c r="C922" s="166" t="s">
        <v>1722</v>
      </c>
      <c r="D922" s="166" t="s">
        <v>1740</v>
      </c>
      <c r="E922" s="166" t="s">
        <v>1741</v>
      </c>
      <c r="F922" s="167">
        <v>43282</v>
      </c>
      <c r="G922" s="167">
        <v>44012</v>
      </c>
      <c r="H922" s="168">
        <v>8608</v>
      </c>
    </row>
    <row r="923" spans="1:8" ht="13.7" customHeight="1" x14ac:dyDescent="0.25">
      <c r="A923" s="166" t="s">
        <v>1742</v>
      </c>
      <c r="B923" s="166" t="s">
        <v>1728</v>
      </c>
      <c r="C923" s="166" t="s">
        <v>1722</v>
      </c>
      <c r="D923" s="166" t="s">
        <v>1743</v>
      </c>
      <c r="E923" s="166" t="s">
        <v>760</v>
      </c>
      <c r="F923" s="167">
        <v>43604</v>
      </c>
      <c r="G923" s="167">
        <v>44742</v>
      </c>
      <c r="H923" s="168">
        <v>-6384</v>
      </c>
    </row>
    <row r="924" spans="1:8" ht="13.7" customHeight="1" x14ac:dyDescent="0.25">
      <c r="A924" s="166" t="s">
        <v>1742</v>
      </c>
      <c r="B924" s="166" t="s">
        <v>1728</v>
      </c>
      <c r="C924" s="166" t="s">
        <v>1722</v>
      </c>
      <c r="D924" s="166" t="s">
        <v>1743</v>
      </c>
      <c r="E924" s="166" t="s">
        <v>760</v>
      </c>
      <c r="F924" s="167">
        <v>43604</v>
      </c>
      <c r="G924" s="167">
        <v>44742</v>
      </c>
      <c r="H924" s="168">
        <v>6384</v>
      </c>
    </row>
    <row r="925" spans="1:8" ht="13.7" customHeight="1" x14ac:dyDescent="0.25">
      <c r="A925" s="166" t="s">
        <v>1742</v>
      </c>
      <c r="B925" s="166" t="s">
        <v>1728</v>
      </c>
      <c r="C925" s="166" t="s">
        <v>1722</v>
      </c>
      <c r="D925" s="166" t="s">
        <v>1743</v>
      </c>
      <c r="E925" s="166" t="s">
        <v>760</v>
      </c>
      <c r="F925" s="167">
        <v>43604</v>
      </c>
      <c r="G925" s="167">
        <v>44742</v>
      </c>
      <c r="H925" s="168">
        <v>0</v>
      </c>
    </row>
    <row r="926" spans="1:8" ht="13.7" customHeight="1" x14ac:dyDescent="0.25">
      <c r="A926" s="166" t="s">
        <v>1742</v>
      </c>
      <c r="B926" s="166" t="s">
        <v>1728</v>
      </c>
      <c r="C926" s="166" t="s">
        <v>1722</v>
      </c>
      <c r="D926" s="166" t="s">
        <v>1743</v>
      </c>
      <c r="E926" s="166" t="s">
        <v>760</v>
      </c>
      <c r="F926" s="167">
        <v>43604</v>
      </c>
      <c r="G926" s="167">
        <v>44742</v>
      </c>
      <c r="H926" s="168">
        <v>255300</v>
      </c>
    </row>
    <row r="927" spans="1:8" ht="13.7" customHeight="1" x14ac:dyDescent="0.25">
      <c r="A927" s="166" t="s">
        <v>1744</v>
      </c>
      <c r="B927" s="166" t="s">
        <v>1728</v>
      </c>
      <c r="C927" s="166" t="s">
        <v>1722</v>
      </c>
      <c r="D927" s="166" t="s">
        <v>1745</v>
      </c>
      <c r="E927" s="166" t="s">
        <v>760</v>
      </c>
      <c r="F927" s="167">
        <v>43647</v>
      </c>
      <c r="G927" s="167">
        <v>44377</v>
      </c>
      <c r="H927" s="168">
        <v>21652</v>
      </c>
    </row>
    <row r="928" spans="1:8" ht="13.7" customHeight="1" x14ac:dyDescent="0.25">
      <c r="A928" s="166" t="s">
        <v>1746</v>
      </c>
      <c r="B928" s="166" t="s">
        <v>1728</v>
      </c>
      <c r="C928" s="166" t="s">
        <v>1722</v>
      </c>
      <c r="D928" s="166" t="s">
        <v>1747</v>
      </c>
      <c r="E928" s="166" t="s">
        <v>1741</v>
      </c>
      <c r="F928" s="167">
        <v>43647</v>
      </c>
      <c r="G928" s="167">
        <v>44012</v>
      </c>
      <c r="H928" s="168">
        <v>15224.13</v>
      </c>
    </row>
    <row r="929" spans="1:8" ht="13.7" customHeight="1" x14ac:dyDescent="0.25">
      <c r="A929" s="166" t="s">
        <v>1746</v>
      </c>
      <c r="B929" s="166" t="s">
        <v>1728</v>
      </c>
      <c r="C929" s="166" t="s">
        <v>1722</v>
      </c>
      <c r="D929" s="166" t="s">
        <v>1747</v>
      </c>
      <c r="E929" s="166" t="s">
        <v>1741</v>
      </c>
      <c r="F929" s="167">
        <v>43647</v>
      </c>
      <c r="G929" s="167">
        <v>44012</v>
      </c>
      <c r="H929" s="168">
        <v>126867.75</v>
      </c>
    </row>
    <row r="930" spans="1:8" ht="13.7" customHeight="1" x14ac:dyDescent="0.25">
      <c r="A930" s="166" t="s">
        <v>1748</v>
      </c>
      <c r="B930" s="166" t="s">
        <v>1728</v>
      </c>
      <c r="C930" s="166" t="s">
        <v>1722</v>
      </c>
      <c r="D930" s="166" t="s">
        <v>1749</v>
      </c>
      <c r="E930" s="166" t="s">
        <v>760</v>
      </c>
      <c r="F930" s="167">
        <v>43721</v>
      </c>
      <c r="G930" s="167">
        <v>45473</v>
      </c>
      <c r="H930" s="168">
        <v>0</v>
      </c>
    </row>
    <row r="931" spans="1:8" ht="13.7" customHeight="1" x14ac:dyDescent="0.25">
      <c r="A931" s="166" t="s">
        <v>1748</v>
      </c>
      <c r="B931" s="166" t="s">
        <v>1728</v>
      </c>
      <c r="C931" s="166" t="s">
        <v>1722</v>
      </c>
      <c r="D931" s="166" t="s">
        <v>1749</v>
      </c>
      <c r="E931" s="166" t="s">
        <v>760</v>
      </c>
      <c r="F931" s="167">
        <v>43721</v>
      </c>
      <c r="G931" s="167">
        <v>45473</v>
      </c>
      <c r="H931" s="168">
        <v>151103</v>
      </c>
    </row>
    <row r="932" spans="1:8" ht="13.7" customHeight="1" x14ac:dyDescent="0.25">
      <c r="A932" s="166" t="s">
        <v>1748</v>
      </c>
      <c r="B932" s="166" t="s">
        <v>1728</v>
      </c>
      <c r="C932" s="166" t="s">
        <v>1722</v>
      </c>
      <c r="D932" s="166" t="s">
        <v>1749</v>
      </c>
      <c r="E932" s="166" t="s">
        <v>760</v>
      </c>
      <c r="F932" s="167">
        <v>43721</v>
      </c>
      <c r="G932" s="167">
        <v>45473</v>
      </c>
      <c r="H932" s="168">
        <v>1278427</v>
      </c>
    </row>
    <row r="933" spans="1:8" ht="13.7" customHeight="1" x14ac:dyDescent="0.25">
      <c r="A933" s="166" t="s">
        <v>1750</v>
      </c>
      <c r="B933" s="166" t="s">
        <v>1728</v>
      </c>
      <c r="C933" s="166" t="s">
        <v>1722</v>
      </c>
      <c r="D933" s="166" t="s">
        <v>1751</v>
      </c>
      <c r="E933" s="166" t="s">
        <v>760</v>
      </c>
      <c r="F933" s="167">
        <v>43738</v>
      </c>
      <c r="G933" s="167">
        <v>44377</v>
      </c>
      <c r="H933" s="168">
        <v>48200</v>
      </c>
    </row>
    <row r="934" spans="1:8" ht="13.7" customHeight="1" x14ac:dyDescent="0.25">
      <c r="A934" s="166" t="s">
        <v>1752</v>
      </c>
      <c r="B934" s="166" t="s">
        <v>1728</v>
      </c>
      <c r="C934" s="166" t="s">
        <v>1722</v>
      </c>
      <c r="D934" s="166" t="s">
        <v>1753</v>
      </c>
      <c r="E934" s="166" t="s">
        <v>1754</v>
      </c>
      <c r="F934" s="167">
        <v>43647</v>
      </c>
      <c r="G934" s="167">
        <v>44012</v>
      </c>
      <c r="H934" s="168">
        <v>0</v>
      </c>
    </row>
    <row r="935" spans="1:8" ht="13.7" customHeight="1" x14ac:dyDescent="0.25">
      <c r="A935" s="166" t="s">
        <v>1752</v>
      </c>
      <c r="B935" s="166" t="s">
        <v>1728</v>
      </c>
      <c r="C935" s="166" t="s">
        <v>1722</v>
      </c>
      <c r="D935" s="166" t="s">
        <v>1753</v>
      </c>
      <c r="E935" s="166" t="s">
        <v>1754</v>
      </c>
      <c r="F935" s="167">
        <v>43647</v>
      </c>
      <c r="G935" s="167">
        <v>44012</v>
      </c>
      <c r="H935" s="168">
        <v>0</v>
      </c>
    </row>
    <row r="936" spans="1:8" ht="13.7" customHeight="1" x14ac:dyDescent="0.25">
      <c r="A936" s="166" t="s">
        <v>1752</v>
      </c>
      <c r="B936" s="166" t="s">
        <v>1728</v>
      </c>
      <c r="C936" s="166" t="s">
        <v>1722</v>
      </c>
      <c r="D936" s="166" t="s">
        <v>1753</v>
      </c>
      <c r="E936" s="166" t="s">
        <v>1754</v>
      </c>
      <c r="F936" s="167">
        <v>43647</v>
      </c>
      <c r="G936" s="167">
        <v>44012</v>
      </c>
      <c r="H936" s="168">
        <v>49966</v>
      </c>
    </row>
    <row r="937" spans="1:8" ht="13.7" customHeight="1" x14ac:dyDescent="0.25">
      <c r="A937" s="166" t="s">
        <v>1755</v>
      </c>
      <c r="B937" s="166" t="s">
        <v>1728</v>
      </c>
      <c r="C937" s="166" t="s">
        <v>1722</v>
      </c>
      <c r="D937" s="166" t="s">
        <v>1756</v>
      </c>
      <c r="E937" s="166" t="s">
        <v>760</v>
      </c>
      <c r="F937" s="167">
        <v>43647</v>
      </c>
      <c r="G937" s="167">
        <v>44012</v>
      </c>
      <c r="H937" s="168">
        <v>32827.800000000003</v>
      </c>
    </row>
    <row r="938" spans="1:8" ht="13.7" customHeight="1" x14ac:dyDescent="0.25">
      <c r="A938" s="166" t="s">
        <v>1757</v>
      </c>
      <c r="B938" s="166" t="s">
        <v>1728</v>
      </c>
      <c r="C938" s="166" t="s">
        <v>1722</v>
      </c>
      <c r="D938" s="166" t="s">
        <v>1758</v>
      </c>
      <c r="E938" s="166" t="s">
        <v>760</v>
      </c>
      <c r="F938" s="167">
        <v>43913</v>
      </c>
      <c r="G938" s="167">
        <v>44377</v>
      </c>
      <c r="H938" s="168">
        <v>7000</v>
      </c>
    </row>
    <row r="939" spans="1:8" ht="13.7" customHeight="1" x14ac:dyDescent="0.25">
      <c r="A939" s="166" t="s">
        <v>1757</v>
      </c>
      <c r="B939" s="166" t="s">
        <v>1728</v>
      </c>
      <c r="C939" s="166" t="s">
        <v>1722</v>
      </c>
      <c r="D939" s="166" t="s">
        <v>1758</v>
      </c>
      <c r="E939" s="166" t="s">
        <v>760</v>
      </c>
      <c r="F939" s="167">
        <v>43913</v>
      </c>
      <c r="G939" s="167">
        <v>44377</v>
      </c>
      <c r="H939" s="168">
        <v>3000</v>
      </c>
    </row>
    <row r="940" spans="1:8" ht="13.7" customHeight="1" x14ac:dyDescent="0.25">
      <c r="A940" s="166" t="s">
        <v>1759</v>
      </c>
      <c r="B940" s="166" t="s">
        <v>1728</v>
      </c>
      <c r="C940" s="166" t="s">
        <v>1722</v>
      </c>
      <c r="D940" s="166" t="s">
        <v>1760</v>
      </c>
      <c r="E940" s="166" t="s">
        <v>1761</v>
      </c>
      <c r="F940" s="167">
        <v>44013</v>
      </c>
      <c r="G940" s="167">
        <v>44135</v>
      </c>
      <c r="H940" s="168">
        <v>20656.7</v>
      </c>
    </row>
    <row r="941" spans="1:8" ht="13.7" customHeight="1" x14ac:dyDescent="0.25">
      <c r="A941" s="166" t="s">
        <v>1762</v>
      </c>
      <c r="B941" s="166" t="s">
        <v>1728</v>
      </c>
      <c r="C941" s="166" t="s">
        <v>1722</v>
      </c>
      <c r="D941" s="166" t="s">
        <v>1763</v>
      </c>
      <c r="E941" s="166" t="s">
        <v>760</v>
      </c>
      <c r="F941" s="167">
        <v>43922</v>
      </c>
      <c r="G941" s="167">
        <v>45473</v>
      </c>
      <c r="H941" s="168">
        <v>346000</v>
      </c>
    </row>
    <row r="942" spans="1:8" ht="13.7" customHeight="1" x14ac:dyDescent="0.25">
      <c r="A942" s="166" t="s">
        <v>1764</v>
      </c>
      <c r="B942" s="166" t="s">
        <v>1728</v>
      </c>
      <c r="C942" s="166" t="s">
        <v>1722</v>
      </c>
      <c r="D942" s="166" t="s">
        <v>1765</v>
      </c>
      <c r="E942" s="166" t="s">
        <v>1766</v>
      </c>
      <c r="F942" s="167">
        <v>43978</v>
      </c>
      <c r="G942" s="167">
        <v>44712</v>
      </c>
      <c r="H942" s="168">
        <v>-1924</v>
      </c>
    </row>
    <row r="943" spans="1:8" ht="13.7" customHeight="1" x14ac:dyDescent="0.25">
      <c r="A943" s="166" t="s">
        <v>1764</v>
      </c>
      <c r="B943" s="166" t="s">
        <v>1728</v>
      </c>
      <c r="C943" s="166" t="s">
        <v>1722</v>
      </c>
      <c r="D943" s="166" t="s">
        <v>1765</v>
      </c>
      <c r="E943" s="166" t="s">
        <v>1766</v>
      </c>
      <c r="F943" s="167">
        <v>43978</v>
      </c>
      <c r="G943" s="167">
        <v>44712</v>
      </c>
      <c r="H943" s="168">
        <v>49298</v>
      </c>
    </row>
    <row r="944" spans="1:8" ht="13.7" customHeight="1" x14ac:dyDescent="0.25">
      <c r="A944" s="166" t="s">
        <v>1767</v>
      </c>
      <c r="B944" s="166" t="s">
        <v>1728</v>
      </c>
      <c r="C944" s="166" t="s">
        <v>1722</v>
      </c>
      <c r="D944" s="166" t="s">
        <v>1768</v>
      </c>
      <c r="E944" s="166" t="s">
        <v>760</v>
      </c>
      <c r="F944" s="167">
        <v>42005</v>
      </c>
      <c r="G944" s="167">
        <v>44196</v>
      </c>
      <c r="H944" s="168">
        <v>0</v>
      </c>
    </row>
    <row r="945" spans="1:8" ht="13.7" customHeight="1" x14ac:dyDescent="0.25">
      <c r="A945" s="166" t="s">
        <v>1769</v>
      </c>
      <c r="B945" s="166" t="s">
        <v>1728</v>
      </c>
      <c r="C945" s="166" t="s">
        <v>1722</v>
      </c>
      <c r="D945" s="166" t="s">
        <v>1770</v>
      </c>
      <c r="E945" s="166" t="s">
        <v>1394</v>
      </c>
      <c r="F945" s="167">
        <v>42917</v>
      </c>
      <c r="G945" s="167">
        <v>44012</v>
      </c>
      <c r="H945" s="168">
        <v>20000</v>
      </c>
    </row>
    <row r="946" spans="1:8" ht="13.7" customHeight="1" x14ac:dyDescent="0.25">
      <c r="A946" s="166" t="s">
        <v>1771</v>
      </c>
      <c r="B946" s="166" t="s">
        <v>1728</v>
      </c>
      <c r="C946" s="166" t="s">
        <v>1722</v>
      </c>
      <c r="D946" s="166" t="s">
        <v>1772</v>
      </c>
      <c r="E946" s="166" t="s">
        <v>1394</v>
      </c>
      <c r="F946" s="167">
        <v>43378</v>
      </c>
      <c r="G946" s="167">
        <v>43890</v>
      </c>
      <c r="H946" s="168">
        <v>4383.1099999999997</v>
      </c>
    </row>
    <row r="947" spans="1:8" ht="13.7" customHeight="1" x14ac:dyDescent="0.25">
      <c r="A947" s="166" t="s">
        <v>1771</v>
      </c>
      <c r="B947" s="166" t="s">
        <v>1728</v>
      </c>
      <c r="C947" s="166" t="s">
        <v>1722</v>
      </c>
      <c r="D947" s="166" t="s">
        <v>1772</v>
      </c>
      <c r="E947" s="166" t="s">
        <v>1394</v>
      </c>
      <c r="F947" s="167">
        <v>43378</v>
      </c>
      <c r="G947" s="167">
        <v>43890</v>
      </c>
      <c r="H947" s="168">
        <v>-4383.1099999999997</v>
      </c>
    </row>
    <row r="948" spans="1:8" ht="13.7" customHeight="1" x14ac:dyDescent="0.25">
      <c r="A948" s="166" t="s">
        <v>1773</v>
      </c>
      <c r="B948" s="166" t="s">
        <v>1728</v>
      </c>
      <c r="C948" s="166" t="s">
        <v>1722</v>
      </c>
      <c r="D948" s="166" t="s">
        <v>1774</v>
      </c>
      <c r="E948" s="166" t="s">
        <v>1394</v>
      </c>
      <c r="F948" s="167">
        <v>43865</v>
      </c>
      <c r="G948" s="167">
        <v>44165</v>
      </c>
      <c r="H948" s="168">
        <v>4800</v>
      </c>
    </row>
    <row r="949" spans="1:8" ht="13.7" customHeight="1" x14ac:dyDescent="0.25">
      <c r="A949" s="166" t="s">
        <v>1773</v>
      </c>
      <c r="B949" s="166" t="s">
        <v>1728</v>
      </c>
      <c r="C949" s="166" t="s">
        <v>1722</v>
      </c>
      <c r="D949" s="166" t="s">
        <v>1774</v>
      </c>
      <c r="E949" s="166" t="s">
        <v>1394</v>
      </c>
      <c r="F949" s="167">
        <v>43865</v>
      </c>
      <c r="G949" s="167">
        <v>44165</v>
      </c>
      <c r="H949" s="168">
        <v>1480</v>
      </c>
    </row>
    <row r="950" spans="1:8" ht="13.7" customHeight="1" x14ac:dyDescent="0.25">
      <c r="A950" s="166" t="s">
        <v>1775</v>
      </c>
      <c r="B950" s="166" t="s">
        <v>1728</v>
      </c>
      <c r="C950" s="166" t="s">
        <v>1722</v>
      </c>
      <c r="D950" s="166" t="s">
        <v>1776</v>
      </c>
      <c r="E950" s="166" t="s">
        <v>507</v>
      </c>
      <c r="F950" s="167">
        <v>41640</v>
      </c>
      <c r="G950" s="167">
        <v>44012</v>
      </c>
      <c r="H950" s="168">
        <v>2455.73</v>
      </c>
    </row>
    <row r="951" spans="1:8" ht="13.7" customHeight="1" x14ac:dyDescent="0.25">
      <c r="A951" s="166" t="s">
        <v>1775</v>
      </c>
      <c r="B951" s="166" t="s">
        <v>1728</v>
      </c>
      <c r="C951" s="166" t="s">
        <v>1722</v>
      </c>
      <c r="D951" s="166" t="s">
        <v>1776</v>
      </c>
      <c r="E951" s="166" t="s">
        <v>507</v>
      </c>
      <c r="F951" s="167">
        <v>41640</v>
      </c>
      <c r="G951" s="167">
        <v>44012</v>
      </c>
      <c r="H951" s="168">
        <v>13850</v>
      </c>
    </row>
    <row r="952" spans="1:8" ht="13.7" customHeight="1" x14ac:dyDescent="0.25">
      <c r="A952" s="166" t="s">
        <v>1777</v>
      </c>
      <c r="B952" s="166" t="s">
        <v>1778</v>
      </c>
      <c r="C952" s="166" t="s">
        <v>1779</v>
      </c>
      <c r="D952" s="166" t="s">
        <v>1780</v>
      </c>
      <c r="E952" s="166" t="s">
        <v>1732</v>
      </c>
      <c r="F952" s="167">
        <v>43731</v>
      </c>
      <c r="G952" s="167">
        <v>44826</v>
      </c>
      <c r="H952" s="168">
        <v>80000</v>
      </c>
    </row>
    <row r="953" spans="1:8" ht="13.7" customHeight="1" x14ac:dyDescent="0.25">
      <c r="A953" s="166" t="s">
        <v>1781</v>
      </c>
      <c r="B953" s="166" t="s">
        <v>1778</v>
      </c>
      <c r="C953" s="166" t="s">
        <v>1779</v>
      </c>
      <c r="D953" s="166" t="s">
        <v>1782</v>
      </c>
      <c r="E953" s="166" t="s">
        <v>1783</v>
      </c>
      <c r="F953" s="167">
        <v>43252</v>
      </c>
      <c r="G953" s="167">
        <v>45047</v>
      </c>
      <c r="H953" s="168">
        <v>4248</v>
      </c>
    </row>
    <row r="954" spans="1:8" ht="13.7" customHeight="1" x14ac:dyDescent="0.25">
      <c r="A954" s="166" t="s">
        <v>1781</v>
      </c>
      <c r="B954" s="166" t="s">
        <v>1778</v>
      </c>
      <c r="C954" s="166" t="s">
        <v>1779</v>
      </c>
      <c r="D954" s="166" t="s">
        <v>1782</v>
      </c>
      <c r="E954" s="166" t="s">
        <v>1783</v>
      </c>
      <c r="F954" s="167">
        <v>43252</v>
      </c>
      <c r="G954" s="167">
        <v>45047</v>
      </c>
      <c r="H954" s="168">
        <v>752</v>
      </c>
    </row>
    <row r="955" spans="1:8" ht="13.7" customHeight="1" x14ac:dyDescent="0.25">
      <c r="A955" s="166" t="s">
        <v>1784</v>
      </c>
      <c r="B955" s="166" t="s">
        <v>1778</v>
      </c>
      <c r="C955" s="166" t="s">
        <v>1779</v>
      </c>
      <c r="D955" s="166" t="s">
        <v>1785</v>
      </c>
      <c r="E955" s="166" t="s">
        <v>648</v>
      </c>
      <c r="F955" s="167">
        <v>43609</v>
      </c>
      <c r="G955" s="167">
        <v>45413</v>
      </c>
      <c r="H955" s="168">
        <v>10000</v>
      </c>
    </row>
    <row r="956" spans="1:8" ht="13.7" customHeight="1" x14ac:dyDescent="0.25">
      <c r="A956" s="166" t="s">
        <v>1786</v>
      </c>
      <c r="B956" s="166" t="s">
        <v>1778</v>
      </c>
      <c r="C956" s="166" t="s">
        <v>1779</v>
      </c>
      <c r="D956" s="166" t="s">
        <v>1787</v>
      </c>
      <c r="E956" s="166" t="s">
        <v>558</v>
      </c>
      <c r="F956" s="167">
        <v>41890</v>
      </c>
      <c r="G956" s="167">
        <v>43678</v>
      </c>
      <c r="H956" s="168">
        <v>5000</v>
      </c>
    </row>
    <row r="957" spans="1:8" ht="13.7" customHeight="1" x14ac:dyDescent="0.25">
      <c r="A957" s="166" t="s">
        <v>1788</v>
      </c>
      <c r="B957" s="166" t="s">
        <v>1789</v>
      </c>
      <c r="C957" s="166" t="s">
        <v>1779</v>
      </c>
      <c r="D957" s="166" t="s">
        <v>1790</v>
      </c>
      <c r="E957" s="166" t="s">
        <v>1791</v>
      </c>
      <c r="F957" s="167">
        <v>42522</v>
      </c>
      <c r="G957" s="167">
        <v>44348</v>
      </c>
      <c r="H957" s="168">
        <v>6000</v>
      </c>
    </row>
    <row r="958" spans="1:8" ht="13.7" customHeight="1" x14ac:dyDescent="0.25">
      <c r="A958" s="166" t="s">
        <v>1792</v>
      </c>
      <c r="B958" s="166" t="s">
        <v>1789</v>
      </c>
      <c r="C958" s="166" t="s">
        <v>1779</v>
      </c>
      <c r="D958" s="166" t="s">
        <v>1793</v>
      </c>
      <c r="E958" s="166" t="s">
        <v>1794</v>
      </c>
      <c r="F958" s="167">
        <v>43240</v>
      </c>
      <c r="G958" s="167">
        <v>43708</v>
      </c>
      <c r="H958" s="168">
        <v>14445</v>
      </c>
    </row>
    <row r="959" spans="1:8" ht="13.7" customHeight="1" x14ac:dyDescent="0.25">
      <c r="A959" s="166" t="s">
        <v>1792</v>
      </c>
      <c r="B959" s="166" t="s">
        <v>1789</v>
      </c>
      <c r="C959" s="166" t="s">
        <v>1779</v>
      </c>
      <c r="D959" s="166" t="s">
        <v>1793</v>
      </c>
      <c r="E959" s="166" t="s">
        <v>1794</v>
      </c>
      <c r="F959" s="167">
        <v>43240</v>
      </c>
      <c r="G959" s="167">
        <v>43708</v>
      </c>
      <c r="H959" s="168">
        <v>5555</v>
      </c>
    </row>
    <row r="960" spans="1:8" ht="13.7" customHeight="1" x14ac:dyDescent="0.25">
      <c r="A960" s="166" t="s">
        <v>1795</v>
      </c>
      <c r="B960" s="166" t="s">
        <v>1789</v>
      </c>
      <c r="C960" s="166" t="s">
        <v>1779</v>
      </c>
      <c r="D960" s="166" t="s">
        <v>1796</v>
      </c>
      <c r="E960" s="166" t="s">
        <v>1797</v>
      </c>
      <c r="F960" s="167">
        <v>43705</v>
      </c>
      <c r="G960" s="167">
        <v>43830</v>
      </c>
      <c r="H960" s="168">
        <v>-1</v>
      </c>
    </row>
    <row r="961" spans="1:8" ht="13.7" customHeight="1" x14ac:dyDescent="0.25">
      <c r="A961" s="166" t="s">
        <v>1795</v>
      </c>
      <c r="B961" s="166" t="s">
        <v>1789</v>
      </c>
      <c r="C961" s="166" t="s">
        <v>1779</v>
      </c>
      <c r="D961" s="166" t="s">
        <v>1796</v>
      </c>
      <c r="E961" s="166" t="s">
        <v>1797</v>
      </c>
      <c r="F961" s="167">
        <v>43705</v>
      </c>
      <c r="G961" s="167">
        <v>43830</v>
      </c>
      <c r="H961" s="168">
        <v>2276</v>
      </c>
    </row>
    <row r="962" spans="1:8" ht="13.7" customHeight="1" x14ac:dyDescent="0.25">
      <c r="A962" s="166" t="s">
        <v>1798</v>
      </c>
      <c r="B962" s="166" t="s">
        <v>1789</v>
      </c>
      <c r="C962" s="166" t="s">
        <v>1779</v>
      </c>
      <c r="D962" s="166" t="s">
        <v>1799</v>
      </c>
      <c r="E962" s="166" t="s">
        <v>1800</v>
      </c>
      <c r="F962" s="167">
        <v>43739</v>
      </c>
      <c r="G962" s="167">
        <v>44439</v>
      </c>
      <c r="H962" s="168">
        <v>18000</v>
      </c>
    </row>
    <row r="963" spans="1:8" ht="13.7" customHeight="1" x14ac:dyDescent="0.25">
      <c r="A963" s="166" t="s">
        <v>1801</v>
      </c>
      <c r="B963" s="166" t="s">
        <v>1789</v>
      </c>
      <c r="C963" s="166" t="s">
        <v>1779</v>
      </c>
      <c r="D963" s="166" t="s">
        <v>1802</v>
      </c>
      <c r="E963" s="166" t="s">
        <v>1803</v>
      </c>
      <c r="F963" s="167">
        <v>43647</v>
      </c>
      <c r="G963" s="167">
        <v>44377</v>
      </c>
      <c r="H963" s="168">
        <v>316732</v>
      </c>
    </row>
    <row r="964" spans="1:8" ht="13.7" customHeight="1" x14ac:dyDescent="0.25">
      <c r="A964" s="166" t="s">
        <v>1801</v>
      </c>
      <c r="B964" s="166" t="s">
        <v>1789</v>
      </c>
      <c r="C964" s="166" t="s">
        <v>1779</v>
      </c>
      <c r="D964" s="166" t="s">
        <v>1802</v>
      </c>
      <c r="E964" s="166" t="s">
        <v>1803</v>
      </c>
      <c r="F964" s="167">
        <v>43647</v>
      </c>
      <c r="G964" s="167">
        <v>44377</v>
      </c>
      <c r="H964" s="168">
        <v>3268</v>
      </c>
    </row>
    <row r="965" spans="1:8" ht="13.7" customHeight="1" x14ac:dyDescent="0.25">
      <c r="A965" s="166" t="s">
        <v>1804</v>
      </c>
      <c r="B965" s="166" t="s">
        <v>1789</v>
      </c>
      <c r="C965" s="166" t="s">
        <v>1779</v>
      </c>
      <c r="D965" s="166" t="s">
        <v>1805</v>
      </c>
      <c r="E965" s="166" t="s">
        <v>1806</v>
      </c>
      <c r="F965" s="167">
        <v>43748</v>
      </c>
      <c r="G965" s="167">
        <v>44316</v>
      </c>
      <c r="H965" s="168">
        <v>4127</v>
      </c>
    </row>
    <row r="966" spans="1:8" ht="13.7" customHeight="1" x14ac:dyDescent="0.25">
      <c r="A966" s="166" t="s">
        <v>1804</v>
      </c>
      <c r="B966" s="166" t="s">
        <v>1789</v>
      </c>
      <c r="C966" s="166" t="s">
        <v>1779</v>
      </c>
      <c r="D966" s="166" t="s">
        <v>1805</v>
      </c>
      <c r="E966" s="166" t="s">
        <v>1806</v>
      </c>
      <c r="F966" s="167">
        <v>43748</v>
      </c>
      <c r="G966" s="167">
        <v>44316</v>
      </c>
      <c r="H966" s="168">
        <v>15873</v>
      </c>
    </row>
    <row r="967" spans="1:8" ht="13.7" customHeight="1" x14ac:dyDescent="0.25">
      <c r="A967" s="166" t="s">
        <v>1807</v>
      </c>
      <c r="B967" s="166" t="s">
        <v>1789</v>
      </c>
      <c r="C967" s="166" t="s">
        <v>1779</v>
      </c>
      <c r="D967" s="166" t="s">
        <v>1808</v>
      </c>
      <c r="E967" s="166" t="s">
        <v>1024</v>
      </c>
      <c r="F967" s="167">
        <v>43556</v>
      </c>
      <c r="G967" s="167">
        <v>45382</v>
      </c>
      <c r="H967" s="168">
        <v>3333</v>
      </c>
    </row>
    <row r="968" spans="1:8" ht="13.7" customHeight="1" x14ac:dyDescent="0.25">
      <c r="A968" s="166" t="s">
        <v>1807</v>
      </c>
      <c r="B968" s="166" t="s">
        <v>1789</v>
      </c>
      <c r="C968" s="166" t="s">
        <v>1779</v>
      </c>
      <c r="D968" s="166" t="s">
        <v>1808</v>
      </c>
      <c r="E968" s="166" t="s">
        <v>1024</v>
      </c>
      <c r="F968" s="167">
        <v>43556</v>
      </c>
      <c r="G968" s="167">
        <v>45382</v>
      </c>
      <c r="H968" s="168">
        <v>41667</v>
      </c>
    </row>
    <row r="969" spans="1:8" ht="13.7" customHeight="1" x14ac:dyDescent="0.25">
      <c r="A969" s="166" t="s">
        <v>1809</v>
      </c>
      <c r="B969" s="166" t="s">
        <v>1789</v>
      </c>
      <c r="C969" s="166" t="s">
        <v>1779</v>
      </c>
      <c r="D969" s="166" t="s">
        <v>1810</v>
      </c>
      <c r="E969" s="166" t="s">
        <v>1811</v>
      </c>
      <c r="F969" s="167">
        <v>43738</v>
      </c>
      <c r="G969" s="167">
        <v>44043</v>
      </c>
      <c r="H969" s="168">
        <v>30000</v>
      </c>
    </row>
    <row r="970" spans="1:8" ht="13.7" customHeight="1" x14ac:dyDescent="0.25">
      <c r="A970" s="166" t="s">
        <v>1812</v>
      </c>
      <c r="B970" s="166" t="s">
        <v>1789</v>
      </c>
      <c r="C970" s="166" t="s">
        <v>1779</v>
      </c>
      <c r="D970" s="166" t="s">
        <v>1813</v>
      </c>
      <c r="E970" s="166" t="s">
        <v>558</v>
      </c>
      <c r="F970" s="167">
        <v>42185</v>
      </c>
      <c r="G970" s="167">
        <v>43921</v>
      </c>
      <c r="H970" s="168">
        <v>5000</v>
      </c>
    </row>
    <row r="971" spans="1:8" ht="13.7" customHeight="1" x14ac:dyDescent="0.25">
      <c r="A971" s="166" t="s">
        <v>1814</v>
      </c>
      <c r="B971" s="166" t="s">
        <v>1789</v>
      </c>
      <c r="C971" s="166" t="s">
        <v>1779</v>
      </c>
      <c r="D971" s="166" t="s">
        <v>1815</v>
      </c>
      <c r="E971" s="166" t="s">
        <v>1732</v>
      </c>
      <c r="F971" s="167">
        <v>42634</v>
      </c>
      <c r="G971" s="167">
        <v>44459</v>
      </c>
      <c r="H971" s="168">
        <v>60000</v>
      </c>
    </row>
    <row r="972" spans="1:8" ht="13.7" customHeight="1" x14ac:dyDescent="0.25">
      <c r="A972" s="166" t="s">
        <v>1816</v>
      </c>
      <c r="B972" s="166" t="s">
        <v>1789</v>
      </c>
      <c r="C972" s="166" t="s">
        <v>1779</v>
      </c>
      <c r="D972" s="166" t="s">
        <v>1817</v>
      </c>
      <c r="E972" s="166" t="s">
        <v>1818</v>
      </c>
      <c r="F972" s="167">
        <v>42917</v>
      </c>
      <c r="G972" s="167">
        <v>43646</v>
      </c>
      <c r="H972" s="168">
        <v>10000</v>
      </c>
    </row>
    <row r="973" spans="1:8" ht="13.7" customHeight="1" x14ac:dyDescent="0.25">
      <c r="A973" s="166" t="s">
        <v>1819</v>
      </c>
      <c r="B973" s="166" t="s">
        <v>1789</v>
      </c>
      <c r="C973" s="166" t="s">
        <v>1779</v>
      </c>
      <c r="D973" s="166" t="s">
        <v>1820</v>
      </c>
      <c r="E973" s="166" t="s">
        <v>536</v>
      </c>
      <c r="F973" s="167">
        <v>43647</v>
      </c>
      <c r="G973" s="167">
        <v>44104</v>
      </c>
      <c r="H973" s="168">
        <v>31359</v>
      </c>
    </row>
    <row r="974" spans="1:8" ht="13.7" customHeight="1" x14ac:dyDescent="0.25">
      <c r="A974" s="166" t="s">
        <v>1821</v>
      </c>
      <c r="B974" s="166" t="s">
        <v>1789</v>
      </c>
      <c r="C974" s="166" t="s">
        <v>1779</v>
      </c>
      <c r="D974" s="166" t="s">
        <v>1822</v>
      </c>
      <c r="E974" s="166" t="s">
        <v>1402</v>
      </c>
      <c r="F974" s="167">
        <v>43922</v>
      </c>
      <c r="G974" s="167">
        <v>44500</v>
      </c>
      <c r="H974" s="168">
        <v>36348</v>
      </c>
    </row>
    <row r="975" spans="1:8" ht="13.7" customHeight="1" x14ac:dyDescent="0.25">
      <c r="A975" s="166" t="s">
        <v>1823</v>
      </c>
      <c r="B975" s="166" t="s">
        <v>1824</v>
      </c>
      <c r="C975" s="166" t="s">
        <v>1779</v>
      </c>
      <c r="D975" s="166" t="s">
        <v>1825</v>
      </c>
      <c r="E975" s="166" t="s">
        <v>558</v>
      </c>
      <c r="F975" s="167">
        <v>43600</v>
      </c>
      <c r="G975" s="167">
        <v>44127</v>
      </c>
      <c r="H975" s="168">
        <v>49703</v>
      </c>
    </row>
    <row r="976" spans="1:8" ht="13.7" customHeight="1" x14ac:dyDescent="0.25">
      <c r="A976" s="166" t="s">
        <v>1826</v>
      </c>
      <c r="B976" s="166" t="s">
        <v>1824</v>
      </c>
      <c r="C976" s="166" t="s">
        <v>1779</v>
      </c>
      <c r="D976" s="166" t="s">
        <v>1827</v>
      </c>
      <c r="E976" s="166" t="s">
        <v>558</v>
      </c>
      <c r="F976" s="167">
        <v>43600</v>
      </c>
      <c r="G976" s="167">
        <v>43830</v>
      </c>
      <c r="H976" s="168">
        <v>14712</v>
      </c>
    </row>
    <row r="977" spans="1:8" ht="13.7" customHeight="1" x14ac:dyDescent="0.25">
      <c r="A977" s="166" t="s">
        <v>1826</v>
      </c>
      <c r="B977" s="166" t="s">
        <v>1824</v>
      </c>
      <c r="C977" s="166" t="s">
        <v>1779</v>
      </c>
      <c r="D977" s="166" t="s">
        <v>1827</v>
      </c>
      <c r="E977" s="166" t="s">
        <v>558</v>
      </c>
      <c r="F977" s="167">
        <v>43600</v>
      </c>
      <c r="G977" s="167">
        <v>43830</v>
      </c>
      <c r="H977" s="168">
        <v>288</v>
      </c>
    </row>
    <row r="978" spans="1:8" ht="13.7" customHeight="1" x14ac:dyDescent="0.25">
      <c r="A978" s="166" t="s">
        <v>1828</v>
      </c>
      <c r="B978" s="166" t="s">
        <v>1824</v>
      </c>
      <c r="C978" s="166" t="s">
        <v>1779</v>
      </c>
      <c r="D978" s="166" t="s">
        <v>1829</v>
      </c>
      <c r="E978" s="166" t="s">
        <v>558</v>
      </c>
      <c r="F978" s="167">
        <v>43678</v>
      </c>
      <c r="G978" s="167">
        <v>43921</v>
      </c>
      <c r="H978" s="168">
        <v>6931</v>
      </c>
    </row>
    <row r="979" spans="1:8" ht="13.7" customHeight="1" x14ac:dyDescent="0.25">
      <c r="A979" s="166" t="s">
        <v>1828</v>
      </c>
      <c r="B979" s="166" t="s">
        <v>1824</v>
      </c>
      <c r="C979" s="166" t="s">
        <v>1779</v>
      </c>
      <c r="D979" s="166" t="s">
        <v>1829</v>
      </c>
      <c r="E979" s="166" t="s">
        <v>558</v>
      </c>
      <c r="F979" s="167">
        <v>43678</v>
      </c>
      <c r="G979" s="167">
        <v>43921</v>
      </c>
      <c r="H979" s="168">
        <v>2122</v>
      </c>
    </row>
    <row r="980" spans="1:8" ht="13.7" customHeight="1" x14ac:dyDescent="0.25">
      <c r="A980" s="166" t="s">
        <v>1830</v>
      </c>
      <c r="B980" s="166" t="s">
        <v>1831</v>
      </c>
      <c r="C980" s="166" t="s">
        <v>1779</v>
      </c>
      <c r="D980" s="166" t="s">
        <v>1832</v>
      </c>
      <c r="E980" s="166" t="s">
        <v>1732</v>
      </c>
      <c r="F980" s="167">
        <v>43000</v>
      </c>
      <c r="G980" s="167">
        <v>44825</v>
      </c>
      <c r="H980" s="168">
        <v>30000</v>
      </c>
    </row>
    <row r="981" spans="1:8" ht="13.7" customHeight="1" x14ac:dyDescent="0.25">
      <c r="A981" s="166" t="s">
        <v>1833</v>
      </c>
      <c r="B981" s="166" t="s">
        <v>1831</v>
      </c>
      <c r="C981" s="166" t="s">
        <v>1779</v>
      </c>
      <c r="D981" s="166" t="s">
        <v>1834</v>
      </c>
      <c r="E981" s="166" t="s">
        <v>1402</v>
      </c>
      <c r="F981" s="167">
        <v>43922</v>
      </c>
      <c r="G981" s="167">
        <v>37560</v>
      </c>
      <c r="H981" s="168">
        <v>8088</v>
      </c>
    </row>
    <row r="982" spans="1:8" ht="13.7" customHeight="1" x14ac:dyDescent="0.25">
      <c r="A982" s="166" t="s">
        <v>1833</v>
      </c>
      <c r="B982" s="166" t="s">
        <v>1831</v>
      </c>
      <c r="C982" s="166" t="s">
        <v>1779</v>
      </c>
      <c r="D982" s="166" t="s">
        <v>1834</v>
      </c>
      <c r="E982" s="166" t="s">
        <v>1402</v>
      </c>
      <c r="F982" s="167">
        <v>43922</v>
      </c>
      <c r="G982" s="167">
        <v>37560</v>
      </c>
      <c r="H982" s="168">
        <v>4299</v>
      </c>
    </row>
    <row r="983" spans="1:8" ht="13.7" customHeight="1" x14ac:dyDescent="0.25">
      <c r="A983" s="166" t="s">
        <v>1835</v>
      </c>
      <c r="B983" s="166" t="s">
        <v>1836</v>
      </c>
      <c r="C983" s="166" t="s">
        <v>1779</v>
      </c>
      <c r="D983" s="166" t="s">
        <v>1837</v>
      </c>
      <c r="E983" s="166" t="s">
        <v>1838</v>
      </c>
      <c r="F983" s="167">
        <v>43374</v>
      </c>
      <c r="G983" s="167">
        <v>44104</v>
      </c>
      <c r="H983" s="168">
        <v>79794</v>
      </c>
    </row>
    <row r="984" spans="1:8" ht="13.7" customHeight="1" x14ac:dyDescent="0.25">
      <c r="A984" s="166" t="s">
        <v>1835</v>
      </c>
      <c r="B984" s="166" t="s">
        <v>1836</v>
      </c>
      <c r="C984" s="166" t="s">
        <v>1779</v>
      </c>
      <c r="D984" s="166" t="s">
        <v>1837</v>
      </c>
      <c r="E984" s="166" t="s">
        <v>1838</v>
      </c>
      <c r="F984" s="167">
        <v>43374</v>
      </c>
      <c r="G984" s="167">
        <v>44104</v>
      </c>
      <c r="H984" s="168">
        <v>30831</v>
      </c>
    </row>
    <row r="985" spans="1:8" ht="13.7" customHeight="1" x14ac:dyDescent="0.25">
      <c r="A985" s="166" t="s">
        <v>1839</v>
      </c>
      <c r="B985" s="166" t="s">
        <v>1836</v>
      </c>
      <c r="C985" s="166" t="s">
        <v>1779</v>
      </c>
      <c r="D985" s="166" t="s">
        <v>1840</v>
      </c>
      <c r="E985" s="166" t="s">
        <v>1838</v>
      </c>
      <c r="F985" s="167">
        <v>43374</v>
      </c>
      <c r="G985" s="167">
        <v>44469</v>
      </c>
      <c r="H985" s="168">
        <v>22816</v>
      </c>
    </row>
    <row r="986" spans="1:8" ht="13.7" customHeight="1" x14ac:dyDescent="0.25">
      <c r="A986" s="166" t="s">
        <v>1839</v>
      </c>
      <c r="B986" s="166" t="s">
        <v>1836</v>
      </c>
      <c r="C986" s="166" t="s">
        <v>1779</v>
      </c>
      <c r="D986" s="166" t="s">
        <v>1840</v>
      </c>
      <c r="E986" s="166" t="s">
        <v>1838</v>
      </c>
      <c r="F986" s="167">
        <v>43374</v>
      </c>
      <c r="G986" s="167">
        <v>44469</v>
      </c>
      <c r="H986" s="168">
        <v>82051</v>
      </c>
    </row>
    <row r="987" spans="1:8" ht="13.7" customHeight="1" x14ac:dyDescent="0.25">
      <c r="A987" s="166" t="s">
        <v>1839</v>
      </c>
      <c r="B987" s="166" t="s">
        <v>1836</v>
      </c>
      <c r="C987" s="166" t="s">
        <v>1779</v>
      </c>
      <c r="D987" s="166" t="s">
        <v>1840</v>
      </c>
      <c r="E987" s="166" t="s">
        <v>1838</v>
      </c>
      <c r="F987" s="167">
        <v>43374</v>
      </c>
      <c r="G987" s="167">
        <v>44469</v>
      </c>
      <c r="H987" s="168">
        <v>5703</v>
      </c>
    </row>
    <row r="988" spans="1:8" ht="13.7" customHeight="1" x14ac:dyDescent="0.25">
      <c r="A988" s="166" t="s">
        <v>1841</v>
      </c>
      <c r="B988" s="166" t="s">
        <v>1836</v>
      </c>
      <c r="C988" s="166" t="s">
        <v>1779</v>
      </c>
      <c r="D988" s="166" t="s">
        <v>1842</v>
      </c>
      <c r="E988" s="166" t="s">
        <v>1732</v>
      </c>
      <c r="F988" s="167">
        <v>43739</v>
      </c>
      <c r="G988" s="167">
        <v>44195</v>
      </c>
      <c r="H988" s="168">
        <v>14217</v>
      </c>
    </row>
    <row r="989" spans="1:8" ht="13.7" customHeight="1" x14ac:dyDescent="0.25">
      <c r="A989" s="166" t="s">
        <v>1841</v>
      </c>
      <c r="B989" s="166" t="s">
        <v>1836</v>
      </c>
      <c r="C989" s="166" t="s">
        <v>1779</v>
      </c>
      <c r="D989" s="166" t="s">
        <v>1842</v>
      </c>
      <c r="E989" s="166" t="s">
        <v>1732</v>
      </c>
      <c r="F989" s="167">
        <v>43739</v>
      </c>
      <c r="G989" s="167">
        <v>44195</v>
      </c>
      <c r="H989" s="168">
        <v>-56003</v>
      </c>
    </row>
    <row r="990" spans="1:8" ht="13.7" customHeight="1" x14ac:dyDescent="0.25">
      <c r="A990" s="166" t="s">
        <v>1841</v>
      </c>
      <c r="B990" s="166" t="s">
        <v>1836</v>
      </c>
      <c r="C990" s="166" t="s">
        <v>1779</v>
      </c>
      <c r="D990" s="166" t="s">
        <v>1842</v>
      </c>
      <c r="E990" s="166" t="s">
        <v>1732</v>
      </c>
      <c r="F990" s="167">
        <v>43739</v>
      </c>
      <c r="G990" s="167">
        <v>44195</v>
      </c>
      <c r="H990" s="168">
        <v>56003</v>
      </c>
    </row>
    <row r="991" spans="1:8" ht="13.7" customHeight="1" x14ac:dyDescent="0.25">
      <c r="A991" s="166" t="s">
        <v>1841</v>
      </c>
      <c r="B991" s="166" t="s">
        <v>1836</v>
      </c>
      <c r="C991" s="166" t="s">
        <v>1779</v>
      </c>
      <c r="D991" s="166" t="s">
        <v>1842</v>
      </c>
      <c r="E991" s="166" t="s">
        <v>1732</v>
      </c>
      <c r="F991" s="167">
        <v>43739</v>
      </c>
      <c r="G991" s="167">
        <v>44195</v>
      </c>
      <c r="H991" s="168">
        <v>116721</v>
      </c>
    </row>
    <row r="992" spans="1:8" ht="13.7" customHeight="1" x14ac:dyDescent="0.25">
      <c r="A992" s="166" t="s">
        <v>1841</v>
      </c>
      <c r="B992" s="166" t="s">
        <v>1836</v>
      </c>
      <c r="C992" s="166" t="s">
        <v>1779</v>
      </c>
      <c r="D992" s="166" t="s">
        <v>1842</v>
      </c>
      <c r="E992" s="166" t="s">
        <v>1732</v>
      </c>
      <c r="F992" s="167">
        <v>43739</v>
      </c>
      <c r="G992" s="167">
        <v>44195</v>
      </c>
      <c r="H992" s="168">
        <v>124980</v>
      </c>
    </row>
    <row r="993" spans="1:8" ht="13.7" customHeight="1" x14ac:dyDescent="0.25">
      <c r="A993" s="166" t="s">
        <v>1843</v>
      </c>
      <c r="B993" s="166" t="s">
        <v>1836</v>
      </c>
      <c r="C993" s="166" t="s">
        <v>1779</v>
      </c>
      <c r="D993" s="166" t="s">
        <v>1844</v>
      </c>
      <c r="E993" s="166" t="s">
        <v>1732</v>
      </c>
      <c r="F993" s="167">
        <v>43739</v>
      </c>
      <c r="G993" s="167">
        <v>44196</v>
      </c>
      <c r="H993" s="168">
        <v>34499.550000000003</v>
      </c>
    </row>
    <row r="994" spans="1:8" ht="13.7" customHeight="1" x14ac:dyDescent="0.25">
      <c r="A994" s="166" t="s">
        <v>1843</v>
      </c>
      <c r="B994" s="166" t="s">
        <v>1836</v>
      </c>
      <c r="C994" s="166" t="s">
        <v>1779</v>
      </c>
      <c r="D994" s="166" t="s">
        <v>1844</v>
      </c>
      <c r="E994" s="166" t="s">
        <v>1732</v>
      </c>
      <c r="F994" s="167">
        <v>43739</v>
      </c>
      <c r="G994" s="167">
        <v>44196</v>
      </c>
      <c r="H994" s="168">
        <v>224102</v>
      </c>
    </row>
    <row r="995" spans="1:8" ht="13.7" customHeight="1" x14ac:dyDescent="0.25">
      <c r="A995" s="166" t="s">
        <v>1845</v>
      </c>
      <c r="B995" s="166" t="s">
        <v>1836</v>
      </c>
      <c r="C995" s="166" t="s">
        <v>1779</v>
      </c>
      <c r="D995" s="166" t="s">
        <v>1846</v>
      </c>
      <c r="E995" s="166" t="s">
        <v>1732</v>
      </c>
      <c r="F995" s="167">
        <v>43739</v>
      </c>
      <c r="G995" s="167">
        <v>44196</v>
      </c>
      <c r="H995" s="168">
        <v>225151.06</v>
      </c>
    </row>
    <row r="996" spans="1:8" ht="13.7" customHeight="1" x14ac:dyDescent="0.25">
      <c r="A996" s="166" t="s">
        <v>1845</v>
      </c>
      <c r="B996" s="166" t="s">
        <v>1836</v>
      </c>
      <c r="C996" s="166" t="s">
        <v>1779</v>
      </c>
      <c r="D996" s="166" t="s">
        <v>1846</v>
      </c>
      <c r="E996" s="166" t="s">
        <v>1732</v>
      </c>
      <c r="F996" s="167">
        <v>43739</v>
      </c>
      <c r="G996" s="167">
        <v>44196</v>
      </c>
      <c r="H996" s="168">
        <v>234549</v>
      </c>
    </row>
    <row r="997" spans="1:8" ht="13.7" customHeight="1" x14ac:dyDescent="0.25">
      <c r="A997" s="166" t="s">
        <v>1847</v>
      </c>
      <c r="B997" s="166" t="s">
        <v>1836</v>
      </c>
      <c r="C997" s="166" t="s">
        <v>1779</v>
      </c>
      <c r="D997" s="166" t="s">
        <v>1848</v>
      </c>
      <c r="E997" s="166" t="s">
        <v>1732</v>
      </c>
      <c r="F997" s="167">
        <v>43739</v>
      </c>
      <c r="G997" s="167">
        <v>44652</v>
      </c>
      <c r="H997" s="168">
        <v>322994</v>
      </c>
    </row>
    <row r="998" spans="1:8" ht="13.7" customHeight="1" x14ac:dyDescent="0.25">
      <c r="A998" s="166" t="s">
        <v>1847</v>
      </c>
      <c r="B998" s="166" t="s">
        <v>1836</v>
      </c>
      <c r="C998" s="166" t="s">
        <v>1779</v>
      </c>
      <c r="D998" s="166" t="s">
        <v>1848</v>
      </c>
      <c r="E998" s="166" t="s">
        <v>1732</v>
      </c>
      <c r="F998" s="167">
        <v>43739</v>
      </c>
      <c r="G998" s="167">
        <v>44652</v>
      </c>
      <c r="H998" s="168">
        <v>27006</v>
      </c>
    </row>
    <row r="999" spans="1:8" ht="13.7" customHeight="1" x14ac:dyDescent="0.25">
      <c r="A999" s="166" t="s">
        <v>1849</v>
      </c>
      <c r="B999" s="166" t="s">
        <v>1836</v>
      </c>
      <c r="C999" s="166" t="s">
        <v>1779</v>
      </c>
      <c r="D999" s="166" t="s">
        <v>1850</v>
      </c>
      <c r="E999" s="166" t="s">
        <v>1732</v>
      </c>
      <c r="F999" s="167">
        <v>43739</v>
      </c>
      <c r="G999" s="167">
        <v>44287</v>
      </c>
      <c r="H999" s="168">
        <v>30952</v>
      </c>
    </row>
    <row r="1000" spans="1:8" ht="13.7" customHeight="1" x14ac:dyDescent="0.25">
      <c r="A1000" s="166" t="s">
        <v>1849</v>
      </c>
      <c r="B1000" s="166" t="s">
        <v>1836</v>
      </c>
      <c r="C1000" s="166" t="s">
        <v>1779</v>
      </c>
      <c r="D1000" s="166" t="s">
        <v>1850</v>
      </c>
      <c r="E1000" s="166" t="s">
        <v>1732</v>
      </c>
      <c r="F1000" s="167">
        <v>43739</v>
      </c>
      <c r="G1000" s="167">
        <v>44287</v>
      </c>
      <c r="H1000" s="168">
        <v>119048</v>
      </c>
    </row>
    <row r="1001" spans="1:8" ht="13.7" customHeight="1" x14ac:dyDescent="0.25">
      <c r="A1001" s="166" t="s">
        <v>1851</v>
      </c>
      <c r="B1001" s="166" t="s">
        <v>1836</v>
      </c>
      <c r="C1001" s="166" t="s">
        <v>1779</v>
      </c>
      <c r="D1001" s="166" t="s">
        <v>1852</v>
      </c>
      <c r="E1001" s="166" t="s">
        <v>1732</v>
      </c>
      <c r="F1001" s="167">
        <v>43739</v>
      </c>
      <c r="G1001" s="167">
        <v>44287</v>
      </c>
      <c r="H1001" s="168">
        <v>60500</v>
      </c>
    </row>
    <row r="1002" spans="1:8" ht="13.7" customHeight="1" x14ac:dyDescent="0.25">
      <c r="A1002" s="166" t="s">
        <v>1853</v>
      </c>
      <c r="B1002" s="166" t="s">
        <v>1836</v>
      </c>
      <c r="C1002" s="166" t="s">
        <v>1779</v>
      </c>
      <c r="D1002" s="166" t="s">
        <v>1854</v>
      </c>
      <c r="E1002" s="166" t="s">
        <v>1732</v>
      </c>
      <c r="F1002" s="167">
        <v>43739</v>
      </c>
      <c r="G1002" s="167">
        <v>44287</v>
      </c>
      <c r="H1002" s="168">
        <v>234705</v>
      </c>
    </row>
    <row r="1003" spans="1:8" ht="13.7" customHeight="1" x14ac:dyDescent="0.25">
      <c r="A1003" s="166" t="s">
        <v>1853</v>
      </c>
      <c r="B1003" s="166" t="s">
        <v>1836</v>
      </c>
      <c r="C1003" s="166" t="s">
        <v>1779</v>
      </c>
      <c r="D1003" s="166" t="s">
        <v>1854</v>
      </c>
      <c r="E1003" s="166" t="s">
        <v>1732</v>
      </c>
      <c r="F1003" s="167">
        <v>43739</v>
      </c>
      <c r="G1003" s="167">
        <v>44287</v>
      </c>
      <c r="H1003" s="168">
        <v>114795</v>
      </c>
    </row>
    <row r="1004" spans="1:8" ht="13.7" customHeight="1" x14ac:dyDescent="0.25">
      <c r="A1004" s="166" t="s">
        <v>1855</v>
      </c>
      <c r="B1004" s="166" t="s">
        <v>1836</v>
      </c>
      <c r="C1004" s="166" t="s">
        <v>1779</v>
      </c>
      <c r="D1004" s="166" t="s">
        <v>1856</v>
      </c>
      <c r="E1004" s="166" t="s">
        <v>1732</v>
      </c>
      <c r="F1004" s="167">
        <v>43739</v>
      </c>
      <c r="G1004" s="167">
        <v>44287</v>
      </c>
      <c r="H1004" s="168">
        <v>56972</v>
      </c>
    </row>
    <row r="1005" spans="1:8" ht="13.7" customHeight="1" x14ac:dyDescent="0.25">
      <c r="A1005" s="166" t="s">
        <v>1855</v>
      </c>
      <c r="B1005" s="166" t="s">
        <v>1836</v>
      </c>
      <c r="C1005" s="166" t="s">
        <v>1779</v>
      </c>
      <c r="D1005" s="166" t="s">
        <v>1856</v>
      </c>
      <c r="E1005" s="166" t="s">
        <v>1732</v>
      </c>
      <c r="F1005" s="167">
        <v>43739</v>
      </c>
      <c r="G1005" s="167">
        <v>44287</v>
      </c>
      <c r="H1005" s="168">
        <v>26078</v>
      </c>
    </row>
    <row r="1006" spans="1:8" ht="13.7" customHeight="1" x14ac:dyDescent="0.25">
      <c r="A1006" s="166" t="s">
        <v>1857</v>
      </c>
      <c r="B1006" s="166" t="s">
        <v>1836</v>
      </c>
      <c r="C1006" s="166" t="s">
        <v>1779</v>
      </c>
      <c r="D1006" s="166" t="s">
        <v>1858</v>
      </c>
      <c r="E1006" s="166" t="s">
        <v>1732</v>
      </c>
      <c r="F1006" s="167">
        <v>43739</v>
      </c>
      <c r="G1006" s="167">
        <v>44287</v>
      </c>
      <c r="H1006" s="168">
        <v>113400</v>
      </c>
    </row>
    <row r="1007" spans="1:8" ht="13.7" customHeight="1" x14ac:dyDescent="0.25">
      <c r="A1007" s="166" t="s">
        <v>1859</v>
      </c>
      <c r="B1007" s="166" t="s">
        <v>1836</v>
      </c>
      <c r="C1007" s="166" t="s">
        <v>1779</v>
      </c>
      <c r="D1007" s="166" t="s">
        <v>1860</v>
      </c>
      <c r="E1007" s="166" t="s">
        <v>1732</v>
      </c>
      <c r="F1007" s="167">
        <v>43739</v>
      </c>
      <c r="G1007" s="167">
        <v>44287</v>
      </c>
      <c r="H1007" s="168">
        <v>395550</v>
      </c>
    </row>
    <row r="1008" spans="1:8" ht="13.7" customHeight="1" x14ac:dyDescent="0.25">
      <c r="A1008" s="166" t="s">
        <v>1859</v>
      </c>
      <c r="B1008" s="166" t="s">
        <v>1836</v>
      </c>
      <c r="C1008" s="166" t="s">
        <v>1779</v>
      </c>
      <c r="D1008" s="166" t="s">
        <v>1860</v>
      </c>
      <c r="E1008" s="166" t="s">
        <v>1732</v>
      </c>
      <c r="F1008" s="167">
        <v>43739</v>
      </c>
      <c r="G1008" s="167">
        <v>44287</v>
      </c>
      <c r="H1008" s="168">
        <v>15450</v>
      </c>
    </row>
    <row r="1009" spans="1:8" ht="13.7" customHeight="1" x14ac:dyDescent="0.25">
      <c r="A1009" s="166" t="s">
        <v>1861</v>
      </c>
      <c r="B1009" s="166" t="s">
        <v>1836</v>
      </c>
      <c r="C1009" s="166" t="s">
        <v>1779</v>
      </c>
      <c r="D1009" s="166" t="s">
        <v>1862</v>
      </c>
      <c r="E1009" s="166" t="s">
        <v>1732</v>
      </c>
      <c r="F1009" s="167">
        <v>43739</v>
      </c>
      <c r="G1009" s="167">
        <v>44287</v>
      </c>
      <c r="H1009" s="168">
        <v>242000</v>
      </c>
    </row>
    <row r="1010" spans="1:8" ht="13.7" customHeight="1" x14ac:dyDescent="0.25">
      <c r="A1010" s="166" t="s">
        <v>1863</v>
      </c>
      <c r="B1010" s="166" t="s">
        <v>1836</v>
      </c>
      <c r="C1010" s="166" t="s">
        <v>1779</v>
      </c>
      <c r="D1010" s="166" t="s">
        <v>1864</v>
      </c>
      <c r="E1010" s="166" t="s">
        <v>1732</v>
      </c>
      <c r="F1010" s="167">
        <v>43739</v>
      </c>
      <c r="G1010" s="167">
        <v>44196</v>
      </c>
      <c r="H1010" s="168">
        <v>15965</v>
      </c>
    </row>
    <row r="1011" spans="1:8" ht="13.7" customHeight="1" x14ac:dyDescent="0.25">
      <c r="A1011" s="166" t="s">
        <v>1863</v>
      </c>
      <c r="B1011" s="166" t="s">
        <v>1836</v>
      </c>
      <c r="C1011" s="166" t="s">
        <v>1779</v>
      </c>
      <c r="D1011" s="166" t="s">
        <v>1864</v>
      </c>
      <c r="E1011" s="166" t="s">
        <v>1732</v>
      </c>
      <c r="F1011" s="167">
        <v>43739</v>
      </c>
      <c r="G1011" s="167">
        <v>44196</v>
      </c>
      <c r="H1011" s="168">
        <v>50</v>
      </c>
    </row>
    <row r="1012" spans="1:8" ht="13.7" customHeight="1" x14ac:dyDescent="0.25">
      <c r="A1012" s="166" t="s">
        <v>1865</v>
      </c>
      <c r="B1012" s="166" t="s">
        <v>1836</v>
      </c>
      <c r="C1012" s="166" t="s">
        <v>1779</v>
      </c>
      <c r="D1012" s="166" t="s">
        <v>1866</v>
      </c>
      <c r="E1012" s="166" t="s">
        <v>920</v>
      </c>
      <c r="F1012" s="167">
        <v>43731</v>
      </c>
      <c r="G1012" s="167">
        <v>45557</v>
      </c>
      <c r="H1012" s="168">
        <v>252891</v>
      </c>
    </row>
    <row r="1013" spans="1:8" ht="13.7" customHeight="1" x14ac:dyDescent="0.25">
      <c r="A1013" s="166" t="s">
        <v>1865</v>
      </c>
      <c r="B1013" s="166" t="s">
        <v>1836</v>
      </c>
      <c r="C1013" s="166" t="s">
        <v>1779</v>
      </c>
      <c r="D1013" s="166" t="s">
        <v>1866</v>
      </c>
      <c r="E1013" s="166" t="s">
        <v>920</v>
      </c>
      <c r="F1013" s="167">
        <v>43731</v>
      </c>
      <c r="G1013" s="167">
        <v>45557</v>
      </c>
      <c r="H1013" s="168">
        <v>25300</v>
      </c>
    </row>
    <row r="1014" spans="1:8" ht="13.7" customHeight="1" x14ac:dyDescent="0.25">
      <c r="A1014" s="166" t="s">
        <v>1867</v>
      </c>
      <c r="B1014" s="166" t="s">
        <v>1836</v>
      </c>
      <c r="C1014" s="166" t="s">
        <v>1779</v>
      </c>
      <c r="D1014" s="166" t="s">
        <v>1868</v>
      </c>
      <c r="E1014" s="166" t="s">
        <v>1732</v>
      </c>
      <c r="F1014" s="167">
        <v>43739</v>
      </c>
      <c r="G1014" s="167">
        <v>44287</v>
      </c>
      <c r="H1014" s="168">
        <v>150600</v>
      </c>
    </row>
    <row r="1015" spans="1:8" ht="13.7" customHeight="1" x14ac:dyDescent="0.25">
      <c r="A1015" s="166" t="s">
        <v>1869</v>
      </c>
      <c r="B1015" s="166" t="s">
        <v>1836</v>
      </c>
      <c r="C1015" s="166" t="s">
        <v>1779</v>
      </c>
      <c r="D1015" s="166" t="s">
        <v>1870</v>
      </c>
      <c r="E1015" s="166" t="s">
        <v>1871</v>
      </c>
      <c r="F1015" s="167">
        <v>43739</v>
      </c>
      <c r="G1015" s="167">
        <v>44196</v>
      </c>
      <c r="H1015" s="168">
        <v>48676</v>
      </c>
    </row>
    <row r="1016" spans="1:8" ht="13.7" customHeight="1" x14ac:dyDescent="0.25">
      <c r="A1016" s="166" t="s">
        <v>1869</v>
      </c>
      <c r="B1016" s="166" t="s">
        <v>1836</v>
      </c>
      <c r="C1016" s="166" t="s">
        <v>1779</v>
      </c>
      <c r="D1016" s="166" t="s">
        <v>1870</v>
      </c>
      <c r="E1016" s="166" t="s">
        <v>1871</v>
      </c>
      <c r="F1016" s="167">
        <v>43739</v>
      </c>
      <c r="G1016" s="167">
        <v>44196</v>
      </c>
      <c r="H1016" s="168">
        <v>187216</v>
      </c>
    </row>
    <row r="1017" spans="1:8" ht="13.7" customHeight="1" x14ac:dyDescent="0.25">
      <c r="A1017" s="166" t="s">
        <v>1872</v>
      </c>
      <c r="B1017" s="166" t="s">
        <v>1836</v>
      </c>
      <c r="C1017" s="166" t="s">
        <v>1779</v>
      </c>
      <c r="D1017" s="166" t="s">
        <v>1873</v>
      </c>
      <c r="E1017" s="166" t="s">
        <v>1871</v>
      </c>
      <c r="F1017" s="167">
        <v>43739</v>
      </c>
      <c r="G1017" s="167">
        <v>44196</v>
      </c>
      <c r="H1017" s="168">
        <v>172379</v>
      </c>
    </row>
    <row r="1018" spans="1:8" ht="13.7" customHeight="1" x14ac:dyDescent="0.25">
      <c r="A1018" s="166" t="s">
        <v>1872</v>
      </c>
      <c r="B1018" s="166" t="s">
        <v>1836</v>
      </c>
      <c r="C1018" s="166" t="s">
        <v>1779</v>
      </c>
      <c r="D1018" s="166" t="s">
        <v>1873</v>
      </c>
      <c r="E1018" s="166" t="s">
        <v>1871</v>
      </c>
      <c r="F1018" s="167">
        <v>43739</v>
      </c>
      <c r="G1018" s="167">
        <v>44196</v>
      </c>
      <c r="H1018" s="168">
        <v>27757</v>
      </c>
    </row>
    <row r="1019" spans="1:8" ht="13.7" customHeight="1" x14ac:dyDescent="0.25">
      <c r="A1019" s="166" t="s">
        <v>1874</v>
      </c>
      <c r="B1019" s="166" t="s">
        <v>1836</v>
      </c>
      <c r="C1019" s="166" t="s">
        <v>1779</v>
      </c>
      <c r="D1019" s="166" t="s">
        <v>1875</v>
      </c>
      <c r="E1019" s="166" t="s">
        <v>1876</v>
      </c>
      <c r="F1019" s="167">
        <v>43739</v>
      </c>
      <c r="G1019" s="167">
        <v>44196</v>
      </c>
      <c r="H1019" s="168">
        <v>935968</v>
      </c>
    </row>
    <row r="1020" spans="1:8" ht="13.7" customHeight="1" x14ac:dyDescent="0.25">
      <c r="A1020" s="166" t="s">
        <v>1877</v>
      </c>
      <c r="B1020" s="166" t="s">
        <v>1836</v>
      </c>
      <c r="C1020" s="166" t="s">
        <v>1779</v>
      </c>
      <c r="D1020" s="166" t="s">
        <v>1878</v>
      </c>
      <c r="E1020" s="166" t="s">
        <v>1879</v>
      </c>
      <c r="F1020" s="167">
        <v>43739</v>
      </c>
      <c r="G1020" s="167">
        <v>44196</v>
      </c>
      <c r="H1020" s="168">
        <v>100</v>
      </c>
    </row>
    <row r="1021" spans="1:8" ht="13.7" customHeight="1" x14ac:dyDescent="0.25">
      <c r="A1021" s="166" t="s">
        <v>1877</v>
      </c>
      <c r="B1021" s="166" t="s">
        <v>1836</v>
      </c>
      <c r="C1021" s="166" t="s">
        <v>1779</v>
      </c>
      <c r="D1021" s="166" t="s">
        <v>1878</v>
      </c>
      <c r="E1021" s="166" t="s">
        <v>1879</v>
      </c>
      <c r="F1021" s="167">
        <v>43739</v>
      </c>
      <c r="G1021" s="167">
        <v>44196</v>
      </c>
      <c r="H1021" s="168">
        <v>234292.71</v>
      </c>
    </row>
    <row r="1022" spans="1:8" ht="13.7" customHeight="1" x14ac:dyDescent="0.25">
      <c r="A1022" s="166" t="s">
        <v>1880</v>
      </c>
      <c r="B1022" s="166" t="s">
        <v>1881</v>
      </c>
      <c r="C1022" s="166" t="s">
        <v>1882</v>
      </c>
      <c r="D1022" s="166" t="s">
        <v>1883</v>
      </c>
      <c r="E1022" s="166" t="s">
        <v>1884</v>
      </c>
      <c r="F1022" s="167">
        <v>43851</v>
      </c>
      <c r="G1022" s="167">
        <v>44095</v>
      </c>
      <c r="H1022" s="168">
        <v>25500</v>
      </c>
    </row>
    <row r="1023" spans="1:8" ht="13.7" customHeight="1" x14ac:dyDescent="0.25">
      <c r="A1023" s="166" t="s">
        <v>1880</v>
      </c>
      <c r="B1023" s="166" t="s">
        <v>1881</v>
      </c>
      <c r="C1023" s="166" t="s">
        <v>1882</v>
      </c>
      <c r="D1023" s="166" t="s">
        <v>1883</v>
      </c>
      <c r="E1023" s="166" t="s">
        <v>1884</v>
      </c>
      <c r="F1023" s="167">
        <v>43851</v>
      </c>
      <c r="G1023" s="167">
        <v>44095</v>
      </c>
      <c r="H1023" s="168">
        <v>1000</v>
      </c>
    </row>
    <row r="1024" spans="1:8" ht="13.7" customHeight="1" x14ac:dyDescent="0.25">
      <c r="A1024" s="166" t="s">
        <v>1885</v>
      </c>
      <c r="B1024" s="166" t="s">
        <v>1886</v>
      </c>
      <c r="C1024" s="166" t="s">
        <v>1882</v>
      </c>
      <c r="D1024" s="166" t="s">
        <v>1887</v>
      </c>
      <c r="E1024" s="166" t="s">
        <v>1888</v>
      </c>
      <c r="F1024" s="167">
        <v>43831</v>
      </c>
      <c r="G1024" s="167">
        <v>44196</v>
      </c>
      <c r="H1024" s="168">
        <v>27972</v>
      </c>
    </row>
    <row r="1025" spans="1:8" ht="13.7" customHeight="1" x14ac:dyDescent="0.25">
      <c r="A1025" s="166" t="s">
        <v>1885</v>
      </c>
      <c r="B1025" s="166" t="s">
        <v>1886</v>
      </c>
      <c r="C1025" s="166" t="s">
        <v>1882</v>
      </c>
      <c r="D1025" s="166" t="s">
        <v>1887</v>
      </c>
      <c r="E1025" s="166" t="s">
        <v>1888</v>
      </c>
      <c r="F1025" s="167">
        <v>43831</v>
      </c>
      <c r="G1025" s="167">
        <v>44196</v>
      </c>
      <c r="H1025" s="168">
        <v>22028</v>
      </c>
    </row>
    <row r="1026" spans="1:8" ht="13.7" customHeight="1" x14ac:dyDescent="0.25">
      <c r="A1026" s="166" t="s">
        <v>1889</v>
      </c>
      <c r="B1026" s="166" t="s">
        <v>1447</v>
      </c>
      <c r="C1026" s="166" t="s">
        <v>1890</v>
      </c>
      <c r="D1026" s="166" t="s">
        <v>1891</v>
      </c>
      <c r="E1026" s="166" t="s">
        <v>1892</v>
      </c>
      <c r="F1026" s="167">
        <v>43738</v>
      </c>
      <c r="G1026" s="167">
        <v>44103</v>
      </c>
      <c r="H1026" s="168">
        <v>360215</v>
      </c>
    </row>
    <row r="1027" spans="1:8" ht="13.7" customHeight="1" x14ac:dyDescent="0.25">
      <c r="A1027" s="166" t="s">
        <v>1889</v>
      </c>
      <c r="B1027" s="166" t="s">
        <v>1447</v>
      </c>
      <c r="C1027" s="166" t="s">
        <v>1890</v>
      </c>
      <c r="D1027" s="166" t="s">
        <v>1891</v>
      </c>
      <c r="E1027" s="166" t="s">
        <v>1892</v>
      </c>
      <c r="F1027" s="167">
        <v>43738</v>
      </c>
      <c r="G1027" s="167">
        <v>44103</v>
      </c>
      <c r="H1027" s="168">
        <v>239785</v>
      </c>
    </row>
    <row r="1028" spans="1:8" ht="13.7" customHeight="1" x14ac:dyDescent="0.25">
      <c r="A1028" s="166" t="s">
        <v>1893</v>
      </c>
      <c r="B1028" s="166" t="s">
        <v>1447</v>
      </c>
      <c r="C1028" s="166" t="s">
        <v>1890</v>
      </c>
      <c r="D1028" s="166" t="s">
        <v>1449</v>
      </c>
      <c r="E1028" s="166" t="s">
        <v>1892</v>
      </c>
      <c r="F1028" s="167">
        <v>43738</v>
      </c>
      <c r="G1028" s="167">
        <v>44103</v>
      </c>
      <c r="H1028" s="168">
        <v>648926</v>
      </c>
    </row>
    <row r="1029" spans="1:8" ht="13.7" customHeight="1" x14ac:dyDescent="0.25">
      <c r="A1029" s="166" t="s">
        <v>1893</v>
      </c>
      <c r="B1029" s="166" t="s">
        <v>1447</v>
      </c>
      <c r="C1029" s="166" t="s">
        <v>1890</v>
      </c>
      <c r="D1029" s="166" t="s">
        <v>1449</v>
      </c>
      <c r="E1029" s="166" t="s">
        <v>1892</v>
      </c>
      <c r="F1029" s="167">
        <v>43738</v>
      </c>
      <c r="G1029" s="167">
        <v>44103</v>
      </c>
      <c r="H1029" s="168">
        <v>87074</v>
      </c>
    </row>
    <row r="1030" spans="1:8" ht="13.7" customHeight="1" x14ac:dyDescent="0.25">
      <c r="A1030" s="166" t="s">
        <v>1893</v>
      </c>
      <c r="B1030" s="166" t="s">
        <v>1447</v>
      </c>
      <c r="C1030" s="166" t="s">
        <v>1890</v>
      </c>
      <c r="D1030" s="166" t="s">
        <v>1449</v>
      </c>
      <c r="E1030" s="166" t="s">
        <v>1892</v>
      </c>
      <c r="F1030" s="167">
        <v>43738</v>
      </c>
      <c r="G1030" s="167">
        <v>44103</v>
      </c>
      <c r="H1030" s="168">
        <v>-27603</v>
      </c>
    </row>
    <row r="1031" spans="1:8" ht="13.7" customHeight="1" x14ac:dyDescent="0.25">
      <c r="A1031" s="166" t="s">
        <v>1893</v>
      </c>
      <c r="B1031" s="166" t="s">
        <v>1447</v>
      </c>
      <c r="C1031" s="166" t="s">
        <v>1890</v>
      </c>
      <c r="D1031" s="166" t="s">
        <v>1449</v>
      </c>
      <c r="E1031" s="166" t="s">
        <v>1892</v>
      </c>
      <c r="F1031" s="167">
        <v>43738</v>
      </c>
      <c r="G1031" s="167">
        <v>44103</v>
      </c>
      <c r="H1031" s="168">
        <v>27603</v>
      </c>
    </row>
    <row r="1032" spans="1:8" ht="13.7" customHeight="1" x14ac:dyDescent="0.25">
      <c r="A1032" s="166" t="s">
        <v>1894</v>
      </c>
      <c r="B1032" s="166" t="s">
        <v>1895</v>
      </c>
      <c r="C1032" s="166" t="s">
        <v>1890</v>
      </c>
      <c r="D1032" s="166" t="s">
        <v>1896</v>
      </c>
      <c r="E1032" s="166" t="s">
        <v>1897</v>
      </c>
      <c r="F1032" s="167">
        <v>43647</v>
      </c>
      <c r="G1032" s="167">
        <v>44408</v>
      </c>
      <c r="H1032" s="168">
        <v>14515</v>
      </c>
    </row>
    <row r="1033" spans="1:8" ht="13.7" customHeight="1" x14ac:dyDescent="0.25">
      <c r="A1033" s="166" t="s">
        <v>1894</v>
      </c>
      <c r="B1033" s="166" t="s">
        <v>1895</v>
      </c>
      <c r="C1033" s="166" t="s">
        <v>1890</v>
      </c>
      <c r="D1033" s="166" t="s">
        <v>1896</v>
      </c>
      <c r="E1033" s="166" t="s">
        <v>1897</v>
      </c>
      <c r="F1033" s="167">
        <v>43647</v>
      </c>
      <c r="G1033" s="167">
        <v>44408</v>
      </c>
      <c r="H1033" s="168">
        <v>43985</v>
      </c>
    </row>
    <row r="1034" spans="1:8" ht="13.7" customHeight="1" x14ac:dyDescent="0.25">
      <c r="A1034" s="166" t="s">
        <v>1898</v>
      </c>
      <c r="B1034" s="166" t="s">
        <v>1895</v>
      </c>
      <c r="C1034" s="166" t="s">
        <v>1890</v>
      </c>
      <c r="D1034" s="166" t="s">
        <v>1899</v>
      </c>
      <c r="E1034" s="166" t="s">
        <v>1900</v>
      </c>
      <c r="F1034" s="167">
        <v>43709</v>
      </c>
      <c r="G1034" s="167">
        <v>44469</v>
      </c>
      <c r="H1034" s="168">
        <v>39508</v>
      </c>
    </row>
    <row r="1035" spans="1:8" ht="13.7" customHeight="1" x14ac:dyDescent="0.25">
      <c r="A1035" s="166" t="s">
        <v>1898</v>
      </c>
      <c r="B1035" s="166" t="s">
        <v>1895</v>
      </c>
      <c r="C1035" s="166" t="s">
        <v>1890</v>
      </c>
      <c r="D1035" s="166" t="s">
        <v>1899</v>
      </c>
      <c r="E1035" s="166" t="s">
        <v>1900</v>
      </c>
      <c r="F1035" s="167">
        <v>43709</v>
      </c>
      <c r="G1035" s="167">
        <v>44469</v>
      </c>
      <c r="H1035" s="168">
        <v>18992</v>
      </c>
    </row>
    <row r="1036" spans="1:8" ht="13.7" customHeight="1" x14ac:dyDescent="0.25">
      <c r="A1036" s="166" t="s">
        <v>1901</v>
      </c>
      <c r="B1036" s="166" t="s">
        <v>1895</v>
      </c>
      <c r="C1036" s="166" t="s">
        <v>1890</v>
      </c>
      <c r="D1036" s="166" t="s">
        <v>1902</v>
      </c>
      <c r="E1036" s="166" t="s">
        <v>1903</v>
      </c>
      <c r="F1036" s="167">
        <v>43739</v>
      </c>
      <c r="G1036" s="167">
        <v>44500</v>
      </c>
      <c r="H1036" s="168">
        <v>58500</v>
      </c>
    </row>
    <row r="1037" spans="1:8" ht="13.7" customHeight="1" x14ac:dyDescent="0.25">
      <c r="A1037" s="166" t="s">
        <v>1904</v>
      </c>
      <c r="B1037" s="166" t="s">
        <v>1895</v>
      </c>
      <c r="C1037" s="166" t="s">
        <v>1890</v>
      </c>
      <c r="D1037" s="166" t="s">
        <v>1905</v>
      </c>
      <c r="E1037" s="166" t="s">
        <v>1906</v>
      </c>
      <c r="F1037" s="167">
        <v>43770</v>
      </c>
      <c r="G1037" s="167">
        <v>44135</v>
      </c>
      <c r="H1037" s="168">
        <v>9429</v>
      </c>
    </row>
    <row r="1038" spans="1:8" ht="13.7" customHeight="1" x14ac:dyDescent="0.25">
      <c r="A1038" s="166" t="s">
        <v>1904</v>
      </c>
      <c r="B1038" s="166" t="s">
        <v>1895</v>
      </c>
      <c r="C1038" s="166" t="s">
        <v>1890</v>
      </c>
      <c r="D1038" s="166" t="s">
        <v>1905</v>
      </c>
      <c r="E1038" s="166" t="s">
        <v>1906</v>
      </c>
      <c r="F1038" s="167">
        <v>43770</v>
      </c>
      <c r="G1038" s="167">
        <v>44135</v>
      </c>
      <c r="H1038" s="168">
        <v>28571</v>
      </c>
    </row>
    <row r="1039" spans="1:8" ht="13.7" customHeight="1" x14ac:dyDescent="0.25">
      <c r="A1039" s="166" t="s">
        <v>1907</v>
      </c>
      <c r="B1039" s="166" t="s">
        <v>1908</v>
      </c>
      <c r="C1039" s="166" t="s">
        <v>1890</v>
      </c>
      <c r="D1039" s="166" t="s">
        <v>1909</v>
      </c>
      <c r="E1039" s="166" t="s">
        <v>1910</v>
      </c>
      <c r="F1039" s="167">
        <v>43435</v>
      </c>
      <c r="G1039" s="167">
        <v>44104</v>
      </c>
      <c r="H1039" s="168">
        <v>408392</v>
      </c>
    </row>
    <row r="1040" spans="1:8" ht="13.7" customHeight="1" x14ac:dyDescent="0.25">
      <c r="A1040" s="166" t="s">
        <v>1911</v>
      </c>
      <c r="B1040" s="166" t="s">
        <v>1908</v>
      </c>
      <c r="C1040" s="166" t="s">
        <v>1890</v>
      </c>
      <c r="D1040" s="166" t="s">
        <v>1912</v>
      </c>
      <c r="E1040" s="166" t="s">
        <v>1913</v>
      </c>
      <c r="F1040" s="167">
        <v>43738</v>
      </c>
      <c r="G1040" s="167">
        <v>44103</v>
      </c>
      <c r="H1040" s="168">
        <v>150000</v>
      </c>
    </row>
    <row r="1041" spans="1:8" ht="13.7" customHeight="1" x14ac:dyDescent="0.25">
      <c r="A1041" s="166" t="s">
        <v>1914</v>
      </c>
      <c r="B1041" s="166" t="s">
        <v>1168</v>
      </c>
      <c r="C1041" s="166" t="s">
        <v>1915</v>
      </c>
      <c r="D1041" s="166" t="s">
        <v>1916</v>
      </c>
      <c r="E1041" s="166" t="s">
        <v>1233</v>
      </c>
      <c r="F1041" s="167">
        <v>43831</v>
      </c>
      <c r="G1041" s="167">
        <v>44469</v>
      </c>
      <c r="H1041" s="168">
        <v>17961</v>
      </c>
    </row>
    <row r="1042" spans="1:8" ht="13.7" customHeight="1" x14ac:dyDescent="0.25">
      <c r="A1042" s="166" t="s">
        <v>1914</v>
      </c>
      <c r="B1042" s="166" t="s">
        <v>1168</v>
      </c>
      <c r="C1042" s="166" t="s">
        <v>1915</v>
      </c>
      <c r="D1042" s="166" t="s">
        <v>1916</v>
      </c>
      <c r="E1042" s="166" t="s">
        <v>1233</v>
      </c>
      <c r="F1042" s="167">
        <v>43831</v>
      </c>
      <c r="G1042" s="167">
        <v>44469</v>
      </c>
      <c r="H1042" s="168">
        <v>7039</v>
      </c>
    </row>
    <row r="1043" spans="1:8" ht="13.7" customHeight="1" x14ac:dyDescent="0.25">
      <c r="A1043" s="166" t="s">
        <v>1917</v>
      </c>
      <c r="B1043" s="166" t="s">
        <v>1168</v>
      </c>
      <c r="C1043" s="166" t="s">
        <v>1915</v>
      </c>
      <c r="D1043" s="166" t="s">
        <v>1916</v>
      </c>
      <c r="E1043" s="166" t="s">
        <v>486</v>
      </c>
      <c r="F1043" s="167">
        <v>43344</v>
      </c>
      <c r="G1043" s="167">
        <v>44469</v>
      </c>
      <c r="H1043" s="168">
        <v>51377</v>
      </c>
    </row>
    <row r="1044" spans="1:8" ht="13.7" customHeight="1" x14ac:dyDescent="0.25">
      <c r="A1044" s="166" t="s">
        <v>1917</v>
      </c>
      <c r="B1044" s="166" t="s">
        <v>1168</v>
      </c>
      <c r="C1044" s="166" t="s">
        <v>1915</v>
      </c>
      <c r="D1044" s="166" t="s">
        <v>1916</v>
      </c>
      <c r="E1044" s="166" t="s">
        <v>486</v>
      </c>
      <c r="F1044" s="167">
        <v>43344</v>
      </c>
      <c r="G1044" s="167">
        <v>44469</v>
      </c>
      <c r="H1044" s="168">
        <v>88914</v>
      </c>
    </row>
    <row r="1045" spans="1:8" ht="13.7" customHeight="1" x14ac:dyDescent="0.25">
      <c r="A1045" s="166" t="s">
        <v>1917</v>
      </c>
      <c r="B1045" s="166" t="s">
        <v>1168</v>
      </c>
      <c r="C1045" s="166" t="s">
        <v>1915</v>
      </c>
      <c r="D1045" s="166" t="s">
        <v>1916</v>
      </c>
      <c r="E1045" s="166" t="s">
        <v>486</v>
      </c>
      <c r="F1045" s="167">
        <v>43344</v>
      </c>
      <c r="G1045" s="167">
        <v>44469</v>
      </c>
      <c r="H1045" s="168">
        <v>59</v>
      </c>
    </row>
    <row r="1046" spans="1:8" ht="13.7" customHeight="1" x14ac:dyDescent="0.25">
      <c r="A1046" s="166" t="s">
        <v>1917</v>
      </c>
      <c r="B1046" s="166" t="s">
        <v>1168</v>
      </c>
      <c r="C1046" s="166" t="s">
        <v>1915</v>
      </c>
      <c r="D1046" s="166" t="s">
        <v>1916</v>
      </c>
      <c r="E1046" s="166" t="s">
        <v>486</v>
      </c>
      <c r="F1046" s="167">
        <v>43344</v>
      </c>
      <c r="G1046" s="167">
        <v>44469</v>
      </c>
      <c r="H1046" s="168">
        <v>9930</v>
      </c>
    </row>
    <row r="1047" spans="1:8" ht="13.7" customHeight="1" x14ac:dyDescent="0.25">
      <c r="A1047" s="166" t="s">
        <v>1917</v>
      </c>
      <c r="B1047" s="166" t="s">
        <v>1168</v>
      </c>
      <c r="C1047" s="166" t="s">
        <v>1915</v>
      </c>
      <c r="D1047" s="166" t="s">
        <v>1916</v>
      </c>
      <c r="E1047" s="166" t="s">
        <v>486</v>
      </c>
      <c r="F1047" s="167">
        <v>43344</v>
      </c>
      <c r="G1047" s="167">
        <v>44469</v>
      </c>
      <c r="H1047" s="168">
        <v>-9930</v>
      </c>
    </row>
    <row r="1048" spans="1:8" ht="13.7" customHeight="1" x14ac:dyDescent="0.25">
      <c r="A1048" s="166" t="s">
        <v>1917</v>
      </c>
      <c r="B1048" s="166" t="s">
        <v>1168</v>
      </c>
      <c r="C1048" s="166" t="s">
        <v>1915</v>
      </c>
      <c r="D1048" s="166" t="s">
        <v>1916</v>
      </c>
      <c r="E1048" s="166" t="s">
        <v>486</v>
      </c>
      <c r="F1048" s="167">
        <v>43344</v>
      </c>
      <c r="G1048" s="167">
        <v>44469</v>
      </c>
      <c r="H1048" s="168">
        <v>-107283</v>
      </c>
    </row>
    <row r="1049" spans="1:8" ht="13.7" customHeight="1" x14ac:dyDescent="0.25">
      <c r="A1049" s="166" t="s">
        <v>1917</v>
      </c>
      <c r="B1049" s="166" t="s">
        <v>1168</v>
      </c>
      <c r="C1049" s="166" t="s">
        <v>1915</v>
      </c>
      <c r="D1049" s="166" t="s">
        <v>1916</v>
      </c>
      <c r="E1049" s="166" t="s">
        <v>486</v>
      </c>
      <c r="F1049" s="167">
        <v>43344</v>
      </c>
      <c r="G1049" s="167">
        <v>44469</v>
      </c>
      <c r="H1049" s="168">
        <v>-14467</v>
      </c>
    </row>
    <row r="1050" spans="1:8" ht="13.7" customHeight="1" x14ac:dyDescent="0.25">
      <c r="A1050" s="166" t="s">
        <v>1917</v>
      </c>
      <c r="B1050" s="166" t="s">
        <v>1168</v>
      </c>
      <c r="C1050" s="166" t="s">
        <v>1915</v>
      </c>
      <c r="D1050" s="166" t="s">
        <v>1916</v>
      </c>
      <c r="E1050" s="166" t="s">
        <v>486</v>
      </c>
      <c r="F1050" s="167">
        <v>43344</v>
      </c>
      <c r="G1050" s="167">
        <v>44469</v>
      </c>
      <c r="H1050" s="168">
        <v>-53</v>
      </c>
    </row>
    <row r="1051" spans="1:8" ht="13.7" customHeight="1" x14ac:dyDescent="0.25">
      <c r="A1051" s="166" t="s">
        <v>1917</v>
      </c>
      <c r="B1051" s="166" t="s">
        <v>1168</v>
      </c>
      <c r="C1051" s="166" t="s">
        <v>1915</v>
      </c>
      <c r="D1051" s="166" t="s">
        <v>1916</v>
      </c>
      <c r="E1051" s="166" t="s">
        <v>486</v>
      </c>
      <c r="F1051" s="167">
        <v>43344</v>
      </c>
      <c r="G1051" s="167">
        <v>44469</v>
      </c>
      <c r="H1051" s="168">
        <v>-210</v>
      </c>
    </row>
    <row r="1052" spans="1:8" ht="13.7" customHeight="1" x14ac:dyDescent="0.25">
      <c r="A1052" s="166" t="s">
        <v>1918</v>
      </c>
      <c r="B1052" s="166" t="s">
        <v>1168</v>
      </c>
      <c r="C1052" s="166" t="s">
        <v>1915</v>
      </c>
      <c r="D1052" s="166" t="s">
        <v>1916</v>
      </c>
      <c r="E1052" s="166" t="s">
        <v>486</v>
      </c>
      <c r="F1052" s="167">
        <v>43344</v>
      </c>
      <c r="G1052" s="167">
        <v>44104</v>
      </c>
      <c r="H1052" s="168">
        <v>80332</v>
      </c>
    </row>
    <row r="1053" spans="1:8" ht="13.7" customHeight="1" x14ac:dyDescent="0.25">
      <c r="A1053" s="166" t="s">
        <v>1918</v>
      </c>
      <c r="B1053" s="166" t="s">
        <v>1168</v>
      </c>
      <c r="C1053" s="166" t="s">
        <v>1915</v>
      </c>
      <c r="D1053" s="166" t="s">
        <v>1916</v>
      </c>
      <c r="E1053" s="166" t="s">
        <v>486</v>
      </c>
      <c r="F1053" s="167">
        <v>43344</v>
      </c>
      <c r="G1053" s="167">
        <v>44104</v>
      </c>
      <c r="H1053" s="168">
        <v>-5792</v>
      </c>
    </row>
    <row r="1054" spans="1:8" ht="13.7" customHeight="1" x14ac:dyDescent="0.25">
      <c r="A1054" s="166" t="s">
        <v>1918</v>
      </c>
      <c r="B1054" s="166" t="s">
        <v>1168</v>
      </c>
      <c r="C1054" s="166" t="s">
        <v>1915</v>
      </c>
      <c r="D1054" s="166" t="s">
        <v>1916</v>
      </c>
      <c r="E1054" s="166" t="s">
        <v>486</v>
      </c>
      <c r="F1054" s="167">
        <v>43344</v>
      </c>
      <c r="G1054" s="167">
        <v>44104</v>
      </c>
      <c r="H1054" s="168">
        <v>32743</v>
      </c>
    </row>
    <row r="1055" spans="1:8" ht="13.7" customHeight="1" x14ac:dyDescent="0.25">
      <c r="A1055" s="166" t="s">
        <v>1919</v>
      </c>
      <c r="B1055" s="166" t="s">
        <v>1168</v>
      </c>
      <c r="C1055" s="166" t="s">
        <v>1915</v>
      </c>
      <c r="D1055" s="166" t="s">
        <v>1916</v>
      </c>
      <c r="E1055" s="166" t="s">
        <v>486</v>
      </c>
      <c r="F1055" s="167">
        <v>43344</v>
      </c>
      <c r="G1055" s="167">
        <v>44104</v>
      </c>
      <c r="H1055" s="168">
        <v>11617</v>
      </c>
    </row>
    <row r="1056" spans="1:8" ht="13.7" customHeight="1" x14ac:dyDescent="0.25">
      <c r="A1056" s="166" t="s">
        <v>1919</v>
      </c>
      <c r="B1056" s="166" t="s">
        <v>1168</v>
      </c>
      <c r="C1056" s="166" t="s">
        <v>1915</v>
      </c>
      <c r="D1056" s="166" t="s">
        <v>1916</v>
      </c>
      <c r="E1056" s="166" t="s">
        <v>486</v>
      </c>
      <c r="F1056" s="167">
        <v>43344</v>
      </c>
      <c r="G1056" s="167">
        <v>44104</v>
      </c>
      <c r="H1056" s="168">
        <v>0</v>
      </c>
    </row>
    <row r="1057" spans="1:8" ht="13.7" customHeight="1" x14ac:dyDescent="0.25">
      <c r="A1057" s="166" t="s">
        <v>1919</v>
      </c>
      <c r="B1057" s="166" t="s">
        <v>1168</v>
      </c>
      <c r="C1057" s="166" t="s">
        <v>1915</v>
      </c>
      <c r="D1057" s="166" t="s">
        <v>1916</v>
      </c>
      <c r="E1057" s="166" t="s">
        <v>486</v>
      </c>
      <c r="F1057" s="167">
        <v>43344</v>
      </c>
      <c r="G1057" s="167">
        <v>44104</v>
      </c>
      <c r="H1057" s="168">
        <v>0</v>
      </c>
    </row>
    <row r="1058" spans="1:8" ht="13.7" customHeight="1" x14ac:dyDescent="0.25">
      <c r="A1058" s="166" t="s">
        <v>1920</v>
      </c>
      <c r="B1058" s="166" t="s">
        <v>1168</v>
      </c>
      <c r="C1058" s="166" t="s">
        <v>1915</v>
      </c>
      <c r="D1058" s="166" t="s">
        <v>1916</v>
      </c>
      <c r="E1058" s="166" t="s">
        <v>486</v>
      </c>
      <c r="F1058" s="167">
        <v>43344</v>
      </c>
      <c r="G1058" s="167">
        <v>44104</v>
      </c>
      <c r="H1058" s="168">
        <v>-11525</v>
      </c>
    </row>
    <row r="1059" spans="1:8" ht="13.7" customHeight="1" x14ac:dyDescent="0.25">
      <c r="A1059" s="166" t="s">
        <v>1921</v>
      </c>
      <c r="B1059" s="166" t="s">
        <v>1168</v>
      </c>
      <c r="C1059" s="166" t="s">
        <v>1915</v>
      </c>
      <c r="D1059" s="166" t="s">
        <v>1916</v>
      </c>
      <c r="E1059" s="166" t="s">
        <v>486</v>
      </c>
      <c r="F1059" s="167">
        <v>43344</v>
      </c>
      <c r="G1059" s="167">
        <v>44104</v>
      </c>
      <c r="H1059" s="168">
        <v>-5960</v>
      </c>
    </row>
    <row r="1060" spans="1:8" ht="13.7" customHeight="1" x14ac:dyDescent="0.25">
      <c r="A1060" s="166" t="s">
        <v>1921</v>
      </c>
      <c r="B1060" s="166" t="s">
        <v>1168</v>
      </c>
      <c r="C1060" s="166" t="s">
        <v>1915</v>
      </c>
      <c r="D1060" s="166" t="s">
        <v>1916</v>
      </c>
      <c r="E1060" s="166" t="s">
        <v>486</v>
      </c>
      <c r="F1060" s="167">
        <v>43344</v>
      </c>
      <c r="G1060" s="167">
        <v>44104</v>
      </c>
      <c r="H1060" s="168">
        <v>-2682</v>
      </c>
    </row>
    <row r="1061" spans="1:8" ht="13.7" customHeight="1" x14ac:dyDescent="0.25">
      <c r="A1061" s="166" t="s">
        <v>1922</v>
      </c>
      <c r="B1061" s="166" t="s">
        <v>1168</v>
      </c>
      <c r="C1061" s="166" t="s">
        <v>1915</v>
      </c>
      <c r="D1061" s="166" t="s">
        <v>1916</v>
      </c>
      <c r="E1061" s="166" t="s">
        <v>486</v>
      </c>
      <c r="F1061" s="167">
        <v>43344</v>
      </c>
      <c r="G1061" s="167">
        <v>44104</v>
      </c>
      <c r="H1061" s="168">
        <v>53</v>
      </c>
    </row>
    <row r="1062" spans="1:8" ht="13.7" customHeight="1" x14ac:dyDescent="0.25">
      <c r="A1062" s="166" t="s">
        <v>1923</v>
      </c>
      <c r="B1062" s="166" t="s">
        <v>1168</v>
      </c>
      <c r="C1062" s="166" t="s">
        <v>1915</v>
      </c>
      <c r="D1062" s="166" t="s">
        <v>1916</v>
      </c>
      <c r="E1062" s="166" t="s">
        <v>486</v>
      </c>
      <c r="F1062" s="167">
        <v>43344</v>
      </c>
      <c r="G1062" s="167">
        <v>44104</v>
      </c>
      <c r="H1062" s="168">
        <v>-1720</v>
      </c>
    </row>
    <row r="1063" spans="1:8" ht="13.7" customHeight="1" x14ac:dyDescent="0.25">
      <c r="A1063" s="166" t="s">
        <v>1923</v>
      </c>
      <c r="B1063" s="166" t="s">
        <v>1168</v>
      </c>
      <c r="C1063" s="166" t="s">
        <v>1915</v>
      </c>
      <c r="D1063" s="166" t="s">
        <v>1916</v>
      </c>
      <c r="E1063" s="166" t="s">
        <v>486</v>
      </c>
      <c r="F1063" s="167">
        <v>43344</v>
      </c>
      <c r="G1063" s="167">
        <v>44104</v>
      </c>
      <c r="H1063" s="168">
        <v>-237</v>
      </c>
    </row>
    <row r="1064" spans="1:8" ht="13.7" customHeight="1" x14ac:dyDescent="0.25">
      <c r="A1064" s="166" t="s">
        <v>1923</v>
      </c>
      <c r="B1064" s="166" t="s">
        <v>1168</v>
      </c>
      <c r="C1064" s="166" t="s">
        <v>1915</v>
      </c>
      <c r="D1064" s="166" t="s">
        <v>1916</v>
      </c>
      <c r="E1064" s="166" t="s">
        <v>486</v>
      </c>
      <c r="F1064" s="167">
        <v>43344</v>
      </c>
      <c r="G1064" s="167">
        <v>44104</v>
      </c>
      <c r="H1064" s="168">
        <v>237</v>
      </c>
    </row>
    <row r="1065" spans="1:8" ht="13.7" customHeight="1" x14ac:dyDescent="0.25">
      <c r="A1065" s="166" t="s">
        <v>1924</v>
      </c>
      <c r="B1065" s="166" t="s">
        <v>1168</v>
      </c>
      <c r="C1065" s="166" t="s">
        <v>1915</v>
      </c>
      <c r="D1065" s="166" t="s">
        <v>1916</v>
      </c>
      <c r="E1065" s="166" t="s">
        <v>486</v>
      </c>
      <c r="F1065" s="167">
        <v>43344</v>
      </c>
      <c r="G1065" s="167">
        <v>44104</v>
      </c>
      <c r="H1065" s="168">
        <v>10971</v>
      </c>
    </row>
    <row r="1066" spans="1:8" ht="13.7" customHeight="1" x14ac:dyDescent="0.25">
      <c r="A1066" s="166" t="s">
        <v>1924</v>
      </c>
      <c r="B1066" s="166" t="s">
        <v>1168</v>
      </c>
      <c r="C1066" s="166" t="s">
        <v>1915</v>
      </c>
      <c r="D1066" s="166" t="s">
        <v>1916</v>
      </c>
      <c r="E1066" s="166" t="s">
        <v>486</v>
      </c>
      <c r="F1066" s="167">
        <v>43344</v>
      </c>
      <c r="G1066" s="167">
        <v>44104</v>
      </c>
      <c r="H1066" s="168">
        <v>3496</v>
      </c>
    </row>
    <row r="1067" spans="1:8" ht="13.7" customHeight="1" x14ac:dyDescent="0.25">
      <c r="A1067" s="166" t="s">
        <v>1925</v>
      </c>
      <c r="B1067" s="166" t="s">
        <v>1168</v>
      </c>
      <c r="C1067" s="166" t="s">
        <v>1915</v>
      </c>
      <c r="D1067" s="166" t="s">
        <v>1916</v>
      </c>
      <c r="E1067" s="166" t="s">
        <v>486</v>
      </c>
      <c r="F1067" s="167">
        <v>43344</v>
      </c>
      <c r="G1067" s="167">
        <v>44104</v>
      </c>
      <c r="H1067" s="168">
        <v>-21819</v>
      </c>
    </row>
    <row r="1068" spans="1:8" ht="13.7" customHeight="1" x14ac:dyDescent="0.25">
      <c r="A1068" s="166" t="s">
        <v>1925</v>
      </c>
      <c r="B1068" s="166" t="s">
        <v>1168</v>
      </c>
      <c r="C1068" s="166" t="s">
        <v>1915</v>
      </c>
      <c r="D1068" s="166" t="s">
        <v>1916</v>
      </c>
      <c r="E1068" s="166" t="s">
        <v>486</v>
      </c>
      <c r="F1068" s="167">
        <v>43344</v>
      </c>
      <c r="G1068" s="167">
        <v>44104</v>
      </c>
      <c r="H1068" s="168">
        <v>-7461</v>
      </c>
    </row>
    <row r="1069" spans="1:8" ht="13.7" customHeight="1" x14ac:dyDescent="0.25">
      <c r="A1069" s="166" t="s">
        <v>1926</v>
      </c>
      <c r="B1069" s="166" t="s">
        <v>1168</v>
      </c>
      <c r="C1069" s="166" t="s">
        <v>1915</v>
      </c>
      <c r="D1069" s="166" t="s">
        <v>1916</v>
      </c>
      <c r="E1069" s="166" t="s">
        <v>486</v>
      </c>
      <c r="F1069" s="167">
        <v>43344</v>
      </c>
      <c r="G1069" s="167">
        <v>44104</v>
      </c>
      <c r="H1069" s="168">
        <v>-11617</v>
      </c>
    </row>
    <row r="1070" spans="1:8" ht="13.7" customHeight="1" x14ac:dyDescent="0.25">
      <c r="A1070" s="166" t="s">
        <v>1926</v>
      </c>
      <c r="B1070" s="166" t="s">
        <v>1168</v>
      </c>
      <c r="C1070" s="166" t="s">
        <v>1915</v>
      </c>
      <c r="D1070" s="166" t="s">
        <v>1916</v>
      </c>
      <c r="E1070" s="166" t="s">
        <v>486</v>
      </c>
      <c r="F1070" s="167">
        <v>43344</v>
      </c>
      <c r="G1070" s="167">
        <v>44104</v>
      </c>
      <c r="H1070" s="168">
        <v>-71282</v>
      </c>
    </row>
    <row r="1071" spans="1:8" ht="13.7" customHeight="1" x14ac:dyDescent="0.25">
      <c r="A1071" s="166" t="s">
        <v>1927</v>
      </c>
      <c r="B1071" s="166" t="s">
        <v>1168</v>
      </c>
      <c r="C1071" s="166" t="s">
        <v>1915</v>
      </c>
      <c r="D1071" s="166" t="s">
        <v>1916</v>
      </c>
      <c r="E1071" s="166" t="s">
        <v>486</v>
      </c>
      <c r="F1071" s="167">
        <v>43344</v>
      </c>
      <c r="G1071" s="167">
        <v>44104</v>
      </c>
      <c r="H1071" s="168">
        <v>-2000</v>
      </c>
    </row>
    <row r="1072" spans="1:8" ht="13.7" customHeight="1" x14ac:dyDescent="0.25">
      <c r="A1072" s="166" t="s">
        <v>1927</v>
      </c>
      <c r="B1072" s="166" t="s">
        <v>1168</v>
      </c>
      <c r="C1072" s="166" t="s">
        <v>1915</v>
      </c>
      <c r="D1072" s="166" t="s">
        <v>1916</v>
      </c>
      <c r="E1072" s="166" t="s">
        <v>486</v>
      </c>
      <c r="F1072" s="167">
        <v>43344</v>
      </c>
      <c r="G1072" s="167">
        <v>44104</v>
      </c>
      <c r="H1072" s="168">
        <v>2000</v>
      </c>
    </row>
    <row r="1073" spans="1:8" ht="13.7" customHeight="1" x14ac:dyDescent="0.25">
      <c r="A1073" s="166" t="s">
        <v>1927</v>
      </c>
      <c r="B1073" s="166" t="s">
        <v>1168</v>
      </c>
      <c r="C1073" s="166" t="s">
        <v>1915</v>
      </c>
      <c r="D1073" s="166" t="s">
        <v>1916</v>
      </c>
      <c r="E1073" s="166" t="s">
        <v>486</v>
      </c>
      <c r="F1073" s="167">
        <v>43344</v>
      </c>
      <c r="G1073" s="167">
        <v>44104</v>
      </c>
      <c r="H1073" s="168">
        <v>-41</v>
      </c>
    </row>
    <row r="1074" spans="1:8" ht="13.7" customHeight="1" x14ac:dyDescent="0.25">
      <c r="A1074" s="166" t="s">
        <v>1927</v>
      </c>
      <c r="B1074" s="166" t="s">
        <v>1168</v>
      </c>
      <c r="C1074" s="166" t="s">
        <v>1915</v>
      </c>
      <c r="D1074" s="166" t="s">
        <v>1916</v>
      </c>
      <c r="E1074" s="166" t="s">
        <v>486</v>
      </c>
      <c r="F1074" s="167">
        <v>43344</v>
      </c>
      <c r="G1074" s="167">
        <v>44104</v>
      </c>
      <c r="H1074" s="168">
        <v>-18</v>
      </c>
    </row>
    <row r="1075" spans="1:8" ht="13.7" customHeight="1" x14ac:dyDescent="0.25">
      <c r="A1075" s="166" t="s">
        <v>1928</v>
      </c>
      <c r="B1075" s="166" t="s">
        <v>1168</v>
      </c>
      <c r="C1075" s="166" t="s">
        <v>1915</v>
      </c>
      <c r="D1075" s="166" t="s">
        <v>1916</v>
      </c>
      <c r="E1075" s="166" t="s">
        <v>486</v>
      </c>
      <c r="F1075" s="167">
        <v>43344</v>
      </c>
      <c r="G1075" s="167">
        <v>44104</v>
      </c>
      <c r="H1075" s="168">
        <v>-10382</v>
      </c>
    </row>
    <row r="1076" spans="1:8" ht="13.7" customHeight="1" x14ac:dyDescent="0.25">
      <c r="A1076" s="166" t="s">
        <v>1929</v>
      </c>
      <c r="B1076" s="166" t="s">
        <v>1168</v>
      </c>
      <c r="C1076" s="166" t="s">
        <v>1915</v>
      </c>
      <c r="D1076" s="166" t="s">
        <v>1916</v>
      </c>
      <c r="E1076" s="166" t="s">
        <v>486</v>
      </c>
      <c r="F1076" s="167">
        <v>43344</v>
      </c>
      <c r="G1076" s="167">
        <v>44104</v>
      </c>
      <c r="H1076" s="168">
        <v>-7250</v>
      </c>
    </row>
    <row r="1077" spans="1:8" ht="13.7" customHeight="1" x14ac:dyDescent="0.25">
      <c r="A1077" s="166" t="s">
        <v>1930</v>
      </c>
      <c r="B1077" s="166" t="s">
        <v>1168</v>
      </c>
      <c r="C1077" s="166" t="s">
        <v>1915</v>
      </c>
      <c r="D1077" s="166" t="s">
        <v>1916</v>
      </c>
      <c r="E1077" s="166" t="s">
        <v>486</v>
      </c>
      <c r="F1077" s="167">
        <v>43374</v>
      </c>
      <c r="G1077" s="167">
        <v>43738</v>
      </c>
      <c r="H1077" s="168">
        <v>0</v>
      </c>
    </row>
    <row r="1078" spans="1:8" ht="13.7" customHeight="1" x14ac:dyDescent="0.25">
      <c r="A1078" s="166" t="s">
        <v>1930</v>
      </c>
      <c r="B1078" s="166" t="s">
        <v>1168</v>
      </c>
      <c r="C1078" s="166" t="s">
        <v>1915</v>
      </c>
      <c r="D1078" s="166" t="s">
        <v>1916</v>
      </c>
      <c r="E1078" s="166" t="s">
        <v>486</v>
      </c>
      <c r="F1078" s="167">
        <v>43374</v>
      </c>
      <c r="G1078" s="167">
        <v>43738</v>
      </c>
      <c r="H1078" s="168">
        <v>0</v>
      </c>
    </row>
    <row r="1079" spans="1:8" ht="13.7" customHeight="1" x14ac:dyDescent="0.25">
      <c r="A1079" s="166" t="s">
        <v>1931</v>
      </c>
      <c r="B1079" s="166" t="s">
        <v>1168</v>
      </c>
      <c r="C1079" s="166" t="s">
        <v>1915</v>
      </c>
      <c r="D1079" s="166" t="s">
        <v>1916</v>
      </c>
      <c r="E1079" s="166" t="s">
        <v>486</v>
      </c>
      <c r="F1079" s="167">
        <v>43739</v>
      </c>
      <c r="G1079" s="167">
        <v>44469</v>
      </c>
      <c r="H1079" s="168">
        <v>44917</v>
      </c>
    </row>
    <row r="1080" spans="1:8" ht="13.7" customHeight="1" x14ac:dyDescent="0.25">
      <c r="A1080" s="166" t="s">
        <v>1931</v>
      </c>
      <c r="B1080" s="166" t="s">
        <v>1168</v>
      </c>
      <c r="C1080" s="166" t="s">
        <v>1915</v>
      </c>
      <c r="D1080" s="166" t="s">
        <v>1916</v>
      </c>
      <c r="E1080" s="166" t="s">
        <v>486</v>
      </c>
      <c r="F1080" s="167">
        <v>43739</v>
      </c>
      <c r="G1080" s="167">
        <v>44469</v>
      </c>
      <c r="H1080" s="168">
        <v>19349</v>
      </c>
    </row>
    <row r="1081" spans="1:8" ht="13.7" customHeight="1" x14ac:dyDescent="0.25">
      <c r="A1081" s="166" t="s">
        <v>1931</v>
      </c>
      <c r="B1081" s="166" t="s">
        <v>1168</v>
      </c>
      <c r="C1081" s="166" t="s">
        <v>1915</v>
      </c>
      <c r="D1081" s="166" t="s">
        <v>1916</v>
      </c>
      <c r="E1081" s="166" t="s">
        <v>486</v>
      </c>
      <c r="F1081" s="167">
        <v>43739</v>
      </c>
      <c r="G1081" s="167">
        <v>44469</v>
      </c>
      <c r="H1081" s="168">
        <v>-196723</v>
      </c>
    </row>
    <row r="1082" spans="1:8" ht="13.7" customHeight="1" x14ac:dyDescent="0.25">
      <c r="A1082" s="166" t="s">
        <v>1931</v>
      </c>
      <c r="B1082" s="166" t="s">
        <v>1168</v>
      </c>
      <c r="C1082" s="166" t="s">
        <v>1915</v>
      </c>
      <c r="D1082" s="166" t="s">
        <v>1916</v>
      </c>
      <c r="E1082" s="166" t="s">
        <v>486</v>
      </c>
      <c r="F1082" s="167">
        <v>43739</v>
      </c>
      <c r="G1082" s="167">
        <v>44469</v>
      </c>
      <c r="H1082" s="168">
        <v>-29000</v>
      </c>
    </row>
    <row r="1083" spans="1:8" ht="13.7" customHeight="1" x14ac:dyDescent="0.25">
      <c r="A1083" s="166" t="s">
        <v>1931</v>
      </c>
      <c r="B1083" s="166" t="s">
        <v>1168</v>
      </c>
      <c r="C1083" s="166" t="s">
        <v>1915</v>
      </c>
      <c r="D1083" s="166" t="s">
        <v>1916</v>
      </c>
      <c r="E1083" s="166" t="s">
        <v>486</v>
      </c>
      <c r="F1083" s="167">
        <v>43739</v>
      </c>
      <c r="G1083" s="167">
        <v>44469</v>
      </c>
      <c r="H1083" s="168">
        <v>191825</v>
      </c>
    </row>
    <row r="1084" spans="1:8" ht="13.7" customHeight="1" x14ac:dyDescent="0.25">
      <c r="A1084" s="166" t="s">
        <v>1931</v>
      </c>
      <c r="B1084" s="166" t="s">
        <v>1168</v>
      </c>
      <c r="C1084" s="166" t="s">
        <v>1915</v>
      </c>
      <c r="D1084" s="166" t="s">
        <v>1916</v>
      </c>
      <c r="E1084" s="166" t="s">
        <v>486</v>
      </c>
      <c r="F1084" s="167">
        <v>43739</v>
      </c>
      <c r="G1084" s="167">
        <v>44469</v>
      </c>
      <c r="H1084" s="168">
        <v>-11841</v>
      </c>
    </row>
    <row r="1085" spans="1:8" ht="13.7" customHeight="1" x14ac:dyDescent="0.25">
      <c r="A1085" s="166" t="s">
        <v>1932</v>
      </c>
      <c r="B1085" s="166" t="s">
        <v>1168</v>
      </c>
      <c r="C1085" s="166" t="s">
        <v>1915</v>
      </c>
      <c r="D1085" s="166" t="s">
        <v>1916</v>
      </c>
      <c r="E1085" s="166" t="s">
        <v>486</v>
      </c>
      <c r="F1085" s="167">
        <v>43739</v>
      </c>
      <c r="G1085" s="167">
        <v>44469</v>
      </c>
      <c r="H1085" s="168">
        <v>-350</v>
      </c>
    </row>
    <row r="1086" spans="1:8" ht="13.7" customHeight="1" x14ac:dyDescent="0.25">
      <c r="A1086" s="166" t="s">
        <v>1932</v>
      </c>
      <c r="B1086" s="166" t="s">
        <v>1168</v>
      </c>
      <c r="C1086" s="166" t="s">
        <v>1915</v>
      </c>
      <c r="D1086" s="166" t="s">
        <v>1916</v>
      </c>
      <c r="E1086" s="166" t="s">
        <v>486</v>
      </c>
      <c r="F1086" s="167">
        <v>43739</v>
      </c>
      <c r="G1086" s="167">
        <v>44469</v>
      </c>
      <c r="H1086" s="168">
        <v>350</v>
      </c>
    </row>
    <row r="1087" spans="1:8" ht="13.7" customHeight="1" x14ac:dyDescent="0.25">
      <c r="A1087" s="166" t="s">
        <v>1932</v>
      </c>
      <c r="B1087" s="166" t="s">
        <v>1168</v>
      </c>
      <c r="C1087" s="166" t="s">
        <v>1915</v>
      </c>
      <c r="D1087" s="166" t="s">
        <v>1916</v>
      </c>
      <c r="E1087" s="166" t="s">
        <v>486</v>
      </c>
      <c r="F1087" s="167">
        <v>43739</v>
      </c>
      <c r="G1087" s="167">
        <v>44469</v>
      </c>
      <c r="H1087" s="168">
        <v>544552</v>
      </c>
    </row>
    <row r="1088" spans="1:8" ht="13.7" customHeight="1" x14ac:dyDescent="0.25">
      <c r="A1088" s="166" t="s">
        <v>1933</v>
      </c>
      <c r="B1088" s="166" t="s">
        <v>1168</v>
      </c>
      <c r="C1088" s="166" t="s">
        <v>1915</v>
      </c>
      <c r="D1088" s="166" t="s">
        <v>1916</v>
      </c>
      <c r="E1088" s="166" t="s">
        <v>486</v>
      </c>
      <c r="F1088" s="167">
        <v>43739</v>
      </c>
      <c r="G1088" s="167">
        <v>44469</v>
      </c>
      <c r="H1088" s="168">
        <v>196723</v>
      </c>
    </row>
    <row r="1089" spans="1:8" ht="13.7" customHeight="1" x14ac:dyDescent="0.25">
      <c r="A1089" s="166" t="s">
        <v>1933</v>
      </c>
      <c r="B1089" s="166" t="s">
        <v>1168</v>
      </c>
      <c r="C1089" s="166" t="s">
        <v>1915</v>
      </c>
      <c r="D1089" s="166" t="s">
        <v>1916</v>
      </c>
      <c r="E1089" s="166" t="s">
        <v>486</v>
      </c>
      <c r="F1089" s="167">
        <v>43739</v>
      </c>
      <c r="G1089" s="167">
        <v>44469</v>
      </c>
      <c r="H1089" s="168">
        <v>-2182852</v>
      </c>
    </row>
    <row r="1090" spans="1:8" ht="13.7" customHeight="1" x14ac:dyDescent="0.25">
      <c r="A1090" s="166" t="s">
        <v>1933</v>
      </c>
      <c r="B1090" s="166" t="s">
        <v>1168</v>
      </c>
      <c r="C1090" s="166" t="s">
        <v>1915</v>
      </c>
      <c r="D1090" s="166" t="s">
        <v>1916</v>
      </c>
      <c r="E1090" s="166" t="s">
        <v>486</v>
      </c>
      <c r="F1090" s="167">
        <v>43739</v>
      </c>
      <c r="G1090" s="167">
        <v>44469</v>
      </c>
      <c r="H1090" s="168">
        <v>82790</v>
      </c>
    </row>
    <row r="1091" spans="1:8" ht="13.7" customHeight="1" x14ac:dyDescent="0.25">
      <c r="A1091" s="166" t="s">
        <v>1933</v>
      </c>
      <c r="B1091" s="166" t="s">
        <v>1168</v>
      </c>
      <c r="C1091" s="166" t="s">
        <v>1915</v>
      </c>
      <c r="D1091" s="166" t="s">
        <v>1916</v>
      </c>
      <c r="E1091" s="166" t="s">
        <v>486</v>
      </c>
      <c r="F1091" s="167">
        <v>43739</v>
      </c>
      <c r="G1091" s="167">
        <v>44469</v>
      </c>
      <c r="H1091" s="168">
        <v>1691451</v>
      </c>
    </row>
    <row r="1092" spans="1:8" ht="13.7" customHeight="1" x14ac:dyDescent="0.25">
      <c r="A1092" s="166" t="s">
        <v>1933</v>
      </c>
      <c r="B1092" s="166" t="s">
        <v>1168</v>
      </c>
      <c r="C1092" s="166" t="s">
        <v>1915</v>
      </c>
      <c r="D1092" s="166" t="s">
        <v>1916</v>
      </c>
      <c r="E1092" s="166" t="s">
        <v>486</v>
      </c>
      <c r="F1092" s="167">
        <v>43739</v>
      </c>
      <c r="G1092" s="167">
        <v>44469</v>
      </c>
      <c r="H1092" s="168">
        <v>360252</v>
      </c>
    </row>
    <row r="1093" spans="1:8" ht="13.7" customHeight="1" x14ac:dyDescent="0.25">
      <c r="A1093" s="166" t="s">
        <v>1933</v>
      </c>
      <c r="B1093" s="166" t="s">
        <v>1168</v>
      </c>
      <c r="C1093" s="166" t="s">
        <v>1915</v>
      </c>
      <c r="D1093" s="166" t="s">
        <v>1916</v>
      </c>
      <c r="E1093" s="166" t="s">
        <v>486</v>
      </c>
      <c r="F1093" s="167">
        <v>43739</v>
      </c>
      <c r="G1093" s="167">
        <v>44469</v>
      </c>
      <c r="H1093" s="168">
        <v>48359</v>
      </c>
    </row>
    <row r="1094" spans="1:8" ht="13.7" customHeight="1" x14ac:dyDescent="0.25">
      <c r="A1094" s="166" t="s">
        <v>1933</v>
      </c>
      <c r="B1094" s="166" t="s">
        <v>1168</v>
      </c>
      <c r="C1094" s="166" t="s">
        <v>1915</v>
      </c>
      <c r="D1094" s="166" t="s">
        <v>1916</v>
      </c>
      <c r="E1094" s="166" t="s">
        <v>486</v>
      </c>
      <c r="F1094" s="167">
        <v>43739</v>
      </c>
      <c r="G1094" s="167">
        <v>44469</v>
      </c>
      <c r="H1094" s="168">
        <v>-2182852</v>
      </c>
    </row>
    <row r="1095" spans="1:8" ht="13.7" customHeight="1" x14ac:dyDescent="0.25">
      <c r="A1095" s="166" t="s">
        <v>1933</v>
      </c>
      <c r="B1095" s="166" t="s">
        <v>1168</v>
      </c>
      <c r="C1095" s="166" t="s">
        <v>1915</v>
      </c>
      <c r="D1095" s="166" t="s">
        <v>1916</v>
      </c>
      <c r="E1095" s="166" t="s">
        <v>486</v>
      </c>
      <c r="F1095" s="167">
        <v>43739</v>
      </c>
      <c r="G1095" s="167">
        <v>44469</v>
      </c>
      <c r="H1095" s="168">
        <v>1691451</v>
      </c>
    </row>
    <row r="1096" spans="1:8" ht="13.7" customHeight="1" x14ac:dyDescent="0.25">
      <c r="A1096" s="166" t="s">
        <v>1933</v>
      </c>
      <c r="B1096" s="166" t="s">
        <v>1168</v>
      </c>
      <c r="C1096" s="166" t="s">
        <v>1915</v>
      </c>
      <c r="D1096" s="166" t="s">
        <v>1916</v>
      </c>
      <c r="E1096" s="166" t="s">
        <v>486</v>
      </c>
      <c r="F1096" s="167">
        <v>43739</v>
      </c>
      <c r="G1096" s="167">
        <v>44469</v>
      </c>
      <c r="H1096" s="168">
        <v>82790</v>
      </c>
    </row>
    <row r="1097" spans="1:8" ht="13.7" customHeight="1" x14ac:dyDescent="0.25">
      <c r="A1097" s="166" t="s">
        <v>1933</v>
      </c>
      <c r="B1097" s="166" t="s">
        <v>1168</v>
      </c>
      <c r="C1097" s="166" t="s">
        <v>1915</v>
      </c>
      <c r="D1097" s="166" t="s">
        <v>1916</v>
      </c>
      <c r="E1097" s="166" t="s">
        <v>486</v>
      </c>
      <c r="F1097" s="167">
        <v>43739</v>
      </c>
      <c r="G1097" s="167">
        <v>44469</v>
      </c>
      <c r="H1097" s="168">
        <v>360252</v>
      </c>
    </row>
    <row r="1098" spans="1:8" ht="13.7" customHeight="1" x14ac:dyDescent="0.25">
      <c r="A1098" s="166" t="s">
        <v>1933</v>
      </c>
      <c r="B1098" s="166" t="s">
        <v>1168</v>
      </c>
      <c r="C1098" s="166" t="s">
        <v>1915</v>
      </c>
      <c r="D1098" s="166" t="s">
        <v>1916</v>
      </c>
      <c r="E1098" s="166" t="s">
        <v>486</v>
      </c>
      <c r="F1098" s="167">
        <v>43739</v>
      </c>
      <c r="G1098" s="167">
        <v>44469</v>
      </c>
      <c r="H1098" s="168">
        <v>48359</v>
      </c>
    </row>
    <row r="1099" spans="1:8" ht="13.7" customHeight="1" x14ac:dyDescent="0.25">
      <c r="A1099" s="166" t="s">
        <v>1933</v>
      </c>
      <c r="B1099" s="166" t="s">
        <v>1168</v>
      </c>
      <c r="C1099" s="166" t="s">
        <v>1915</v>
      </c>
      <c r="D1099" s="166" t="s">
        <v>1916</v>
      </c>
      <c r="E1099" s="166" t="s">
        <v>486</v>
      </c>
      <c r="F1099" s="167">
        <v>43739</v>
      </c>
      <c r="G1099" s="167">
        <v>44469</v>
      </c>
      <c r="H1099" s="168">
        <v>2182852</v>
      </c>
    </row>
    <row r="1100" spans="1:8" ht="13.7" customHeight="1" x14ac:dyDescent="0.25">
      <c r="A1100" s="166" t="s">
        <v>1934</v>
      </c>
      <c r="B1100" s="166" t="s">
        <v>1168</v>
      </c>
      <c r="C1100" s="166" t="s">
        <v>1915</v>
      </c>
      <c r="D1100" s="166" t="s">
        <v>1916</v>
      </c>
      <c r="E1100" s="166" t="s">
        <v>486</v>
      </c>
      <c r="F1100" s="167">
        <v>43739</v>
      </c>
      <c r="G1100" s="167">
        <v>44469</v>
      </c>
      <c r="H1100" s="168">
        <v>-14500</v>
      </c>
    </row>
    <row r="1101" spans="1:8" ht="13.7" customHeight="1" x14ac:dyDescent="0.25">
      <c r="A1101" s="166" t="s">
        <v>1934</v>
      </c>
      <c r="B1101" s="166" t="s">
        <v>1168</v>
      </c>
      <c r="C1101" s="166" t="s">
        <v>1915</v>
      </c>
      <c r="D1101" s="166" t="s">
        <v>1916</v>
      </c>
      <c r="E1101" s="166" t="s">
        <v>486</v>
      </c>
      <c r="F1101" s="167">
        <v>43739</v>
      </c>
      <c r="G1101" s="167">
        <v>44469</v>
      </c>
      <c r="H1101" s="168">
        <v>-14500</v>
      </c>
    </row>
    <row r="1102" spans="1:8" ht="13.7" customHeight="1" x14ac:dyDescent="0.25">
      <c r="A1102" s="166" t="s">
        <v>1934</v>
      </c>
      <c r="B1102" s="166" t="s">
        <v>1168</v>
      </c>
      <c r="C1102" s="166" t="s">
        <v>1915</v>
      </c>
      <c r="D1102" s="166" t="s">
        <v>1916</v>
      </c>
      <c r="E1102" s="166" t="s">
        <v>486</v>
      </c>
      <c r="F1102" s="167">
        <v>43739</v>
      </c>
      <c r="G1102" s="167">
        <v>44469</v>
      </c>
      <c r="H1102" s="168">
        <v>14500</v>
      </c>
    </row>
    <row r="1103" spans="1:8" ht="13.7" customHeight="1" x14ac:dyDescent="0.25">
      <c r="A1103" s="166" t="s">
        <v>1934</v>
      </c>
      <c r="B1103" s="166" t="s">
        <v>1168</v>
      </c>
      <c r="C1103" s="166" t="s">
        <v>1915</v>
      </c>
      <c r="D1103" s="166" t="s">
        <v>1916</v>
      </c>
      <c r="E1103" s="166" t="s">
        <v>486</v>
      </c>
      <c r="F1103" s="167">
        <v>43739</v>
      </c>
      <c r="G1103" s="167">
        <v>44469</v>
      </c>
      <c r="H1103" s="168">
        <v>130500</v>
      </c>
    </row>
    <row r="1104" spans="1:8" ht="13.7" customHeight="1" x14ac:dyDescent="0.25">
      <c r="A1104" s="166" t="s">
        <v>1935</v>
      </c>
      <c r="B1104" s="166" t="s">
        <v>1168</v>
      </c>
      <c r="C1104" s="166" t="s">
        <v>1915</v>
      </c>
      <c r="D1104" s="166" t="s">
        <v>1916</v>
      </c>
      <c r="E1104" s="166" t="s">
        <v>486</v>
      </c>
      <c r="F1104" s="167">
        <v>43739</v>
      </c>
      <c r="G1104" s="167">
        <v>44469</v>
      </c>
      <c r="H1104" s="168">
        <v>13749</v>
      </c>
    </row>
    <row r="1105" spans="1:8" ht="13.7" customHeight="1" x14ac:dyDescent="0.25">
      <c r="A1105" s="166" t="s">
        <v>1935</v>
      </c>
      <c r="B1105" s="166" t="s">
        <v>1168</v>
      </c>
      <c r="C1105" s="166" t="s">
        <v>1915</v>
      </c>
      <c r="D1105" s="166" t="s">
        <v>1916</v>
      </c>
      <c r="E1105" s="166" t="s">
        <v>486</v>
      </c>
      <c r="F1105" s="167">
        <v>43739</v>
      </c>
      <c r="G1105" s="167">
        <v>44469</v>
      </c>
      <c r="H1105" s="168">
        <v>-13749</v>
      </c>
    </row>
    <row r="1106" spans="1:8" ht="13.7" customHeight="1" x14ac:dyDescent="0.25">
      <c r="A1106" s="166" t="s">
        <v>1935</v>
      </c>
      <c r="B1106" s="166" t="s">
        <v>1168</v>
      </c>
      <c r="C1106" s="166" t="s">
        <v>1915</v>
      </c>
      <c r="D1106" s="166" t="s">
        <v>1916</v>
      </c>
      <c r="E1106" s="166" t="s">
        <v>486</v>
      </c>
      <c r="F1106" s="167">
        <v>43739</v>
      </c>
      <c r="G1106" s="167">
        <v>44469</v>
      </c>
      <c r="H1106" s="168">
        <v>14500</v>
      </c>
    </row>
    <row r="1107" spans="1:8" ht="13.7" customHeight="1" x14ac:dyDescent="0.25">
      <c r="A1107" s="166" t="s">
        <v>1935</v>
      </c>
      <c r="B1107" s="166" t="s">
        <v>1168</v>
      </c>
      <c r="C1107" s="166" t="s">
        <v>1915</v>
      </c>
      <c r="D1107" s="166" t="s">
        <v>1916</v>
      </c>
      <c r="E1107" s="166" t="s">
        <v>486</v>
      </c>
      <c r="F1107" s="167">
        <v>43739</v>
      </c>
      <c r="G1107" s="167">
        <v>44469</v>
      </c>
      <c r="H1107" s="168">
        <v>49720</v>
      </c>
    </row>
    <row r="1108" spans="1:8" ht="13.7" customHeight="1" x14ac:dyDescent="0.25">
      <c r="A1108" s="166" t="s">
        <v>1935</v>
      </c>
      <c r="B1108" s="166" t="s">
        <v>1168</v>
      </c>
      <c r="C1108" s="166" t="s">
        <v>1915</v>
      </c>
      <c r="D1108" s="166" t="s">
        <v>1916</v>
      </c>
      <c r="E1108" s="166" t="s">
        <v>486</v>
      </c>
      <c r="F1108" s="167">
        <v>43739</v>
      </c>
      <c r="G1108" s="167">
        <v>44469</v>
      </c>
      <c r="H1108" s="168">
        <v>6564</v>
      </c>
    </row>
    <row r="1109" spans="1:8" ht="13.7" customHeight="1" x14ac:dyDescent="0.25">
      <c r="A1109" s="166" t="s">
        <v>1936</v>
      </c>
      <c r="B1109" s="166" t="s">
        <v>1168</v>
      </c>
      <c r="C1109" s="166" t="s">
        <v>1915</v>
      </c>
      <c r="D1109" s="166" t="s">
        <v>1916</v>
      </c>
      <c r="E1109" s="166" t="s">
        <v>486</v>
      </c>
      <c r="F1109" s="167">
        <v>43739</v>
      </c>
      <c r="G1109" s="167">
        <v>44469</v>
      </c>
      <c r="H1109" s="168">
        <v>0</v>
      </c>
    </row>
    <row r="1110" spans="1:8" ht="13.7" customHeight="1" x14ac:dyDescent="0.25">
      <c r="A1110" s="166" t="s">
        <v>1936</v>
      </c>
      <c r="B1110" s="166" t="s">
        <v>1168</v>
      </c>
      <c r="C1110" s="166" t="s">
        <v>1915</v>
      </c>
      <c r="D1110" s="166" t="s">
        <v>1916</v>
      </c>
      <c r="E1110" s="166" t="s">
        <v>486</v>
      </c>
      <c r="F1110" s="167">
        <v>43739</v>
      </c>
      <c r="G1110" s="167">
        <v>44469</v>
      </c>
      <c r="H1110" s="168">
        <v>226264</v>
      </c>
    </row>
    <row r="1111" spans="1:8" ht="13.7" customHeight="1" x14ac:dyDescent="0.25">
      <c r="A1111" s="166" t="s">
        <v>1937</v>
      </c>
      <c r="B1111" s="166" t="s">
        <v>1168</v>
      </c>
      <c r="C1111" s="166" t="s">
        <v>1915</v>
      </c>
      <c r="D1111" s="166" t="s">
        <v>1916</v>
      </c>
      <c r="E1111" s="166" t="s">
        <v>486</v>
      </c>
      <c r="F1111" s="167">
        <v>43739</v>
      </c>
      <c r="G1111" s="167">
        <v>44469</v>
      </c>
      <c r="H1111" s="168">
        <v>0</v>
      </c>
    </row>
    <row r="1112" spans="1:8" ht="13.7" customHeight="1" x14ac:dyDescent="0.25">
      <c r="A1112" s="166" t="s">
        <v>1937</v>
      </c>
      <c r="B1112" s="166" t="s">
        <v>1168</v>
      </c>
      <c r="C1112" s="166" t="s">
        <v>1915</v>
      </c>
      <c r="D1112" s="166" t="s">
        <v>1916</v>
      </c>
      <c r="E1112" s="166" t="s">
        <v>486</v>
      </c>
      <c r="F1112" s="167">
        <v>43739</v>
      </c>
      <c r="G1112" s="167">
        <v>44469</v>
      </c>
      <c r="H1112" s="168">
        <v>61912</v>
      </c>
    </row>
    <row r="1113" spans="1:8" ht="13.7" customHeight="1" x14ac:dyDescent="0.25">
      <c r="A1113" s="166" t="s">
        <v>1937</v>
      </c>
      <c r="B1113" s="166" t="s">
        <v>1168</v>
      </c>
      <c r="C1113" s="166" t="s">
        <v>1915</v>
      </c>
      <c r="D1113" s="166" t="s">
        <v>1916</v>
      </c>
      <c r="E1113" s="166" t="s">
        <v>486</v>
      </c>
      <c r="F1113" s="167">
        <v>43739</v>
      </c>
      <c r="G1113" s="167">
        <v>44469</v>
      </c>
      <c r="H1113" s="168">
        <v>33476</v>
      </c>
    </row>
    <row r="1114" spans="1:8" ht="13.7" customHeight="1" x14ac:dyDescent="0.25">
      <c r="A1114" s="166" t="s">
        <v>1938</v>
      </c>
      <c r="B1114" s="166" t="s">
        <v>1168</v>
      </c>
      <c r="C1114" s="166" t="s">
        <v>1915</v>
      </c>
      <c r="D1114" s="166" t="s">
        <v>1916</v>
      </c>
      <c r="E1114" s="166" t="s">
        <v>486</v>
      </c>
      <c r="F1114" s="167">
        <v>43739</v>
      </c>
      <c r="G1114" s="167">
        <v>44469</v>
      </c>
      <c r="H1114" s="168">
        <v>-1977</v>
      </c>
    </row>
    <row r="1115" spans="1:8" ht="13.7" customHeight="1" x14ac:dyDescent="0.25">
      <c r="A1115" s="166" t="s">
        <v>1938</v>
      </c>
      <c r="B1115" s="166" t="s">
        <v>1168</v>
      </c>
      <c r="C1115" s="166" t="s">
        <v>1915</v>
      </c>
      <c r="D1115" s="166" t="s">
        <v>1916</v>
      </c>
      <c r="E1115" s="166" t="s">
        <v>486</v>
      </c>
      <c r="F1115" s="167">
        <v>43739</v>
      </c>
      <c r="G1115" s="167">
        <v>44469</v>
      </c>
      <c r="H1115" s="168">
        <v>-12490</v>
      </c>
    </row>
    <row r="1116" spans="1:8" ht="13.7" customHeight="1" x14ac:dyDescent="0.25">
      <c r="A1116" s="166" t="s">
        <v>1938</v>
      </c>
      <c r="B1116" s="166" t="s">
        <v>1168</v>
      </c>
      <c r="C1116" s="166" t="s">
        <v>1915</v>
      </c>
      <c r="D1116" s="166" t="s">
        <v>1916</v>
      </c>
      <c r="E1116" s="166" t="s">
        <v>486</v>
      </c>
      <c r="F1116" s="167">
        <v>43739</v>
      </c>
      <c r="G1116" s="167">
        <v>44469</v>
      </c>
      <c r="H1116" s="168">
        <v>150342</v>
      </c>
    </row>
    <row r="1117" spans="1:8" ht="13.7" customHeight="1" x14ac:dyDescent="0.25">
      <c r="A1117" s="166" t="s">
        <v>1939</v>
      </c>
      <c r="B1117" s="166" t="s">
        <v>1168</v>
      </c>
      <c r="C1117" s="166" t="s">
        <v>1915</v>
      </c>
      <c r="D1117" s="166" t="s">
        <v>1916</v>
      </c>
      <c r="E1117" s="166" t="s">
        <v>486</v>
      </c>
      <c r="F1117" s="167">
        <v>43739</v>
      </c>
      <c r="G1117" s="167">
        <v>44469</v>
      </c>
      <c r="H1117" s="168">
        <v>101944</v>
      </c>
    </row>
    <row r="1118" spans="1:8" ht="13.7" customHeight="1" x14ac:dyDescent="0.25">
      <c r="A1118" s="166" t="s">
        <v>1940</v>
      </c>
      <c r="B1118" s="166" t="s">
        <v>1168</v>
      </c>
      <c r="C1118" s="166" t="s">
        <v>1915</v>
      </c>
      <c r="D1118" s="166" t="s">
        <v>1916</v>
      </c>
      <c r="E1118" s="166" t="s">
        <v>486</v>
      </c>
      <c r="F1118" s="167">
        <v>43739</v>
      </c>
      <c r="G1118" s="167">
        <v>44469</v>
      </c>
      <c r="H1118" s="168">
        <v>0</v>
      </c>
    </row>
    <row r="1119" spans="1:8" ht="13.7" customHeight="1" x14ac:dyDescent="0.25">
      <c r="A1119" s="166" t="s">
        <v>1940</v>
      </c>
      <c r="B1119" s="166" t="s">
        <v>1168</v>
      </c>
      <c r="C1119" s="166" t="s">
        <v>1915</v>
      </c>
      <c r="D1119" s="166" t="s">
        <v>1916</v>
      </c>
      <c r="E1119" s="166" t="s">
        <v>486</v>
      </c>
      <c r="F1119" s="167">
        <v>43739</v>
      </c>
      <c r="G1119" s="167">
        <v>44469</v>
      </c>
      <c r="H1119" s="168">
        <v>0</v>
      </c>
    </row>
    <row r="1120" spans="1:8" ht="13.7" customHeight="1" x14ac:dyDescent="0.25">
      <c r="A1120" s="166" t="s">
        <v>1940</v>
      </c>
      <c r="B1120" s="166" t="s">
        <v>1168</v>
      </c>
      <c r="C1120" s="166" t="s">
        <v>1915</v>
      </c>
      <c r="D1120" s="166" t="s">
        <v>1916</v>
      </c>
      <c r="E1120" s="166" t="s">
        <v>486</v>
      </c>
      <c r="F1120" s="167">
        <v>43739</v>
      </c>
      <c r="G1120" s="167">
        <v>44469</v>
      </c>
      <c r="H1120" s="168">
        <v>72500</v>
      </c>
    </row>
    <row r="1121" spans="1:8" ht="13.7" customHeight="1" x14ac:dyDescent="0.25">
      <c r="A1121" s="166" t="s">
        <v>1941</v>
      </c>
      <c r="B1121" s="166" t="s">
        <v>1168</v>
      </c>
      <c r="C1121" s="166" t="s">
        <v>1915</v>
      </c>
      <c r="D1121" s="166" t="s">
        <v>1916</v>
      </c>
      <c r="E1121" s="166" t="s">
        <v>486</v>
      </c>
      <c r="F1121" s="167">
        <v>43739</v>
      </c>
      <c r="G1121" s="167">
        <v>44469</v>
      </c>
      <c r="H1121" s="168">
        <v>112091</v>
      </c>
    </row>
    <row r="1122" spans="1:8" ht="13.7" customHeight="1" x14ac:dyDescent="0.25">
      <c r="A1122" s="166" t="s">
        <v>1941</v>
      </c>
      <c r="B1122" s="166" t="s">
        <v>1168</v>
      </c>
      <c r="C1122" s="166" t="s">
        <v>1915</v>
      </c>
      <c r="D1122" s="166" t="s">
        <v>1916</v>
      </c>
      <c r="E1122" s="166" t="s">
        <v>486</v>
      </c>
      <c r="F1122" s="167">
        <v>43739</v>
      </c>
      <c r="G1122" s="167">
        <v>44469</v>
      </c>
      <c r="H1122" s="168">
        <v>34869</v>
      </c>
    </row>
    <row r="1123" spans="1:8" ht="13.7" customHeight="1" x14ac:dyDescent="0.25">
      <c r="A1123" s="166" t="s">
        <v>1942</v>
      </c>
      <c r="B1123" s="166" t="s">
        <v>1168</v>
      </c>
      <c r="C1123" s="166" t="s">
        <v>1915</v>
      </c>
      <c r="D1123" s="166" t="s">
        <v>1916</v>
      </c>
      <c r="E1123" s="166" t="s">
        <v>486</v>
      </c>
      <c r="F1123" s="167">
        <v>43739</v>
      </c>
      <c r="G1123" s="167">
        <v>44469</v>
      </c>
      <c r="H1123" s="168">
        <v>0</v>
      </c>
    </row>
    <row r="1124" spans="1:8" ht="13.7" customHeight="1" x14ac:dyDescent="0.25">
      <c r="A1124" s="166" t="s">
        <v>1942</v>
      </c>
      <c r="B1124" s="166" t="s">
        <v>1168</v>
      </c>
      <c r="C1124" s="166" t="s">
        <v>1915</v>
      </c>
      <c r="D1124" s="166" t="s">
        <v>1916</v>
      </c>
      <c r="E1124" s="166" t="s">
        <v>486</v>
      </c>
      <c r="F1124" s="167">
        <v>43739</v>
      </c>
      <c r="G1124" s="167">
        <v>44469</v>
      </c>
      <c r="H1124" s="168">
        <v>124722</v>
      </c>
    </row>
    <row r="1125" spans="1:8" ht="13.7" customHeight="1" x14ac:dyDescent="0.25">
      <c r="A1125" s="166" t="s">
        <v>1943</v>
      </c>
      <c r="B1125" s="166" t="s">
        <v>1168</v>
      </c>
      <c r="C1125" s="166" t="s">
        <v>1915</v>
      </c>
      <c r="D1125" s="166" t="s">
        <v>1916</v>
      </c>
      <c r="E1125" s="166" t="s">
        <v>486</v>
      </c>
      <c r="F1125" s="167">
        <v>43739</v>
      </c>
      <c r="G1125" s="167">
        <v>44469</v>
      </c>
      <c r="H1125" s="168">
        <v>-15950</v>
      </c>
    </row>
    <row r="1126" spans="1:8" ht="13.7" customHeight="1" x14ac:dyDescent="0.25">
      <c r="A1126" s="166" t="s">
        <v>1943</v>
      </c>
      <c r="B1126" s="166" t="s">
        <v>1168</v>
      </c>
      <c r="C1126" s="166" t="s">
        <v>1915</v>
      </c>
      <c r="D1126" s="166" t="s">
        <v>1916</v>
      </c>
      <c r="E1126" s="166" t="s">
        <v>486</v>
      </c>
      <c r="F1126" s="167">
        <v>43739</v>
      </c>
      <c r="G1126" s="167">
        <v>44469</v>
      </c>
      <c r="H1126" s="168">
        <v>5400</v>
      </c>
    </row>
    <row r="1127" spans="1:8" ht="13.7" customHeight="1" x14ac:dyDescent="0.25">
      <c r="A1127" s="166" t="s">
        <v>1943</v>
      </c>
      <c r="B1127" s="166" t="s">
        <v>1168</v>
      </c>
      <c r="C1127" s="166" t="s">
        <v>1915</v>
      </c>
      <c r="D1127" s="166" t="s">
        <v>1916</v>
      </c>
      <c r="E1127" s="166" t="s">
        <v>486</v>
      </c>
      <c r="F1127" s="167">
        <v>43739</v>
      </c>
      <c r="G1127" s="167">
        <v>44469</v>
      </c>
      <c r="H1127" s="168">
        <v>12000</v>
      </c>
    </row>
    <row r="1128" spans="1:8" ht="13.7" customHeight="1" x14ac:dyDescent="0.25">
      <c r="A1128" s="166" t="s">
        <v>1944</v>
      </c>
      <c r="B1128" s="166" t="s">
        <v>1168</v>
      </c>
      <c r="C1128" s="166" t="s">
        <v>1915</v>
      </c>
      <c r="D1128" s="166" t="s">
        <v>1916</v>
      </c>
      <c r="E1128" s="166" t="s">
        <v>486</v>
      </c>
      <c r="F1128" s="167">
        <v>43739</v>
      </c>
      <c r="G1128" s="167">
        <v>44469</v>
      </c>
      <c r="H1128" s="168">
        <v>0</v>
      </c>
    </row>
    <row r="1129" spans="1:8" ht="13.7" customHeight="1" x14ac:dyDescent="0.25">
      <c r="A1129" s="166" t="s">
        <v>1944</v>
      </c>
      <c r="B1129" s="166" t="s">
        <v>1168</v>
      </c>
      <c r="C1129" s="166" t="s">
        <v>1915</v>
      </c>
      <c r="D1129" s="166" t="s">
        <v>1916</v>
      </c>
      <c r="E1129" s="166" t="s">
        <v>486</v>
      </c>
      <c r="F1129" s="167">
        <v>43739</v>
      </c>
      <c r="G1129" s="167">
        <v>44469</v>
      </c>
      <c r="H1129" s="168">
        <v>0</v>
      </c>
    </row>
    <row r="1130" spans="1:8" ht="13.7" customHeight="1" x14ac:dyDescent="0.25">
      <c r="A1130" s="166" t="s">
        <v>1944</v>
      </c>
      <c r="B1130" s="166" t="s">
        <v>1168</v>
      </c>
      <c r="C1130" s="166" t="s">
        <v>1915</v>
      </c>
      <c r="D1130" s="166" t="s">
        <v>1916</v>
      </c>
      <c r="E1130" s="166" t="s">
        <v>486</v>
      </c>
      <c r="F1130" s="167">
        <v>43739</v>
      </c>
      <c r="G1130" s="167">
        <v>44469</v>
      </c>
      <c r="H1130" s="168">
        <v>0</v>
      </c>
    </row>
    <row r="1131" spans="1:8" ht="13.7" customHeight="1" x14ac:dyDescent="0.25">
      <c r="A1131" s="166" t="s">
        <v>1944</v>
      </c>
      <c r="B1131" s="166" t="s">
        <v>1168</v>
      </c>
      <c r="C1131" s="166" t="s">
        <v>1915</v>
      </c>
      <c r="D1131" s="166" t="s">
        <v>1916</v>
      </c>
      <c r="E1131" s="166" t="s">
        <v>486</v>
      </c>
      <c r="F1131" s="167">
        <v>43739</v>
      </c>
      <c r="G1131" s="167">
        <v>44469</v>
      </c>
      <c r="H1131" s="168">
        <v>-18501</v>
      </c>
    </row>
    <row r="1132" spans="1:8" ht="13.7" customHeight="1" x14ac:dyDescent="0.25">
      <c r="A1132" s="166" t="s">
        <v>1944</v>
      </c>
      <c r="B1132" s="166" t="s">
        <v>1168</v>
      </c>
      <c r="C1132" s="166" t="s">
        <v>1915</v>
      </c>
      <c r="D1132" s="166" t="s">
        <v>1916</v>
      </c>
      <c r="E1132" s="166" t="s">
        <v>486</v>
      </c>
      <c r="F1132" s="167">
        <v>43739</v>
      </c>
      <c r="G1132" s="167">
        <v>44469</v>
      </c>
      <c r="H1132" s="168">
        <v>54657</v>
      </c>
    </row>
    <row r="1133" spans="1:8" ht="13.7" customHeight="1" x14ac:dyDescent="0.25">
      <c r="A1133" s="166" t="s">
        <v>1945</v>
      </c>
      <c r="B1133" s="166" t="s">
        <v>1168</v>
      </c>
      <c r="C1133" s="166" t="s">
        <v>1915</v>
      </c>
      <c r="D1133" s="166" t="s">
        <v>1916</v>
      </c>
      <c r="E1133" s="166" t="s">
        <v>486</v>
      </c>
      <c r="F1133" s="167">
        <v>43739</v>
      </c>
      <c r="G1133" s="167">
        <v>44469</v>
      </c>
      <c r="H1133" s="168">
        <v>-4849</v>
      </c>
    </row>
    <row r="1134" spans="1:8" ht="13.7" customHeight="1" x14ac:dyDescent="0.25">
      <c r="A1134" s="166" t="s">
        <v>1945</v>
      </c>
      <c r="B1134" s="166" t="s">
        <v>1168</v>
      </c>
      <c r="C1134" s="166" t="s">
        <v>1915</v>
      </c>
      <c r="D1134" s="166" t="s">
        <v>1916</v>
      </c>
      <c r="E1134" s="166" t="s">
        <v>486</v>
      </c>
      <c r="F1134" s="167">
        <v>43739</v>
      </c>
      <c r="G1134" s="167">
        <v>44469</v>
      </c>
      <c r="H1134" s="168">
        <v>36250</v>
      </c>
    </row>
    <row r="1135" spans="1:8" ht="13.7" customHeight="1" x14ac:dyDescent="0.25">
      <c r="A1135" s="166" t="s">
        <v>1946</v>
      </c>
      <c r="B1135" s="166" t="s">
        <v>1168</v>
      </c>
      <c r="C1135" s="166" t="s">
        <v>1915</v>
      </c>
      <c r="D1135" s="166" t="s">
        <v>1916</v>
      </c>
      <c r="E1135" s="166" t="s">
        <v>486</v>
      </c>
      <c r="F1135" s="167">
        <v>43739</v>
      </c>
      <c r="G1135" s="167">
        <v>44469</v>
      </c>
      <c r="H1135" s="168">
        <v>7250</v>
      </c>
    </row>
    <row r="1136" spans="1:8" ht="13.7" customHeight="1" x14ac:dyDescent="0.25">
      <c r="A1136" s="166" t="s">
        <v>1947</v>
      </c>
      <c r="B1136" s="166" t="s">
        <v>1168</v>
      </c>
      <c r="C1136" s="166" t="s">
        <v>1915</v>
      </c>
      <c r="D1136" s="166" t="s">
        <v>1916</v>
      </c>
      <c r="E1136" s="166" t="s">
        <v>486</v>
      </c>
      <c r="F1136" s="167">
        <v>43374</v>
      </c>
      <c r="G1136" s="167">
        <v>44469</v>
      </c>
      <c r="H1136" s="168">
        <v>2000</v>
      </c>
    </row>
    <row r="1137" spans="1:8" ht="13.7" customHeight="1" x14ac:dyDescent="0.25">
      <c r="A1137" s="166" t="s">
        <v>1947</v>
      </c>
      <c r="B1137" s="166" t="s">
        <v>1168</v>
      </c>
      <c r="C1137" s="166" t="s">
        <v>1915</v>
      </c>
      <c r="D1137" s="166" t="s">
        <v>1916</v>
      </c>
      <c r="E1137" s="166" t="s">
        <v>486</v>
      </c>
      <c r="F1137" s="167">
        <v>43374</v>
      </c>
      <c r="G1137" s="167">
        <v>44469</v>
      </c>
      <c r="H1137" s="168">
        <v>16000</v>
      </c>
    </row>
    <row r="1138" spans="1:8" ht="13.7" customHeight="1" x14ac:dyDescent="0.25">
      <c r="A1138" s="166" t="s">
        <v>1947</v>
      </c>
      <c r="B1138" s="166" t="s">
        <v>1168</v>
      </c>
      <c r="C1138" s="166" t="s">
        <v>1915</v>
      </c>
      <c r="D1138" s="166" t="s">
        <v>1916</v>
      </c>
      <c r="E1138" s="166" t="s">
        <v>486</v>
      </c>
      <c r="F1138" s="167">
        <v>43374</v>
      </c>
      <c r="G1138" s="167">
        <v>44469</v>
      </c>
      <c r="H1138" s="168">
        <v>501</v>
      </c>
    </row>
    <row r="1139" spans="1:8" ht="13.7" customHeight="1" x14ac:dyDescent="0.25">
      <c r="A1139" s="166" t="s">
        <v>1948</v>
      </c>
      <c r="B1139" s="166" t="s">
        <v>1168</v>
      </c>
      <c r="C1139" s="166" t="s">
        <v>1915</v>
      </c>
      <c r="D1139" s="166" t="s">
        <v>1916</v>
      </c>
      <c r="E1139" s="166" t="s">
        <v>486</v>
      </c>
      <c r="F1139" s="167">
        <v>43374</v>
      </c>
      <c r="G1139" s="167">
        <v>44469</v>
      </c>
      <c r="H1139" s="168">
        <v>4999</v>
      </c>
    </row>
    <row r="1140" spans="1:8" ht="13.7" customHeight="1" x14ac:dyDescent="0.25">
      <c r="A1140" s="166" t="s">
        <v>1948</v>
      </c>
      <c r="B1140" s="166" t="s">
        <v>1168</v>
      </c>
      <c r="C1140" s="166" t="s">
        <v>1915</v>
      </c>
      <c r="D1140" s="166" t="s">
        <v>1916</v>
      </c>
      <c r="E1140" s="166" t="s">
        <v>486</v>
      </c>
      <c r="F1140" s="167">
        <v>43374</v>
      </c>
      <c r="G1140" s="167">
        <v>44469</v>
      </c>
      <c r="H1140" s="168">
        <v>6842</v>
      </c>
    </row>
    <row r="1141" spans="1:8" ht="13.7" customHeight="1" x14ac:dyDescent="0.25">
      <c r="A1141" s="166" t="s">
        <v>1949</v>
      </c>
      <c r="B1141" s="166" t="s">
        <v>1950</v>
      </c>
      <c r="C1141" s="166" t="s">
        <v>1951</v>
      </c>
      <c r="D1141" s="166" t="s">
        <v>1952</v>
      </c>
      <c r="E1141" s="166" t="s">
        <v>1953</v>
      </c>
      <c r="F1141" s="167">
        <v>42644</v>
      </c>
      <c r="G1141" s="167">
        <v>44104</v>
      </c>
      <c r="H1141" s="168">
        <v>83158</v>
      </c>
    </row>
    <row r="1142" spans="1:8" ht="13.7" customHeight="1" x14ac:dyDescent="0.25">
      <c r="A1142" s="166" t="s">
        <v>1949</v>
      </c>
      <c r="B1142" s="166" t="s">
        <v>1950</v>
      </c>
      <c r="C1142" s="166" t="s">
        <v>1951</v>
      </c>
      <c r="D1142" s="166" t="s">
        <v>1952</v>
      </c>
      <c r="E1142" s="166" t="s">
        <v>1953</v>
      </c>
      <c r="F1142" s="167">
        <v>42644</v>
      </c>
      <c r="G1142" s="167">
        <v>44104</v>
      </c>
      <c r="H1142" s="168">
        <v>-106</v>
      </c>
    </row>
    <row r="1143" spans="1:8" ht="13.7" customHeight="1" x14ac:dyDescent="0.25">
      <c r="A1143" s="166" t="s">
        <v>1954</v>
      </c>
      <c r="B1143" s="166" t="s">
        <v>1955</v>
      </c>
      <c r="C1143" s="166" t="s">
        <v>1951</v>
      </c>
      <c r="D1143" s="166" t="s">
        <v>1956</v>
      </c>
      <c r="E1143" s="166" t="s">
        <v>548</v>
      </c>
      <c r="F1143" s="167">
        <v>41765</v>
      </c>
      <c r="G1143" s="167">
        <v>43956</v>
      </c>
      <c r="H1143" s="168">
        <v>39106</v>
      </c>
    </row>
    <row r="1144" spans="1:8" ht="13.7" customHeight="1" x14ac:dyDescent="0.25">
      <c r="A1144" s="166" t="s">
        <v>1957</v>
      </c>
      <c r="B1144" s="166" t="s">
        <v>1955</v>
      </c>
      <c r="C1144" s="166" t="s">
        <v>1951</v>
      </c>
      <c r="D1144" s="166" t="s">
        <v>1958</v>
      </c>
      <c r="E1144" s="166" t="s">
        <v>548</v>
      </c>
      <c r="F1144" s="167">
        <v>42915</v>
      </c>
      <c r="G1144" s="167">
        <v>44375</v>
      </c>
      <c r="H1144" s="168">
        <v>30535</v>
      </c>
    </row>
    <row r="1145" spans="1:8" ht="13.7" customHeight="1" x14ac:dyDescent="0.25">
      <c r="A1145" s="166" t="s">
        <v>1957</v>
      </c>
      <c r="B1145" s="166" t="s">
        <v>1955</v>
      </c>
      <c r="C1145" s="166" t="s">
        <v>1951</v>
      </c>
      <c r="D1145" s="166" t="s">
        <v>1958</v>
      </c>
      <c r="E1145" s="166" t="s">
        <v>548</v>
      </c>
      <c r="F1145" s="167">
        <v>42915</v>
      </c>
      <c r="G1145" s="167">
        <v>44375</v>
      </c>
      <c r="H1145" s="168">
        <v>63850</v>
      </c>
    </row>
    <row r="1146" spans="1:8" ht="13.7" customHeight="1" x14ac:dyDescent="0.25">
      <c r="A1146" s="166" t="s">
        <v>1959</v>
      </c>
      <c r="B1146" s="166" t="s">
        <v>1955</v>
      </c>
      <c r="C1146" s="166" t="s">
        <v>1951</v>
      </c>
      <c r="D1146" s="166" t="s">
        <v>1960</v>
      </c>
      <c r="E1146" s="166" t="s">
        <v>1961</v>
      </c>
      <c r="F1146" s="167">
        <v>42562</v>
      </c>
      <c r="G1146" s="167">
        <v>44022</v>
      </c>
      <c r="H1146" s="168">
        <v>20967</v>
      </c>
    </row>
    <row r="1147" spans="1:8" ht="13.7" customHeight="1" x14ac:dyDescent="0.25">
      <c r="A1147" s="166" t="s">
        <v>1962</v>
      </c>
      <c r="B1147" s="166" t="s">
        <v>1955</v>
      </c>
      <c r="C1147" s="166" t="s">
        <v>1951</v>
      </c>
      <c r="D1147" s="166" t="s">
        <v>1963</v>
      </c>
      <c r="E1147" s="166" t="s">
        <v>1964</v>
      </c>
      <c r="F1147" s="167">
        <v>43556</v>
      </c>
      <c r="G1147" s="167">
        <v>44651</v>
      </c>
      <c r="H1147" s="168">
        <v>58029.16</v>
      </c>
    </row>
    <row r="1148" spans="1:8" ht="13.7" customHeight="1" x14ac:dyDescent="0.25">
      <c r="A1148" s="166" t="s">
        <v>1962</v>
      </c>
      <c r="B1148" s="166" t="s">
        <v>1955</v>
      </c>
      <c r="C1148" s="166" t="s">
        <v>1951</v>
      </c>
      <c r="D1148" s="166" t="s">
        <v>1963</v>
      </c>
      <c r="E1148" s="166" t="s">
        <v>1964</v>
      </c>
      <c r="F1148" s="167">
        <v>43556</v>
      </c>
      <c r="G1148" s="167">
        <v>44651</v>
      </c>
      <c r="H1148" s="168">
        <v>47982</v>
      </c>
    </row>
    <row r="1149" spans="1:8" ht="13.7" customHeight="1" x14ac:dyDescent="0.25">
      <c r="A1149" s="166" t="s">
        <v>1962</v>
      </c>
      <c r="B1149" s="166" t="s">
        <v>1955</v>
      </c>
      <c r="C1149" s="166" t="s">
        <v>1951</v>
      </c>
      <c r="D1149" s="166" t="s">
        <v>1963</v>
      </c>
      <c r="E1149" s="166" t="s">
        <v>1964</v>
      </c>
      <c r="F1149" s="167">
        <v>43556</v>
      </c>
      <c r="G1149" s="167">
        <v>44651</v>
      </c>
      <c r="H1149" s="168">
        <v>-18009.16</v>
      </c>
    </row>
    <row r="1150" spans="1:8" ht="13.7" customHeight="1" x14ac:dyDescent="0.25">
      <c r="A1150" s="166" t="s">
        <v>1962</v>
      </c>
      <c r="B1150" s="166" t="s">
        <v>1955</v>
      </c>
      <c r="C1150" s="166" t="s">
        <v>1951</v>
      </c>
      <c r="D1150" s="166" t="s">
        <v>1963</v>
      </c>
      <c r="E1150" s="166" t="s">
        <v>1964</v>
      </c>
      <c r="F1150" s="167">
        <v>43556</v>
      </c>
      <c r="G1150" s="167">
        <v>44651</v>
      </c>
      <c r="H1150" s="168">
        <v>-40020</v>
      </c>
    </row>
    <row r="1151" spans="1:8" ht="13.7" customHeight="1" x14ac:dyDescent="0.25">
      <c r="A1151" s="166" t="s">
        <v>1962</v>
      </c>
      <c r="B1151" s="166" t="s">
        <v>1955</v>
      </c>
      <c r="C1151" s="166" t="s">
        <v>1951</v>
      </c>
      <c r="D1151" s="166" t="s">
        <v>1963</v>
      </c>
      <c r="E1151" s="166" t="s">
        <v>1964</v>
      </c>
      <c r="F1151" s="167">
        <v>43556</v>
      </c>
      <c r="G1151" s="167">
        <v>44651</v>
      </c>
      <c r="H1151" s="168">
        <v>31661</v>
      </c>
    </row>
    <row r="1152" spans="1:8" ht="13.7" customHeight="1" x14ac:dyDescent="0.25">
      <c r="A1152" s="166" t="s">
        <v>1962</v>
      </c>
      <c r="B1152" s="166" t="s">
        <v>1955</v>
      </c>
      <c r="C1152" s="166" t="s">
        <v>1951</v>
      </c>
      <c r="D1152" s="166" t="s">
        <v>1963</v>
      </c>
      <c r="E1152" s="166" t="s">
        <v>1964</v>
      </c>
      <c r="F1152" s="167">
        <v>43556</v>
      </c>
      <c r="G1152" s="167">
        <v>44651</v>
      </c>
      <c r="H1152" s="168">
        <v>70357</v>
      </c>
    </row>
    <row r="1153" spans="1:8" ht="13.7" customHeight="1" x14ac:dyDescent="0.25">
      <c r="A1153" s="166" t="s">
        <v>1965</v>
      </c>
      <c r="B1153" s="166" t="s">
        <v>1955</v>
      </c>
      <c r="C1153" s="166" t="s">
        <v>1951</v>
      </c>
      <c r="D1153" s="166" t="s">
        <v>1966</v>
      </c>
      <c r="E1153" s="166" t="s">
        <v>1967</v>
      </c>
      <c r="F1153" s="167">
        <v>43160</v>
      </c>
      <c r="G1153" s="167">
        <v>44196</v>
      </c>
      <c r="H1153" s="168">
        <v>80954</v>
      </c>
    </row>
    <row r="1154" spans="1:8" ht="13.7" customHeight="1" x14ac:dyDescent="0.25">
      <c r="A1154" s="166" t="s">
        <v>1968</v>
      </c>
      <c r="B1154" s="166" t="s">
        <v>1955</v>
      </c>
      <c r="C1154" s="166" t="s">
        <v>1951</v>
      </c>
      <c r="D1154" s="166" t="s">
        <v>1969</v>
      </c>
      <c r="E1154" s="166" t="s">
        <v>1543</v>
      </c>
      <c r="F1154" s="167">
        <v>40562</v>
      </c>
      <c r="G1154" s="167">
        <v>44356</v>
      </c>
      <c r="H1154" s="168">
        <v>11950</v>
      </c>
    </row>
    <row r="1155" spans="1:8" ht="13.7" customHeight="1" x14ac:dyDescent="0.25">
      <c r="A1155" s="166" t="s">
        <v>1968</v>
      </c>
      <c r="B1155" s="166" t="s">
        <v>1955</v>
      </c>
      <c r="C1155" s="166" t="s">
        <v>1951</v>
      </c>
      <c r="D1155" s="166" t="s">
        <v>1969</v>
      </c>
      <c r="E1155" s="166" t="s">
        <v>1543</v>
      </c>
      <c r="F1155" s="167">
        <v>40562</v>
      </c>
      <c r="G1155" s="167">
        <v>44356</v>
      </c>
      <c r="H1155" s="168">
        <v>28650</v>
      </c>
    </row>
    <row r="1156" spans="1:8" ht="13.7" customHeight="1" x14ac:dyDescent="0.25">
      <c r="A1156" s="166" t="s">
        <v>1970</v>
      </c>
      <c r="B1156" s="166" t="s">
        <v>1971</v>
      </c>
      <c r="C1156" s="166" t="s">
        <v>1951</v>
      </c>
      <c r="D1156" s="166" t="s">
        <v>1972</v>
      </c>
      <c r="E1156" s="166" t="s">
        <v>548</v>
      </c>
      <c r="F1156" s="167">
        <v>43252</v>
      </c>
      <c r="G1156" s="167">
        <v>44347</v>
      </c>
      <c r="H1156" s="168">
        <v>175573</v>
      </c>
    </row>
    <row r="1157" spans="1:8" ht="13.7" customHeight="1" x14ac:dyDescent="0.25">
      <c r="A1157" s="166" t="s">
        <v>1973</v>
      </c>
      <c r="B1157" s="166" t="s">
        <v>1950</v>
      </c>
      <c r="C1157" s="166" t="s">
        <v>1974</v>
      </c>
      <c r="D1157" s="166" t="s">
        <v>1975</v>
      </c>
      <c r="E1157" s="166" t="s">
        <v>1811</v>
      </c>
      <c r="F1157" s="167">
        <v>43668</v>
      </c>
      <c r="G1157" s="167">
        <v>44408</v>
      </c>
      <c r="H1157" s="168">
        <v>0</v>
      </c>
    </row>
    <row r="1158" spans="1:8" ht="13.7" customHeight="1" x14ac:dyDescent="0.25">
      <c r="A1158" s="166" t="s">
        <v>1973</v>
      </c>
      <c r="B1158" s="166" t="s">
        <v>1950</v>
      </c>
      <c r="C1158" s="166" t="s">
        <v>1974</v>
      </c>
      <c r="D1158" s="166" t="s">
        <v>1975</v>
      </c>
      <c r="E1158" s="166" t="s">
        <v>1811</v>
      </c>
      <c r="F1158" s="167">
        <v>43668</v>
      </c>
      <c r="G1158" s="167">
        <v>44408</v>
      </c>
      <c r="H1158" s="168">
        <v>451643</v>
      </c>
    </row>
    <row r="1159" spans="1:8" ht="13.7" customHeight="1" x14ac:dyDescent="0.25">
      <c r="A1159" s="166" t="s">
        <v>1976</v>
      </c>
      <c r="B1159" s="166" t="s">
        <v>1955</v>
      </c>
      <c r="C1159" s="166" t="s">
        <v>1974</v>
      </c>
      <c r="D1159" s="166" t="s">
        <v>1977</v>
      </c>
      <c r="E1159" s="166" t="s">
        <v>548</v>
      </c>
      <c r="F1159" s="167">
        <v>43249</v>
      </c>
      <c r="G1159" s="167">
        <v>45074</v>
      </c>
      <c r="H1159" s="168">
        <v>349516</v>
      </c>
    </row>
    <row r="1160" spans="1:8" ht="13.7" customHeight="1" x14ac:dyDescent="0.25">
      <c r="A1160" s="166" t="s">
        <v>1978</v>
      </c>
      <c r="B1160" s="166" t="s">
        <v>1955</v>
      </c>
      <c r="C1160" s="166" t="s">
        <v>1974</v>
      </c>
      <c r="D1160" s="166" t="s">
        <v>1979</v>
      </c>
      <c r="E1160" s="166" t="s">
        <v>548</v>
      </c>
      <c r="F1160" s="167">
        <v>43550</v>
      </c>
      <c r="G1160" s="167">
        <v>44645</v>
      </c>
      <c r="H1160" s="168">
        <v>243800</v>
      </c>
    </row>
    <row r="1161" spans="1:8" ht="13.7" customHeight="1" x14ac:dyDescent="0.25">
      <c r="A1161" s="166" t="s">
        <v>1978</v>
      </c>
      <c r="B1161" s="166" t="s">
        <v>1955</v>
      </c>
      <c r="C1161" s="166" t="s">
        <v>1974</v>
      </c>
      <c r="D1161" s="166" t="s">
        <v>1979</v>
      </c>
      <c r="E1161" s="166" t="s">
        <v>548</v>
      </c>
      <c r="F1161" s="167">
        <v>43550</v>
      </c>
      <c r="G1161" s="167">
        <v>44645</v>
      </c>
      <c r="H1161" s="168">
        <v>12532</v>
      </c>
    </row>
    <row r="1162" spans="1:8" ht="13.7" customHeight="1" x14ac:dyDescent="0.25">
      <c r="A1162" s="166" t="s">
        <v>1978</v>
      </c>
      <c r="B1162" s="166" t="s">
        <v>1955</v>
      </c>
      <c r="C1162" s="166" t="s">
        <v>1974</v>
      </c>
      <c r="D1162" s="166" t="s">
        <v>1979</v>
      </c>
      <c r="E1162" s="166" t="s">
        <v>548</v>
      </c>
      <c r="F1162" s="167">
        <v>43550</v>
      </c>
      <c r="G1162" s="167">
        <v>44645</v>
      </c>
      <c r="H1162" s="168">
        <v>30153</v>
      </c>
    </row>
    <row r="1163" spans="1:8" ht="13.7" customHeight="1" x14ac:dyDescent="0.25">
      <c r="A1163" s="166" t="s">
        <v>1978</v>
      </c>
      <c r="B1163" s="166" t="s">
        <v>1955</v>
      </c>
      <c r="C1163" s="166" t="s">
        <v>1974</v>
      </c>
      <c r="D1163" s="166" t="s">
        <v>1979</v>
      </c>
      <c r="E1163" s="166" t="s">
        <v>548</v>
      </c>
      <c r="F1163" s="167">
        <v>43550</v>
      </c>
      <c r="G1163" s="167">
        <v>44645</v>
      </c>
      <c r="H1163" s="168">
        <v>-24827</v>
      </c>
    </row>
    <row r="1164" spans="1:8" ht="13.7" customHeight="1" x14ac:dyDescent="0.25">
      <c r="A1164" s="166" t="s">
        <v>1978</v>
      </c>
      <c r="B1164" s="166" t="s">
        <v>1955</v>
      </c>
      <c r="C1164" s="166" t="s">
        <v>1974</v>
      </c>
      <c r="D1164" s="166" t="s">
        <v>1979</v>
      </c>
      <c r="E1164" s="166" t="s">
        <v>548</v>
      </c>
      <c r="F1164" s="167">
        <v>43550</v>
      </c>
      <c r="G1164" s="167">
        <v>44645</v>
      </c>
      <c r="H1164" s="168">
        <v>24827</v>
      </c>
    </row>
    <row r="1165" spans="1:8" ht="13.7" customHeight="1" x14ac:dyDescent="0.25">
      <c r="A1165" s="166" t="s">
        <v>1978</v>
      </c>
      <c r="B1165" s="166" t="s">
        <v>1955</v>
      </c>
      <c r="C1165" s="166" t="s">
        <v>1974</v>
      </c>
      <c r="D1165" s="166" t="s">
        <v>1979</v>
      </c>
      <c r="E1165" s="166" t="s">
        <v>548</v>
      </c>
      <c r="F1165" s="167">
        <v>43550</v>
      </c>
      <c r="G1165" s="167">
        <v>44645</v>
      </c>
      <c r="H1165" s="168">
        <v>0</v>
      </c>
    </row>
    <row r="1166" spans="1:8" ht="13.7" customHeight="1" x14ac:dyDescent="0.25">
      <c r="A1166" s="166" t="s">
        <v>1978</v>
      </c>
      <c r="B1166" s="166" t="s">
        <v>1955</v>
      </c>
      <c r="C1166" s="166" t="s">
        <v>1974</v>
      </c>
      <c r="D1166" s="166" t="s">
        <v>1979</v>
      </c>
      <c r="E1166" s="166" t="s">
        <v>548</v>
      </c>
      <c r="F1166" s="167">
        <v>43550</v>
      </c>
      <c r="G1166" s="167">
        <v>44645</v>
      </c>
      <c r="H1166" s="168">
        <v>0</v>
      </c>
    </row>
    <row r="1167" spans="1:8" ht="13.7" customHeight="1" x14ac:dyDescent="0.25">
      <c r="A1167" s="166" t="s">
        <v>1978</v>
      </c>
      <c r="B1167" s="166" t="s">
        <v>1955</v>
      </c>
      <c r="C1167" s="166" t="s">
        <v>1974</v>
      </c>
      <c r="D1167" s="166" t="s">
        <v>1979</v>
      </c>
      <c r="E1167" s="166" t="s">
        <v>548</v>
      </c>
      <c r="F1167" s="167">
        <v>43550</v>
      </c>
      <c r="G1167" s="167">
        <v>44645</v>
      </c>
      <c r="H1167" s="168">
        <v>45000</v>
      </c>
    </row>
    <row r="1168" spans="1:8" ht="13.7" customHeight="1" x14ac:dyDescent="0.25">
      <c r="A1168" s="166" t="s">
        <v>1978</v>
      </c>
      <c r="B1168" s="166" t="s">
        <v>1955</v>
      </c>
      <c r="C1168" s="166" t="s">
        <v>1974</v>
      </c>
      <c r="D1168" s="166" t="s">
        <v>1979</v>
      </c>
      <c r="E1168" s="166" t="s">
        <v>548</v>
      </c>
      <c r="F1168" s="167">
        <v>43550</v>
      </c>
      <c r="G1168" s="167">
        <v>44645</v>
      </c>
      <c r="H1168" s="168">
        <v>75000</v>
      </c>
    </row>
    <row r="1169" spans="1:8" ht="13.7" customHeight="1" x14ac:dyDescent="0.25">
      <c r="A1169" s="166" t="s">
        <v>1980</v>
      </c>
      <c r="B1169" s="166" t="s">
        <v>1955</v>
      </c>
      <c r="C1169" s="166" t="s">
        <v>1974</v>
      </c>
      <c r="D1169" s="166" t="s">
        <v>1981</v>
      </c>
      <c r="E1169" s="166" t="s">
        <v>1982</v>
      </c>
      <c r="F1169" s="167">
        <v>43829</v>
      </c>
      <c r="G1169" s="167">
        <v>44072</v>
      </c>
      <c r="H1169" s="168">
        <v>50000</v>
      </c>
    </row>
    <row r="1170" spans="1:8" ht="13.7" customHeight="1" x14ac:dyDescent="0.25">
      <c r="A1170" s="166" t="s">
        <v>1983</v>
      </c>
      <c r="B1170" s="166" t="s">
        <v>546</v>
      </c>
      <c r="C1170" s="166" t="s">
        <v>1974</v>
      </c>
      <c r="D1170" s="166" t="s">
        <v>547</v>
      </c>
      <c r="E1170" s="166" t="s">
        <v>548</v>
      </c>
      <c r="F1170" s="167">
        <v>43433</v>
      </c>
      <c r="G1170" s="167">
        <v>44260</v>
      </c>
      <c r="H1170" s="168">
        <v>69111</v>
      </c>
    </row>
    <row r="1171" spans="1:8" ht="13.7" customHeight="1" x14ac:dyDescent="0.25">
      <c r="A1171" s="166" t="s">
        <v>1983</v>
      </c>
      <c r="B1171" s="166" t="s">
        <v>546</v>
      </c>
      <c r="C1171" s="166" t="s">
        <v>1974</v>
      </c>
      <c r="D1171" s="166" t="s">
        <v>547</v>
      </c>
      <c r="E1171" s="166" t="s">
        <v>548</v>
      </c>
      <c r="F1171" s="167">
        <v>43433</v>
      </c>
      <c r="G1171" s="167">
        <v>44260</v>
      </c>
      <c r="H1171" s="168">
        <v>34639</v>
      </c>
    </row>
    <row r="1172" spans="1:8" ht="13.7" customHeight="1" x14ac:dyDescent="0.25">
      <c r="A1172" s="166" t="s">
        <v>1984</v>
      </c>
      <c r="B1172" s="166" t="s">
        <v>1985</v>
      </c>
      <c r="C1172" s="166" t="s">
        <v>1986</v>
      </c>
      <c r="D1172" s="166" t="s">
        <v>1987</v>
      </c>
      <c r="E1172" s="166" t="s">
        <v>1988</v>
      </c>
      <c r="F1172" s="167">
        <v>43704</v>
      </c>
      <c r="G1172" s="167">
        <v>43921</v>
      </c>
      <c r="H1172" s="168">
        <v>15000</v>
      </c>
    </row>
    <row r="1173" spans="1:8" ht="13.7" customHeight="1" x14ac:dyDescent="0.25">
      <c r="A1173" s="166" t="s">
        <v>1989</v>
      </c>
      <c r="B1173" s="166" t="s">
        <v>1990</v>
      </c>
      <c r="C1173" s="166" t="s">
        <v>1991</v>
      </c>
      <c r="D1173" s="166" t="s">
        <v>1992</v>
      </c>
      <c r="E1173" s="166" t="s">
        <v>1993</v>
      </c>
      <c r="F1173" s="167">
        <v>41913</v>
      </c>
      <c r="G1173" s="167">
        <v>43890</v>
      </c>
      <c r="H1173" s="168">
        <v>0</v>
      </c>
    </row>
    <row r="1174" spans="1:8" ht="13.7" customHeight="1" x14ac:dyDescent="0.25">
      <c r="A1174" s="166" t="s">
        <v>1994</v>
      </c>
      <c r="B1174" s="166" t="s">
        <v>1995</v>
      </c>
      <c r="C1174" s="166" t="s">
        <v>1991</v>
      </c>
      <c r="D1174" s="166" t="s">
        <v>1996</v>
      </c>
      <c r="E1174" s="166" t="s">
        <v>809</v>
      </c>
      <c r="F1174" s="167">
        <v>43678</v>
      </c>
      <c r="G1174" s="167">
        <v>44773</v>
      </c>
      <c r="H1174" s="168">
        <v>335054.88</v>
      </c>
    </row>
    <row r="1175" spans="1:8" ht="13.7" customHeight="1" x14ac:dyDescent="0.25">
      <c r="A1175" s="166" t="s">
        <v>1994</v>
      </c>
      <c r="B1175" s="166" t="s">
        <v>1995</v>
      </c>
      <c r="C1175" s="166" t="s">
        <v>1991</v>
      </c>
      <c r="D1175" s="166" t="s">
        <v>1996</v>
      </c>
      <c r="E1175" s="166" t="s">
        <v>809</v>
      </c>
      <c r="F1175" s="167">
        <v>43678</v>
      </c>
      <c r="G1175" s="167">
        <v>44773</v>
      </c>
      <c r="H1175" s="168">
        <v>375345</v>
      </c>
    </row>
    <row r="1176" spans="1:8" ht="13.7" customHeight="1" x14ac:dyDescent="0.25">
      <c r="A1176" s="166" t="s">
        <v>1997</v>
      </c>
      <c r="B1176" s="166" t="s">
        <v>1995</v>
      </c>
      <c r="C1176" s="166" t="s">
        <v>1991</v>
      </c>
      <c r="D1176" s="166" t="s">
        <v>1998</v>
      </c>
      <c r="E1176" s="166" t="s">
        <v>1999</v>
      </c>
      <c r="F1176" s="167">
        <v>43647</v>
      </c>
      <c r="G1176" s="167">
        <v>44012</v>
      </c>
      <c r="H1176" s="168">
        <v>77401</v>
      </c>
    </row>
    <row r="1177" spans="1:8" ht="13.7" customHeight="1" x14ac:dyDescent="0.25">
      <c r="A1177" s="166" t="s">
        <v>2000</v>
      </c>
      <c r="B1177" s="166" t="s">
        <v>2001</v>
      </c>
      <c r="C1177" s="166" t="s">
        <v>1991</v>
      </c>
      <c r="D1177" s="166" t="s">
        <v>2002</v>
      </c>
      <c r="E1177" s="166" t="s">
        <v>0</v>
      </c>
      <c r="F1177" s="167">
        <v>43952</v>
      </c>
      <c r="G1177" s="167">
        <v>44439</v>
      </c>
      <c r="H1177" s="168">
        <v>103</v>
      </c>
    </row>
    <row r="1178" spans="1:8" ht="13.7" customHeight="1" x14ac:dyDescent="0.25">
      <c r="A1178" s="166" t="s">
        <v>2000</v>
      </c>
      <c r="B1178" s="166" t="s">
        <v>2001</v>
      </c>
      <c r="C1178" s="166" t="s">
        <v>1991</v>
      </c>
      <c r="D1178" s="166" t="s">
        <v>2002</v>
      </c>
      <c r="E1178" s="166" t="s">
        <v>0</v>
      </c>
      <c r="F1178" s="167">
        <v>43952</v>
      </c>
      <c r="G1178" s="167">
        <v>44439</v>
      </c>
      <c r="H1178" s="168">
        <v>4324</v>
      </c>
    </row>
    <row r="1179" spans="1:8" ht="13.7" customHeight="1" x14ac:dyDescent="0.25">
      <c r="A1179" s="166" t="s">
        <v>2003</v>
      </c>
      <c r="B1179" s="166" t="s">
        <v>2004</v>
      </c>
      <c r="C1179" s="166" t="s">
        <v>1991</v>
      </c>
      <c r="D1179" s="166" t="s">
        <v>2005</v>
      </c>
      <c r="E1179" s="166" t="s">
        <v>2006</v>
      </c>
      <c r="F1179" s="167">
        <v>43647</v>
      </c>
      <c r="G1179" s="167">
        <v>44012</v>
      </c>
      <c r="H1179" s="168">
        <v>23823</v>
      </c>
    </row>
    <row r="1180" spans="1:8" ht="13.7" customHeight="1" x14ac:dyDescent="0.25">
      <c r="A1180" s="166" t="s">
        <v>2003</v>
      </c>
      <c r="B1180" s="166" t="s">
        <v>2004</v>
      </c>
      <c r="C1180" s="166" t="s">
        <v>1991</v>
      </c>
      <c r="D1180" s="166" t="s">
        <v>2005</v>
      </c>
      <c r="E1180" s="166" t="s">
        <v>2006</v>
      </c>
      <c r="F1180" s="167">
        <v>43647</v>
      </c>
      <c r="G1180" s="167">
        <v>44012</v>
      </c>
      <c r="H1180" s="168">
        <v>1906</v>
      </c>
    </row>
    <row r="1181" spans="1:8" ht="13.7" customHeight="1" x14ac:dyDescent="0.25">
      <c r="A1181" s="166" t="s">
        <v>2007</v>
      </c>
      <c r="B1181" s="166" t="s">
        <v>2008</v>
      </c>
      <c r="C1181" s="166" t="s">
        <v>1991</v>
      </c>
      <c r="D1181" s="166" t="s">
        <v>2009</v>
      </c>
      <c r="E1181" s="166" t="s">
        <v>2010</v>
      </c>
      <c r="F1181" s="167">
        <v>43739</v>
      </c>
      <c r="G1181" s="167">
        <v>44104</v>
      </c>
      <c r="H1181" s="168">
        <v>19699</v>
      </c>
    </row>
    <row r="1182" spans="1:8" ht="13.7" customHeight="1" x14ac:dyDescent="0.25">
      <c r="A1182" s="166" t="s">
        <v>2007</v>
      </c>
      <c r="B1182" s="166" t="s">
        <v>2008</v>
      </c>
      <c r="C1182" s="166" t="s">
        <v>1991</v>
      </c>
      <c r="D1182" s="166" t="s">
        <v>2009</v>
      </c>
      <c r="E1182" s="166" t="s">
        <v>2010</v>
      </c>
      <c r="F1182" s="167">
        <v>43739</v>
      </c>
      <c r="G1182" s="167">
        <v>44104</v>
      </c>
      <c r="H1182" s="168">
        <v>214849</v>
      </c>
    </row>
    <row r="1183" spans="1:8" ht="13.7" customHeight="1" x14ac:dyDescent="0.25">
      <c r="A1183" s="166" t="s">
        <v>2011</v>
      </c>
      <c r="B1183" s="166" t="s">
        <v>2012</v>
      </c>
      <c r="C1183" s="166" t="s">
        <v>2013</v>
      </c>
      <c r="D1183" s="166" t="s">
        <v>2014</v>
      </c>
      <c r="E1183" s="166" t="s">
        <v>2015</v>
      </c>
      <c r="F1183" s="167">
        <v>43070</v>
      </c>
      <c r="G1183" s="167">
        <v>43921</v>
      </c>
      <c r="H1183" s="168">
        <v>15000</v>
      </c>
    </row>
    <row r="1184" spans="1:8" ht="13.7" customHeight="1" x14ac:dyDescent="0.25">
      <c r="A1184" s="166" t="s">
        <v>2016</v>
      </c>
      <c r="B1184" s="166" t="s">
        <v>2012</v>
      </c>
      <c r="C1184" s="166" t="s">
        <v>2013</v>
      </c>
      <c r="D1184" s="166" t="s">
        <v>2017</v>
      </c>
      <c r="E1184" s="166" t="s">
        <v>2018</v>
      </c>
      <c r="F1184" s="167">
        <v>43767</v>
      </c>
      <c r="G1184" s="167">
        <v>44196</v>
      </c>
      <c r="H1184" s="168">
        <v>4786</v>
      </c>
    </row>
    <row r="1185" spans="1:8" ht="13.7" customHeight="1" x14ac:dyDescent="0.25">
      <c r="A1185" s="166" t="s">
        <v>2016</v>
      </c>
      <c r="B1185" s="166" t="s">
        <v>2012</v>
      </c>
      <c r="C1185" s="166" t="s">
        <v>2013</v>
      </c>
      <c r="D1185" s="166" t="s">
        <v>2017</v>
      </c>
      <c r="E1185" s="166" t="s">
        <v>2018</v>
      </c>
      <c r="F1185" s="167">
        <v>43767</v>
      </c>
      <c r="G1185" s="167">
        <v>44196</v>
      </c>
      <c r="H1185" s="168">
        <v>10636</v>
      </c>
    </row>
    <row r="1186" spans="1:8" ht="13.7" customHeight="1" x14ac:dyDescent="0.25">
      <c r="A1186" s="166" t="s">
        <v>2019</v>
      </c>
      <c r="B1186" s="166" t="s">
        <v>2012</v>
      </c>
      <c r="C1186" s="166" t="s">
        <v>2013</v>
      </c>
      <c r="D1186" s="166" t="s">
        <v>2020</v>
      </c>
      <c r="E1186" s="166" t="s">
        <v>2021</v>
      </c>
      <c r="F1186" s="167">
        <v>43570</v>
      </c>
      <c r="G1186" s="167">
        <v>44487</v>
      </c>
      <c r="H1186" s="168">
        <v>15590</v>
      </c>
    </row>
    <row r="1187" spans="1:8" ht="13.7" customHeight="1" x14ac:dyDescent="0.25">
      <c r="A1187" s="166" t="s">
        <v>2019</v>
      </c>
      <c r="B1187" s="166" t="s">
        <v>2012</v>
      </c>
      <c r="C1187" s="166" t="s">
        <v>2013</v>
      </c>
      <c r="D1187" s="166" t="s">
        <v>2020</v>
      </c>
      <c r="E1187" s="166" t="s">
        <v>2021</v>
      </c>
      <c r="F1187" s="167">
        <v>43570</v>
      </c>
      <c r="G1187" s="167">
        <v>44487</v>
      </c>
      <c r="H1187" s="168">
        <v>4410</v>
      </c>
    </row>
    <row r="1188" spans="1:8" ht="13.7" customHeight="1" x14ac:dyDescent="0.25">
      <c r="A1188" s="166" t="s">
        <v>2019</v>
      </c>
      <c r="B1188" s="166" t="s">
        <v>2012</v>
      </c>
      <c r="C1188" s="166" t="s">
        <v>2013</v>
      </c>
      <c r="D1188" s="166" t="s">
        <v>2020</v>
      </c>
      <c r="E1188" s="166" t="s">
        <v>2021</v>
      </c>
      <c r="F1188" s="167">
        <v>43570</v>
      </c>
      <c r="G1188" s="167">
        <v>44487</v>
      </c>
      <c r="H1188" s="168">
        <v>0</v>
      </c>
    </row>
    <row r="1189" spans="1:8" ht="13.7" customHeight="1" x14ac:dyDescent="0.25">
      <c r="A1189" s="166" t="s">
        <v>2022</v>
      </c>
      <c r="B1189" s="166" t="s">
        <v>2023</v>
      </c>
      <c r="C1189" s="166" t="s">
        <v>2013</v>
      </c>
      <c r="D1189" s="166" t="s">
        <v>2024</v>
      </c>
      <c r="E1189" s="166" t="s">
        <v>540</v>
      </c>
      <c r="F1189" s="167">
        <v>37712</v>
      </c>
      <c r="G1189" s="167">
        <v>44012</v>
      </c>
      <c r="H1189" s="168">
        <v>42433</v>
      </c>
    </row>
    <row r="1190" spans="1:8" ht="13.7" customHeight="1" x14ac:dyDescent="0.25">
      <c r="A1190" s="166" t="s">
        <v>2022</v>
      </c>
      <c r="B1190" s="166" t="s">
        <v>2023</v>
      </c>
      <c r="C1190" s="166" t="s">
        <v>2013</v>
      </c>
      <c r="D1190" s="166" t="s">
        <v>2024</v>
      </c>
      <c r="E1190" s="166" t="s">
        <v>540</v>
      </c>
      <c r="F1190" s="167">
        <v>37712</v>
      </c>
      <c r="G1190" s="167">
        <v>44012</v>
      </c>
      <c r="H1190" s="168">
        <v>19256</v>
      </c>
    </row>
    <row r="1191" spans="1:8" ht="13.7" customHeight="1" x14ac:dyDescent="0.25">
      <c r="A1191" s="166" t="s">
        <v>2025</v>
      </c>
      <c r="B1191" s="166" t="s">
        <v>2026</v>
      </c>
      <c r="C1191" s="166" t="s">
        <v>2027</v>
      </c>
      <c r="D1191" s="166" t="s">
        <v>2028</v>
      </c>
      <c r="E1191" s="166" t="s">
        <v>1481</v>
      </c>
      <c r="F1191" s="167">
        <v>43009</v>
      </c>
      <c r="G1191" s="167">
        <v>44012</v>
      </c>
      <c r="H1191" s="168">
        <v>100000</v>
      </c>
    </row>
    <row r="1192" spans="1:8" ht="13.7" customHeight="1" x14ac:dyDescent="0.25">
      <c r="A1192" s="166" t="s">
        <v>2029</v>
      </c>
      <c r="B1192" s="166" t="s">
        <v>2030</v>
      </c>
      <c r="C1192" s="166" t="s">
        <v>2027</v>
      </c>
      <c r="D1192" s="166" t="s">
        <v>2031</v>
      </c>
      <c r="E1192" s="166" t="s">
        <v>2032</v>
      </c>
      <c r="F1192" s="167">
        <v>43952</v>
      </c>
      <c r="G1192" s="167">
        <v>44377</v>
      </c>
      <c r="H1192" s="168">
        <v>10000</v>
      </c>
    </row>
    <row r="1193" spans="1:8" ht="13.7" customHeight="1" x14ac:dyDescent="0.25">
      <c r="A1193" s="166" t="s">
        <v>2033</v>
      </c>
      <c r="B1193" s="166" t="s">
        <v>2034</v>
      </c>
      <c r="C1193" s="166" t="s">
        <v>2027</v>
      </c>
      <c r="D1193" s="166" t="s">
        <v>2035</v>
      </c>
      <c r="E1193" s="166" t="s">
        <v>2036</v>
      </c>
      <c r="F1193" s="167">
        <v>43739</v>
      </c>
      <c r="G1193" s="167">
        <v>44469</v>
      </c>
      <c r="H1193" s="168">
        <v>46624</v>
      </c>
    </row>
    <row r="1194" spans="1:8" ht="13.7" customHeight="1" x14ac:dyDescent="0.25">
      <c r="A1194" s="166" t="s">
        <v>2037</v>
      </c>
      <c r="B1194" s="166" t="s">
        <v>2038</v>
      </c>
      <c r="C1194" s="166" t="s">
        <v>2039</v>
      </c>
      <c r="D1194" s="166" t="s">
        <v>2040</v>
      </c>
      <c r="E1194" s="166" t="s">
        <v>2041</v>
      </c>
      <c r="F1194" s="167">
        <v>43983</v>
      </c>
      <c r="G1194" s="167">
        <v>43983</v>
      </c>
      <c r="H1194" s="168">
        <v>20586</v>
      </c>
    </row>
    <row r="1195" spans="1:8" ht="13.7" customHeight="1" x14ac:dyDescent="0.25">
      <c r="A1195" s="166" t="s">
        <v>2042</v>
      </c>
      <c r="B1195" s="166" t="s">
        <v>2043</v>
      </c>
      <c r="C1195" s="166" t="s">
        <v>2039</v>
      </c>
      <c r="D1195" s="166" t="s">
        <v>2044</v>
      </c>
      <c r="E1195" s="166" t="s">
        <v>2045</v>
      </c>
      <c r="F1195" s="167">
        <v>43709</v>
      </c>
      <c r="G1195" s="167">
        <v>44012</v>
      </c>
      <c r="H1195" s="168">
        <v>116010</v>
      </c>
    </row>
    <row r="1196" spans="1:8" ht="13.7" customHeight="1" x14ac:dyDescent="0.25">
      <c r="A1196" s="166" t="s">
        <v>2042</v>
      </c>
      <c r="B1196" s="166" t="s">
        <v>2043</v>
      </c>
      <c r="C1196" s="166" t="s">
        <v>2039</v>
      </c>
      <c r="D1196" s="166" t="s">
        <v>2044</v>
      </c>
      <c r="E1196" s="166" t="s">
        <v>2045</v>
      </c>
      <c r="F1196" s="167">
        <v>43709</v>
      </c>
      <c r="G1196" s="167">
        <v>44012</v>
      </c>
      <c r="H1196" s="168">
        <v>6992</v>
      </c>
    </row>
    <row r="1197" spans="1:8" ht="13.7" customHeight="1" x14ac:dyDescent="0.25">
      <c r="A1197" s="166" t="s">
        <v>2046</v>
      </c>
      <c r="B1197" s="166" t="s">
        <v>2043</v>
      </c>
      <c r="C1197" s="166" t="s">
        <v>2039</v>
      </c>
      <c r="D1197" s="166" t="s">
        <v>2044</v>
      </c>
      <c r="E1197" s="166" t="s">
        <v>2045</v>
      </c>
      <c r="F1197" s="167">
        <v>43709</v>
      </c>
      <c r="G1197" s="167">
        <v>44012</v>
      </c>
      <c r="H1197" s="168">
        <v>117783</v>
      </c>
    </row>
    <row r="1198" spans="1:8" ht="13.7" customHeight="1" x14ac:dyDescent="0.25">
      <c r="A1198" s="166" t="s">
        <v>2047</v>
      </c>
      <c r="B1198" s="166" t="s">
        <v>2043</v>
      </c>
      <c r="C1198" s="166" t="s">
        <v>2039</v>
      </c>
      <c r="D1198" s="166" t="s">
        <v>2048</v>
      </c>
      <c r="E1198" s="166" t="s">
        <v>664</v>
      </c>
      <c r="F1198" s="167">
        <v>43040</v>
      </c>
      <c r="G1198" s="167">
        <v>44135</v>
      </c>
      <c r="H1198" s="168">
        <v>0</v>
      </c>
    </row>
    <row r="1199" spans="1:8" ht="13.7" customHeight="1" x14ac:dyDescent="0.25">
      <c r="A1199" s="166" t="s">
        <v>2049</v>
      </c>
      <c r="B1199" s="166" t="s">
        <v>2043</v>
      </c>
      <c r="C1199" s="166" t="s">
        <v>2039</v>
      </c>
      <c r="D1199" s="166" t="s">
        <v>2050</v>
      </c>
      <c r="E1199" s="166" t="s">
        <v>901</v>
      </c>
      <c r="F1199" s="167">
        <v>43331</v>
      </c>
      <c r="G1199" s="167">
        <v>43969</v>
      </c>
      <c r="H1199" s="168">
        <v>16464</v>
      </c>
    </row>
    <row r="1200" spans="1:8" ht="13.7" customHeight="1" x14ac:dyDescent="0.25">
      <c r="A1200" s="166" t="s">
        <v>2051</v>
      </c>
      <c r="B1200" s="166" t="s">
        <v>2043</v>
      </c>
      <c r="C1200" s="166" t="s">
        <v>2039</v>
      </c>
      <c r="D1200" s="166" t="s">
        <v>2052</v>
      </c>
      <c r="E1200" s="166" t="s">
        <v>2053</v>
      </c>
      <c r="F1200" s="167">
        <v>42601</v>
      </c>
      <c r="G1200" s="167">
        <v>43969</v>
      </c>
      <c r="H1200" s="168">
        <v>3364</v>
      </c>
    </row>
    <row r="1201" spans="1:8" ht="13.7" customHeight="1" x14ac:dyDescent="0.25">
      <c r="A1201" s="166" t="s">
        <v>2051</v>
      </c>
      <c r="B1201" s="166" t="s">
        <v>2043</v>
      </c>
      <c r="C1201" s="166" t="s">
        <v>2039</v>
      </c>
      <c r="D1201" s="166" t="s">
        <v>2052</v>
      </c>
      <c r="E1201" s="166" t="s">
        <v>2053</v>
      </c>
      <c r="F1201" s="167">
        <v>42601</v>
      </c>
      <c r="G1201" s="167">
        <v>43969</v>
      </c>
      <c r="H1201" s="168">
        <v>42056</v>
      </c>
    </row>
    <row r="1202" spans="1:8" ht="13.7" customHeight="1" x14ac:dyDescent="0.25">
      <c r="A1202" s="166" t="s">
        <v>2054</v>
      </c>
      <c r="B1202" s="166" t="s">
        <v>1193</v>
      </c>
      <c r="C1202" s="166" t="s">
        <v>2039</v>
      </c>
      <c r="D1202" s="166" t="s">
        <v>1195</v>
      </c>
      <c r="E1202" s="166" t="s">
        <v>1196</v>
      </c>
      <c r="F1202" s="167">
        <v>43008</v>
      </c>
      <c r="G1202" s="167">
        <v>44439</v>
      </c>
      <c r="H1202" s="168">
        <v>104861</v>
      </c>
    </row>
    <row r="1203" spans="1:8" ht="13.7" customHeight="1" x14ac:dyDescent="0.25">
      <c r="A1203" s="166" t="s">
        <v>2054</v>
      </c>
      <c r="B1203" s="166" t="s">
        <v>1193</v>
      </c>
      <c r="C1203" s="166" t="s">
        <v>2039</v>
      </c>
      <c r="D1203" s="166" t="s">
        <v>1195</v>
      </c>
      <c r="E1203" s="166" t="s">
        <v>1196</v>
      </c>
      <c r="F1203" s="167">
        <v>43008</v>
      </c>
      <c r="G1203" s="167">
        <v>44439</v>
      </c>
      <c r="H1203" s="168">
        <v>12582</v>
      </c>
    </row>
    <row r="1204" spans="1:8" ht="13.7" customHeight="1" x14ac:dyDescent="0.25">
      <c r="A1204" s="166" t="s">
        <v>2055</v>
      </c>
      <c r="B1204" s="166" t="s">
        <v>2056</v>
      </c>
      <c r="C1204" s="166" t="s">
        <v>2039</v>
      </c>
      <c r="D1204" s="166" t="s">
        <v>2057</v>
      </c>
      <c r="E1204" s="166" t="s">
        <v>1147</v>
      </c>
      <c r="F1204" s="167">
        <v>43739</v>
      </c>
      <c r="G1204" s="167">
        <v>44104</v>
      </c>
      <c r="H1204" s="168">
        <v>130883</v>
      </c>
    </row>
    <row r="1205" spans="1:8" ht="13.7" customHeight="1" x14ac:dyDescent="0.25">
      <c r="A1205" s="166" t="s">
        <v>2058</v>
      </c>
      <c r="B1205" s="166" t="s">
        <v>2059</v>
      </c>
      <c r="C1205" s="166" t="s">
        <v>2039</v>
      </c>
      <c r="D1205" s="166" t="s">
        <v>2060</v>
      </c>
      <c r="E1205" s="166" t="s">
        <v>2061</v>
      </c>
      <c r="F1205" s="167">
        <v>43331</v>
      </c>
      <c r="G1205" s="167">
        <v>44323</v>
      </c>
      <c r="H1205" s="168">
        <v>16464</v>
      </c>
    </row>
    <row r="1206" spans="1:8" ht="13.7" customHeight="1" x14ac:dyDescent="0.25">
      <c r="A1206" s="166" t="s">
        <v>2062</v>
      </c>
      <c r="B1206" s="166" t="s">
        <v>2063</v>
      </c>
      <c r="C1206" s="166" t="s">
        <v>2039</v>
      </c>
      <c r="D1206" s="166" t="s">
        <v>2064</v>
      </c>
      <c r="E1206" s="166" t="s">
        <v>0</v>
      </c>
      <c r="F1206" s="167">
        <v>43586</v>
      </c>
      <c r="G1206" s="167">
        <v>44074</v>
      </c>
      <c r="H1206" s="168">
        <v>0</v>
      </c>
    </row>
    <row r="1207" spans="1:8" ht="13.7" customHeight="1" x14ac:dyDescent="0.25">
      <c r="A1207" s="166" t="s">
        <v>2065</v>
      </c>
      <c r="B1207" s="166" t="s">
        <v>2063</v>
      </c>
      <c r="C1207" s="166" t="s">
        <v>2039</v>
      </c>
      <c r="D1207" s="166" t="s">
        <v>2066</v>
      </c>
      <c r="E1207" s="166" t="s">
        <v>2067</v>
      </c>
      <c r="F1207" s="167">
        <v>43678</v>
      </c>
      <c r="G1207" s="167">
        <v>44408</v>
      </c>
      <c r="H1207" s="168">
        <v>2135</v>
      </c>
    </row>
    <row r="1208" spans="1:8" ht="13.7" customHeight="1" x14ac:dyDescent="0.25">
      <c r="A1208" s="166" t="s">
        <v>2065</v>
      </c>
      <c r="B1208" s="166" t="s">
        <v>2063</v>
      </c>
      <c r="C1208" s="166" t="s">
        <v>2039</v>
      </c>
      <c r="D1208" s="166" t="s">
        <v>2066</v>
      </c>
      <c r="E1208" s="166" t="s">
        <v>2067</v>
      </c>
      <c r="F1208" s="167">
        <v>43678</v>
      </c>
      <c r="G1208" s="167">
        <v>44408</v>
      </c>
      <c r="H1208" s="168">
        <v>31639</v>
      </c>
    </row>
    <row r="1209" spans="1:8" ht="13.7" customHeight="1" x14ac:dyDescent="0.25">
      <c r="A1209" s="166" t="s">
        <v>2068</v>
      </c>
      <c r="B1209" s="166" t="s">
        <v>2069</v>
      </c>
      <c r="C1209" s="166" t="s">
        <v>2070</v>
      </c>
      <c r="D1209" s="166" t="s">
        <v>2071</v>
      </c>
      <c r="E1209" s="166" t="s">
        <v>1233</v>
      </c>
      <c r="F1209" s="167">
        <v>43678</v>
      </c>
      <c r="G1209" s="167">
        <v>44043</v>
      </c>
      <c r="H1209" s="168">
        <v>43869</v>
      </c>
    </row>
    <row r="1210" spans="1:8" ht="13.7" customHeight="1" x14ac:dyDescent="0.25">
      <c r="A1210" s="166" t="s">
        <v>2072</v>
      </c>
      <c r="B1210" s="166" t="s">
        <v>2069</v>
      </c>
      <c r="C1210" s="166" t="s">
        <v>2070</v>
      </c>
      <c r="D1210" s="166" t="s">
        <v>2073</v>
      </c>
      <c r="E1210" s="166" t="s">
        <v>2074</v>
      </c>
      <c r="F1210" s="167">
        <v>43678</v>
      </c>
      <c r="G1210" s="167">
        <v>44043</v>
      </c>
      <c r="H1210" s="168">
        <v>65707</v>
      </c>
    </row>
    <row r="1211" spans="1:8" ht="13.7" customHeight="1" x14ac:dyDescent="0.25">
      <c r="A1211" s="166" t="s">
        <v>2072</v>
      </c>
      <c r="B1211" s="166" t="s">
        <v>2069</v>
      </c>
      <c r="C1211" s="166" t="s">
        <v>2070</v>
      </c>
      <c r="D1211" s="166" t="s">
        <v>2073</v>
      </c>
      <c r="E1211" s="166" t="s">
        <v>2074</v>
      </c>
      <c r="F1211" s="167">
        <v>43678</v>
      </c>
      <c r="G1211" s="167">
        <v>44043</v>
      </c>
      <c r="H1211" s="168">
        <v>29489</v>
      </c>
    </row>
    <row r="1212" spans="1:8" ht="13.7" customHeight="1" x14ac:dyDescent="0.25">
      <c r="A1212" s="166" t="s">
        <v>2075</v>
      </c>
      <c r="B1212" s="166" t="s">
        <v>2076</v>
      </c>
      <c r="C1212" s="166" t="s">
        <v>2070</v>
      </c>
      <c r="D1212" s="166" t="s">
        <v>2077</v>
      </c>
      <c r="E1212" s="166" t="s">
        <v>2078</v>
      </c>
      <c r="F1212" s="167">
        <v>43374</v>
      </c>
      <c r="G1212" s="167">
        <v>44104</v>
      </c>
      <c r="H1212" s="168">
        <v>121000</v>
      </c>
    </row>
    <row r="1213" spans="1:8" ht="13.7" customHeight="1" x14ac:dyDescent="0.25">
      <c r="A1213" s="166" t="s">
        <v>2075</v>
      </c>
      <c r="B1213" s="166" t="s">
        <v>2076</v>
      </c>
      <c r="C1213" s="166" t="s">
        <v>2070</v>
      </c>
      <c r="D1213" s="166" t="s">
        <v>2077</v>
      </c>
      <c r="E1213" s="166" t="s">
        <v>2078</v>
      </c>
      <c r="F1213" s="167">
        <v>43374</v>
      </c>
      <c r="G1213" s="167">
        <v>44104</v>
      </c>
      <c r="H1213" s="168">
        <v>25000</v>
      </c>
    </row>
    <row r="1214" spans="1:8" ht="13.7" customHeight="1" x14ac:dyDescent="0.25">
      <c r="A1214" s="166" t="s">
        <v>2079</v>
      </c>
      <c r="B1214" s="166" t="s">
        <v>2076</v>
      </c>
      <c r="C1214" s="166" t="s">
        <v>2070</v>
      </c>
      <c r="D1214" s="166" t="s">
        <v>2080</v>
      </c>
      <c r="E1214" s="166" t="s">
        <v>2081</v>
      </c>
      <c r="F1214" s="167">
        <v>43252</v>
      </c>
      <c r="G1214" s="167">
        <v>44012</v>
      </c>
      <c r="H1214" s="168">
        <v>10810</v>
      </c>
    </row>
    <row r="1215" spans="1:8" ht="13.7" customHeight="1" x14ac:dyDescent="0.25">
      <c r="A1215" s="166" t="s">
        <v>2079</v>
      </c>
      <c r="B1215" s="166" t="s">
        <v>2076</v>
      </c>
      <c r="C1215" s="166" t="s">
        <v>2070</v>
      </c>
      <c r="D1215" s="166" t="s">
        <v>2080</v>
      </c>
      <c r="E1215" s="166" t="s">
        <v>2081</v>
      </c>
      <c r="F1215" s="167">
        <v>43252</v>
      </c>
      <c r="G1215" s="167">
        <v>44012</v>
      </c>
      <c r="H1215" s="168">
        <v>5990</v>
      </c>
    </row>
    <row r="1216" spans="1:8" ht="13.7" customHeight="1" x14ac:dyDescent="0.25">
      <c r="A1216" s="166" t="s">
        <v>2082</v>
      </c>
      <c r="B1216" s="166" t="s">
        <v>2076</v>
      </c>
      <c r="C1216" s="166" t="s">
        <v>2070</v>
      </c>
      <c r="D1216" s="166" t="s">
        <v>2083</v>
      </c>
      <c r="E1216" s="166" t="s">
        <v>2081</v>
      </c>
      <c r="F1216" s="167">
        <v>43753</v>
      </c>
      <c r="G1216" s="167">
        <v>44849</v>
      </c>
      <c r="H1216" s="168">
        <v>75000</v>
      </c>
    </row>
    <row r="1217" spans="1:8" ht="13.7" customHeight="1" x14ac:dyDescent="0.25">
      <c r="A1217" s="166" t="s">
        <v>2084</v>
      </c>
      <c r="B1217" s="166" t="s">
        <v>2085</v>
      </c>
      <c r="C1217" s="166" t="s">
        <v>2070</v>
      </c>
      <c r="D1217" s="166" t="s">
        <v>2086</v>
      </c>
      <c r="E1217" s="166" t="s">
        <v>486</v>
      </c>
      <c r="F1217" s="167">
        <v>43588</v>
      </c>
      <c r="G1217" s="167">
        <v>44773</v>
      </c>
      <c r="H1217" s="168">
        <v>21896</v>
      </c>
    </row>
    <row r="1218" spans="1:8" ht="13.7" customHeight="1" x14ac:dyDescent="0.25">
      <c r="A1218" s="166" t="s">
        <v>2084</v>
      </c>
      <c r="B1218" s="166" t="s">
        <v>2085</v>
      </c>
      <c r="C1218" s="166" t="s">
        <v>2070</v>
      </c>
      <c r="D1218" s="166" t="s">
        <v>2086</v>
      </c>
      <c r="E1218" s="166" t="s">
        <v>486</v>
      </c>
      <c r="F1218" s="167">
        <v>43588</v>
      </c>
      <c r="G1218" s="167">
        <v>44773</v>
      </c>
      <c r="H1218" s="168">
        <v>24976</v>
      </c>
    </row>
    <row r="1219" spans="1:8" ht="13.7" customHeight="1" x14ac:dyDescent="0.25">
      <c r="A1219" s="166" t="s">
        <v>2084</v>
      </c>
      <c r="B1219" s="166" t="s">
        <v>2085</v>
      </c>
      <c r="C1219" s="166" t="s">
        <v>2070</v>
      </c>
      <c r="D1219" s="166" t="s">
        <v>2086</v>
      </c>
      <c r="E1219" s="166" t="s">
        <v>486</v>
      </c>
      <c r="F1219" s="167">
        <v>43588</v>
      </c>
      <c r="G1219" s="167">
        <v>44773</v>
      </c>
      <c r="H1219" s="168">
        <v>894817</v>
      </c>
    </row>
    <row r="1220" spans="1:8" ht="13.7" customHeight="1" x14ac:dyDescent="0.25">
      <c r="A1220" s="166" t="s">
        <v>2087</v>
      </c>
      <c r="B1220" s="166" t="s">
        <v>2088</v>
      </c>
      <c r="C1220" s="166" t="s">
        <v>2070</v>
      </c>
      <c r="D1220" s="166" t="s">
        <v>2089</v>
      </c>
      <c r="E1220" s="166" t="s">
        <v>1233</v>
      </c>
      <c r="F1220" s="167">
        <v>43466</v>
      </c>
      <c r="G1220" s="167">
        <v>43830</v>
      </c>
      <c r="H1220" s="168">
        <v>11438</v>
      </c>
    </row>
    <row r="1221" spans="1:8" ht="13.7" customHeight="1" x14ac:dyDescent="0.25">
      <c r="A1221" s="166" t="s">
        <v>2090</v>
      </c>
      <c r="B1221" s="166" t="s">
        <v>2088</v>
      </c>
      <c r="C1221" s="166" t="s">
        <v>2070</v>
      </c>
      <c r="D1221" s="166" t="s">
        <v>2091</v>
      </c>
      <c r="E1221" s="166" t="s">
        <v>1233</v>
      </c>
      <c r="F1221" s="167">
        <v>43831</v>
      </c>
      <c r="G1221" s="167">
        <v>44196</v>
      </c>
      <c r="H1221" s="168">
        <v>29963</v>
      </c>
    </row>
    <row r="1222" spans="1:8" ht="13.7" customHeight="1" x14ac:dyDescent="0.25">
      <c r="A1222" s="166" t="s">
        <v>2090</v>
      </c>
      <c r="B1222" s="166" t="s">
        <v>2088</v>
      </c>
      <c r="C1222" s="166" t="s">
        <v>2070</v>
      </c>
      <c r="D1222" s="166" t="s">
        <v>2091</v>
      </c>
      <c r="E1222" s="166" t="s">
        <v>1233</v>
      </c>
      <c r="F1222" s="167">
        <v>43831</v>
      </c>
      <c r="G1222" s="167">
        <v>44196</v>
      </c>
      <c r="H1222" s="168">
        <v>10975</v>
      </c>
    </row>
    <row r="1223" spans="1:8" ht="13.7" customHeight="1" x14ac:dyDescent="0.25">
      <c r="A1223" s="166" t="s">
        <v>2092</v>
      </c>
      <c r="B1223" s="166" t="s">
        <v>2088</v>
      </c>
      <c r="C1223" s="166" t="s">
        <v>2070</v>
      </c>
      <c r="D1223" s="166" t="s">
        <v>2089</v>
      </c>
      <c r="E1223" s="166" t="s">
        <v>2093</v>
      </c>
      <c r="F1223" s="167">
        <v>43466</v>
      </c>
      <c r="G1223" s="167">
        <v>43830</v>
      </c>
      <c r="H1223" s="168">
        <v>33438</v>
      </c>
    </row>
    <row r="1224" spans="1:8" ht="13.7" customHeight="1" x14ac:dyDescent="0.25">
      <c r="A1224" s="166" t="s">
        <v>2094</v>
      </c>
      <c r="B1224" s="166" t="s">
        <v>2088</v>
      </c>
      <c r="C1224" s="166" t="s">
        <v>2070</v>
      </c>
      <c r="D1224" s="166" t="s">
        <v>2091</v>
      </c>
      <c r="E1224" s="166" t="s">
        <v>2095</v>
      </c>
      <c r="F1224" s="167">
        <v>43831</v>
      </c>
      <c r="G1224" s="167">
        <v>44196</v>
      </c>
      <c r="H1224" s="168">
        <v>109938</v>
      </c>
    </row>
    <row r="1225" spans="1:8" ht="13.7" customHeight="1" x14ac:dyDescent="0.25">
      <c r="A1225" s="166" t="s">
        <v>2096</v>
      </c>
      <c r="B1225" s="166" t="s">
        <v>2097</v>
      </c>
      <c r="C1225" s="166" t="s">
        <v>2070</v>
      </c>
      <c r="D1225" s="166" t="s">
        <v>2098</v>
      </c>
      <c r="E1225" s="166" t="s">
        <v>2099</v>
      </c>
      <c r="F1225" s="167">
        <v>43480</v>
      </c>
      <c r="G1225" s="167">
        <v>44210</v>
      </c>
      <c r="H1225" s="168">
        <v>49896</v>
      </c>
    </row>
    <row r="1226" spans="1:8" ht="13.7" customHeight="1" x14ac:dyDescent="0.25">
      <c r="A1226" s="166" t="s">
        <v>2100</v>
      </c>
      <c r="B1226" s="166" t="s">
        <v>2101</v>
      </c>
      <c r="C1226" s="166" t="s">
        <v>2102</v>
      </c>
      <c r="D1226" s="166" t="s">
        <v>2103</v>
      </c>
      <c r="E1226" s="166" t="s">
        <v>2104</v>
      </c>
      <c r="F1226" s="167">
        <v>42262</v>
      </c>
      <c r="G1226" s="167">
        <v>44347</v>
      </c>
      <c r="H1226" s="168">
        <v>-1571.8</v>
      </c>
    </row>
    <row r="1227" spans="1:8" ht="13.7" customHeight="1" x14ac:dyDescent="0.25">
      <c r="A1227" s="166" t="s">
        <v>2105</v>
      </c>
      <c r="B1227" s="166" t="s">
        <v>2101</v>
      </c>
      <c r="C1227" s="166" t="s">
        <v>2102</v>
      </c>
      <c r="D1227" s="166" t="s">
        <v>2103</v>
      </c>
      <c r="E1227" s="166" t="s">
        <v>2104</v>
      </c>
      <c r="F1227" s="167">
        <v>42262</v>
      </c>
      <c r="G1227" s="167">
        <v>44347</v>
      </c>
      <c r="H1227" s="168">
        <v>1571.8</v>
      </c>
    </row>
    <row r="1228" spans="1:8" ht="13.7" customHeight="1" x14ac:dyDescent="0.25">
      <c r="A1228" s="166" t="s">
        <v>2106</v>
      </c>
      <c r="B1228" s="166" t="s">
        <v>2107</v>
      </c>
      <c r="C1228" s="166" t="s">
        <v>2108</v>
      </c>
      <c r="D1228" s="166" t="s">
        <v>2109</v>
      </c>
      <c r="E1228" s="166" t="s">
        <v>2110</v>
      </c>
      <c r="F1228" s="167">
        <v>43885</v>
      </c>
      <c r="G1228" s="167">
        <v>44035</v>
      </c>
      <c r="H1228" s="168">
        <v>17428.2</v>
      </c>
    </row>
    <row r="1229" spans="1:8" ht="13.7" customHeight="1" x14ac:dyDescent="0.25">
      <c r="A1229" s="166" t="s">
        <v>2111</v>
      </c>
      <c r="B1229" s="166" t="s">
        <v>2107</v>
      </c>
      <c r="C1229" s="166" t="s">
        <v>2108</v>
      </c>
      <c r="D1229" s="166" t="s">
        <v>2112</v>
      </c>
      <c r="E1229" s="166" t="s">
        <v>1024</v>
      </c>
      <c r="F1229" s="167">
        <v>43661</v>
      </c>
      <c r="G1229" s="167">
        <v>45444</v>
      </c>
      <c r="H1229" s="168">
        <v>15002</v>
      </c>
    </row>
    <row r="1230" spans="1:8" ht="13.7" customHeight="1" x14ac:dyDescent="0.25">
      <c r="A1230" s="166" t="s">
        <v>2111</v>
      </c>
      <c r="B1230" s="166" t="s">
        <v>2107</v>
      </c>
      <c r="C1230" s="166" t="s">
        <v>2108</v>
      </c>
      <c r="D1230" s="166" t="s">
        <v>2112</v>
      </c>
      <c r="E1230" s="166" t="s">
        <v>1024</v>
      </c>
      <c r="F1230" s="167">
        <v>43661</v>
      </c>
      <c r="G1230" s="167">
        <v>45444</v>
      </c>
      <c r="H1230" s="168">
        <v>104998</v>
      </c>
    </row>
    <row r="1231" spans="1:8" ht="13.7" customHeight="1" x14ac:dyDescent="0.25">
      <c r="A1231" s="166" t="s">
        <v>2113</v>
      </c>
      <c r="B1231" s="166" t="s">
        <v>2107</v>
      </c>
      <c r="C1231" s="166" t="s">
        <v>2108</v>
      </c>
      <c r="D1231" s="166" t="s">
        <v>2114</v>
      </c>
      <c r="E1231" s="166" t="s">
        <v>648</v>
      </c>
      <c r="F1231" s="167">
        <v>43964</v>
      </c>
      <c r="G1231" s="167">
        <v>45747</v>
      </c>
      <c r="H1231" s="168">
        <v>32039</v>
      </c>
    </row>
    <row r="1232" spans="1:8" ht="13.7" customHeight="1" x14ac:dyDescent="0.25">
      <c r="A1232" s="166" t="s">
        <v>2115</v>
      </c>
      <c r="B1232" s="166" t="s">
        <v>2116</v>
      </c>
      <c r="C1232" s="166" t="s">
        <v>2108</v>
      </c>
      <c r="D1232" s="166" t="s">
        <v>2117</v>
      </c>
      <c r="E1232" s="166" t="s">
        <v>914</v>
      </c>
      <c r="F1232" s="167">
        <v>42887</v>
      </c>
      <c r="G1232" s="167">
        <v>44165</v>
      </c>
      <c r="H1232" s="168">
        <v>49950</v>
      </c>
    </row>
    <row r="1233" spans="1:8" ht="13.7" customHeight="1" x14ac:dyDescent="0.25">
      <c r="A1233" s="166" t="s">
        <v>2115</v>
      </c>
      <c r="B1233" s="166" t="s">
        <v>2116</v>
      </c>
      <c r="C1233" s="166" t="s">
        <v>2108</v>
      </c>
      <c r="D1233" s="166" t="s">
        <v>2117</v>
      </c>
      <c r="E1233" s="166" t="s">
        <v>914</v>
      </c>
      <c r="F1233" s="167">
        <v>42887</v>
      </c>
      <c r="G1233" s="167">
        <v>44165</v>
      </c>
      <c r="H1233" s="168">
        <v>2452</v>
      </c>
    </row>
    <row r="1234" spans="1:8" ht="13.7" customHeight="1" x14ac:dyDescent="0.25">
      <c r="A1234" s="166" t="s">
        <v>2118</v>
      </c>
      <c r="B1234" s="166" t="s">
        <v>2119</v>
      </c>
      <c r="C1234" s="166" t="s">
        <v>2120</v>
      </c>
      <c r="D1234" s="166" t="s">
        <v>2121</v>
      </c>
      <c r="E1234" s="166" t="s">
        <v>2122</v>
      </c>
      <c r="F1234" s="167">
        <v>43282</v>
      </c>
      <c r="G1234" s="167">
        <v>43646</v>
      </c>
      <c r="H1234" s="168">
        <v>-77072.41</v>
      </c>
    </row>
    <row r="1235" spans="1:8" ht="13.7" customHeight="1" x14ac:dyDescent="0.25">
      <c r="A1235" s="166" t="s">
        <v>2118</v>
      </c>
      <c r="B1235" s="166" t="s">
        <v>2119</v>
      </c>
      <c r="C1235" s="166" t="s">
        <v>2120</v>
      </c>
      <c r="D1235" s="166" t="s">
        <v>2121</v>
      </c>
      <c r="E1235" s="166" t="s">
        <v>2122</v>
      </c>
      <c r="F1235" s="167">
        <v>43282</v>
      </c>
      <c r="G1235" s="167">
        <v>43646</v>
      </c>
      <c r="H1235" s="168">
        <v>165.51</v>
      </c>
    </row>
    <row r="1236" spans="1:8" ht="13.7" customHeight="1" x14ac:dyDescent="0.25">
      <c r="A1236" s="166" t="s">
        <v>2123</v>
      </c>
      <c r="B1236" s="166" t="s">
        <v>2119</v>
      </c>
      <c r="C1236" s="166" t="s">
        <v>2120</v>
      </c>
      <c r="D1236" s="166" t="s">
        <v>2124</v>
      </c>
      <c r="E1236" s="166" t="s">
        <v>2122</v>
      </c>
      <c r="F1236" s="167">
        <v>43344</v>
      </c>
      <c r="G1236" s="167">
        <v>44074</v>
      </c>
      <c r="H1236" s="168">
        <v>5200</v>
      </c>
    </row>
    <row r="1237" spans="1:8" ht="13.7" customHeight="1" x14ac:dyDescent="0.25">
      <c r="A1237" s="166" t="s">
        <v>2123</v>
      </c>
      <c r="B1237" s="166" t="s">
        <v>2119</v>
      </c>
      <c r="C1237" s="166" t="s">
        <v>2120</v>
      </c>
      <c r="D1237" s="166" t="s">
        <v>2124</v>
      </c>
      <c r="E1237" s="166" t="s">
        <v>2122</v>
      </c>
      <c r="F1237" s="167">
        <v>43344</v>
      </c>
      <c r="G1237" s="167">
        <v>44074</v>
      </c>
      <c r="H1237" s="168">
        <v>-5200</v>
      </c>
    </row>
    <row r="1238" spans="1:8" ht="13.7" customHeight="1" x14ac:dyDescent="0.25">
      <c r="A1238" s="166" t="s">
        <v>2125</v>
      </c>
      <c r="B1238" s="166" t="s">
        <v>2119</v>
      </c>
      <c r="C1238" s="166" t="s">
        <v>2120</v>
      </c>
      <c r="D1238" s="166" t="s">
        <v>2121</v>
      </c>
      <c r="E1238" s="166" t="s">
        <v>2122</v>
      </c>
      <c r="F1238" s="167">
        <v>43647</v>
      </c>
      <c r="G1238" s="167">
        <v>44012</v>
      </c>
      <c r="H1238" s="168">
        <v>23000</v>
      </c>
    </row>
    <row r="1239" spans="1:8" ht="13.7" customHeight="1" x14ac:dyDescent="0.25">
      <c r="A1239" s="166" t="s">
        <v>2125</v>
      </c>
      <c r="B1239" s="166" t="s">
        <v>2119</v>
      </c>
      <c r="C1239" s="166" t="s">
        <v>2120</v>
      </c>
      <c r="D1239" s="166" t="s">
        <v>2121</v>
      </c>
      <c r="E1239" s="166" t="s">
        <v>2122</v>
      </c>
      <c r="F1239" s="167">
        <v>43647</v>
      </c>
      <c r="G1239" s="167">
        <v>44012</v>
      </c>
      <c r="H1239" s="168">
        <v>76906.899999999994</v>
      </c>
    </row>
    <row r="1240" spans="1:8" ht="13.7" customHeight="1" x14ac:dyDescent="0.25">
      <c r="A1240" s="166" t="s">
        <v>2126</v>
      </c>
      <c r="B1240" s="166" t="s">
        <v>2119</v>
      </c>
      <c r="C1240" s="166" t="s">
        <v>2120</v>
      </c>
      <c r="D1240" s="166" t="s">
        <v>2127</v>
      </c>
      <c r="E1240" s="166" t="s">
        <v>1196</v>
      </c>
      <c r="F1240" s="167">
        <v>43983</v>
      </c>
      <c r="G1240" s="167">
        <v>44347</v>
      </c>
      <c r="H1240" s="168">
        <v>96750</v>
      </c>
    </row>
    <row r="1241" spans="1:8" ht="13.7" customHeight="1" x14ac:dyDescent="0.25">
      <c r="A1241" s="166" t="s">
        <v>2128</v>
      </c>
      <c r="B1241" s="166" t="s">
        <v>2119</v>
      </c>
      <c r="C1241" s="166" t="s">
        <v>2120</v>
      </c>
      <c r="D1241" s="166" t="s">
        <v>2129</v>
      </c>
      <c r="E1241" s="166" t="s">
        <v>2130</v>
      </c>
      <c r="F1241" s="167">
        <v>43374</v>
      </c>
      <c r="G1241" s="167">
        <v>43738</v>
      </c>
      <c r="H1241" s="168">
        <v>-6000</v>
      </c>
    </row>
    <row r="1242" spans="1:8" ht="13.7" customHeight="1" x14ac:dyDescent="0.25">
      <c r="A1242" s="166" t="s">
        <v>2131</v>
      </c>
      <c r="B1242" s="166" t="s">
        <v>2119</v>
      </c>
      <c r="C1242" s="166" t="s">
        <v>2120</v>
      </c>
      <c r="D1242" s="166" t="s">
        <v>2132</v>
      </c>
      <c r="E1242" s="166" t="s">
        <v>2133</v>
      </c>
      <c r="F1242" s="167">
        <v>43647</v>
      </c>
      <c r="G1242" s="167">
        <v>44012</v>
      </c>
      <c r="H1242" s="168">
        <v>9000</v>
      </c>
    </row>
    <row r="1243" spans="1:8" ht="13.7" customHeight="1" x14ac:dyDescent="0.25">
      <c r="A1243" s="166" t="s">
        <v>2134</v>
      </c>
      <c r="B1243" s="166" t="s">
        <v>2119</v>
      </c>
      <c r="C1243" s="166" t="s">
        <v>2120</v>
      </c>
      <c r="D1243" s="166" t="s">
        <v>2135</v>
      </c>
      <c r="E1243" s="166" t="s">
        <v>809</v>
      </c>
      <c r="F1243" s="167">
        <v>43739</v>
      </c>
      <c r="G1243" s="167">
        <v>44104</v>
      </c>
      <c r="H1243" s="168">
        <v>37490</v>
      </c>
    </row>
    <row r="1244" spans="1:8" ht="13.7" customHeight="1" x14ac:dyDescent="0.25">
      <c r="A1244" s="166" t="s">
        <v>2134</v>
      </c>
      <c r="B1244" s="166" t="s">
        <v>2119</v>
      </c>
      <c r="C1244" s="166" t="s">
        <v>2120</v>
      </c>
      <c r="D1244" s="166" t="s">
        <v>2135</v>
      </c>
      <c r="E1244" s="166" t="s">
        <v>809</v>
      </c>
      <c r="F1244" s="167">
        <v>43739</v>
      </c>
      <c r="G1244" s="167">
        <v>44104</v>
      </c>
      <c r="H1244" s="168">
        <v>1300</v>
      </c>
    </row>
    <row r="1245" spans="1:8" ht="13.7" customHeight="1" x14ac:dyDescent="0.25">
      <c r="A1245" s="166" t="s">
        <v>2134</v>
      </c>
      <c r="B1245" s="166" t="s">
        <v>2119</v>
      </c>
      <c r="C1245" s="166" t="s">
        <v>2120</v>
      </c>
      <c r="D1245" s="166" t="s">
        <v>2135</v>
      </c>
      <c r="E1245" s="166" t="s">
        <v>809</v>
      </c>
      <c r="F1245" s="167">
        <v>43739</v>
      </c>
      <c r="G1245" s="167">
        <v>44104</v>
      </c>
      <c r="H1245" s="168">
        <v>3879</v>
      </c>
    </row>
    <row r="1246" spans="1:8" ht="13.7" customHeight="1" x14ac:dyDescent="0.25">
      <c r="A1246" s="166" t="s">
        <v>2136</v>
      </c>
      <c r="B1246" s="166" t="s">
        <v>2119</v>
      </c>
      <c r="C1246" s="166" t="s">
        <v>2120</v>
      </c>
      <c r="D1246" s="166" t="s">
        <v>2137</v>
      </c>
      <c r="E1246" s="166" t="s">
        <v>2138</v>
      </c>
      <c r="F1246" s="167">
        <v>43739</v>
      </c>
      <c r="G1246" s="167">
        <v>44104</v>
      </c>
      <c r="H1246" s="168">
        <v>70128</v>
      </c>
    </row>
    <row r="1247" spans="1:8" ht="13.7" customHeight="1" x14ac:dyDescent="0.25">
      <c r="A1247" s="166" t="s">
        <v>2136</v>
      </c>
      <c r="B1247" s="166" t="s">
        <v>2119</v>
      </c>
      <c r="C1247" s="166" t="s">
        <v>2120</v>
      </c>
      <c r="D1247" s="166" t="s">
        <v>2137</v>
      </c>
      <c r="E1247" s="166" t="s">
        <v>2138</v>
      </c>
      <c r="F1247" s="167">
        <v>43739</v>
      </c>
      <c r="G1247" s="167">
        <v>44104</v>
      </c>
      <c r="H1247" s="168">
        <v>49872</v>
      </c>
    </row>
    <row r="1248" spans="1:8" ht="13.7" customHeight="1" x14ac:dyDescent="0.25">
      <c r="A1248" s="166" t="s">
        <v>2139</v>
      </c>
      <c r="B1248" s="166" t="s">
        <v>2119</v>
      </c>
      <c r="C1248" s="166" t="s">
        <v>2120</v>
      </c>
      <c r="D1248" s="166" t="s">
        <v>2140</v>
      </c>
      <c r="E1248" s="166" t="s">
        <v>2138</v>
      </c>
      <c r="F1248" s="167">
        <v>43770</v>
      </c>
      <c r="G1248" s="167">
        <v>43966</v>
      </c>
      <c r="H1248" s="168">
        <v>4185</v>
      </c>
    </row>
    <row r="1249" spans="1:8" ht="13.7" customHeight="1" x14ac:dyDescent="0.25">
      <c r="A1249" s="166" t="s">
        <v>2139</v>
      </c>
      <c r="B1249" s="166" t="s">
        <v>2119</v>
      </c>
      <c r="C1249" s="166" t="s">
        <v>2120</v>
      </c>
      <c r="D1249" s="166" t="s">
        <v>2140</v>
      </c>
      <c r="E1249" s="166" t="s">
        <v>2138</v>
      </c>
      <c r="F1249" s="167">
        <v>43770</v>
      </c>
      <c r="G1249" s="167">
        <v>43966</v>
      </c>
      <c r="H1249" s="168">
        <v>41847</v>
      </c>
    </row>
    <row r="1250" spans="1:8" ht="13.7" customHeight="1" x14ac:dyDescent="0.25">
      <c r="A1250" s="166" t="s">
        <v>2141</v>
      </c>
      <c r="B1250" s="166" t="s">
        <v>2119</v>
      </c>
      <c r="C1250" s="166" t="s">
        <v>2120</v>
      </c>
      <c r="D1250" s="166" t="s">
        <v>2142</v>
      </c>
      <c r="E1250" s="166" t="s">
        <v>1147</v>
      </c>
      <c r="F1250" s="167">
        <v>43802</v>
      </c>
      <c r="G1250" s="167">
        <v>44195</v>
      </c>
      <c r="H1250" s="168">
        <v>56600</v>
      </c>
    </row>
    <row r="1251" spans="1:8" ht="13.7" customHeight="1" x14ac:dyDescent="0.25">
      <c r="A1251" s="166" t="s">
        <v>2141</v>
      </c>
      <c r="B1251" s="166" t="s">
        <v>2119</v>
      </c>
      <c r="C1251" s="166" t="s">
        <v>2120</v>
      </c>
      <c r="D1251" s="166" t="s">
        <v>2142</v>
      </c>
      <c r="E1251" s="166" t="s">
        <v>1147</v>
      </c>
      <c r="F1251" s="167">
        <v>43802</v>
      </c>
      <c r="G1251" s="167">
        <v>44195</v>
      </c>
      <c r="H1251" s="168">
        <v>3400</v>
      </c>
    </row>
    <row r="1252" spans="1:8" ht="13.7" customHeight="1" x14ac:dyDescent="0.25">
      <c r="A1252" s="166" t="s">
        <v>2143</v>
      </c>
      <c r="B1252" s="166" t="s">
        <v>2119</v>
      </c>
      <c r="C1252" s="166" t="s">
        <v>2120</v>
      </c>
      <c r="D1252" s="166" t="s">
        <v>2144</v>
      </c>
      <c r="E1252" s="166" t="s">
        <v>2145</v>
      </c>
      <c r="F1252" s="167">
        <v>43854</v>
      </c>
      <c r="G1252" s="167">
        <v>44467</v>
      </c>
      <c r="H1252" s="168">
        <v>10000</v>
      </c>
    </row>
    <row r="1253" spans="1:8" ht="13.7" customHeight="1" x14ac:dyDescent="0.25">
      <c r="A1253" s="166" t="s">
        <v>2146</v>
      </c>
      <c r="B1253" s="166" t="s">
        <v>2119</v>
      </c>
      <c r="C1253" s="166" t="s">
        <v>2120</v>
      </c>
      <c r="D1253" s="166" t="s">
        <v>2147</v>
      </c>
      <c r="E1253" s="166" t="s">
        <v>2138</v>
      </c>
      <c r="F1253" s="167">
        <v>43876</v>
      </c>
      <c r="G1253" s="167">
        <v>44103</v>
      </c>
      <c r="H1253" s="168">
        <v>-32134.03</v>
      </c>
    </row>
    <row r="1254" spans="1:8" ht="13.7" customHeight="1" x14ac:dyDescent="0.25">
      <c r="A1254" s="166" t="s">
        <v>2146</v>
      </c>
      <c r="B1254" s="166" t="s">
        <v>2119</v>
      </c>
      <c r="C1254" s="166" t="s">
        <v>2120</v>
      </c>
      <c r="D1254" s="166" t="s">
        <v>2147</v>
      </c>
      <c r="E1254" s="166" t="s">
        <v>2138</v>
      </c>
      <c r="F1254" s="167">
        <v>43876</v>
      </c>
      <c r="G1254" s="167">
        <v>44103</v>
      </c>
      <c r="H1254" s="168">
        <v>-14572.02</v>
      </c>
    </row>
    <row r="1255" spans="1:8" ht="13.7" customHeight="1" x14ac:dyDescent="0.25">
      <c r="A1255" s="166" t="s">
        <v>2146</v>
      </c>
      <c r="B1255" s="166" t="s">
        <v>2119</v>
      </c>
      <c r="C1255" s="166" t="s">
        <v>2120</v>
      </c>
      <c r="D1255" s="166" t="s">
        <v>2147</v>
      </c>
      <c r="E1255" s="166" t="s">
        <v>2138</v>
      </c>
      <c r="F1255" s="167">
        <v>43876</v>
      </c>
      <c r="G1255" s="167">
        <v>44103</v>
      </c>
      <c r="H1255" s="168">
        <v>281607</v>
      </c>
    </row>
    <row r="1256" spans="1:8" ht="13.7" customHeight="1" x14ac:dyDescent="0.25">
      <c r="A1256" s="166" t="s">
        <v>2146</v>
      </c>
      <c r="B1256" s="166" t="s">
        <v>2119</v>
      </c>
      <c r="C1256" s="166" t="s">
        <v>2120</v>
      </c>
      <c r="D1256" s="166" t="s">
        <v>2147</v>
      </c>
      <c r="E1256" s="166" t="s">
        <v>2138</v>
      </c>
      <c r="F1256" s="167">
        <v>43876</v>
      </c>
      <c r="G1256" s="167">
        <v>44103</v>
      </c>
      <c r="H1256" s="168">
        <v>21350</v>
      </c>
    </row>
    <row r="1257" spans="1:8" ht="13.7" customHeight="1" x14ac:dyDescent="0.25">
      <c r="A1257" s="166" t="s">
        <v>2148</v>
      </c>
      <c r="B1257" s="166" t="s">
        <v>2119</v>
      </c>
      <c r="C1257" s="166" t="s">
        <v>2120</v>
      </c>
      <c r="D1257" s="166" t="s">
        <v>2149</v>
      </c>
      <c r="E1257" s="166" t="s">
        <v>2138</v>
      </c>
      <c r="F1257" s="167">
        <v>43891</v>
      </c>
      <c r="G1257" s="167">
        <v>44286</v>
      </c>
      <c r="H1257" s="168">
        <v>44716</v>
      </c>
    </row>
    <row r="1258" spans="1:8" ht="13.7" customHeight="1" x14ac:dyDescent="0.25">
      <c r="A1258" s="166" t="s">
        <v>2148</v>
      </c>
      <c r="B1258" s="166" t="s">
        <v>2119</v>
      </c>
      <c r="C1258" s="166" t="s">
        <v>2120</v>
      </c>
      <c r="D1258" s="166" t="s">
        <v>2149</v>
      </c>
      <c r="E1258" s="166" t="s">
        <v>2138</v>
      </c>
      <c r="F1258" s="167">
        <v>43891</v>
      </c>
      <c r="G1258" s="167">
        <v>44286</v>
      </c>
      <c r="H1258" s="168">
        <v>5284</v>
      </c>
    </row>
    <row r="1259" spans="1:8" ht="13.7" customHeight="1" x14ac:dyDescent="0.25">
      <c r="A1259" s="166" t="s">
        <v>2150</v>
      </c>
      <c r="B1259" s="166" t="s">
        <v>2119</v>
      </c>
      <c r="C1259" s="166" t="s">
        <v>2120</v>
      </c>
      <c r="D1259" s="166" t="s">
        <v>2151</v>
      </c>
      <c r="E1259" s="166" t="s">
        <v>2138</v>
      </c>
      <c r="F1259" s="167">
        <v>43784</v>
      </c>
      <c r="G1259" s="167">
        <v>43875</v>
      </c>
      <c r="H1259" s="168">
        <v>46706.05</v>
      </c>
    </row>
    <row r="1260" spans="1:8" ht="13.7" customHeight="1" x14ac:dyDescent="0.25">
      <c r="A1260" s="166" t="s">
        <v>2152</v>
      </c>
      <c r="B1260" s="166" t="s">
        <v>2119</v>
      </c>
      <c r="C1260" s="166" t="s">
        <v>2120</v>
      </c>
      <c r="D1260" s="166" t="s">
        <v>2153</v>
      </c>
      <c r="E1260" s="166" t="s">
        <v>2154</v>
      </c>
      <c r="F1260" s="167">
        <v>43721</v>
      </c>
      <c r="G1260" s="167">
        <v>44469</v>
      </c>
      <c r="H1260" s="168">
        <v>31000</v>
      </c>
    </row>
    <row r="1261" spans="1:8" ht="13.7" customHeight="1" x14ac:dyDescent="0.25">
      <c r="A1261" s="166" t="s">
        <v>2155</v>
      </c>
      <c r="B1261" s="166" t="s">
        <v>2156</v>
      </c>
      <c r="C1261" s="166" t="s">
        <v>2120</v>
      </c>
      <c r="D1261" s="166" t="s">
        <v>2157</v>
      </c>
      <c r="E1261" s="166" t="s">
        <v>809</v>
      </c>
      <c r="F1261" s="167">
        <v>42917</v>
      </c>
      <c r="G1261" s="167">
        <v>43738</v>
      </c>
      <c r="H1261" s="168">
        <v>31873</v>
      </c>
    </row>
    <row r="1262" spans="1:8" ht="13.7" customHeight="1" x14ac:dyDescent="0.25">
      <c r="A1262" s="166" t="s">
        <v>2155</v>
      </c>
      <c r="B1262" s="166" t="s">
        <v>2156</v>
      </c>
      <c r="C1262" s="166" t="s">
        <v>2120</v>
      </c>
      <c r="D1262" s="166" t="s">
        <v>2157</v>
      </c>
      <c r="E1262" s="166" t="s">
        <v>809</v>
      </c>
      <c r="F1262" s="167">
        <v>42917</v>
      </c>
      <c r="G1262" s="167">
        <v>43738</v>
      </c>
      <c r="H1262" s="168">
        <v>30000</v>
      </c>
    </row>
    <row r="1263" spans="1:8" ht="13.7" customHeight="1" x14ac:dyDescent="0.25">
      <c r="A1263" s="166" t="s">
        <v>2158</v>
      </c>
      <c r="B1263" s="166" t="s">
        <v>2159</v>
      </c>
      <c r="C1263" s="166" t="s">
        <v>2120</v>
      </c>
      <c r="D1263" s="166" t="s">
        <v>2160</v>
      </c>
      <c r="E1263" s="166" t="s">
        <v>2161</v>
      </c>
      <c r="F1263" s="167">
        <v>43388</v>
      </c>
      <c r="G1263" s="167">
        <v>43752</v>
      </c>
      <c r="H1263" s="168">
        <v>0</v>
      </c>
    </row>
    <row r="1264" spans="1:8" ht="13.7" customHeight="1" x14ac:dyDescent="0.25">
      <c r="A1264" s="166" t="s">
        <v>2158</v>
      </c>
      <c r="B1264" s="166" t="s">
        <v>2159</v>
      </c>
      <c r="C1264" s="166" t="s">
        <v>2120</v>
      </c>
      <c r="D1264" s="166" t="s">
        <v>2160</v>
      </c>
      <c r="E1264" s="166" t="s">
        <v>2161</v>
      </c>
      <c r="F1264" s="167">
        <v>43388</v>
      </c>
      <c r="G1264" s="167">
        <v>43752</v>
      </c>
      <c r="H1264" s="168">
        <v>-27138.92</v>
      </c>
    </row>
    <row r="1265" spans="1:8" ht="13.7" customHeight="1" x14ac:dyDescent="0.25">
      <c r="A1265" s="166" t="s">
        <v>2158</v>
      </c>
      <c r="B1265" s="166" t="s">
        <v>2159</v>
      </c>
      <c r="C1265" s="166" t="s">
        <v>2120</v>
      </c>
      <c r="D1265" s="166" t="s">
        <v>2160</v>
      </c>
      <c r="E1265" s="166" t="s">
        <v>2161</v>
      </c>
      <c r="F1265" s="167">
        <v>43388</v>
      </c>
      <c r="G1265" s="167">
        <v>43752</v>
      </c>
      <c r="H1265" s="168">
        <v>-6828.33</v>
      </c>
    </row>
    <row r="1266" spans="1:8" ht="13.7" customHeight="1" x14ac:dyDescent="0.25">
      <c r="A1266" s="166" t="s">
        <v>2162</v>
      </c>
      <c r="B1266" s="166" t="s">
        <v>2159</v>
      </c>
      <c r="C1266" s="166" t="s">
        <v>2120</v>
      </c>
      <c r="D1266" s="166" t="s">
        <v>2160</v>
      </c>
      <c r="E1266" s="166" t="s">
        <v>2161</v>
      </c>
      <c r="F1266" s="167">
        <v>43753</v>
      </c>
      <c r="G1266" s="167">
        <v>44118</v>
      </c>
      <c r="H1266" s="168">
        <v>6493.86</v>
      </c>
    </row>
    <row r="1267" spans="1:8" ht="13.7" customHeight="1" x14ac:dyDescent="0.25">
      <c r="A1267" s="166" t="s">
        <v>2162</v>
      </c>
      <c r="B1267" s="166" t="s">
        <v>2159</v>
      </c>
      <c r="C1267" s="166" t="s">
        <v>2120</v>
      </c>
      <c r="D1267" s="166" t="s">
        <v>2160</v>
      </c>
      <c r="E1267" s="166" t="s">
        <v>2161</v>
      </c>
      <c r="F1267" s="167">
        <v>43753</v>
      </c>
      <c r="G1267" s="167">
        <v>44118</v>
      </c>
      <c r="H1267" s="168">
        <v>27473.39</v>
      </c>
    </row>
    <row r="1268" spans="1:8" ht="13.7" customHeight="1" x14ac:dyDescent="0.25">
      <c r="A1268" s="166" t="s">
        <v>2162</v>
      </c>
      <c r="B1268" s="166" t="s">
        <v>2159</v>
      </c>
      <c r="C1268" s="166" t="s">
        <v>2120</v>
      </c>
      <c r="D1268" s="166" t="s">
        <v>2160</v>
      </c>
      <c r="E1268" s="166" t="s">
        <v>2161</v>
      </c>
      <c r="F1268" s="167">
        <v>43753</v>
      </c>
      <c r="G1268" s="167">
        <v>44118</v>
      </c>
      <c r="H1268" s="168">
        <v>11033</v>
      </c>
    </row>
    <row r="1269" spans="1:8" ht="13.7" customHeight="1" x14ac:dyDescent="0.25">
      <c r="A1269" s="166" t="s">
        <v>2162</v>
      </c>
      <c r="B1269" s="166" t="s">
        <v>2159</v>
      </c>
      <c r="C1269" s="166" t="s">
        <v>2120</v>
      </c>
      <c r="D1269" s="166" t="s">
        <v>2160</v>
      </c>
      <c r="E1269" s="166" t="s">
        <v>2161</v>
      </c>
      <c r="F1269" s="167">
        <v>43753</v>
      </c>
      <c r="G1269" s="167">
        <v>44118</v>
      </c>
      <c r="H1269" s="168">
        <v>110328</v>
      </c>
    </row>
    <row r="1270" spans="1:8" ht="13.7" customHeight="1" x14ac:dyDescent="0.25">
      <c r="A1270" s="166" t="s">
        <v>2163</v>
      </c>
      <c r="B1270" s="166" t="s">
        <v>2159</v>
      </c>
      <c r="C1270" s="166" t="s">
        <v>2120</v>
      </c>
      <c r="D1270" s="166" t="s">
        <v>2164</v>
      </c>
      <c r="E1270" s="166" t="s">
        <v>2165</v>
      </c>
      <c r="F1270" s="167">
        <v>43739</v>
      </c>
      <c r="G1270" s="167">
        <v>44104</v>
      </c>
      <c r="H1270" s="168">
        <v>58603</v>
      </c>
    </row>
    <row r="1271" spans="1:8" ht="13.7" customHeight="1" x14ac:dyDescent="0.25">
      <c r="A1271" s="166" t="s">
        <v>2163</v>
      </c>
      <c r="B1271" s="166" t="s">
        <v>2159</v>
      </c>
      <c r="C1271" s="166" t="s">
        <v>2120</v>
      </c>
      <c r="D1271" s="166" t="s">
        <v>2164</v>
      </c>
      <c r="E1271" s="166" t="s">
        <v>2165</v>
      </c>
      <c r="F1271" s="167">
        <v>43739</v>
      </c>
      <c r="G1271" s="167">
        <v>44104</v>
      </c>
      <c r="H1271" s="168">
        <v>1</v>
      </c>
    </row>
    <row r="1272" spans="1:8" ht="13.7" customHeight="1" x14ac:dyDescent="0.25">
      <c r="A1272" s="166" t="s">
        <v>2166</v>
      </c>
      <c r="B1272" s="166" t="s">
        <v>2167</v>
      </c>
      <c r="C1272" s="166" t="s">
        <v>2120</v>
      </c>
      <c r="D1272" s="166" t="s">
        <v>2168</v>
      </c>
      <c r="E1272" s="166" t="s">
        <v>809</v>
      </c>
      <c r="F1272" s="167">
        <v>43374</v>
      </c>
      <c r="G1272" s="167">
        <v>43738</v>
      </c>
      <c r="H1272" s="168">
        <v>-18000</v>
      </c>
    </row>
    <row r="1273" spans="1:8" ht="13.7" customHeight="1" x14ac:dyDescent="0.25">
      <c r="A1273" s="166" t="s">
        <v>2166</v>
      </c>
      <c r="B1273" s="166" t="s">
        <v>2167</v>
      </c>
      <c r="C1273" s="166" t="s">
        <v>2120</v>
      </c>
      <c r="D1273" s="166" t="s">
        <v>2168</v>
      </c>
      <c r="E1273" s="166" t="s">
        <v>809</v>
      </c>
      <c r="F1273" s="167">
        <v>43374</v>
      </c>
      <c r="G1273" s="167">
        <v>43738</v>
      </c>
      <c r="H1273" s="168">
        <v>18000</v>
      </c>
    </row>
    <row r="1274" spans="1:8" ht="13.7" customHeight="1" x14ac:dyDescent="0.25">
      <c r="A1274" s="166" t="s">
        <v>2169</v>
      </c>
      <c r="B1274" s="166" t="s">
        <v>2167</v>
      </c>
      <c r="C1274" s="166" t="s">
        <v>2120</v>
      </c>
      <c r="D1274" s="166" t="s">
        <v>2170</v>
      </c>
      <c r="E1274" s="166" t="s">
        <v>2171</v>
      </c>
      <c r="F1274" s="167">
        <v>43656</v>
      </c>
      <c r="G1274" s="167">
        <v>43769</v>
      </c>
      <c r="H1274" s="168">
        <v>279398</v>
      </c>
    </row>
    <row r="1275" spans="1:8" ht="13.7" customHeight="1" x14ac:dyDescent="0.25">
      <c r="A1275" s="166" t="s">
        <v>2172</v>
      </c>
      <c r="B1275" s="166" t="s">
        <v>2167</v>
      </c>
      <c r="C1275" s="166" t="s">
        <v>2120</v>
      </c>
      <c r="D1275" s="166" t="s">
        <v>2170</v>
      </c>
      <c r="E1275" s="166" t="s">
        <v>2171</v>
      </c>
      <c r="F1275" s="167">
        <v>43656</v>
      </c>
      <c r="G1275" s="167">
        <v>43769</v>
      </c>
      <c r="H1275" s="168">
        <v>31495</v>
      </c>
    </row>
    <row r="1276" spans="1:8" ht="13.7" customHeight="1" x14ac:dyDescent="0.25">
      <c r="A1276" s="166" t="s">
        <v>2173</v>
      </c>
      <c r="B1276" s="166" t="s">
        <v>2174</v>
      </c>
      <c r="C1276" s="166" t="s">
        <v>2120</v>
      </c>
      <c r="D1276" s="166" t="s">
        <v>2175</v>
      </c>
      <c r="E1276" s="166" t="s">
        <v>2176</v>
      </c>
      <c r="F1276" s="167">
        <v>43234</v>
      </c>
      <c r="G1276" s="167">
        <v>44196</v>
      </c>
      <c r="H1276" s="168">
        <v>36000</v>
      </c>
    </row>
    <row r="1277" spans="1:8" ht="13.7" customHeight="1" x14ac:dyDescent="0.25">
      <c r="A1277" s="166" t="s">
        <v>2177</v>
      </c>
      <c r="B1277" s="166" t="s">
        <v>2174</v>
      </c>
      <c r="C1277" s="166" t="s">
        <v>2120</v>
      </c>
      <c r="D1277" s="166" t="s">
        <v>2178</v>
      </c>
      <c r="E1277" s="166" t="s">
        <v>2179</v>
      </c>
      <c r="F1277" s="167">
        <v>43373</v>
      </c>
      <c r="G1277" s="167">
        <v>43737</v>
      </c>
      <c r="H1277" s="168">
        <v>-2843.35</v>
      </c>
    </row>
    <row r="1278" spans="1:8" ht="13.7" customHeight="1" x14ac:dyDescent="0.25">
      <c r="A1278" s="166" t="s">
        <v>2177</v>
      </c>
      <c r="B1278" s="166" t="s">
        <v>2174</v>
      </c>
      <c r="C1278" s="166" t="s">
        <v>2120</v>
      </c>
      <c r="D1278" s="166" t="s">
        <v>2178</v>
      </c>
      <c r="E1278" s="166" t="s">
        <v>2179</v>
      </c>
      <c r="F1278" s="167">
        <v>43373</v>
      </c>
      <c r="G1278" s="167">
        <v>43737</v>
      </c>
      <c r="H1278" s="168">
        <v>1196.93</v>
      </c>
    </row>
    <row r="1279" spans="1:8" ht="13.7" customHeight="1" x14ac:dyDescent="0.25">
      <c r="A1279" s="166" t="s">
        <v>2180</v>
      </c>
      <c r="B1279" s="166" t="s">
        <v>2174</v>
      </c>
      <c r="C1279" s="166" t="s">
        <v>2120</v>
      </c>
      <c r="D1279" s="166" t="s">
        <v>2181</v>
      </c>
      <c r="E1279" s="166" t="s">
        <v>2179</v>
      </c>
      <c r="F1279" s="167">
        <v>43738</v>
      </c>
      <c r="G1279" s="167">
        <v>44103</v>
      </c>
      <c r="H1279" s="168">
        <v>1646.42</v>
      </c>
    </row>
    <row r="1280" spans="1:8" ht="13.7" customHeight="1" x14ac:dyDescent="0.25">
      <c r="A1280" s="166" t="s">
        <v>2180</v>
      </c>
      <c r="B1280" s="166" t="s">
        <v>2174</v>
      </c>
      <c r="C1280" s="166" t="s">
        <v>2120</v>
      </c>
      <c r="D1280" s="166" t="s">
        <v>2181</v>
      </c>
      <c r="E1280" s="166" t="s">
        <v>2179</v>
      </c>
      <c r="F1280" s="167">
        <v>43738</v>
      </c>
      <c r="G1280" s="167">
        <v>44103</v>
      </c>
      <c r="H1280" s="168">
        <v>52786</v>
      </c>
    </row>
    <row r="1281" spans="1:8" ht="13.7" customHeight="1" x14ac:dyDescent="0.25">
      <c r="A1281" s="166" t="s">
        <v>2182</v>
      </c>
      <c r="B1281" s="166" t="s">
        <v>2174</v>
      </c>
      <c r="C1281" s="166" t="s">
        <v>2120</v>
      </c>
      <c r="D1281" s="166" t="s">
        <v>2183</v>
      </c>
      <c r="E1281" s="166" t="s">
        <v>2184</v>
      </c>
      <c r="F1281" s="167">
        <v>43709</v>
      </c>
      <c r="G1281" s="167">
        <v>44074</v>
      </c>
      <c r="H1281" s="168">
        <v>25274</v>
      </c>
    </row>
    <row r="1282" spans="1:8" ht="13.7" customHeight="1" x14ac:dyDescent="0.25">
      <c r="A1282" s="166" t="s">
        <v>2185</v>
      </c>
      <c r="B1282" s="166" t="s">
        <v>2186</v>
      </c>
      <c r="C1282" s="166" t="s">
        <v>2120</v>
      </c>
      <c r="D1282" s="166" t="s">
        <v>2187</v>
      </c>
      <c r="E1282" s="166" t="s">
        <v>2122</v>
      </c>
      <c r="F1282" s="167">
        <v>43373</v>
      </c>
      <c r="G1282" s="167">
        <v>43737</v>
      </c>
      <c r="H1282" s="168">
        <v>-155035.37</v>
      </c>
    </row>
    <row r="1283" spans="1:8" ht="13.7" customHeight="1" x14ac:dyDescent="0.25">
      <c r="A1283" s="166" t="s">
        <v>2185</v>
      </c>
      <c r="B1283" s="166" t="s">
        <v>2186</v>
      </c>
      <c r="C1283" s="166" t="s">
        <v>2120</v>
      </c>
      <c r="D1283" s="166" t="s">
        <v>2187</v>
      </c>
      <c r="E1283" s="166" t="s">
        <v>2122</v>
      </c>
      <c r="F1283" s="167">
        <v>43373</v>
      </c>
      <c r="G1283" s="167">
        <v>43737</v>
      </c>
      <c r="H1283" s="168">
        <v>-93786.58</v>
      </c>
    </row>
    <row r="1284" spans="1:8" ht="13.7" customHeight="1" x14ac:dyDescent="0.25">
      <c r="A1284" s="166" t="s">
        <v>2185</v>
      </c>
      <c r="B1284" s="166" t="s">
        <v>2186</v>
      </c>
      <c r="C1284" s="166" t="s">
        <v>2120</v>
      </c>
      <c r="D1284" s="166" t="s">
        <v>2187</v>
      </c>
      <c r="E1284" s="166" t="s">
        <v>2122</v>
      </c>
      <c r="F1284" s="167">
        <v>43373</v>
      </c>
      <c r="G1284" s="167">
        <v>43737</v>
      </c>
      <c r="H1284" s="168">
        <v>-95281.17</v>
      </c>
    </row>
    <row r="1285" spans="1:8" ht="13.7" customHeight="1" x14ac:dyDescent="0.25">
      <c r="A1285" s="166" t="s">
        <v>2188</v>
      </c>
      <c r="B1285" s="166" t="s">
        <v>2186</v>
      </c>
      <c r="C1285" s="166" t="s">
        <v>2120</v>
      </c>
      <c r="D1285" s="166" t="s">
        <v>2187</v>
      </c>
      <c r="E1285" s="166" t="s">
        <v>2122</v>
      </c>
      <c r="F1285" s="167">
        <v>43738</v>
      </c>
      <c r="G1285" s="167">
        <v>44103</v>
      </c>
      <c r="H1285" s="168">
        <v>0</v>
      </c>
    </row>
    <row r="1286" spans="1:8" ht="13.7" customHeight="1" x14ac:dyDescent="0.25">
      <c r="A1286" s="166" t="s">
        <v>2188</v>
      </c>
      <c r="B1286" s="166" t="s">
        <v>2186</v>
      </c>
      <c r="C1286" s="166" t="s">
        <v>2120</v>
      </c>
      <c r="D1286" s="166" t="s">
        <v>2187</v>
      </c>
      <c r="E1286" s="166" t="s">
        <v>2122</v>
      </c>
      <c r="F1286" s="167">
        <v>43738</v>
      </c>
      <c r="G1286" s="167">
        <v>44103</v>
      </c>
      <c r="H1286" s="168">
        <v>308103.12</v>
      </c>
    </row>
    <row r="1287" spans="1:8" ht="13.7" customHeight="1" x14ac:dyDescent="0.25">
      <c r="A1287" s="166" t="s">
        <v>2188</v>
      </c>
      <c r="B1287" s="166" t="s">
        <v>2186</v>
      </c>
      <c r="C1287" s="166" t="s">
        <v>2120</v>
      </c>
      <c r="D1287" s="166" t="s">
        <v>2187</v>
      </c>
      <c r="E1287" s="166" t="s">
        <v>2122</v>
      </c>
      <c r="F1287" s="167">
        <v>43738</v>
      </c>
      <c r="G1287" s="167">
        <v>44103</v>
      </c>
      <c r="H1287" s="168">
        <v>36000</v>
      </c>
    </row>
    <row r="1288" spans="1:8" ht="13.7" customHeight="1" x14ac:dyDescent="0.25">
      <c r="A1288" s="166" t="s">
        <v>2188</v>
      </c>
      <c r="B1288" s="166" t="s">
        <v>2186</v>
      </c>
      <c r="C1288" s="166" t="s">
        <v>2120</v>
      </c>
      <c r="D1288" s="166" t="s">
        <v>2187</v>
      </c>
      <c r="E1288" s="166" t="s">
        <v>2122</v>
      </c>
      <c r="F1288" s="167">
        <v>43738</v>
      </c>
      <c r="G1288" s="167">
        <v>44103</v>
      </c>
      <c r="H1288" s="168">
        <v>875000</v>
      </c>
    </row>
    <row r="1289" spans="1:8" ht="13.7" customHeight="1" x14ac:dyDescent="0.25">
      <c r="A1289" s="166" t="s">
        <v>2189</v>
      </c>
      <c r="B1289" s="166" t="s">
        <v>2186</v>
      </c>
      <c r="C1289" s="166" t="s">
        <v>2120</v>
      </c>
      <c r="D1289" s="166" t="s">
        <v>2190</v>
      </c>
      <c r="E1289" s="166" t="s">
        <v>2191</v>
      </c>
      <c r="F1289" s="167">
        <v>41609</v>
      </c>
      <c r="G1289" s="167">
        <v>43738</v>
      </c>
      <c r="H1289" s="168">
        <v>15200</v>
      </c>
    </row>
    <row r="1290" spans="1:8" ht="13.7" customHeight="1" x14ac:dyDescent="0.25">
      <c r="A1290" s="166" t="s">
        <v>2192</v>
      </c>
      <c r="B1290" s="166" t="s">
        <v>2193</v>
      </c>
      <c r="C1290" s="166" t="s">
        <v>2120</v>
      </c>
      <c r="D1290" s="166" t="s">
        <v>2194</v>
      </c>
      <c r="E1290" s="166" t="s">
        <v>2195</v>
      </c>
      <c r="F1290" s="167">
        <v>43373</v>
      </c>
      <c r="G1290" s="167">
        <v>43737</v>
      </c>
      <c r="H1290" s="168">
        <v>-218023.54</v>
      </c>
    </row>
    <row r="1291" spans="1:8" ht="13.7" customHeight="1" x14ac:dyDescent="0.25">
      <c r="A1291" s="166" t="s">
        <v>2196</v>
      </c>
      <c r="B1291" s="166" t="s">
        <v>2193</v>
      </c>
      <c r="C1291" s="166" t="s">
        <v>2120</v>
      </c>
      <c r="D1291" s="166" t="s">
        <v>2194</v>
      </c>
      <c r="E1291" s="166" t="s">
        <v>2122</v>
      </c>
      <c r="F1291" s="167">
        <v>43738</v>
      </c>
      <c r="G1291" s="167">
        <v>44103</v>
      </c>
      <c r="H1291" s="168">
        <v>218023.54</v>
      </c>
    </row>
    <row r="1292" spans="1:8" ht="13.7" customHeight="1" x14ac:dyDescent="0.25">
      <c r="A1292" s="166" t="s">
        <v>2196</v>
      </c>
      <c r="B1292" s="166" t="s">
        <v>2193</v>
      </c>
      <c r="C1292" s="166" t="s">
        <v>2120</v>
      </c>
      <c r="D1292" s="166" t="s">
        <v>2194</v>
      </c>
      <c r="E1292" s="166" t="s">
        <v>2122</v>
      </c>
      <c r="F1292" s="167">
        <v>43738</v>
      </c>
      <c r="G1292" s="167">
        <v>44103</v>
      </c>
      <c r="H1292" s="168">
        <v>499951</v>
      </c>
    </row>
    <row r="1293" spans="1:8" ht="13.7" customHeight="1" x14ac:dyDescent="0.25">
      <c r="A1293" s="166" t="s">
        <v>2197</v>
      </c>
      <c r="B1293" s="166" t="s">
        <v>2193</v>
      </c>
      <c r="C1293" s="166" t="s">
        <v>2120</v>
      </c>
      <c r="D1293" s="166" t="s">
        <v>2198</v>
      </c>
      <c r="E1293" s="166" t="s">
        <v>2122</v>
      </c>
      <c r="F1293" s="167">
        <v>43738</v>
      </c>
      <c r="G1293" s="167">
        <v>44103</v>
      </c>
      <c r="H1293" s="168">
        <v>0</v>
      </c>
    </row>
    <row r="1294" spans="1:8" ht="13.7" customHeight="1" x14ac:dyDescent="0.25">
      <c r="A1294" s="166" t="s">
        <v>2197</v>
      </c>
      <c r="B1294" s="166" t="s">
        <v>2193</v>
      </c>
      <c r="C1294" s="166" t="s">
        <v>2120</v>
      </c>
      <c r="D1294" s="166" t="s">
        <v>2198</v>
      </c>
      <c r="E1294" s="166" t="s">
        <v>2122</v>
      </c>
      <c r="F1294" s="167">
        <v>43738</v>
      </c>
      <c r="G1294" s="167">
        <v>44103</v>
      </c>
      <c r="H1294" s="168">
        <v>188900</v>
      </c>
    </row>
    <row r="1295" spans="1:8" ht="13.7" customHeight="1" x14ac:dyDescent="0.25">
      <c r="A1295" s="166" t="s">
        <v>2199</v>
      </c>
      <c r="B1295" s="166" t="s">
        <v>2193</v>
      </c>
      <c r="C1295" s="166" t="s">
        <v>2120</v>
      </c>
      <c r="D1295" s="166" t="s">
        <v>2200</v>
      </c>
      <c r="E1295" s="166" t="s">
        <v>2201</v>
      </c>
      <c r="F1295" s="167">
        <v>42643</v>
      </c>
      <c r="G1295" s="167">
        <v>43737</v>
      </c>
      <c r="H1295" s="168">
        <v>-138158.15</v>
      </c>
    </row>
    <row r="1296" spans="1:8" ht="13.7" customHeight="1" x14ac:dyDescent="0.25">
      <c r="A1296" s="166" t="s">
        <v>2199</v>
      </c>
      <c r="B1296" s="166" t="s">
        <v>2193</v>
      </c>
      <c r="C1296" s="166" t="s">
        <v>2120</v>
      </c>
      <c r="D1296" s="166" t="s">
        <v>2200</v>
      </c>
      <c r="E1296" s="166" t="s">
        <v>2201</v>
      </c>
      <c r="F1296" s="167">
        <v>42643</v>
      </c>
      <c r="G1296" s="167">
        <v>43737</v>
      </c>
      <c r="H1296" s="168">
        <v>-57462.82</v>
      </c>
    </row>
    <row r="1297" spans="1:8" ht="13.7" customHeight="1" x14ac:dyDescent="0.25">
      <c r="A1297" s="166" t="s">
        <v>2199</v>
      </c>
      <c r="B1297" s="166" t="s">
        <v>2193</v>
      </c>
      <c r="C1297" s="166" t="s">
        <v>2120</v>
      </c>
      <c r="D1297" s="166" t="s">
        <v>2200</v>
      </c>
      <c r="E1297" s="166" t="s">
        <v>2201</v>
      </c>
      <c r="F1297" s="167">
        <v>42643</v>
      </c>
      <c r="G1297" s="167">
        <v>43737</v>
      </c>
      <c r="H1297" s="168">
        <v>-21371.99</v>
      </c>
    </row>
    <row r="1298" spans="1:8" ht="13.7" customHeight="1" x14ac:dyDescent="0.25">
      <c r="A1298" s="166" t="s">
        <v>2202</v>
      </c>
      <c r="B1298" s="166" t="s">
        <v>2193</v>
      </c>
      <c r="C1298" s="166" t="s">
        <v>2120</v>
      </c>
      <c r="D1298" s="166" t="s">
        <v>2203</v>
      </c>
      <c r="E1298" s="166" t="s">
        <v>2201</v>
      </c>
      <c r="F1298" s="167">
        <v>43738</v>
      </c>
      <c r="G1298" s="167">
        <v>44103</v>
      </c>
      <c r="H1298" s="168">
        <v>216116.71</v>
      </c>
    </row>
    <row r="1299" spans="1:8" ht="13.7" customHeight="1" x14ac:dyDescent="0.25">
      <c r="A1299" s="166" t="s">
        <v>2202</v>
      </c>
      <c r="B1299" s="166" t="s">
        <v>2193</v>
      </c>
      <c r="C1299" s="166" t="s">
        <v>2120</v>
      </c>
      <c r="D1299" s="166" t="s">
        <v>2203</v>
      </c>
      <c r="E1299" s="166" t="s">
        <v>2201</v>
      </c>
      <c r="F1299" s="167">
        <v>43738</v>
      </c>
      <c r="G1299" s="167">
        <v>44103</v>
      </c>
      <c r="H1299" s="168">
        <v>876.25</v>
      </c>
    </row>
    <row r="1300" spans="1:8" ht="13.7" customHeight="1" x14ac:dyDescent="0.25">
      <c r="A1300" s="166" t="s">
        <v>2202</v>
      </c>
      <c r="B1300" s="166" t="s">
        <v>2193</v>
      </c>
      <c r="C1300" s="166" t="s">
        <v>2120</v>
      </c>
      <c r="D1300" s="166" t="s">
        <v>2203</v>
      </c>
      <c r="E1300" s="166" t="s">
        <v>2201</v>
      </c>
      <c r="F1300" s="167">
        <v>43738</v>
      </c>
      <c r="G1300" s="167">
        <v>44103</v>
      </c>
      <c r="H1300" s="168">
        <v>256987</v>
      </c>
    </row>
    <row r="1301" spans="1:8" ht="13.7" customHeight="1" x14ac:dyDescent="0.25">
      <c r="A1301" s="166" t="s">
        <v>2204</v>
      </c>
      <c r="B1301" s="166" t="s">
        <v>2193</v>
      </c>
      <c r="C1301" s="166" t="s">
        <v>2120</v>
      </c>
      <c r="D1301" s="166" t="s">
        <v>2205</v>
      </c>
      <c r="E1301" s="166" t="s">
        <v>2206</v>
      </c>
      <c r="F1301" s="167">
        <v>43770</v>
      </c>
      <c r="G1301" s="167">
        <v>44103</v>
      </c>
      <c r="H1301" s="168">
        <v>12930</v>
      </c>
    </row>
    <row r="1302" spans="1:8" ht="13.7" customHeight="1" x14ac:dyDescent="0.25">
      <c r="A1302" s="166" t="s">
        <v>2204</v>
      </c>
      <c r="B1302" s="166" t="s">
        <v>2193</v>
      </c>
      <c r="C1302" s="166" t="s">
        <v>2120</v>
      </c>
      <c r="D1302" s="166" t="s">
        <v>2205</v>
      </c>
      <c r="E1302" s="166" t="s">
        <v>2206</v>
      </c>
      <c r="F1302" s="167">
        <v>43770</v>
      </c>
      <c r="G1302" s="167">
        <v>44103</v>
      </c>
      <c r="H1302" s="168">
        <v>39181</v>
      </c>
    </row>
    <row r="1303" spans="1:8" ht="13.7" customHeight="1" x14ac:dyDescent="0.25">
      <c r="A1303" s="166" t="s">
        <v>2207</v>
      </c>
      <c r="B1303" s="166" t="s">
        <v>2208</v>
      </c>
      <c r="C1303" s="166" t="s">
        <v>2120</v>
      </c>
      <c r="D1303" s="166" t="s">
        <v>2209</v>
      </c>
      <c r="E1303" s="166" t="s">
        <v>2210</v>
      </c>
      <c r="F1303" s="167">
        <v>43709</v>
      </c>
      <c r="G1303" s="167">
        <v>44074</v>
      </c>
      <c r="H1303" s="168">
        <v>34893</v>
      </c>
    </row>
    <row r="1304" spans="1:8" ht="13.7" customHeight="1" x14ac:dyDescent="0.25">
      <c r="A1304" s="166" t="s">
        <v>2211</v>
      </c>
      <c r="B1304" s="166" t="s">
        <v>2212</v>
      </c>
      <c r="C1304" s="166" t="s">
        <v>2120</v>
      </c>
      <c r="D1304" s="166" t="s">
        <v>2213</v>
      </c>
      <c r="E1304" s="166" t="s">
        <v>809</v>
      </c>
      <c r="F1304" s="167">
        <v>43282</v>
      </c>
      <c r="G1304" s="167">
        <v>43646</v>
      </c>
      <c r="H1304" s="168">
        <v>-22</v>
      </c>
    </row>
    <row r="1305" spans="1:8" ht="13.7" customHeight="1" x14ac:dyDescent="0.25">
      <c r="A1305" s="166" t="s">
        <v>2211</v>
      </c>
      <c r="B1305" s="166" t="s">
        <v>2212</v>
      </c>
      <c r="C1305" s="166" t="s">
        <v>2120</v>
      </c>
      <c r="D1305" s="166" t="s">
        <v>2213</v>
      </c>
      <c r="E1305" s="166" t="s">
        <v>809</v>
      </c>
      <c r="F1305" s="167">
        <v>43282</v>
      </c>
      <c r="G1305" s="167">
        <v>43646</v>
      </c>
      <c r="H1305" s="168">
        <v>22</v>
      </c>
    </row>
    <row r="1306" spans="1:8" ht="13.7" customHeight="1" x14ac:dyDescent="0.25">
      <c r="A1306" s="166" t="s">
        <v>2214</v>
      </c>
      <c r="B1306" s="166" t="s">
        <v>2212</v>
      </c>
      <c r="C1306" s="166" t="s">
        <v>2120</v>
      </c>
      <c r="D1306" s="166" t="s">
        <v>2215</v>
      </c>
      <c r="E1306" s="166" t="s">
        <v>2010</v>
      </c>
      <c r="F1306" s="167">
        <v>43647</v>
      </c>
      <c r="G1306" s="167">
        <v>44012</v>
      </c>
      <c r="H1306" s="168">
        <v>10000</v>
      </c>
    </row>
    <row r="1307" spans="1:8" ht="13.7" customHeight="1" x14ac:dyDescent="0.25">
      <c r="A1307" s="166" t="s">
        <v>2214</v>
      </c>
      <c r="B1307" s="166" t="s">
        <v>2212</v>
      </c>
      <c r="C1307" s="166" t="s">
        <v>2120</v>
      </c>
      <c r="D1307" s="166" t="s">
        <v>2215</v>
      </c>
      <c r="E1307" s="166" t="s">
        <v>2010</v>
      </c>
      <c r="F1307" s="167">
        <v>43647</v>
      </c>
      <c r="G1307" s="167">
        <v>44012</v>
      </c>
      <c r="H1307" s="168">
        <v>83859</v>
      </c>
    </row>
    <row r="1308" spans="1:8" ht="13.7" customHeight="1" x14ac:dyDescent="0.25">
      <c r="A1308" s="166" t="s">
        <v>2214</v>
      </c>
      <c r="B1308" s="166" t="s">
        <v>2212</v>
      </c>
      <c r="C1308" s="166" t="s">
        <v>2120</v>
      </c>
      <c r="D1308" s="166" t="s">
        <v>2215</v>
      </c>
      <c r="E1308" s="166" t="s">
        <v>2010</v>
      </c>
      <c r="F1308" s="167">
        <v>43647</v>
      </c>
      <c r="G1308" s="167">
        <v>44012</v>
      </c>
      <c r="H1308" s="168">
        <v>1141</v>
      </c>
    </row>
    <row r="1309" spans="1:8" ht="13.7" customHeight="1" x14ac:dyDescent="0.25">
      <c r="A1309" s="166" t="s">
        <v>2216</v>
      </c>
      <c r="B1309" s="166" t="s">
        <v>2212</v>
      </c>
      <c r="C1309" s="166" t="s">
        <v>2120</v>
      </c>
      <c r="D1309" s="166" t="s">
        <v>2217</v>
      </c>
      <c r="E1309" s="166" t="s">
        <v>2218</v>
      </c>
      <c r="F1309" s="167">
        <v>43221</v>
      </c>
      <c r="G1309" s="167">
        <v>43708</v>
      </c>
      <c r="H1309" s="168">
        <v>18182</v>
      </c>
    </row>
    <row r="1310" spans="1:8" ht="13.7" customHeight="1" x14ac:dyDescent="0.25">
      <c r="A1310" s="166" t="s">
        <v>2216</v>
      </c>
      <c r="B1310" s="166" t="s">
        <v>2212</v>
      </c>
      <c r="C1310" s="166" t="s">
        <v>2120</v>
      </c>
      <c r="D1310" s="166" t="s">
        <v>2217</v>
      </c>
      <c r="E1310" s="166" t="s">
        <v>2218</v>
      </c>
      <c r="F1310" s="167">
        <v>43221</v>
      </c>
      <c r="G1310" s="167">
        <v>43708</v>
      </c>
      <c r="H1310" s="168">
        <v>1818</v>
      </c>
    </row>
    <row r="1311" spans="1:8" ht="13.7" customHeight="1" x14ac:dyDescent="0.25">
      <c r="A1311" s="166" t="s">
        <v>2219</v>
      </c>
      <c r="B1311" s="166" t="s">
        <v>1145</v>
      </c>
      <c r="C1311" s="166" t="s">
        <v>2120</v>
      </c>
      <c r="D1311" s="166" t="s">
        <v>2220</v>
      </c>
      <c r="E1311" s="166" t="s">
        <v>2161</v>
      </c>
      <c r="F1311" s="167">
        <v>43647</v>
      </c>
      <c r="G1311" s="167">
        <v>44012</v>
      </c>
      <c r="H1311" s="168">
        <v>69700</v>
      </c>
    </row>
    <row r="1312" spans="1:8" ht="13.7" customHeight="1" x14ac:dyDescent="0.25">
      <c r="A1312" s="166" t="s">
        <v>2221</v>
      </c>
      <c r="B1312" s="166" t="s">
        <v>1145</v>
      </c>
      <c r="C1312" s="166" t="s">
        <v>2120</v>
      </c>
      <c r="D1312" s="166" t="s">
        <v>2220</v>
      </c>
      <c r="E1312" s="166" t="s">
        <v>2161</v>
      </c>
      <c r="F1312" s="167">
        <v>43647</v>
      </c>
      <c r="G1312" s="167">
        <v>44012</v>
      </c>
      <c r="H1312" s="168">
        <v>103840</v>
      </c>
    </row>
    <row r="1313" spans="1:8" ht="13.7" customHeight="1" x14ac:dyDescent="0.25">
      <c r="A1313" s="166" t="s">
        <v>2221</v>
      </c>
      <c r="B1313" s="166" t="s">
        <v>1145</v>
      </c>
      <c r="C1313" s="166" t="s">
        <v>2120</v>
      </c>
      <c r="D1313" s="166" t="s">
        <v>2220</v>
      </c>
      <c r="E1313" s="166" t="s">
        <v>2161</v>
      </c>
      <c r="F1313" s="167">
        <v>43647</v>
      </c>
      <c r="G1313" s="167">
        <v>44012</v>
      </c>
      <c r="H1313" s="168">
        <v>76125</v>
      </c>
    </row>
    <row r="1314" spans="1:8" ht="13.7" customHeight="1" x14ac:dyDescent="0.25">
      <c r="A1314" s="166" t="s">
        <v>2222</v>
      </c>
      <c r="B1314" s="166" t="s">
        <v>2223</v>
      </c>
      <c r="C1314" s="166" t="s">
        <v>2224</v>
      </c>
      <c r="D1314" s="166" t="s">
        <v>2225</v>
      </c>
      <c r="E1314" s="166" t="s">
        <v>809</v>
      </c>
      <c r="F1314" s="167">
        <v>43313</v>
      </c>
      <c r="G1314" s="167">
        <v>44012</v>
      </c>
      <c r="H1314" s="168">
        <v>147055.4</v>
      </c>
    </row>
    <row r="1315" spans="1:8" ht="13.7" customHeight="1" x14ac:dyDescent="0.25">
      <c r="A1315" s="166" t="s">
        <v>2222</v>
      </c>
      <c r="B1315" s="166" t="s">
        <v>2223</v>
      </c>
      <c r="C1315" s="166" t="s">
        <v>2224</v>
      </c>
      <c r="D1315" s="166" t="s">
        <v>2225</v>
      </c>
      <c r="E1315" s="166" t="s">
        <v>809</v>
      </c>
      <c r="F1315" s="167">
        <v>43313</v>
      </c>
      <c r="G1315" s="167">
        <v>44012</v>
      </c>
      <c r="H1315" s="168">
        <v>17647</v>
      </c>
    </row>
    <row r="1316" spans="1:8" ht="13.7" customHeight="1" x14ac:dyDescent="0.25">
      <c r="A1316" s="166" t="s">
        <v>2222</v>
      </c>
      <c r="B1316" s="166" t="s">
        <v>2223</v>
      </c>
      <c r="C1316" s="166" t="s">
        <v>2224</v>
      </c>
      <c r="D1316" s="166" t="s">
        <v>2225</v>
      </c>
      <c r="E1316" s="166" t="s">
        <v>809</v>
      </c>
      <c r="F1316" s="167">
        <v>43313</v>
      </c>
      <c r="G1316" s="167">
        <v>44012</v>
      </c>
      <c r="H1316" s="168">
        <v>228325</v>
      </c>
    </row>
    <row r="1317" spans="1:8" ht="13.7" customHeight="1" x14ac:dyDescent="0.25">
      <c r="A1317" s="166" t="s">
        <v>2222</v>
      </c>
      <c r="B1317" s="166" t="s">
        <v>2223</v>
      </c>
      <c r="C1317" s="166" t="s">
        <v>2224</v>
      </c>
      <c r="D1317" s="166" t="s">
        <v>2225</v>
      </c>
      <c r="E1317" s="166" t="s">
        <v>809</v>
      </c>
      <c r="F1317" s="167">
        <v>43313</v>
      </c>
      <c r="G1317" s="167">
        <v>44012</v>
      </c>
      <c r="H1317" s="168">
        <v>0</v>
      </c>
    </row>
    <row r="1318" spans="1:8" ht="13.7" customHeight="1" x14ac:dyDescent="0.25">
      <c r="A1318" s="166" t="s">
        <v>2226</v>
      </c>
      <c r="B1318" s="166" t="s">
        <v>1990</v>
      </c>
      <c r="C1318" s="166" t="s">
        <v>2224</v>
      </c>
      <c r="D1318" s="166" t="s">
        <v>2227</v>
      </c>
      <c r="E1318" s="166" t="s">
        <v>582</v>
      </c>
      <c r="F1318" s="167">
        <v>43678</v>
      </c>
      <c r="G1318" s="167">
        <v>44043</v>
      </c>
      <c r="H1318" s="168">
        <v>-28992</v>
      </c>
    </row>
    <row r="1319" spans="1:8" ht="13.7" customHeight="1" x14ac:dyDescent="0.25">
      <c r="A1319" s="166" t="s">
        <v>2226</v>
      </c>
      <c r="B1319" s="166" t="s">
        <v>1990</v>
      </c>
      <c r="C1319" s="166" t="s">
        <v>2224</v>
      </c>
      <c r="D1319" s="166" t="s">
        <v>2227</v>
      </c>
      <c r="E1319" s="166" t="s">
        <v>582</v>
      </c>
      <c r="F1319" s="167">
        <v>43678</v>
      </c>
      <c r="G1319" s="167">
        <v>44043</v>
      </c>
      <c r="H1319" s="168">
        <v>-46660</v>
      </c>
    </row>
    <row r="1320" spans="1:8" ht="13.7" customHeight="1" x14ac:dyDescent="0.25">
      <c r="A1320" s="166" t="s">
        <v>2226</v>
      </c>
      <c r="B1320" s="166" t="s">
        <v>1990</v>
      </c>
      <c r="C1320" s="166" t="s">
        <v>2224</v>
      </c>
      <c r="D1320" s="166" t="s">
        <v>2227</v>
      </c>
      <c r="E1320" s="166" t="s">
        <v>582</v>
      </c>
      <c r="F1320" s="167">
        <v>43678</v>
      </c>
      <c r="G1320" s="167">
        <v>44043</v>
      </c>
      <c r="H1320" s="168">
        <v>179684</v>
      </c>
    </row>
    <row r="1321" spans="1:8" ht="13.7" customHeight="1" x14ac:dyDescent="0.25">
      <c r="A1321" s="166" t="s">
        <v>2228</v>
      </c>
      <c r="B1321" s="166" t="s">
        <v>1990</v>
      </c>
      <c r="C1321" s="166" t="s">
        <v>2224</v>
      </c>
      <c r="D1321" s="166" t="s">
        <v>2229</v>
      </c>
      <c r="E1321" s="166" t="s">
        <v>2230</v>
      </c>
      <c r="F1321" s="167">
        <v>43739</v>
      </c>
      <c r="G1321" s="167">
        <v>44347</v>
      </c>
      <c r="H1321" s="168">
        <v>150000</v>
      </c>
    </row>
    <row r="1322" spans="1:8" ht="13.7" customHeight="1" x14ac:dyDescent="0.25">
      <c r="A1322" s="166" t="s">
        <v>2231</v>
      </c>
      <c r="B1322" s="166" t="s">
        <v>1550</v>
      </c>
      <c r="C1322" s="166" t="s">
        <v>2224</v>
      </c>
      <c r="D1322" s="166" t="s">
        <v>2232</v>
      </c>
      <c r="E1322" s="166" t="s">
        <v>2233</v>
      </c>
      <c r="F1322" s="167">
        <v>43905</v>
      </c>
      <c r="G1322" s="167">
        <v>44269</v>
      </c>
      <c r="H1322" s="168">
        <v>41036</v>
      </c>
    </row>
    <row r="1323" spans="1:8" ht="13.7" customHeight="1" x14ac:dyDescent="0.25">
      <c r="A1323" s="166" t="s">
        <v>2234</v>
      </c>
      <c r="B1323" s="166" t="s">
        <v>2235</v>
      </c>
      <c r="C1323" s="166" t="s">
        <v>2224</v>
      </c>
      <c r="D1323" s="166" t="s">
        <v>2236</v>
      </c>
      <c r="E1323" s="166" t="s">
        <v>2237</v>
      </c>
      <c r="F1323" s="167">
        <v>43969</v>
      </c>
      <c r="G1323" s="167">
        <v>44333</v>
      </c>
      <c r="H1323" s="168">
        <v>36720</v>
      </c>
    </row>
    <row r="1324" spans="1:8" ht="13.7" customHeight="1" x14ac:dyDescent="0.25">
      <c r="A1324" s="166" t="s">
        <v>2238</v>
      </c>
      <c r="B1324" s="166" t="s">
        <v>2235</v>
      </c>
      <c r="C1324" s="166" t="s">
        <v>2224</v>
      </c>
      <c r="D1324" s="166" t="s">
        <v>2239</v>
      </c>
      <c r="E1324" s="166" t="s">
        <v>582</v>
      </c>
      <c r="F1324" s="167">
        <v>43678</v>
      </c>
      <c r="G1324" s="167">
        <v>44043</v>
      </c>
      <c r="H1324" s="168">
        <v>212945</v>
      </c>
    </row>
    <row r="1325" spans="1:8" ht="13.7" customHeight="1" x14ac:dyDescent="0.25">
      <c r="A1325" s="166" t="s">
        <v>2238</v>
      </c>
      <c r="B1325" s="166" t="s">
        <v>2235</v>
      </c>
      <c r="C1325" s="166" t="s">
        <v>2224</v>
      </c>
      <c r="D1325" s="166" t="s">
        <v>2239</v>
      </c>
      <c r="E1325" s="166" t="s">
        <v>582</v>
      </c>
      <c r="F1325" s="167">
        <v>43678</v>
      </c>
      <c r="G1325" s="167">
        <v>44043</v>
      </c>
      <c r="H1325" s="168">
        <v>9750</v>
      </c>
    </row>
    <row r="1326" spans="1:8" ht="13.7" customHeight="1" x14ac:dyDescent="0.25">
      <c r="A1326" s="166" t="s">
        <v>2240</v>
      </c>
      <c r="B1326" s="166" t="s">
        <v>1265</v>
      </c>
      <c r="C1326" s="166" t="s">
        <v>2224</v>
      </c>
      <c r="D1326" s="166" t="s">
        <v>2241</v>
      </c>
      <c r="E1326" s="166" t="s">
        <v>502</v>
      </c>
      <c r="F1326" s="167">
        <v>43892</v>
      </c>
      <c r="G1326" s="167">
        <v>44331</v>
      </c>
      <c r="H1326" s="168">
        <v>-34</v>
      </c>
    </row>
    <row r="1327" spans="1:8" ht="13.7" customHeight="1" x14ac:dyDescent="0.25">
      <c r="A1327" s="166" t="s">
        <v>2240</v>
      </c>
      <c r="B1327" s="166" t="s">
        <v>1265</v>
      </c>
      <c r="C1327" s="166" t="s">
        <v>2224</v>
      </c>
      <c r="D1327" s="166" t="s">
        <v>2241</v>
      </c>
      <c r="E1327" s="166" t="s">
        <v>502</v>
      </c>
      <c r="F1327" s="167">
        <v>43892</v>
      </c>
      <c r="G1327" s="167">
        <v>44331</v>
      </c>
      <c r="H1327" s="168">
        <v>58784</v>
      </c>
    </row>
    <row r="1328" spans="1:8" ht="13.7" customHeight="1" x14ac:dyDescent="0.25">
      <c r="A1328" s="166" t="s">
        <v>2242</v>
      </c>
      <c r="B1328" s="166" t="s">
        <v>1265</v>
      </c>
      <c r="C1328" s="166" t="s">
        <v>2224</v>
      </c>
      <c r="D1328" s="166" t="s">
        <v>2243</v>
      </c>
      <c r="E1328" s="166" t="s">
        <v>582</v>
      </c>
      <c r="F1328" s="167">
        <v>43586</v>
      </c>
      <c r="G1328" s="167">
        <v>43951</v>
      </c>
      <c r="H1328" s="168">
        <v>10057</v>
      </c>
    </row>
    <row r="1329" spans="1:8" ht="13.7" customHeight="1" x14ac:dyDescent="0.25">
      <c r="A1329" s="166" t="s">
        <v>2242</v>
      </c>
      <c r="B1329" s="166" t="s">
        <v>1265</v>
      </c>
      <c r="C1329" s="166" t="s">
        <v>2224</v>
      </c>
      <c r="D1329" s="166" t="s">
        <v>2243</v>
      </c>
      <c r="E1329" s="166" t="s">
        <v>582</v>
      </c>
      <c r="F1329" s="167">
        <v>43586</v>
      </c>
      <c r="G1329" s="167">
        <v>43951</v>
      </c>
      <c r="H1329" s="168">
        <v>0</v>
      </c>
    </row>
    <row r="1330" spans="1:8" ht="13.7" customHeight="1" x14ac:dyDescent="0.25">
      <c r="A1330" s="166" t="s">
        <v>2242</v>
      </c>
      <c r="B1330" s="166" t="s">
        <v>1265</v>
      </c>
      <c r="C1330" s="166" t="s">
        <v>2224</v>
      </c>
      <c r="D1330" s="166" t="s">
        <v>2243</v>
      </c>
      <c r="E1330" s="166" t="s">
        <v>582</v>
      </c>
      <c r="F1330" s="167">
        <v>43586</v>
      </c>
      <c r="G1330" s="167">
        <v>43951</v>
      </c>
      <c r="H1330" s="168">
        <v>0</v>
      </c>
    </row>
    <row r="1331" spans="1:8" ht="13.7" customHeight="1" x14ac:dyDescent="0.25">
      <c r="A1331" s="166" t="s">
        <v>2242</v>
      </c>
      <c r="B1331" s="166" t="s">
        <v>1265</v>
      </c>
      <c r="C1331" s="166" t="s">
        <v>2224</v>
      </c>
      <c r="D1331" s="166" t="s">
        <v>2243</v>
      </c>
      <c r="E1331" s="166" t="s">
        <v>582</v>
      </c>
      <c r="F1331" s="167">
        <v>43586</v>
      </c>
      <c r="G1331" s="167">
        <v>43951</v>
      </c>
      <c r="H1331" s="168">
        <v>89439</v>
      </c>
    </row>
    <row r="1332" spans="1:8" ht="13.7" customHeight="1" x14ac:dyDescent="0.25">
      <c r="A1332" s="166" t="s">
        <v>2244</v>
      </c>
      <c r="B1332" s="166" t="s">
        <v>1265</v>
      </c>
      <c r="C1332" s="166" t="s">
        <v>2224</v>
      </c>
      <c r="D1332" s="166" t="s">
        <v>2245</v>
      </c>
      <c r="E1332" s="166" t="s">
        <v>2246</v>
      </c>
      <c r="F1332" s="167">
        <v>41426</v>
      </c>
      <c r="G1332" s="167">
        <v>44104</v>
      </c>
      <c r="H1332" s="168">
        <v>0</v>
      </c>
    </row>
    <row r="1333" spans="1:8" ht="13.7" customHeight="1" x14ac:dyDescent="0.25">
      <c r="A1333" s="166" t="s">
        <v>2247</v>
      </c>
      <c r="B1333" s="166" t="s">
        <v>1265</v>
      </c>
      <c r="C1333" s="166" t="s">
        <v>2224</v>
      </c>
      <c r="D1333" s="166" t="s">
        <v>2248</v>
      </c>
      <c r="E1333" s="166" t="s">
        <v>648</v>
      </c>
      <c r="F1333" s="167">
        <v>42968</v>
      </c>
      <c r="G1333" s="167">
        <v>44805</v>
      </c>
      <c r="H1333" s="168">
        <v>-810</v>
      </c>
    </row>
    <row r="1334" spans="1:8" ht="13.7" customHeight="1" x14ac:dyDescent="0.25">
      <c r="A1334" s="166" t="s">
        <v>2247</v>
      </c>
      <c r="B1334" s="166" t="s">
        <v>1265</v>
      </c>
      <c r="C1334" s="166" t="s">
        <v>2224</v>
      </c>
      <c r="D1334" s="166" t="s">
        <v>2248</v>
      </c>
      <c r="E1334" s="166" t="s">
        <v>648</v>
      </c>
      <c r="F1334" s="167">
        <v>42968</v>
      </c>
      <c r="G1334" s="167">
        <v>44805</v>
      </c>
      <c r="H1334" s="168">
        <v>810</v>
      </c>
    </row>
    <row r="1335" spans="1:8" ht="13.7" customHeight="1" x14ac:dyDescent="0.25">
      <c r="A1335" s="166" t="s">
        <v>2249</v>
      </c>
      <c r="B1335" s="166" t="s">
        <v>1265</v>
      </c>
      <c r="C1335" s="166" t="s">
        <v>2224</v>
      </c>
      <c r="D1335" s="166" t="s">
        <v>2250</v>
      </c>
      <c r="E1335" s="166" t="s">
        <v>1573</v>
      </c>
      <c r="F1335" s="167">
        <v>43661</v>
      </c>
      <c r="G1335" s="167">
        <v>45444</v>
      </c>
      <c r="H1335" s="168">
        <v>120675</v>
      </c>
    </row>
    <row r="1336" spans="1:8" ht="13.7" customHeight="1" x14ac:dyDescent="0.25">
      <c r="A1336" s="166" t="s">
        <v>2251</v>
      </c>
      <c r="B1336" s="166" t="s">
        <v>1265</v>
      </c>
      <c r="C1336" s="166" t="s">
        <v>2224</v>
      </c>
      <c r="D1336" s="166" t="s">
        <v>2252</v>
      </c>
      <c r="E1336" s="166" t="s">
        <v>497</v>
      </c>
      <c r="F1336" s="167">
        <v>43697</v>
      </c>
      <c r="G1336" s="167">
        <v>45534</v>
      </c>
      <c r="H1336" s="168">
        <v>50000</v>
      </c>
    </row>
    <row r="1337" spans="1:8" ht="13.7" customHeight="1" x14ac:dyDescent="0.25">
      <c r="A1337" s="166" t="s">
        <v>2251</v>
      </c>
      <c r="B1337" s="166" t="s">
        <v>1265</v>
      </c>
      <c r="C1337" s="166" t="s">
        <v>2224</v>
      </c>
      <c r="D1337" s="166" t="s">
        <v>2252</v>
      </c>
      <c r="E1337" s="166" t="s">
        <v>497</v>
      </c>
      <c r="F1337" s="167">
        <v>43697</v>
      </c>
      <c r="G1337" s="167">
        <v>45534</v>
      </c>
      <c r="H1337" s="168">
        <v>25000</v>
      </c>
    </row>
    <row r="1338" spans="1:8" ht="13.7" customHeight="1" x14ac:dyDescent="0.25">
      <c r="A1338" s="166" t="s">
        <v>2253</v>
      </c>
      <c r="B1338" s="166" t="s">
        <v>2254</v>
      </c>
      <c r="C1338" s="166" t="s">
        <v>2224</v>
      </c>
      <c r="D1338" s="166" t="s">
        <v>2255</v>
      </c>
      <c r="E1338" s="166" t="s">
        <v>0</v>
      </c>
      <c r="F1338" s="167">
        <v>43586</v>
      </c>
      <c r="G1338" s="167">
        <v>44074</v>
      </c>
      <c r="H1338" s="168">
        <v>-400</v>
      </c>
    </row>
    <row r="1339" spans="1:8" ht="13.7" customHeight="1" x14ac:dyDescent="0.25">
      <c r="A1339" s="166" t="s">
        <v>2253</v>
      </c>
      <c r="B1339" s="166" t="s">
        <v>2254</v>
      </c>
      <c r="C1339" s="166" t="s">
        <v>2224</v>
      </c>
      <c r="D1339" s="166" t="s">
        <v>2255</v>
      </c>
      <c r="E1339" s="166" t="s">
        <v>0</v>
      </c>
      <c r="F1339" s="167">
        <v>43586</v>
      </c>
      <c r="G1339" s="167">
        <v>44074</v>
      </c>
      <c r="H1339" s="168">
        <v>400</v>
      </c>
    </row>
    <row r="1340" spans="1:8" ht="13.7" customHeight="1" x14ac:dyDescent="0.25">
      <c r="A1340" s="166" t="s">
        <v>2256</v>
      </c>
      <c r="B1340" s="166" t="s">
        <v>1273</v>
      </c>
      <c r="C1340" s="166" t="s">
        <v>2224</v>
      </c>
      <c r="D1340" s="166" t="s">
        <v>2257</v>
      </c>
      <c r="E1340" s="166" t="s">
        <v>1691</v>
      </c>
      <c r="F1340" s="167">
        <v>43647</v>
      </c>
      <c r="G1340" s="167">
        <v>44012</v>
      </c>
      <c r="H1340" s="168">
        <v>117031</v>
      </c>
    </row>
    <row r="1341" spans="1:8" ht="13.7" customHeight="1" x14ac:dyDescent="0.25">
      <c r="A1341" s="166" t="s">
        <v>2258</v>
      </c>
      <c r="B1341" s="166" t="s">
        <v>2259</v>
      </c>
      <c r="C1341" s="166" t="s">
        <v>2224</v>
      </c>
      <c r="D1341" s="166" t="s">
        <v>2260</v>
      </c>
      <c r="E1341" s="166" t="s">
        <v>2261</v>
      </c>
      <c r="F1341" s="167">
        <v>42917</v>
      </c>
      <c r="G1341" s="167">
        <v>44104</v>
      </c>
      <c r="H1341" s="168">
        <v>3000</v>
      </c>
    </row>
    <row r="1342" spans="1:8" ht="13.7" customHeight="1" x14ac:dyDescent="0.25">
      <c r="A1342" s="166" t="s">
        <v>2258</v>
      </c>
      <c r="B1342" s="166" t="s">
        <v>2259</v>
      </c>
      <c r="C1342" s="166" t="s">
        <v>2224</v>
      </c>
      <c r="D1342" s="166" t="s">
        <v>2260</v>
      </c>
      <c r="E1342" s="166" t="s">
        <v>2261</v>
      </c>
      <c r="F1342" s="167">
        <v>42917</v>
      </c>
      <c r="G1342" s="167">
        <v>44104</v>
      </c>
      <c r="H1342" s="168">
        <v>-3000</v>
      </c>
    </row>
    <row r="1343" spans="1:8" ht="13.7" customHeight="1" x14ac:dyDescent="0.25">
      <c r="A1343" s="166" t="s">
        <v>2262</v>
      </c>
      <c r="B1343" s="166" t="s">
        <v>2259</v>
      </c>
      <c r="C1343" s="166" t="s">
        <v>2224</v>
      </c>
      <c r="D1343" s="166" t="s">
        <v>2263</v>
      </c>
      <c r="E1343" s="166" t="s">
        <v>2264</v>
      </c>
      <c r="F1343" s="167">
        <v>42993</v>
      </c>
      <c r="G1343" s="167">
        <v>44651</v>
      </c>
      <c r="H1343" s="168">
        <v>0</v>
      </c>
    </row>
    <row r="1344" spans="1:8" ht="13.7" customHeight="1" x14ac:dyDescent="0.25">
      <c r="A1344" s="166" t="s">
        <v>2265</v>
      </c>
      <c r="B1344" s="166" t="s">
        <v>2259</v>
      </c>
      <c r="C1344" s="166" t="s">
        <v>2224</v>
      </c>
      <c r="D1344" s="166" t="s">
        <v>2266</v>
      </c>
      <c r="E1344" s="166" t="s">
        <v>582</v>
      </c>
      <c r="F1344" s="167">
        <v>43313</v>
      </c>
      <c r="G1344" s="167">
        <v>43677</v>
      </c>
      <c r="H1344" s="168">
        <v>0</v>
      </c>
    </row>
    <row r="1345" spans="1:8" ht="13.7" customHeight="1" x14ac:dyDescent="0.25">
      <c r="A1345" s="166" t="s">
        <v>2267</v>
      </c>
      <c r="B1345" s="166" t="s">
        <v>2259</v>
      </c>
      <c r="C1345" s="166" t="s">
        <v>2224</v>
      </c>
      <c r="D1345" s="166" t="s">
        <v>2268</v>
      </c>
      <c r="E1345" s="166" t="s">
        <v>2269</v>
      </c>
      <c r="F1345" s="167">
        <v>43586</v>
      </c>
      <c r="G1345" s="167">
        <v>44074</v>
      </c>
      <c r="H1345" s="168">
        <v>33724</v>
      </c>
    </row>
    <row r="1346" spans="1:8" ht="13.7" customHeight="1" x14ac:dyDescent="0.25">
      <c r="A1346" s="166" t="s">
        <v>2267</v>
      </c>
      <c r="B1346" s="166" t="s">
        <v>2259</v>
      </c>
      <c r="C1346" s="166" t="s">
        <v>2224</v>
      </c>
      <c r="D1346" s="166" t="s">
        <v>2268</v>
      </c>
      <c r="E1346" s="166" t="s">
        <v>2269</v>
      </c>
      <c r="F1346" s="167">
        <v>43586</v>
      </c>
      <c r="G1346" s="167">
        <v>44074</v>
      </c>
      <c r="H1346" s="168">
        <v>10641</v>
      </c>
    </row>
    <row r="1347" spans="1:8" ht="13.7" customHeight="1" x14ac:dyDescent="0.25">
      <c r="A1347" s="166" t="s">
        <v>2267</v>
      </c>
      <c r="B1347" s="166" t="s">
        <v>2259</v>
      </c>
      <c r="C1347" s="166" t="s">
        <v>2224</v>
      </c>
      <c r="D1347" s="166" t="s">
        <v>2268</v>
      </c>
      <c r="E1347" s="166" t="s">
        <v>2269</v>
      </c>
      <c r="F1347" s="167">
        <v>43586</v>
      </c>
      <c r="G1347" s="167">
        <v>44074</v>
      </c>
      <c r="H1347" s="168">
        <v>3095</v>
      </c>
    </row>
    <row r="1348" spans="1:8" ht="13.7" customHeight="1" x14ac:dyDescent="0.25">
      <c r="A1348" s="166" t="s">
        <v>2270</v>
      </c>
      <c r="B1348" s="166" t="s">
        <v>2259</v>
      </c>
      <c r="C1348" s="166" t="s">
        <v>2224</v>
      </c>
      <c r="D1348" s="166" t="s">
        <v>2271</v>
      </c>
      <c r="E1348" s="166" t="s">
        <v>582</v>
      </c>
      <c r="F1348" s="167">
        <v>43678</v>
      </c>
      <c r="G1348" s="167">
        <v>44043</v>
      </c>
      <c r="H1348" s="168">
        <v>0</v>
      </c>
    </row>
    <row r="1349" spans="1:8" ht="13.7" customHeight="1" x14ac:dyDescent="0.25">
      <c r="A1349" s="166" t="s">
        <v>2270</v>
      </c>
      <c r="B1349" s="166" t="s">
        <v>2259</v>
      </c>
      <c r="C1349" s="166" t="s">
        <v>2224</v>
      </c>
      <c r="D1349" s="166" t="s">
        <v>2271</v>
      </c>
      <c r="E1349" s="166" t="s">
        <v>582</v>
      </c>
      <c r="F1349" s="167">
        <v>43678</v>
      </c>
      <c r="G1349" s="167">
        <v>44043</v>
      </c>
      <c r="H1349" s="168">
        <v>74774</v>
      </c>
    </row>
    <row r="1350" spans="1:8" ht="13.7" customHeight="1" x14ac:dyDescent="0.25">
      <c r="A1350" s="166" t="s">
        <v>2270</v>
      </c>
      <c r="B1350" s="166" t="s">
        <v>2259</v>
      </c>
      <c r="C1350" s="166" t="s">
        <v>2224</v>
      </c>
      <c r="D1350" s="166" t="s">
        <v>2271</v>
      </c>
      <c r="E1350" s="166" t="s">
        <v>582</v>
      </c>
      <c r="F1350" s="167">
        <v>43678</v>
      </c>
      <c r="G1350" s="167">
        <v>44043</v>
      </c>
      <c r="H1350" s="168">
        <v>24226</v>
      </c>
    </row>
    <row r="1351" spans="1:8" ht="13.7" customHeight="1" x14ac:dyDescent="0.25">
      <c r="A1351" s="166" t="s">
        <v>2272</v>
      </c>
      <c r="B1351" s="166" t="s">
        <v>2273</v>
      </c>
      <c r="C1351" s="166" t="s">
        <v>2224</v>
      </c>
      <c r="D1351" s="166" t="s">
        <v>2274</v>
      </c>
      <c r="E1351" s="166" t="s">
        <v>2275</v>
      </c>
      <c r="F1351" s="167">
        <v>43325</v>
      </c>
      <c r="G1351" s="167">
        <v>44010</v>
      </c>
      <c r="H1351" s="168">
        <v>1800</v>
      </c>
    </row>
    <row r="1352" spans="1:8" ht="13.7" customHeight="1" x14ac:dyDescent="0.25">
      <c r="A1352" s="166" t="s">
        <v>2272</v>
      </c>
      <c r="B1352" s="166" t="s">
        <v>2273</v>
      </c>
      <c r="C1352" s="166" t="s">
        <v>2224</v>
      </c>
      <c r="D1352" s="166" t="s">
        <v>2274</v>
      </c>
      <c r="E1352" s="166" t="s">
        <v>2275</v>
      </c>
      <c r="F1352" s="167">
        <v>43325</v>
      </c>
      <c r="G1352" s="167">
        <v>44010</v>
      </c>
      <c r="H1352" s="168">
        <v>5900</v>
      </c>
    </row>
    <row r="1353" spans="1:8" ht="13.7" customHeight="1" x14ac:dyDescent="0.25">
      <c r="A1353" s="166" t="s">
        <v>2276</v>
      </c>
      <c r="B1353" s="166" t="s">
        <v>2273</v>
      </c>
      <c r="C1353" s="166" t="s">
        <v>2224</v>
      </c>
      <c r="D1353" s="166" t="s">
        <v>2277</v>
      </c>
      <c r="E1353" s="166" t="s">
        <v>2269</v>
      </c>
      <c r="F1353" s="167">
        <v>43405</v>
      </c>
      <c r="G1353" s="167">
        <v>44377</v>
      </c>
      <c r="H1353" s="168">
        <v>84896</v>
      </c>
    </row>
    <row r="1354" spans="1:8" ht="13.7" customHeight="1" x14ac:dyDescent="0.25">
      <c r="A1354" s="166" t="s">
        <v>2276</v>
      </c>
      <c r="B1354" s="166" t="s">
        <v>2273</v>
      </c>
      <c r="C1354" s="166" t="s">
        <v>2224</v>
      </c>
      <c r="D1354" s="166" t="s">
        <v>2277</v>
      </c>
      <c r="E1354" s="166" t="s">
        <v>2269</v>
      </c>
      <c r="F1354" s="167">
        <v>43405</v>
      </c>
      <c r="G1354" s="167">
        <v>44377</v>
      </c>
      <c r="H1354" s="168">
        <v>21422</v>
      </c>
    </row>
    <row r="1355" spans="1:8" ht="13.7" customHeight="1" x14ac:dyDescent="0.25">
      <c r="A1355" s="166" t="s">
        <v>2276</v>
      </c>
      <c r="B1355" s="166" t="s">
        <v>2273</v>
      </c>
      <c r="C1355" s="166" t="s">
        <v>2224</v>
      </c>
      <c r="D1355" s="166" t="s">
        <v>2277</v>
      </c>
      <c r="E1355" s="166" t="s">
        <v>2269</v>
      </c>
      <c r="F1355" s="167">
        <v>43405</v>
      </c>
      <c r="G1355" s="167">
        <v>44377</v>
      </c>
      <c r="H1355" s="168">
        <v>47605</v>
      </c>
    </row>
    <row r="1356" spans="1:8" ht="13.7" customHeight="1" x14ac:dyDescent="0.25">
      <c r="A1356" s="166" t="s">
        <v>2276</v>
      </c>
      <c r="B1356" s="166" t="s">
        <v>2273</v>
      </c>
      <c r="C1356" s="166" t="s">
        <v>2224</v>
      </c>
      <c r="D1356" s="166" t="s">
        <v>2277</v>
      </c>
      <c r="E1356" s="166" t="s">
        <v>2269</v>
      </c>
      <c r="F1356" s="167">
        <v>43405</v>
      </c>
      <c r="G1356" s="167">
        <v>44377</v>
      </c>
      <c r="H1356" s="168">
        <v>39103</v>
      </c>
    </row>
    <row r="1357" spans="1:8" ht="13.7" customHeight="1" x14ac:dyDescent="0.25">
      <c r="A1357" s="166" t="s">
        <v>2276</v>
      </c>
      <c r="B1357" s="166" t="s">
        <v>2273</v>
      </c>
      <c r="C1357" s="166" t="s">
        <v>2224</v>
      </c>
      <c r="D1357" s="166" t="s">
        <v>2277</v>
      </c>
      <c r="E1357" s="166" t="s">
        <v>2269</v>
      </c>
      <c r="F1357" s="167">
        <v>43405</v>
      </c>
      <c r="G1357" s="167">
        <v>44377</v>
      </c>
      <c r="H1357" s="168">
        <v>83197</v>
      </c>
    </row>
    <row r="1358" spans="1:8" ht="13.7" customHeight="1" x14ac:dyDescent="0.25">
      <c r="A1358" s="166" t="s">
        <v>2278</v>
      </c>
      <c r="B1358" s="166" t="s">
        <v>2273</v>
      </c>
      <c r="C1358" s="166" t="s">
        <v>2224</v>
      </c>
      <c r="D1358" s="166" t="s">
        <v>2277</v>
      </c>
      <c r="E1358" s="166" t="s">
        <v>2269</v>
      </c>
      <c r="F1358" s="167">
        <v>43405</v>
      </c>
      <c r="G1358" s="167">
        <v>44377</v>
      </c>
      <c r="H1358" s="168">
        <v>1250</v>
      </c>
    </row>
    <row r="1359" spans="1:8" ht="13.7" customHeight="1" x14ac:dyDescent="0.25">
      <c r="A1359" s="166" t="s">
        <v>2279</v>
      </c>
      <c r="B1359" s="166" t="s">
        <v>2280</v>
      </c>
      <c r="C1359" s="166" t="s">
        <v>2224</v>
      </c>
      <c r="D1359" s="166" t="s">
        <v>2281</v>
      </c>
      <c r="E1359" s="166" t="s">
        <v>2282</v>
      </c>
      <c r="F1359" s="167">
        <v>43678</v>
      </c>
      <c r="G1359" s="167">
        <v>44043</v>
      </c>
      <c r="H1359" s="168">
        <v>-3832.17</v>
      </c>
    </row>
    <row r="1360" spans="1:8" ht="13.7" customHeight="1" x14ac:dyDescent="0.25">
      <c r="A1360" s="166" t="s">
        <v>2279</v>
      </c>
      <c r="B1360" s="166" t="s">
        <v>2280</v>
      </c>
      <c r="C1360" s="166" t="s">
        <v>2224</v>
      </c>
      <c r="D1360" s="166" t="s">
        <v>2281</v>
      </c>
      <c r="E1360" s="166" t="s">
        <v>2282</v>
      </c>
      <c r="F1360" s="167">
        <v>43678</v>
      </c>
      <c r="G1360" s="167">
        <v>44043</v>
      </c>
      <c r="H1360" s="168">
        <v>3832.17</v>
      </c>
    </row>
    <row r="1361" spans="1:8" ht="13.7" customHeight="1" x14ac:dyDescent="0.25">
      <c r="A1361" s="166" t="s">
        <v>2279</v>
      </c>
      <c r="B1361" s="166" t="s">
        <v>2280</v>
      </c>
      <c r="C1361" s="166" t="s">
        <v>2224</v>
      </c>
      <c r="D1361" s="166" t="s">
        <v>2281</v>
      </c>
      <c r="E1361" s="166" t="s">
        <v>2282</v>
      </c>
      <c r="F1361" s="167">
        <v>43678</v>
      </c>
      <c r="G1361" s="167">
        <v>44043</v>
      </c>
      <c r="H1361" s="168">
        <v>22066</v>
      </c>
    </row>
    <row r="1362" spans="1:8" ht="13.7" customHeight="1" x14ac:dyDescent="0.25">
      <c r="A1362" s="166" t="s">
        <v>2279</v>
      </c>
      <c r="B1362" s="166" t="s">
        <v>2280</v>
      </c>
      <c r="C1362" s="166" t="s">
        <v>2224</v>
      </c>
      <c r="D1362" s="166" t="s">
        <v>2281</v>
      </c>
      <c r="E1362" s="166" t="s">
        <v>2282</v>
      </c>
      <c r="F1362" s="167">
        <v>43678</v>
      </c>
      <c r="G1362" s="167">
        <v>44043</v>
      </c>
      <c r="H1362" s="168">
        <v>17375</v>
      </c>
    </row>
    <row r="1363" spans="1:8" ht="13.7" customHeight="1" x14ac:dyDescent="0.25">
      <c r="A1363" s="166" t="s">
        <v>2283</v>
      </c>
      <c r="B1363" s="166" t="s">
        <v>2284</v>
      </c>
      <c r="C1363" s="166" t="s">
        <v>2224</v>
      </c>
      <c r="D1363" s="166" t="s">
        <v>2285</v>
      </c>
      <c r="E1363" s="166" t="s">
        <v>593</v>
      </c>
      <c r="F1363" s="167">
        <v>43344</v>
      </c>
      <c r="G1363" s="167">
        <v>44408</v>
      </c>
      <c r="H1363" s="168">
        <v>192359</v>
      </c>
    </row>
    <row r="1364" spans="1:8" ht="13.7" customHeight="1" x14ac:dyDescent="0.25">
      <c r="A1364" s="166" t="s">
        <v>2283</v>
      </c>
      <c r="B1364" s="166" t="s">
        <v>2284</v>
      </c>
      <c r="C1364" s="166" t="s">
        <v>2224</v>
      </c>
      <c r="D1364" s="166" t="s">
        <v>2285</v>
      </c>
      <c r="E1364" s="166" t="s">
        <v>593</v>
      </c>
      <c r="F1364" s="167">
        <v>43344</v>
      </c>
      <c r="G1364" s="167">
        <v>44408</v>
      </c>
      <c r="H1364" s="168">
        <v>71738</v>
      </c>
    </row>
    <row r="1365" spans="1:8" ht="13.7" customHeight="1" x14ac:dyDescent="0.25">
      <c r="A1365" s="166" t="s">
        <v>2286</v>
      </c>
      <c r="B1365" s="166" t="s">
        <v>2284</v>
      </c>
      <c r="C1365" s="166" t="s">
        <v>2224</v>
      </c>
      <c r="D1365" s="166" t="s">
        <v>2287</v>
      </c>
      <c r="E1365" s="166" t="s">
        <v>1691</v>
      </c>
      <c r="F1365" s="167">
        <v>43647</v>
      </c>
      <c r="G1365" s="167">
        <v>44012</v>
      </c>
      <c r="H1365" s="168">
        <v>92572</v>
      </c>
    </row>
    <row r="1366" spans="1:8" ht="13.7" customHeight="1" x14ac:dyDescent="0.25">
      <c r="A1366" s="166" t="s">
        <v>2288</v>
      </c>
      <c r="B1366" s="166" t="s">
        <v>2284</v>
      </c>
      <c r="C1366" s="166" t="s">
        <v>2224</v>
      </c>
      <c r="D1366" s="166" t="s">
        <v>2289</v>
      </c>
      <c r="E1366" s="166" t="s">
        <v>2290</v>
      </c>
      <c r="F1366" s="167">
        <v>43647</v>
      </c>
      <c r="G1366" s="167">
        <v>43708</v>
      </c>
      <c r="H1366" s="168">
        <v>21145</v>
      </c>
    </row>
    <row r="1367" spans="1:8" ht="13.7" customHeight="1" x14ac:dyDescent="0.25">
      <c r="A1367" s="166" t="s">
        <v>2291</v>
      </c>
      <c r="B1367" s="166" t="s">
        <v>2284</v>
      </c>
      <c r="C1367" s="166" t="s">
        <v>2224</v>
      </c>
      <c r="D1367" s="166" t="s">
        <v>2292</v>
      </c>
      <c r="E1367" s="166" t="s">
        <v>809</v>
      </c>
      <c r="F1367" s="167">
        <v>43647</v>
      </c>
      <c r="G1367" s="167">
        <v>44012</v>
      </c>
      <c r="H1367" s="168">
        <v>26252.73</v>
      </c>
    </row>
    <row r="1368" spans="1:8" ht="13.7" customHeight="1" x14ac:dyDescent="0.25">
      <c r="A1368" s="166" t="s">
        <v>2291</v>
      </c>
      <c r="B1368" s="166" t="s">
        <v>2284</v>
      </c>
      <c r="C1368" s="166" t="s">
        <v>2224</v>
      </c>
      <c r="D1368" s="166" t="s">
        <v>2292</v>
      </c>
      <c r="E1368" s="166" t="s">
        <v>809</v>
      </c>
      <c r="F1368" s="167">
        <v>43647</v>
      </c>
      <c r="G1368" s="167">
        <v>44012</v>
      </c>
      <c r="H1368" s="168">
        <v>1827.27</v>
      </c>
    </row>
    <row r="1369" spans="1:8" ht="13.7" customHeight="1" x14ac:dyDescent="0.25">
      <c r="A1369" s="166" t="s">
        <v>2293</v>
      </c>
      <c r="B1369" s="166" t="s">
        <v>2284</v>
      </c>
      <c r="C1369" s="166" t="s">
        <v>2224</v>
      </c>
      <c r="D1369" s="166" t="s">
        <v>2294</v>
      </c>
      <c r="E1369" s="166" t="s">
        <v>2295</v>
      </c>
      <c r="F1369" s="167">
        <v>43678</v>
      </c>
      <c r="G1369" s="167">
        <v>44439</v>
      </c>
      <c r="H1369" s="168">
        <v>98023</v>
      </c>
    </row>
    <row r="1370" spans="1:8" ht="13.7" customHeight="1" x14ac:dyDescent="0.25">
      <c r="A1370" s="166" t="s">
        <v>2296</v>
      </c>
      <c r="B1370" s="166" t="s">
        <v>2284</v>
      </c>
      <c r="C1370" s="166" t="s">
        <v>2224</v>
      </c>
      <c r="D1370" s="166" t="s">
        <v>2297</v>
      </c>
      <c r="E1370" s="166" t="s">
        <v>914</v>
      </c>
      <c r="F1370" s="167">
        <v>43678</v>
      </c>
      <c r="G1370" s="167">
        <v>44408</v>
      </c>
      <c r="H1370" s="168">
        <v>23204</v>
      </c>
    </row>
    <row r="1371" spans="1:8" ht="13.7" customHeight="1" x14ac:dyDescent="0.25">
      <c r="A1371" s="166" t="s">
        <v>2296</v>
      </c>
      <c r="B1371" s="166" t="s">
        <v>2284</v>
      </c>
      <c r="C1371" s="166" t="s">
        <v>2224</v>
      </c>
      <c r="D1371" s="166" t="s">
        <v>2297</v>
      </c>
      <c r="E1371" s="166" t="s">
        <v>914</v>
      </c>
      <c r="F1371" s="167">
        <v>43678</v>
      </c>
      <c r="G1371" s="167">
        <v>44408</v>
      </c>
      <c r="H1371" s="168">
        <v>23204</v>
      </c>
    </row>
    <row r="1372" spans="1:8" ht="13.7" customHeight="1" x14ac:dyDescent="0.25">
      <c r="A1372" s="166" t="s">
        <v>2298</v>
      </c>
      <c r="B1372" s="166" t="s">
        <v>2284</v>
      </c>
      <c r="C1372" s="166" t="s">
        <v>2224</v>
      </c>
      <c r="D1372" s="166" t="s">
        <v>2299</v>
      </c>
      <c r="E1372" s="166" t="s">
        <v>2300</v>
      </c>
      <c r="F1372" s="167">
        <v>43497</v>
      </c>
      <c r="G1372" s="167">
        <v>44377</v>
      </c>
      <c r="H1372" s="168">
        <v>2500</v>
      </c>
    </row>
    <row r="1373" spans="1:8" ht="13.7" customHeight="1" x14ac:dyDescent="0.25">
      <c r="A1373" s="166" t="s">
        <v>2301</v>
      </c>
      <c r="B1373" s="166" t="s">
        <v>2284</v>
      </c>
      <c r="C1373" s="166" t="s">
        <v>2224</v>
      </c>
      <c r="D1373" s="166" t="s">
        <v>2302</v>
      </c>
      <c r="E1373" s="166" t="s">
        <v>2303</v>
      </c>
      <c r="F1373" s="167">
        <v>43770</v>
      </c>
      <c r="G1373" s="167">
        <v>44135</v>
      </c>
      <c r="H1373" s="168">
        <v>27240</v>
      </c>
    </row>
    <row r="1374" spans="1:8" ht="13.7" customHeight="1" x14ac:dyDescent="0.25">
      <c r="A1374" s="166" t="s">
        <v>2304</v>
      </c>
      <c r="B1374" s="166" t="s">
        <v>2305</v>
      </c>
      <c r="C1374" s="166" t="s">
        <v>2306</v>
      </c>
      <c r="D1374" s="166" t="s">
        <v>2307</v>
      </c>
      <c r="E1374" s="166" t="s">
        <v>686</v>
      </c>
      <c r="F1374" s="167">
        <v>42046</v>
      </c>
      <c r="G1374" s="167">
        <v>44012</v>
      </c>
      <c r="H1374" s="168">
        <v>173910</v>
      </c>
    </row>
    <row r="1375" spans="1:8" ht="13.7" customHeight="1" x14ac:dyDescent="0.25">
      <c r="A1375" s="166" t="s">
        <v>2308</v>
      </c>
      <c r="B1375" s="166" t="s">
        <v>2309</v>
      </c>
      <c r="C1375" s="166" t="s">
        <v>2306</v>
      </c>
      <c r="D1375" s="166" t="s">
        <v>2310</v>
      </c>
      <c r="E1375" s="166" t="s">
        <v>1085</v>
      </c>
      <c r="F1375" s="167">
        <v>43187</v>
      </c>
      <c r="G1375" s="167">
        <v>44196</v>
      </c>
      <c r="H1375" s="168">
        <v>850</v>
      </c>
    </row>
    <row r="1376" spans="1:8" ht="13.7" customHeight="1" x14ac:dyDescent="0.25">
      <c r="A1376" s="166" t="s">
        <v>2308</v>
      </c>
      <c r="B1376" s="166" t="s">
        <v>2309</v>
      </c>
      <c r="C1376" s="166" t="s">
        <v>2306</v>
      </c>
      <c r="D1376" s="166" t="s">
        <v>2310</v>
      </c>
      <c r="E1376" s="166" t="s">
        <v>1085</v>
      </c>
      <c r="F1376" s="167">
        <v>43187</v>
      </c>
      <c r="G1376" s="167">
        <v>44196</v>
      </c>
      <c r="H1376" s="168">
        <v>5000</v>
      </c>
    </row>
    <row r="1377" spans="1:8" ht="13.7" customHeight="1" x14ac:dyDescent="0.25">
      <c r="A1377" s="166" t="s">
        <v>2311</v>
      </c>
      <c r="B1377" s="166" t="s">
        <v>2312</v>
      </c>
      <c r="C1377" s="166" t="s">
        <v>2313</v>
      </c>
      <c r="D1377" s="166" t="s">
        <v>2314</v>
      </c>
      <c r="E1377" s="166" t="s">
        <v>619</v>
      </c>
      <c r="F1377" s="167">
        <v>43759</v>
      </c>
      <c r="G1377" s="167">
        <v>43830</v>
      </c>
      <c r="H1377" s="168">
        <v>700</v>
      </c>
    </row>
    <row r="1378" spans="1:8" ht="13.7" customHeight="1" x14ac:dyDescent="0.25">
      <c r="A1378" s="166" t="s">
        <v>2311</v>
      </c>
      <c r="B1378" s="166" t="s">
        <v>2312</v>
      </c>
      <c r="C1378" s="166" t="s">
        <v>2313</v>
      </c>
      <c r="D1378" s="166" t="s">
        <v>2314</v>
      </c>
      <c r="E1378" s="166" t="s">
        <v>619</v>
      </c>
      <c r="F1378" s="167">
        <v>43759</v>
      </c>
      <c r="G1378" s="167">
        <v>43830</v>
      </c>
      <c r="H1378" s="168">
        <v>300</v>
      </c>
    </row>
    <row r="1379" spans="1:8" ht="13.7" customHeight="1" x14ac:dyDescent="0.25">
      <c r="A1379" s="166" t="s">
        <v>2315</v>
      </c>
      <c r="B1379" s="166" t="s">
        <v>2316</v>
      </c>
      <c r="C1379" s="166" t="s">
        <v>2313</v>
      </c>
      <c r="D1379" s="166" t="s">
        <v>2317</v>
      </c>
      <c r="E1379" s="166" t="s">
        <v>2318</v>
      </c>
      <c r="F1379" s="167">
        <v>43647</v>
      </c>
      <c r="G1379" s="167">
        <v>44377</v>
      </c>
      <c r="H1379" s="168">
        <v>8500</v>
      </c>
    </row>
    <row r="1380" spans="1:8" ht="13.7" customHeight="1" x14ac:dyDescent="0.25">
      <c r="A1380" s="166" t="s">
        <v>2315</v>
      </c>
      <c r="B1380" s="166" t="s">
        <v>2316</v>
      </c>
      <c r="C1380" s="166" t="s">
        <v>2313</v>
      </c>
      <c r="D1380" s="166" t="s">
        <v>2317</v>
      </c>
      <c r="E1380" s="166" t="s">
        <v>2318</v>
      </c>
      <c r="F1380" s="167">
        <v>43647</v>
      </c>
      <c r="G1380" s="167">
        <v>44377</v>
      </c>
      <c r="H1380" s="168">
        <v>16500</v>
      </c>
    </row>
    <row r="1381" spans="1:8" ht="13.7" customHeight="1" x14ac:dyDescent="0.25">
      <c r="A1381" s="166" t="s">
        <v>2319</v>
      </c>
      <c r="B1381" s="166" t="s">
        <v>2320</v>
      </c>
      <c r="C1381" s="166" t="s">
        <v>2321</v>
      </c>
      <c r="D1381" s="166" t="s">
        <v>2322</v>
      </c>
      <c r="E1381" s="166" t="s">
        <v>1673</v>
      </c>
      <c r="F1381" s="167">
        <v>43647</v>
      </c>
      <c r="G1381" s="167">
        <v>43709</v>
      </c>
      <c r="H1381" s="168">
        <v>6987</v>
      </c>
    </row>
    <row r="1382" spans="1:8" ht="13.7" customHeight="1" x14ac:dyDescent="0.25">
      <c r="A1382" s="166" t="s">
        <v>2323</v>
      </c>
      <c r="B1382" s="166" t="s">
        <v>2320</v>
      </c>
      <c r="C1382" s="166" t="s">
        <v>2321</v>
      </c>
      <c r="D1382" s="166" t="s">
        <v>2322</v>
      </c>
      <c r="E1382" s="166" t="s">
        <v>1673</v>
      </c>
      <c r="F1382" s="167">
        <v>43647</v>
      </c>
      <c r="G1382" s="167">
        <v>43709</v>
      </c>
      <c r="H1382" s="168">
        <v>2927</v>
      </c>
    </row>
    <row r="1383" spans="1:8" ht="13.7" customHeight="1" x14ac:dyDescent="0.25">
      <c r="A1383" s="166" t="s">
        <v>2324</v>
      </c>
      <c r="B1383" s="166" t="s">
        <v>2325</v>
      </c>
      <c r="C1383" s="166" t="s">
        <v>2326</v>
      </c>
      <c r="D1383" s="166" t="s">
        <v>2327</v>
      </c>
      <c r="E1383" s="166" t="s">
        <v>2328</v>
      </c>
      <c r="F1383" s="167">
        <v>42506</v>
      </c>
      <c r="G1383" s="167">
        <v>44316</v>
      </c>
      <c r="H1383" s="168">
        <v>11016</v>
      </c>
    </row>
    <row r="1384" spans="1:8" ht="13.7" customHeight="1" x14ac:dyDescent="0.25">
      <c r="A1384" s="166" t="s">
        <v>2324</v>
      </c>
      <c r="B1384" s="166" t="s">
        <v>2325</v>
      </c>
      <c r="C1384" s="166" t="s">
        <v>2326</v>
      </c>
      <c r="D1384" s="166" t="s">
        <v>2327</v>
      </c>
      <c r="E1384" s="166" t="s">
        <v>2328</v>
      </c>
      <c r="F1384" s="167">
        <v>42506</v>
      </c>
      <c r="G1384" s="167">
        <v>44316</v>
      </c>
      <c r="H1384" s="168">
        <v>11176</v>
      </c>
    </row>
    <row r="1385" spans="1:8" ht="13.7" customHeight="1" x14ac:dyDescent="0.25">
      <c r="A1385" s="166" t="s">
        <v>2329</v>
      </c>
      <c r="B1385" s="166" t="s">
        <v>2325</v>
      </c>
      <c r="C1385" s="166" t="s">
        <v>2326</v>
      </c>
      <c r="D1385" s="166" t="s">
        <v>2330</v>
      </c>
      <c r="E1385" s="166" t="s">
        <v>2331</v>
      </c>
      <c r="F1385" s="167">
        <v>43344</v>
      </c>
      <c r="G1385" s="167">
        <v>44043</v>
      </c>
      <c r="H1385" s="168">
        <v>108260</v>
      </c>
    </row>
    <row r="1386" spans="1:8" ht="13.7" customHeight="1" x14ac:dyDescent="0.25">
      <c r="A1386" s="166" t="s">
        <v>2332</v>
      </c>
      <c r="B1386" s="166" t="s">
        <v>803</v>
      </c>
      <c r="C1386" s="166" t="s">
        <v>2326</v>
      </c>
      <c r="D1386" s="166" t="s">
        <v>2333</v>
      </c>
      <c r="E1386" s="166" t="s">
        <v>809</v>
      </c>
      <c r="F1386" s="167">
        <v>43647</v>
      </c>
      <c r="G1386" s="167">
        <v>44012</v>
      </c>
      <c r="H1386" s="168">
        <v>912649</v>
      </c>
    </row>
    <row r="1387" spans="1:8" ht="13.7" customHeight="1" x14ac:dyDescent="0.25">
      <c r="A1387" s="166" t="s">
        <v>2332</v>
      </c>
      <c r="B1387" s="166" t="s">
        <v>803</v>
      </c>
      <c r="C1387" s="166" t="s">
        <v>2326</v>
      </c>
      <c r="D1387" s="166" t="s">
        <v>2333</v>
      </c>
      <c r="E1387" s="166" t="s">
        <v>809</v>
      </c>
      <c r="F1387" s="167">
        <v>43647</v>
      </c>
      <c r="G1387" s="167">
        <v>44012</v>
      </c>
      <c r="H1387" s="168">
        <v>587765</v>
      </c>
    </row>
    <row r="1388" spans="1:8" ht="13.7" customHeight="1" x14ac:dyDescent="0.25">
      <c r="A1388" s="166" t="s">
        <v>2334</v>
      </c>
      <c r="B1388" s="166" t="s">
        <v>803</v>
      </c>
      <c r="C1388" s="166" t="s">
        <v>2326</v>
      </c>
      <c r="D1388" s="166" t="s">
        <v>2335</v>
      </c>
      <c r="E1388" s="166" t="s">
        <v>809</v>
      </c>
      <c r="F1388" s="167">
        <v>43586</v>
      </c>
      <c r="G1388" s="167">
        <v>44103</v>
      </c>
      <c r="H1388" s="168">
        <v>160333</v>
      </c>
    </row>
    <row r="1389" spans="1:8" ht="13.7" customHeight="1" x14ac:dyDescent="0.25">
      <c r="A1389" s="166" t="s">
        <v>2334</v>
      </c>
      <c r="B1389" s="166" t="s">
        <v>803</v>
      </c>
      <c r="C1389" s="166" t="s">
        <v>2326</v>
      </c>
      <c r="D1389" s="166" t="s">
        <v>2335</v>
      </c>
      <c r="E1389" s="166" t="s">
        <v>809</v>
      </c>
      <c r="F1389" s="167">
        <v>43586</v>
      </c>
      <c r="G1389" s="167">
        <v>44103</v>
      </c>
      <c r="H1389" s="168">
        <v>51313</v>
      </c>
    </row>
    <row r="1390" spans="1:8" ht="13.7" customHeight="1" x14ac:dyDescent="0.25">
      <c r="A1390" s="166" t="s">
        <v>2336</v>
      </c>
      <c r="B1390" s="166" t="s">
        <v>803</v>
      </c>
      <c r="C1390" s="166" t="s">
        <v>2326</v>
      </c>
      <c r="D1390" s="166" t="s">
        <v>2337</v>
      </c>
      <c r="E1390" s="166" t="s">
        <v>809</v>
      </c>
      <c r="F1390" s="167">
        <v>43647</v>
      </c>
      <c r="G1390" s="167">
        <v>44103</v>
      </c>
      <c r="H1390" s="168">
        <v>888000</v>
      </c>
    </row>
    <row r="1391" spans="1:8" ht="13.7" customHeight="1" x14ac:dyDescent="0.25">
      <c r="A1391" s="166" t="s">
        <v>2338</v>
      </c>
      <c r="B1391" s="166" t="s">
        <v>803</v>
      </c>
      <c r="C1391" s="166" t="s">
        <v>2326</v>
      </c>
      <c r="D1391" s="166" t="s">
        <v>2339</v>
      </c>
      <c r="E1391" s="166" t="s">
        <v>1295</v>
      </c>
      <c r="F1391" s="167">
        <v>43633</v>
      </c>
      <c r="G1391" s="167">
        <v>43999</v>
      </c>
      <c r="H1391" s="168">
        <v>3400</v>
      </c>
    </row>
    <row r="1392" spans="1:8" ht="13.7" customHeight="1" x14ac:dyDescent="0.25">
      <c r="A1392" s="166" t="s">
        <v>2338</v>
      </c>
      <c r="B1392" s="166" t="s">
        <v>803</v>
      </c>
      <c r="C1392" s="166" t="s">
        <v>2326</v>
      </c>
      <c r="D1392" s="166" t="s">
        <v>2339</v>
      </c>
      <c r="E1392" s="166" t="s">
        <v>1295</v>
      </c>
      <c r="F1392" s="167">
        <v>43633</v>
      </c>
      <c r="G1392" s="167">
        <v>43999</v>
      </c>
      <c r="H1392" s="168">
        <v>1600</v>
      </c>
    </row>
    <row r="1393" spans="1:8" ht="13.7" customHeight="1" x14ac:dyDescent="0.25">
      <c r="A1393" s="166" t="s">
        <v>2340</v>
      </c>
      <c r="B1393" s="166" t="s">
        <v>803</v>
      </c>
      <c r="C1393" s="166" t="s">
        <v>2326</v>
      </c>
      <c r="D1393" s="166" t="s">
        <v>2341</v>
      </c>
      <c r="E1393" s="166" t="s">
        <v>1884</v>
      </c>
      <c r="F1393" s="167">
        <v>43784</v>
      </c>
      <c r="G1393" s="167">
        <v>44227</v>
      </c>
      <c r="H1393" s="168">
        <v>210000</v>
      </c>
    </row>
    <row r="1394" spans="1:8" ht="13.7" customHeight="1" x14ac:dyDescent="0.25">
      <c r="A1394" s="166" t="s">
        <v>2342</v>
      </c>
      <c r="B1394" s="166" t="s">
        <v>2343</v>
      </c>
      <c r="C1394" s="166" t="s">
        <v>2326</v>
      </c>
      <c r="D1394" s="166" t="s">
        <v>2344</v>
      </c>
      <c r="E1394" s="166" t="s">
        <v>1892</v>
      </c>
      <c r="F1394" s="167">
        <v>43373</v>
      </c>
      <c r="G1394" s="167">
        <v>44468</v>
      </c>
      <c r="H1394" s="168">
        <v>69492</v>
      </c>
    </row>
    <row r="1395" spans="1:8" ht="13.7" customHeight="1" x14ac:dyDescent="0.25">
      <c r="A1395" s="166" t="s">
        <v>2342</v>
      </c>
      <c r="B1395" s="166" t="s">
        <v>2343</v>
      </c>
      <c r="C1395" s="166" t="s">
        <v>2326</v>
      </c>
      <c r="D1395" s="166" t="s">
        <v>2344</v>
      </c>
      <c r="E1395" s="166" t="s">
        <v>1892</v>
      </c>
      <c r="F1395" s="167">
        <v>43373</v>
      </c>
      <c r="G1395" s="167">
        <v>44468</v>
      </c>
      <c r="H1395" s="168">
        <v>53708</v>
      </c>
    </row>
    <row r="1396" spans="1:8" ht="13.7" customHeight="1" x14ac:dyDescent="0.25">
      <c r="A1396" s="166" t="s">
        <v>2342</v>
      </c>
      <c r="B1396" s="166" t="s">
        <v>2343</v>
      </c>
      <c r="C1396" s="166" t="s">
        <v>2326</v>
      </c>
      <c r="D1396" s="166" t="s">
        <v>2344</v>
      </c>
      <c r="E1396" s="166" t="s">
        <v>1892</v>
      </c>
      <c r="F1396" s="167">
        <v>43373</v>
      </c>
      <c r="G1396" s="167">
        <v>44468</v>
      </c>
      <c r="H1396" s="168">
        <v>21413</v>
      </c>
    </row>
    <row r="1397" spans="1:8" ht="13.7" customHeight="1" x14ac:dyDescent="0.25">
      <c r="A1397" s="166" t="s">
        <v>2342</v>
      </c>
      <c r="B1397" s="166" t="s">
        <v>2343</v>
      </c>
      <c r="C1397" s="166" t="s">
        <v>2326</v>
      </c>
      <c r="D1397" s="166" t="s">
        <v>2344</v>
      </c>
      <c r="E1397" s="166" t="s">
        <v>1892</v>
      </c>
      <c r="F1397" s="167">
        <v>43373</v>
      </c>
      <c r="G1397" s="167">
        <v>44468</v>
      </c>
      <c r="H1397" s="168">
        <v>-21413</v>
      </c>
    </row>
    <row r="1398" spans="1:8" ht="13.7" customHeight="1" x14ac:dyDescent="0.25">
      <c r="A1398" s="166" t="s">
        <v>2345</v>
      </c>
      <c r="B1398" s="166" t="s">
        <v>2346</v>
      </c>
      <c r="C1398" s="166" t="s">
        <v>2326</v>
      </c>
      <c r="D1398" s="166" t="s">
        <v>2347</v>
      </c>
      <c r="E1398" s="166" t="s">
        <v>2348</v>
      </c>
      <c r="F1398" s="167">
        <v>43617</v>
      </c>
      <c r="G1398" s="167">
        <v>43723</v>
      </c>
      <c r="H1398" s="168">
        <v>12770.5</v>
      </c>
    </row>
    <row r="1399" spans="1:8" ht="13.7" customHeight="1" x14ac:dyDescent="0.25">
      <c r="A1399" s="166" t="s">
        <v>2349</v>
      </c>
      <c r="B1399" s="166" t="s">
        <v>2346</v>
      </c>
      <c r="C1399" s="166" t="s">
        <v>2326</v>
      </c>
      <c r="D1399" s="166" t="s">
        <v>2350</v>
      </c>
      <c r="E1399" s="166" t="s">
        <v>2351</v>
      </c>
      <c r="F1399" s="167">
        <v>43617</v>
      </c>
      <c r="G1399" s="167">
        <v>44377</v>
      </c>
      <c r="H1399" s="168">
        <v>2960</v>
      </c>
    </row>
    <row r="1400" spans="1:8" ht="13.7" customHeight="1" x14ac:dyDescent="0.25">
      <c r="A1400" s="166" t="s">
        <v>2349</v>
      </c>
      <c r="B1400" s="166" t="s">
        <v>2346</v>
      </c>
      <c r="C1400" s="166" t="s">
        <v>2326</v>
      </c>
      <c r="D1400" s="166" t="s">
        <v>2350</v>
      </c>
      <c r="E1400" s="166" t="s">
        <v>2351</v>
      </c>
      <c r="F1400" s="167">
        <v>43617</v>
      </c>
      <c r="G1400" s="167">
        <v>44377</v>
      </c>
      <c r="H1400" s="168">
        <v>29598</v>
      </c>
    </row>
    <row r="1401" spans="1:8" ht="13.7" customHeight="1" x14ac:dyDescent="0.25">
      <c r="A1401" s="166" t="s">
        <v>2352</v>
      </c>
      <c r="B1401" s="166" t="s">
        <v>2353</v>
      </c>
      <c r="C1401" s="166" t="s">
        <v>2354</v>
      </c>
      <c r="D1401" s="166" t="s">
        <v>2355</v>
      </c>
      <c r="E1401" s="166" t="s">
        <v>2356</v>
      </c>
      <c r="F1401" s="167">
        <v>43709</v>
      </c>
      <c r="G1401" s="167">
        <v>44074</v>
      </c>
      <c r="H1401" s="168">
        <v>79300</v>
      </c>
    </row>
    <row r="1402" spans="1:8" ht="13.7" customHeight="1" x14ac:dyDescent="0.25">
      <c r="A1402" s="166" t="s">
        <v>2357</v>
      </c>
      <c r="B1402" s="166" t="s">
        <v>2325</v>
      </c>
      <c r="C1402" s="166" t="s">
        <v>2358</v>
      </c>
      <c r="D1402" s="166" t="s">
        <v>2359</v>
      </c>
      <c r="E1402" s="166" t="s">
        <v>1196</v>
      </c>
      <c r="F1402" s="167">
        <v>43282</v>
      </c>
      <c r="G1402" s="167">
        <v>43646</v>
      </c>
      <c r="H1402" s="168">
        <v>-43568.25</v>
      </c>
    </row>
    <row r="1403" spans="1:8" ht="13.7" customHeight="1" x14ac:dyDescent="0.25">
      <c r="A1403" s="166" t="s">
        <v>2357</v>
      </c>
      <c r="B1403" s="166" t="s">
        <v>2325</v>
      </c>
      <c r="C1403" s="166" t="s">
        <v>2358</v>
      </c>
      <c r="D1403" s="166" t="s">
        <v>2359</v>
      </c>
      <c r="E1403" s="166" t="s">
        <v>1196</v>
      </c>
      <c r="F1403" s="167">
        <v>43282</v>
      </c>
      <c r="G1403" s="167">
        <v>43646</v>
      </c>
      <c r="H1403" s="168">
        <v>-46718.55</v>
      </c>
    </row>
    <row r="1404" spans="1:8" ht="13.7" customHeight="1" x14ac:dyDescent="0.25">
      <c r="A1404" s="166" t="s">
        <v>2357</v>
      </c>
      <c r="B1404" s="166" t="s">
        <v>2325</v>
      </c>
      <c r="C1404" s="166" t="s">
        <v>2358</v>
      </c>
      <c r="D1404" s="166" t="s">
        <v>2359</v>
      </c>
      <c r="E1404" s="166" t="s">
        <v>1196</v>
      </c>
      <c r="F1404" s="167">
        <v>43282</v>
      </c>
      <c r="G1404" s="167">
        <v>43646</v>
      </c>
      <c r="H1404" s="168">
        <v>21174.49</v>
      </c>
    </row>
    <row r="1405" spans="1:8" ht="13.7" customHeight="1" x14ac:dyDescent="0.25">
      <c r="A1405" s="166" t="s">
        <v>2357</v>
      </c>
      <c r="B1405" s="166" t="s">
        <v>2325</v>
      </c>
      <c r="C1405" s="166" t="s">
        <v>2358</v>
      </c>
      <c r="D1405" s="166" t="s">
        <v>2359</v>
      </c>
      <c r="E1405" s="166" t="s">
        <v>1196</v>
      </c>
      <c r="F1405" s="167">
        <v>43282</v>
      </c>
      <c r="G1405" s="167">
        <v>43646</v>
      </c>
      <c r="H1405" s="168">
        <v>-1554.69</v>
      </c>
    </row>
    <row r="1406" spans="1:8" ht="13.7" customHeight="1" x14ac:dyDescent="0.25">
      <c r="A1406" s="166" t="s">
        <v>2360</v>
      </c>
      <c r="B1406" s="166" t="s">
        <v>2325</v>
      </c>
      <c r="C1406" s="166" t="s">
        <v>2358</v>
      </c>
      <c r="D1406" s="166" t="s">
        <v>2361</v>
      </c>
      <c r="E1406" s="166" t="s">
        <v>1196</v>
      </c>
      <c r="F1406" s="167">
        <v>43647</v>
      </c>
      <c r="G1406" s="167">
        <v>44012</v>
      </c>
      <c r="H1406" s="168">
        <v>582700</v>
      </c>
    </row>
    <row r="1407" spans="1:8" ht="13.7" customHeight="1" x14ac:dyDescent="0.25">
      <c r="A1407" s="166" t="s">
        <v>2360</v>
      </c>
      <c r="B1407" s="166" t="s">
        <v>2325</v>
      </c>
      <c r="C1407" s="166" t="s">
        <v>2358</v>
      </c>
      <c r="D1407" s="166" t="s">
        <v>2361</v>
      </c>
      <c r="E1407" s="166" t="s">
        <v>1196</v>
      </c>
      <c r="F1407" s="167">
        <v>43647</v>
      </c>
      <c r="G1407" s="167">
        <v>44012</v>
      </c>
      <c r="H1407" s="168">
        <v>167300</v>
      </c>
    </row>
    <row r="1408" spans="1:8" ht="13.7" customHeight="1" x14ac:dyDescent="0.25">
      <c r="A1408" s="166" t="s">
        <v>2360</v>
      </c>
      <c r="B1408" s="166" t="s">
        <v>2325</v>
      </c>
      <c r="C1408" s="166" t="s">
        <v>2358</v>
      </c>
      <c r="D1408" s="166" t="s">
        <v>2361</v>
      </c>
      <c r="E1408" s="166" t="s">
        <v>1196</v>
      </c>
      <c r="F1408" s="167">
        <v>43647</v>
      </c>
      <c r="G1408" s="167">
        <v>44012</v>
      </c>
      <c r="H1408" s="168">
        <v>26196</v>
      </c>
    </row>
    <row r="1409" spans="1:8" ht="13.7" customHeight="1" x14ac:dyDescent="0.25">
      <c r="A1409" s="166" t="s">
        <v>2360</v>
      </c>
      <c r="B1409" s="166" t="s">
        <v>2325</v>
      </c>
      <c r="C1409" s="166" t="s">
        <v>2358</v>
      </c>
      <c r="D1409" s="166" t="s">
        <v>2361</v>
      </c>
      <c r="E1409" s="166" t="s">
        <v>1196</v>
      </c>
      <c r="F1409" s="167">
        <v>43647</v>
      </c>
      <c r="G1409" s="167">
        <v>44012</v>
      </c>
      <c r="H1409" s="168">
        <v>44471</v>
      </c>
    </row>
    <row r="1410" spans="1:8" ht="13.7" customHeight="1" x14ac:dyDescent="0.25">
      <c r="A1410" s="166" t="s">
        <v>2362</v>
      </c>
      <c r="B1410" s="166" t="s">
        <v>1193</v>
      </c>
      <c r="C1410" s="166" t="s">
        <v>2358</v>
      </c>
      <c r="D1410" s="166" t="s">
        <v>1195</v>
      </c>
      <c r="E1410" s="166" t="s">
        <v>1196</v>
      </c>
      <c r="F1410" s="167">
        <v>43008</v>
      </c>
      <c r="G1410" s="167">
        <v>44439</v>
      </c>
      <c r="H1410" s="168">
        <v>281622</v>
      </c>
    </row>
    <row r="1411" spans="1:8" ht="13.7" customHeight="1" x14ac:dyDescent="0.25">
      <c r="A1411" s="166" t="s">
        <v>2362</v>
      </c>
      <c r="B1411" s="166" t="s">
        <v>1193</v>
      </c>
      <c r="C1411" s="166" t="s">
        <v>2358</v>
      </c>
      <c r="D1411" s="166" t="s">
        <v>1195</v>
      </c>
      <c r="E1411" s="166" t="s">
        <v>1196</v>
      </c>
      <c r="F1411" s="167">
        <v>43008</v>
      </c>
      <c r="G1411" s="167">
        <v>44439</v>
      </c>
      <c r="H1411" s="168">
        <v>-62639</v>
      </c>
    </row>
    <row r="1412" spans="1:8" ht="13.7" customHeight="1" x14ac:dyDescent="0.25">
      <c r="A1412" s="166" t="s">
        <v>2363</v>
      </c>
      <c r="B1412" s="166" t="s">
        <v>2364</v>
      </c>
      <c r="C1412" s="166" t="s">
        <v>2358</v>
      </c>
      <c r="D1412" s="166" t="s">
        <v>2365</v>
      </c>
      <c r="E1412" s="166" t="s">
        <v>2264</v>
      </c>
      <c r="F1412" s="167">
        <v>43891</v>
      </c>
      <c r="G1412" s="167">
        <v>44255</v>
      </c>
      <c r="H1412" s="168">
        <v>41337</v>
      </c>
    </row>
    <row r="1413" spans="1:8" ht="13.7" customHeight="1" x14ac:dyDescent="0.25">
      <c r="A1413" s="166" t="s">
        <v>2366</v>
      </c>
      <c r="B1413" s="166" t="s">
        <v>1476</v>
      </c>
      <c r="C1413" s="166" t="s">
        <v>2358</v>
      </c>
      <c r="D1413" s="166" t="s">
        <v>2367</v>
      </c>
      <c r="E1413" s="166" t="s">
        <v>582</v>
      </c>
      <c r="F1413" s="167">
        <v>42248</v>
      </c>
      <c r="G1413" s="167">
        <v>44074</v>
      </c>
      <c r="H1413" s="168">
        <v>174514</v>
      </c>
    </row>
    <row r="1414" spans="1:8" ht="13.7" customHeight="1" x14ac:dyDescent="0.25">
      <c r="A1414" s="166" t="s">
        <v>2368</v>
      </c>
      <c r="B1414" s="166" t="s">
        <v>2369</v>
      </c>
      <c r="C1414" s="166" t="s">
        <v>2358</v>
      </c>
      <c r="D1414" s="166" t="s">
        <v>2370</v>
      </c>
      <c r="E1414" s="166" t="s">
        <v>1196</v>
      </c>
      <c r="F1414" s="167">
        <v>43344</v>
      </c>
      <c r="G1414" s="167">
        <v>43708</v>
      </c>
      <c r="H1414" s="168">
        <v>-135945.97</v>
      </c>
    </row>
    <row r="1415" spans="1:8" ht="13.7" customHeight="1" x14ac:dyDescent="0.25">
      <c r="A1415" s="166" t="s">
        <v>2371</v>
      </c>
      <c r="B1415" s="166" t="s">
        <v>2369</v>
      </c>
      <c r="C1415" s="166" t="s">
        <v>2358</v>
      </c>
      <c r="D1415" s="166" t="s">
        <v>2370</v>
      </c>
      <c r="E1415" s="166" t="s">
        <v>1196</v>
      </c>
      <c r="F1415" s="167">
        <v>43344</v>
      </c>
      <c r="G1415" s="167">
        <v>43708</v>
      </c>
      <c r="H1415" s="168">
        <v>-4650.03</v>
      </c>
    </row>
    <row r="1416" spans="1:8" ht="13.7" customHeight="1" x14ac:dyDescent="0.25">
      <c r="A1416" s="166" t="s">
        <v>2372</v>
      </c>
      <c r="B1416" s="166" t="s">
        <v>2369</v>
      </c>
      <c r="C1416" s="166" t="s">
        <v>2358</v>
      </c>
      <c r="D1416" s="166" t="s">
        <v>2370</v>
      </c>
      <c r="E1416" s="166" t="s">
        <v>1196</v>
      </c>
      <c r="F1416" s="167">
        <v>43709</v>
      </c>
      <c r="G1416" s="167">
        <v>44074</v>
      </c>
      <c r="H1416" s="168">
        <v>-5100</v>
      </c>
    </row>
    <row r="1417" spans="1:8" ht="13.7" customHeight="1" x14ac:dyDescent="0.25">
      <c r="A1417" s="166" t="s">
        <v>2372</v>
      </c>
      <c r="B1417" s="166" t="s">
        <v>2369</v>
      </c>
      <c r="C1417" s="166" t="s">
        <v>2358</v>
      </c>
      <c r="D1417" s="166" t="s">
        <v>2370</v>
      </c>
      <c r="E1417" s="166" t="s">
        <v>1196</v>
      </c>
      <c r="F1417" s="167">
        <v>43709</v>
      </c>
      <c r="G1417" s="167">
        <v>44074</v>
      </c>
      <c r="H1417" s="168">
        <v>36677</v>
      </c>
    </row>
    <row r="1418" spans="1:8" ht="13.7" customHeight="1" x14ac:dyDescent="0.25">
      <c r="A1418" s="166" t="s">
        <v>2372</v>
      </c>
      <c r="B1418" s="166" t="s">
        <v>2369</v>
      </c>
      <c r="C1418" s="166" t="s">
        <v>2358</v>
      </c>
      <c r="D1418" s="166" t="s">
        <v>2370</v>
      </c>
      <c r="E1418" s="166" t="s">
        <v>1196</v>
      </c>
      <c r="F1418" s="167">
        <v>43709</v>
      </c>
      <c r="G1418" s="167">
        <v>44074</v>
      </c>
      <c r="H1418" s="168">
        <v>2934</v>
      </c>
    </row>
    <row r="1419" spans="1:8" ht="13.7" customHeight="1" x14ac:dyDescent="0.25">
      <c r="A1419" s="166" t="s">
        <v>2372</v>
      </c>
      <c r="B1419" s="166" t="s">
        <v>2369</v>
      </c>
      <c r="C1419" s="166" t="s">
        <v>2358</v>
      </c>
      <c r="D1419" s="166" t="s">
        <v>2370</v>
      </c>
      <c r="E1419" s="166" t="s">
        <v>1196</v>
      </c>
      <c r="F1419" s="167">
        <v>43709</v>
      </c>
      <c r="G1419" s="167">
        <v>44074</v>
      </c>
      <c r="H1419" s="168">
        <v>510575</v>
      </c>
    </row>
    <row r="1420" spans="1:8" ht="13.7" customHeight="1" x14ac:dyDescent="0.25">
      <c r="A1420" s="166" t="s">
        <v>2373</v>
      </c>
      <c r="B1420" s="166" t="s">
        <v>2369</v>
      </c>
      <c r="C1420" s="166" t="s">
        <v>2358</v>
      </c>
      <c r="D1420" s="166" t="s">
        <v>2370</v>
      </c>
      <c r="E1420" s="166" t="s">
        <v>1196</v>
      </c>
      <c r="F1420" s="167">
        <v>43709</v>
      </c>
      <c r="G1420" s="167">
        <v>44074</v>
      </c>
      <c r="H1420" s="168">
        <v>5100</v>
      </c>
    </row>
    <row r="1421" spans="1:8" ht="13.7" customHeight="1" x14ac:dyDescent="0.25">
      <c r="A1421" s="166" t="s">
        <v>2373</v>
      </c>
      <c r="B1421" s="166" t="s">
        <v>2369</v>
      </c>
      <c r="C1421" s="166" t="s">
        <v>2358</v>
      </c>
      <c r="D1421" s="166" t="s">
        <v>2370</v>
      </c>
      <c r="E1421" s="166" t="s">
        <v>1196</v>
      </c>
      <c r="F1421" s="167">
        <v>43709</v>
      </c>
      <c r="G1421" s="167">
        <v>44074</v>
      </c>
      <c r="H1421" s="168">
        <v>100985</v>
      </c>
    </row>
    <row r="1422" spans="1:8" ht="13.7" customHeight="1" x14ac:dyDescent="0.25">
      <c r="A1422" s="166" t="s">
        <v>2373</v>
      </c>
      <c r="B1422" s="166" t="s">
        <v>2369</v>
      </c>
      <c r="C1422" s="166" t="s">
        <v>2358</v>
      </c>
      <c r="D1422" s="166" t="s">
        <v>2370</v>
      </c>
      <c r="E1422" s="166" t="s">
        <v>1196</v>
      </c>
      <c r="F1422" s="167">
        <v>43709</v>
      </c>
      <c r="G1422" s="167">
        <v>44074</v>
      </c>
      <c r="H1422" s="168">
        <v>72889</v>
      </c>
    </row>
    <row r="1423" spans="1:8" ht="13.7" customHeight="1" x14ac:dyDescent="0.25">
      <c r="A1423" s="166" t="s">
        <v>2374</v>
      </c>
      <c r="B1423" s="166" t="s">
        <v>2375</v>
      </c>
      <c r="C1423" s="166" t="s">
        <v>2358</v>
      </c>
      <c r="D1423" s="166" t="s">
        <v>2376</v>
      </c>
      <c r="E1423" s="166" t="s">
        <v>1196</v>
      </c>
      <c r="F1423" s="167">
        <v>44013</v>
      </c>
      <c r="G1423" s="167">
        <v>44377</v>
      </c>
      <c r="H1423" s="168">
        <v>40741</v>
      </c>
    </row>
    <row r="1424" spans="1:8" ht="13.7" customHeight="1" x14ac:dyDescent="0.25">
      <c r="A1424" s="166" t="s">
        <v>2374</v>
      </c>
      <c r="B1424" s="166" t="s">
        <v>2375</v>
      </c>
      <c r="C1424" s="166" t="s">
        <v>2358</v>
      </c>
      <c r="D1424" s="166" t="s">
        <v>2376</v>
      </c>
      <c r="E1424" s="166" t="s">
        <v>1196</v>
      </c>
      <c r="F1424" s="167">
        <v>44013</v>
      </c>
      <c r="G1424" s="167">
        <v>44377</v>
      </c>
      <c r="H1424" s="168">
        <v>714259</v>
      </c>
    </row>
    <row r="1425" spans="1:8" ht="13.7" customHeight="1" x14ac:dyDescent="0.25">
      <c r="A1425" s="166" t="s">
        <v>2377</v>
      </c>
      <c r="B1425" s="166" t="s">
        <v>2378</v>
      </c>
      <c r="C1425" s="166" t="s">
        <v>2358</v>
      </c>
      <c r="D1425" s="166" t="s">
        <v>2379</v>
      </c>
      <c r="E1425" s="166" t="s">
        <v>664</v>
      </c>
      <c r="F1425" s="167">
        <v>43678</v>
      </c>
      <c r="G1425" s="167">
        <v>44408</v>
      </c>
      <c r="H1425" s="168">
        <v>0</v>
      </c>
    </row>
    <row r="1426" spans="1:8" ht="13.7" customHeight="1" x14ac:dyDescent="0.25">
      <c r="A1426" s="166" t="s">
        <v>2377</v>
      </c>
      <c r="B1426" s="166" t="s">
        <v>2378</v>
      </c>
      <c r="C1426" s="166" t="s">
        <v>2358</v>
      </c>
      <c r="D1426" s="166" t="s">
        <v>2379</v>
      </c>
      <c r="E1426" s="166" t="s">
        <v>664</v>
      </c>
      <c r="F1426" s="167">
        <v>43678</v>
      </c>
      <c r="G1426" s="167">
        <v>44408</v>
      </c>
      <c r="H1426" s="168">
        <v>-3000</v>
      </c>
    </row>
    <row r="1427" spans="1:8" ht="13.7" customHeight="1" x14ac:dyDescent="0.25">
      <c r="A1427" s="166" t="s">
        <v>2377</v>
      </c>
      <c r="B1427" s="166" t="s">
        <v>2378</v>
      </c>
      <c r="C1427" s="166" t="s">
        <v>2358</v>
      </c>
      <c r="D1427" s="166" t="s">
        <v>2379</v>
      </c>
      <c r="E1427" s="166" t="s">
        <v>664</v>
      </c>
      <c r="F1427" s="167">
        <v>43678</v>
      </c>
      <c r="G1427" s="167">
        <v>44408</v>
      </c>
      <c r="H1427" s="168">
        <v>3000</v>
      </c>
    </row>
    <row r="1428" spans="1:8" ht="13.7" customHeight="1" x14ac:dyDescent="0.25">
      <c r="A1428" s="166" t="s">
        <v>2377</v>
      </c>
      <c r="B1428" s="166" t="s">
        <v>2378</v>
      </c>
      <c r="C1428" s="166" t="s">
        <v>2358</v>
      </c>
      <c r="D1428" s="166" t="s">
        <v>2379</v>
      </c>
      <c r="E1428" s="166" t="s">
        <v>664</v>
      </c>
      <c r="F1428" s="167">
        <v>43678</v>
      </c>
      <c r="G1428" s="167">
        <v>44408</v>
      </c>
      <c r="H1428" s="168">
        <v>95967</v>
      </c>
    </row>
    <row r="1429" spans="1:8" ht="13.7" customHeight="1" x14ac:dyDescent="0.25">
      <c r="A1429" s="166" t="s">
        <v>2380</v>
      </c>
      <c r="B1429" s="166" t="s">
        <v>1493</v>
      </c>
      <c r="C1429" s="166" t="s">
        <v>2358</v>
      </c>
      <c r="D1429" s="166" t="s">
        <v>1494</v>
      </c>
      <c r="E1429" s="166" t="s">
        <v>1196</v>
      </c>
      <c r="F1429" s="167">
        <v>42917</v>
      </c>
      <c r="G1429" s="167">
        <v>43281</v>
      </c>
      <c r="H1429" s="168">
        <v>-42041.5</v>
      </c>
    </row>
    <row r="1430" spans="1:8" ht="13.7" customHeight="1" x14ac:dyDescent="0.25">
      <c r="A1430" s="166" t="s">
        <v>2380</v>
      </c>
      <c r="B1430" s="166" t="s">
        <v>1493</v>
      </c>
      <c r="C1430" s="166" t="s">
        <v>2358</v>
      </c>
      <c r="D1430" s="166" t="s">
        <v>1494</v>
      </c>
      <c r="E1430" s="166" t="s">
        <v>1196</v>
      </c>
      <c r="F1430" s="167">
        <v>42917</v>
      </c>
      <c r="G1430" s="167">
        <v>43281</v>
      </c>
      <c r="H1430" s="168">
        <v>29007.19</v>
      </c>
    </row>
    <row r="1431" spans="1:8" ht="13.7" customHeight="1" x14ac:dyDescent="0.25">
      <c r="A1431" s="166" t="s">
        <v>2380</v>
      </c>
      <c r="B1431" s="166" t="s">
        <v>1493</v>
      </c>
      <c r="C1431" s="166" t="s">
        <v>2358</v>
      </c>
      <c r="D1431" s="166" t="s">
        <v>1494</v>
      </c>
      <c r="E1431" s="166" t="s">
        <v>1196</v>
      </c>
      <c r="F1431" s="167">
        <v>42917</v>
      </c>
      <c r="G1431" s="167">
        <v>43281</v>
      </c>
      <c r="H1431" s="168">
        <v>-5122.45</v>
      </c>
    </row>
    <row r="1432" spans="1:8" ht="13.7" customHeight="1" x14ac:dyDescent="0.25">
      <c r="A1432" s="166" t="s">
        <v>2381</v>
      </c>
      <c r="B1432" s="166" t="s">
        <v>1493</v>
      </c>
      <c r="C1432" s="166" t="s">
        <v>2358</v>
      </c>
      <c r="D1432" s="166" t="s">
        <v>1494</v>
      </c>
      <c r="E1432" s="166" t="s">
        <v>1196</v>
      </c>
      <c r="F1432" s="167">
        <v>42552</v>
      </c>
      <c r="G1432" s="167">
        <v>42916</v>
      </c>
      <c r="H1432" s="168">
        <v>0.64</v>
      </c>
    </row>
    <row r="1433" spans="1:8" ht="13.7" customHeight="1" x14ac:dyDescent="0.25">
      <c r="A1433" s="166" t="s">
        <v>2381</v>
      </c>
      <c r="B1433" s="166" t="s">
        <v>1493</v>
      </c>
      <c r="C1433" s="166" t="s">
        <v>2358</v>
      </c>
      <c r="D1433" s="166" t="s">
        <v>1494</v>
      </c>
      <c r="E1433" s="166" t="s">
        <v>1196</v>
      </c>
      <c r="F1433" s="167">
        <v>42552</v>
      </c>
      <c r="G1433" s="167">
        <v>42916</v>
      </c>
      <c r="H1433" s="168">
        <v>286.86</v>
      </c>
    </row>
    <row r="1434" spans="1:8" ht="13.7" customHeight="1" x14ac:dyDescent="0.25">
      <c r="A1434" s="166" t="s">
        <v>2382</v>
      </c>
      <c r="B1434" s="166" t="s">
        <v>803</v>
      </c>
      <c r="C1434" s="166" t="s">
        <v>2358</v>
      </c>
      <c r="D1434" s="166" t="s">
        <v>2383</v>
      </c>
      <c r="E1434" s="166" t="s">
        <v>1884</v>
      </c>
      <c r="F1434" s="167">
        <v>43416</v>
      </c>
      <c r="G1434" s="167">
        <v>43982</v>
      </c>
      <c r="H1434" s="168">
        <v>0</v>
      </c>
    </row>
    <row r="1435" spans="1:8" ht="13.7" customHeight="1" x14ac:dyDescent="0.25">
      <c r="A1435" s="166" t="s">
        <v>2384</v>
      </c>
      <c r="B1435" s="166" t="s">
        <v>2385</v>
      </c>
      <c r="C1435" s="166" t="s">
        <v>2386</v>
      </c>
      <c r="D1435" s="166" t="s">
        <v>2387</v>
      </c>
      <c r="E1435" s="166" t="s">
        <v>0</v>
      </c>
      <c r="F1435" s="167">
        <v>43952</v>
      </c>
      <c r="G1435" s="167">
        <v>44439</v>
      </c>
      <c r="H1435" s="168">
        <v>3869</v>
      </c>
    </row>
    <row r="1436" spans="1:8" ht="13.7" customHeight="1" x14ac:dyDescent="0.25">
      <c r="A1436" s="166" t="s">
        <v>2384</v>
      </c>
      <c r="B1436" s="166" t="s">
        <v>2385</v>
      </c>
      <c r="C1436" s="166" t="s">
        <v>2386</v>
      </c>
      <c r="D1436" s="166" t="s">
        <v>2387</v>
      </c>
      <c r="E1436" s="166" t="s">
        <v>0</v>
      </c>
      <c r="F1436" s="167">
        <v>43952</v>
      </c>
      <c r="G1436" s="167">
        <v>44439</v>
      </c>
      <c r="H1436" s="168">
        <v>1131</v>
      </c>
    </row>
    <row r="1437" spans="1:8" ht="13.7" customHeight="1" x14ac:dyDescent="0.25">
      <c r="A1437" s="166" t="s">
        <v>2388</v>
      </c>
      <c r="B1437" s="166" t="s">
        <v>2389</v>
      </c>
      <c r="C1437" s="166" t="s">
        <v>2390</v>
      </c>
      <c r="D1437" s="166" t="s">
        <v>2391</v>
      </c>
      <c r="E1437" s="166" t="s">
        <v>2392</v>
      </c>
      <c r="F1437" s="167">
        <v>43374</v>
      </c>
      <c r="G1437" s="167">
        <v>44286</v>
      </c>
      <c r="H1437" s="168">
        <v>198274</v>
      </c>
    </row>
    <row r="1438" spans="1:8" ht="13.7" customHeight="1" x14ac:dyDescent="0.25">
      <c r="A1438" s="166" t="s">
        <v>2393</v>
      </c>
      <c r="B1438" s="166" t="s">
        <v>2389</v>
      </c>
      <c r="C1438" s="166" t="s">
        <v>2390</v>
      </c>
      <c r="D1438" s="166" t="s">
        <v>2394</v>
      </c>
      <c r="E1438" s="166" t="s">
        <v>2395</v>
      </c>
      <c r="F1438" s="167">
        <v>43891</v>
      </c>
      <c r="G1438" s="167">
        <v>44228</v>
      </c>
      <c r="H1438" s="168">
        <v>10000</v>
      </c>
    </row>
    <row r="1439" spans="1:8" ht="13.7" customHeight="1" x14ac:dyDescent="0.25">
      <c r="A1439" s="166" t="s">
        <v>2393</v>
      </c>
      <c r="B1439" s="166" t="s">
        <v>2389</v>
      </c>
      <c r="C1439" s="166" t="s">
        <v>2390</v>
      </c>
      <c r="D1439" s="166" t="s">
        <v>2394</v>
      </c>
      <c r="E1439" s="166" t="s">
        <v>2395</v>
      </c>
      <c r="F1439" s="167">
        <v>43891</v>
      </c>
      <c r="G1439" s="167">
        <v>44228</v>
      </c>
      <c r="H1439" s="168">
        <v>40000</v>
      </c>
    </row>
    <row r="1440" spans="1:8" ht="13.7" customHeight="1" x14ac:dyDescent="0.25">
      <c r="A1440" s="166" t="s">
        <v>2396</v>
      </c>
      <c r="B1440" s="166" t="s">
        <v>1824</v>
      </c>
      <c r="C1440" s="166" t="s">
        <v>2397</v>
      </c>
      <c r="D1440" s="166" t="s">
        <v>2398</v>
      </c>
      <c r="E1440" s="166" t="s">
        <v>2399</v>
      </c>
      <c r="F1440" s="167">
        <v>43952</v>
      </c>
      <c r="G1440" s="167">
        <v>44682</v>
      </c>
      <c r="H1440" s="168">
        <v>67452</v>
      </c>
    </row>
    <row r="1441" spans="1:8" ht="13.7" customHeight="1" x14ac:dyDescent="0.25">
      <c r="A1441" s="166" t="s">
        <v>2396</v>
      </c>
      <c r="B1441" s="166" t="s">
        <v>1824</v>
      </c>
      <c r="C1441" s="166" t="s">
        <v>2397</v>
      </c>
      <c r="D1441" s="166" t="s">
        <v>2398</v>
      </c>
      <c r="E1441" s="166" t="s">
        <v>2399</v>
      </c>
      <c r="F1441" s="167">
        <v>43952</v>
      </c>
      <c r="G1441" s="167">
        <v>44682</v>
      </c>
      <c r="H1441" s="168">
        <v>385442</v>
      </c>
    </row>
    <row r="1442" spans="1:8" ht="13.7" customHeight="1" x14ac:dyDescent="0.25">
      <c r="A1442" s="166" t="s">
        <v>2400</v>
      </c>
      <c r="B1442" s="166" t="s">
        <v>2401</v>
      </c>
      <c r="C1442" s="166" t="s">
        <v>2402</v>
      </c>
      <c r="D1442" s="166" t="s">
        <v>2403</v>
      </c>
      <c r="E1442" s="166" t="s">
        <v>2404</v>
      </c>
      <c r="F1442" s="167">
        <v>43983</v>
      </c>
      <c r="G1442" s="167">
        <v>44712</v>
      </c>
      <c r="H1442" s="168">
        <v>201202</v>
      </c>
    </row>
    <row r="1443" spans="1:8" ht="13.7" customHeight="1" x14ac:dyDescent="0.25">
      <c r="A1443" s="166" t="s">
        <v>2400</v>
      </c>
      <c r="B1443" s="166" t="s">
        <v>2401</v>
      </c>
      <c r="C1443" s="166" t="s">
        <v>2402</v>
      </c>
      <c r="D1443" s="166" t="s">
        <v>2403</v>
      </c>
      <c r="E1443" s="166" t="s">
        <v>2404</v>
      </c>
      <c r="F1443" s="167">
        <v>43983</v>
      </c>
      <c r="G1443" s="167">
        <v>44712</v>
      </c>
      <c r="H1443" s="168">
        <v>20000</v>
      </c>
    </row>
    <row r="1444" spans="1:8" ht="13.7" customHeight="1" x14ac:dyDescent="0.25">
      <c r="A1444" s="166" t="s">
        <v>2405</v>
      </c>
      <c r="B1444" s="166" t="s">
        <v>2406</v>
      </c>
      <c r="C1444" s="166" t="s">
        <v>2402</v>
      </c>
      <c r="D1444" s="166" t="s">
        <v>2407</v>
      </c>
      <c r="E1444" s="166" t="s">
        <v>582</v>
      </c>
      <c r="F1444" s="167">
        <v>43313</v>
      </c>
      <c r="G1444" s="167">
        <v>43677</v>
      </c>
      <c r="H1444" s="168">
        <v>8075</v>
      </c>
    </row>
    <row r="1445" spans="1:8" ht="13.7" customHeight="1" x14ac:dyDescent="0.25">
      <c r="A1445" s="166" t="s">
        <v>2405</v>
      </c>
      <c r="B1445" s="166" t="s">
        <v>2406</v>
      </c>
      <c r="C1445" s="166" t="s">
        <v>2402</v>
      </c>
      <c r="D1445" s="166" t="s">
        <v>2407</v>
      </c>
      <c r="E1445" s="166" t="s">
        <v>582</v>
      </c>
      <c r="F1445" s="167">
        <v>43313</v>
      </c>
      <c r="G1445" s="167">
        <v>43677</v>
      </c>
      <c r="H1445" s="168">
        <v>-8075</v>
      </c>
    </row>
    <row r="1446" spans="1:8" ht="13.7" customHeight="1" x14ac:dyDescent="0.25">
      <c r="A1446" s="166" t="s">
        <v>2405</v>
      </c>
      <c r="B1446" s="166" t="s">
        <v>2406</v>
      </c>
      <c r="C1446" s="166" t="s">
        <v>2402</v>
      </c>
      <c r="D1446" s="166" t="s">
        <v>2407</v>
      </c>
      <c r="E1446" s="166" t="s">
        <v>582</v>
      </c>
      <c r="F1446" s="167">
        <v>43313</v>
      </c>
      <c r="G1446" s="167">
        <v>43677</v>
      </c>
      <c r="H1446" s="168">
        <v>315</v>
      </c>
    </row>
    <row r="1447" spans="1:8" ht="13.7" customHeight="1" x14ac:dyDescent="0.25">
      <c r="A1447" s="166" t="s">
        <v>2405</v>
      </c>
      <c r="B1447" s="166" t="s">
        <v>2406</v>
      </c>
      <c r="C1447" s="166" t="s">
        <v>2402</v>
      </c>
      <c r="D1447" s="166" t="s">
        <v>2407</v>
      </c>
      <c r="E1447" s="166" t="s">
        <v>582</v>
      </c>
      <c r="F1447" s="167">
        <v>43313</v>
      </c>
      <c r="G1447" s="167">
        <v>43677</v>
      </c>
      <c r="H1447" s="168">
        <v>-315</v>
      </c>
    </row>
    <row r="1448" spans="1:8" ht="13.7" customHeight="1" x14ac:dyDescent="0.25">
      <c r="A1448" s="166" t="s">
        <v>2408</v>
      </c>
      <c r="B1448" s="166" t="s">
        <v>2406</v>
      </c>
      <c r="C1448" s="166" t="s">
        <v>2402</v>
      </c>
      <c r="D1448" s="166" t="s">
        <v>2409</v>
      </c>
      <c r="E1448" s="166" t="s">
        <v>582</v>
      </c>
      <c r="F1448" s="167">
        <v>43678</v>
      </c>
      <c r="G1448" s="167">
        <v>44408</v>
      </c>
      <c r="H1448" s="168">
        <v>92088</v>
      </c>
    </row>
    <row r="1449" spans="1:8" ht="13.7" customHeight="1" x14ac:dyDescent="0.25">
      <c r="A1449" s="166" t="s">
        <v>2410</v>
      </c>
      <c r="B1449" s="166" t="s">
        <v>2411</v>
      </c>
      <c r="C1449" s="166" t="s">
        <v>2402</v>
      </c>
      <c r="D1449" s="166" t="s">
        <v>2412</v>
      </c>
      <c r="E1449" s="166" t="s">
        <v>0</v>
      </c>
      <c r="F1449" s="167">
        <v>43952</v>
      </c>
      <c r="G1449" s="167">
        <v>44439</v>
      </c>
      <c r="H1449" s="168">
        <v>4972</v>
      </c>
    </row>
    <row r="1450" spans="1:8" ht="13.7" customHeight="1" x14ac:dyDescent="0.25">
      <c r="A1450" s="166" t="s">
        <v>2413</v>
      </c>
      <c r="B1450" s="166" t="s">
        <v>2414</v>
      </c>
      <c r="C1450" s="166" t="s">
        <v>2415</v>
      </c>
      <c r="D1450" s="166" t="s">
        <v>2416</v>
      </c>
      <c r="E1450" s="166" t="s">
        <v>2161</v>
      </c>
      <c r="F1450" s="167">
        <v>43344</v>
      </c>
      <c r="G1450" s="167">
        <v>43708</v>
      </c>
      <c r="H1450" s="168">
        <v>-73581.440000000002</v>
      </c>
    </row>
    <row r="1451" spans="1:8" ht="13.7" customHeight="1" x14ac:dyDescent="0.25">
      <c r="A1451" s="166" t="s">
        <v>2413</v>
      </c>
      <c r="B1451" s="166" t="s">
        <v>2414</v>
      </c>
      <c r="C1451" s="166" t="s">
        <v>2415</v>
      </c>
      <c r="D1451" s="166" t="s">
        <v>2416</v>
      </c>
      <c r="E1451" s="166" t="s">
        <v>2161</v>
      </c>
      <c r="F1451" s="167">
        <v>43344</v>
      </c>
      <c r="G1451" s="167">
        <v>43708</v>
      </c>
      <c r="H1451" s="168">
        <v>-6205.01</v>
      </c>
    </row>
    <row r="1452" spans="1:8" ht="13.7" customHeight="1" x14ac:dyDescent="0.25">
      <c r="A1452" s="166" t="s">
        <v>2417</v>
      </c>
      <c r="B1452" s="166" t="s">
        <v>2414</v>
      </c>
      <c r="C1452" s="166" t="s">
        <v>2415</v>
      </c>
      <c r="D1452" s="166" t="s">
        <v>2416</v>
      </c>
      <c r="E1452" s="166" t="s">
        <v>2161</v>
      </c>
      <c r="F1452" s="167">
        <v>43344</v>
      </c>
      <c r="G1452" s="167">
        <v>43708</v>
      </c>
      <c r="H1452" s="168">
        <v>-30070</v>
      </c>
    </row>
    <row r="1453" spans="1:8" ht="13.7" customHeight="1" x14ac:dyDescent="0.25">
      <c r="A1453" s="166" t="s">
        <v>2418</v>
      </c>
      <c r="B1453" s="166" t="s">
        <v>2414</v>
      </c>
      <c r="C1453" s="166" t="s">
        <v>2415</v>
      </c>
      <c r="D1453" s="166" t="s">
        <v>2416</v>
      </c>
      <c r="E1453" s="166" t="s">
        <v>2161</v>
      </c>
      <c r="F1453" s="167">
        <v>43709</v>
      </c>
      <c r="G1453" s="167">
        <v>44074</v>
      </c>
      <c r="H1453" s="168">
        <v>-4800</v>
      </c>
    </row>
    <row r="1454" spans="1:8" ht="13.7" customHeight="1" x14ac:dyDescent="0.25">
      <c r="A1454" s="166" t="s">
        <v>2418</v>
      </c>
      <c r="B1454" s="166" t="s">
        <v>2414</v>
      </c>
      <c r="C1454" s="166" t="s">
        <v>2415</v>
      </c>
      <c r="D1454" s="166" t="s">
        <v>2416</v>
      </c>
      <c r="E1454" s="166" t="s">
        <v>2161</v>
      </c>
      <c r="F1454" s="167">
        <v>43709</v>
      </c>
      <c r="G1454" s="167">
        <v>44074</v>
      </c>
      <c r="H1454" s="168">
        <v>73760.7</v>
      </c>
    </row>
    <row r="1455" spans="1:8" ht="13.7" customHeight="1" x14ac:dyDescent="0.25">
      <c r="A1455" s="166" t="s">
        <v>2418</v>
      </c>
      <c r="B1455" s="166" t="s">
        <v>2414</v>
      </c>
      <c r="C1455" s="166" t="s">
        <v>2415</v>
      </c>
      <c r="D1455" s="166" t="s">
        <v>2416</v>
      </c>
      <c r="E1455" s="166" t="s">
        <v>2161</v>
      </c>
      <c r="F1455" s="167">
        <v>43709</v>
      </c>
      <c r="G1455" s="167">
        <v>44074</v>
      </c>
      <c r="H1455" s="168">
        <v>451624</v>
      </c>
    </row>
    <row r="1456" spans="1:8" ht="13.7" customHeight="1" x14ac:dyDescent="0.25">
      <c r="A1456" s="166" t="s">
        <v>2418</v>
      </c>
      <c r="B1456" s="166" t="s">
        <v>2414</v>
      </c>
      <c r="C1456" s="166" t="s">
        <v>2415</v>
      </c>
      <c r="D1456" s="166" t="s">
        <v>2416</v>
      </c>
      <c r="E1456" s="166" t="s">
        <v>2161</v>
      </c>
      <c r="F1456" s="167">
        <v>43709</v>
      </c>
      <c r="G1456" s="167">
        <v>44074</v>
      </c>
      <c r="H1456" s="168">
        <v>9600</v>
      </c>
    </row>
    <row r="1457" spans="1:8" ht="13.7" customHeight="1" x14ac:dyDescent="0.25">
      <c r="A1457" s="166" t="s">
        <v>2419</v>
      </c>
      <c r="B1457" s="166" t="s">
        <v>2414</v>
      </c>
      <c r="C1457" s="166" t="s">
        <v>2415</v>
      </c>
      <c r="D1457" s="166" t="s">
        <v>2416</v>
      </c>
      <c r="E1457" s="166" t="s">
        <v>2161</v>
      </c>
      <c r="F1457" s="167">
        <v>43709</v>
      </c>
      <c r="G1457" s="167">
        <v>44074</v>
      </c>
      <c r="H1457" s="168">
        <v>36095.75</v>
      </c>
    </row>
    <row r="1458" spans="1:8" ht="13.7" customHeight="1" x14ac:dyDescent="0.25">
      <c r="A1458" s="166" t="s">
        <v>2419</v>
      </c>
      <c r="B1458" s="166" t="s">
        <v>2414</v>
      </c>
      <c r="C1458" s="166" t="s">
        <v>2415</v>
      </c>
      <c r="D1458" s="166" t="s">
        <v>2416</v>
      </c>
      <c r="E1458" s="166" t="s">
        <v>2161</v>
      </c>
      <c r="F1458" s="167">
        <v>43709</v>
      </c>
      <c r="G1458" s="167">
        <v>44074</v>
      </c>
      <c r="H1458" s="168">
        <v>12500</v>
      </c>
    </row>
    <row r="1459" spans="1:8" ht="13.7" customHeight="1" x14ac:dyDescent="0.25">
      <c r="A1459" s="166" t="s">
        <v>2420</v>
      </c>
      <c r="B1459" s="166" t="s">
        <v>2305</v>
      </c>
      <c r="C1459" s="166" t="s">
        <v>2421</v>
      </c>
      <c r="D1459" s="166" t="s">
        <v>2422</v>
      </c>
      <c r="E1459" s="166" t="s">
        <v>648</v>
      </c>
      <c r="F1459" s="167">
        <v>43709</v>
      </c>
      <c r="G1459" s="167">
        <v>44104</v>
      </c>
      <c r="H1459" s="168">
        <v>-31195</v>
      </c>
    </row>
    <row r="1460" spans="1:8" ht="13.7" customHeight="1" x14ac:dyDescent="0.25">
      <c r="A1460" s="166" t="s">
        <v>2420</v>
      </c>
      <c r="B1460" s="166" t="s">
        <v>2305</v>
      </c>
      <c r="C1460" s="166" t="s">
        <v>2421</v>
      </c>
      <c r="D1460" s="166" t="s">
        <v>2422</v>
      </c>
      <c r="E1460" s="166" t="s">
        <v>648</v>
      </c>
      <c r="F1460" s="167">
        <v>43709</v>
      </c>
      <c r="G1460" s="167">
        <v>44104</v>
      </c>
      <c r="H1460" s="168">
        <v>-3015</v>
      </c>
    </row>
    <row r="1461" spans="1:8" ht="13.7" customHeight="1" x14ac:dyDescent="0.25">
      <c r="A1461" s="166" t="s">
        <v>2420</v>
      </c>
      <c r="B1461" s="166" t="s">
        <v>2305</v>
      </c>
      <c r="C1461" s="166" t="s">
        <v>2421</v>
      </c>
      <c r="D1461" s="166" t="s">
        <v>2422</v>
      </c>
      <c r="E1461" s="166" t="s">
        <v>648</v>
      </c>
      <c r="F1461" s="167">
        <v>43709</v>
      </c>
      <c r="G1461" s="167">
        <v>44104</v>
      </c>
      <c r="H1461" s="168">
        <v>45481</v>
      </c>
    </row>
    <row r="1462" spans="1:8" ht="13.7" customHeight="1" x14ac:dyDescent="0.25">
      <c r="A1462" s="166" t="s">
        <v>2420</v>
      </c>
      <c r="B1462" s="166" t="s">
        <v>2305</v>
      </c>
      <c r="C1462" s="166" t="s">
        <v>2421</v>
      </c>
      <c r="D1462" s="166" t="s">
        <v>2422</v>
      </c>
      <c r="E1462" s="166" t="s">
        <v>648</v>
      </c>
      <c r="F1462" s="167">
        <v>43709</v>
      </c>
      <c r="G1462" s="167">
        <v>44104</v>
      </c>
      <c r="H1462" s="168">
        <v>53276</v>
      </c>
    </row>
    <row r="1463" spans="1:8" ht="13.7" customHeight="1" x14ac:dyDescent="0.25">
      <c r="A1463" s="166" t="s">
        <v>2423</v>
      </c>
      <c r="B1463" s="166" t="s">
        <v>2424</v>
      </c>
      <c r="C1463" s="166" t="s">
        <v>2425</v>
      </c>
      <c r="D1463" s="166" t="s">
        <v>2426</v>
      </c>
      <c r="E1463" s="166" t="s">
        <v>2161</v>
      </c>
      <c r="F1463" s="167">
        <v>42887</v>
      </c>
      <c r="G1463" s="167">
        <v>43251</v>
      </c>
      <c r="H1463" s="168">
        <v>-46502.97</v>
      </c>
    </row>
    <row r="1464" spans="1:8" ht="13.7" customHeight="1" x14ac:dyDescent="0.25">
      <c r="A1464" s="166" t="s">
        <v>2427</v>
      </c>
      <c r="B1464" s="166" t="s">
        <v>2424</v>
      </c>
      <c r="C1464" s="166" t="s">
        <v>2425</v>
      </c>
      <c r="D1464" s="166" t="s">
        <v>2426</v>
      </c>
      <c r="E1464" s="166" t="s">
        <v>2161</v>
      </c>
      <c r="F1464" s="167">
        <v>42887</v>
      </c>
      <c r="G1464" s="167">
        <v>43251</v>
      </c>
      <c r="H1464" s="168">
        <v>-26877.42</v>
      </c>
    </row>
    <row r="1465" spans="1:8" ht="13.7" customHeight="1" x14ac:dyDescent="0.25">
      <c r="A1465" s="166" t="s">
        <v>2428</v>
      </c>
      <c r="B1465" s="166" t="s">
        <v>2424</v>
      </c>
      <c r="C1465" s="166" t="s">
        <v>2425</v>
      </c>
      <c r="D1465" s="166" t="s">
        <v>2426</v>
      </c>
      <c r="E1465" s="166" t="s">
        <v>2161</v>
      </c>
      <c r="F1465" s="167">
        <v>43252</v>
      </c>
      <c r="G1465" s="167">
        <v>43616</v>
      </c>
      <c r="H1465" s="168">
        <v>42277.5</v>
      </c>
    </row>
    <row r="1466" spans="1:8" ht="13.7" customHeight="1" x14ac:dyDescent="0.25">
      <c r="A1466" s="166" t="s">
        <v>2428</v>
      </c>
      <c r="B1466" s="166" t="s">
        <v>2424</v>
      </c>
      <c r="C1466" s="166" t="s">
        <v>2425</v>
      </c>
      <c r="D1466" s="166" t="s">
        <v>2426</v>
      </c>
      <c r="E1466" s="166" t="s">
        <v>2161</v>
      </c>
      <c r="F1466" s="167">
        <v>43252</v>
      </c>
      <c r="G1466" s="167">
        <v>43616</v>
      </c>
      <c r="H1466" s="168">
        <v>4225.47</v>
      </c>
    </row>
    <row r="1467" spans="1:8" ht="13.7" customHeight="1" x14ac:dyDescent="0.25">
      <c r="A1467" s="166" t="s">
        <v>2428</v>
      </c>
      <c r="B1467" s="166" t="s">
        <v>2424</v>
      </c>
      <c r="C1467" s="166" t="s">
        <v>2425</v>
      </c>
      <c r="D1467" s="166" t="s">
        <v>2426</v>
      </c>
      <c r="E1467" s="166" t="s">
        <v>2161</v>
      </c>
      <c r="F1467" s="167">
        <v>43252</v>
      </c>
      <c r="G1467" s="167">
        <v>43616</v>
      </c>
      <c r="H1467" s="168">
        <v>-119.24</v>
      </c>
    </row>
    <row r="1468" spans="1:8" ht="13.7" customHeight="1" x14ac:dyDescent="0.25">
      <c r="A1468" s="166" t="s">
        <v>2429</v>
      </c>
      <c r="B1468" s="166" t="s">
        <v>2424</v>
      </c>
      <c r="C1468" s="166" t="s">
        <v>2425</v>
      </c>
      <c r="D1468" s="166" t="s">
        <v>2426</v>
      </c>
      <c r="E1468" s="166" t="s">
        <v>2161</v>
      </c>
      <c r="F1468" s="167">
        <v>43252</v>
      </c>
      <c r="G1468" s="167">
        <v>43616</v>
      </c>
      <c r="H1468" s="168">
        <v>41810.400000000001</v>
      </c>
    </row>
    <row r="1469" spans="1:8" ht="13.7" customHeight="1" x14ac:dyDescent="0.25">
      <c r="A1469" s="166" t="s">
        <v>2429</v>
      </c>
      <c r="B1469" s="166" t="s">
        <v>2424</v>
      </c>
      <c r="C1469" s="166" t="s">
        <v>2425</v>
      </c>
      <c r="D1469" s="166" t="s">
        <v>2426</v>
      </c>
      <c r="E1469" s="166" t="s">
        <v>2161</v>
      </c>
      <c r="F1469" s="167">
        <v>43252</v>
      </c>
      <c r="G1469" s="167">
        <v>43616</v>
      </c>
      <c r="H1469" s="168">
        <v>-7461.79</v>
      </c>
    </row>
    <row r="1470" spans="1:8" ht="13.7" customHeight="1" x14ac:dyDescent="0.25">
      <c r="A1470" s="166" t="s">
        <v>2430</v>
      </c>
      <c r="B1470" s="166" t="s">
        <v>2424</v>
      </c>
      <c r="C1470" s="166" t="s">
        <v>2425</v>
      </c>
      <c r="D1470" s="166" t="s">
        <v>2426</v>
      </c>
      <c r="E1470" s="166" t="s">
        <v>2161</v>
      </c>
      <c r="F1470" s="167">
        <v>43617</v>
      </c>
      <c r="G1470" s="167">
        <v>43982</v>
      </c>
      <c r="H1470" s="168">
        <v>-6917.74</v>
      </c>
    </row>
    <row r="1471" spans="1:8" ht="13.7" customHeight="1" x14ac:dyDescent="0.25">
      <c r="A1471" s="166" t="s">
        <v>2430</v>
      </c>
      <c r="B1471" s="166" t="s">
        <v>2424</v>
      </c>
      <c r="C1471" s="166" t="s">
        <v>2425</v>
      </c>
      <c r="D1471" s="166" t="s">
        <v>2426</v>
      </c>
      <c r="E1471" s="166" t="s">
        <v>2161</v>
      </c>
      <c r="F1471" s="167">
        <v>43617</v>
      </c>
      <c r="G1471" s="167">
        <v>43982</v>
      </c>
      <c r="H1471" s="168">
        <v>-553.41</v>
      </c>
    </row>
    <row r="1472" spans="1:8" ht="13.7" customHeight="1" x14ac:dyDescent="0.25">
      <c r="A1472" s="166" t="s">
        <v>2430</v>
      </c>
      <c r="B1472" s="166" t="s">
        <v>2424</v>
      </c>
      <c r="C1472" s="166" t="s">
        <v>2425</v>
      </c>
      <c r="D1472" s="166" t="s">
        <v>2426</v>
      </c>
      <c r="E1472" s="166" t="s">
        <v>2161</v>
      </c>
      <c r="F1472" s="167">
        <v>43617</v>
      </c>
      <c r="G1472" s="167">
        <v>43982</v>
      </c>
      <c r="H1472" s="168">
        <v>119.24</v>
      </c>
    </row>
    <row r="1473" spans="1:8" ht="13.7" customHeight="1" x14ac:dyDescent="0.25">
      <c r="A1473" s="166" t="s">
        <v>2431</v>
      </c>
      <c r="B1473" s="166" t="s">
        <v>2424</v>
      </c>
      <c r="C1473" s="166" t="s">
        <v>2425</v>
      </c>
      <c r="D1473" s="166" t="s">
        <v>2426</v>
      </c>
      <c r="E1473" s="166" t="s">
        <v>2161</v>
      </c>
      <c r="F1473" s="167">
        <v>43983</v>
      </c>
      <c r="G1473" s="167">
        <v>44347</v>
      </c>
      <c r="H1473" s="168">
        <v>333749</v>
      </c>
    </row>
    <row r="1474" spans="1:8" ht="13.7" customHeight="1" x14ac:dyDescent="0.25">
      <c r="A1474" s="166" t="s">
        <v>2431</v>
      </c>
      <c r="B1474" s="166" t="s">
        <v>2424</v>
      </c>
      <c r="C1474" s="166" t="s">
        <v>2425</v>
      </c>
      <c r="D1474" s="166" t="s">
        <v>2426</v>
      </c>
      <c r="E1474" s="166" t="s">
        <v>2161</v>
      </c>
      <c r="F1474" s="167">
        <v>43983</v>
      </c>
      <c r="G1474" s="167">
        <v>44347</v>
      </c>
      <c r="H1474" s="168">
        <v>6049</v>
      </c>
    </row>
    <row r="1475" spans="1:8" ht="13.7" customHeight="1" x14ac:dyDescent="0.25">
      <c r="A1475" s="166" t="s">
        <v>2432</v>
      </c>
      <c r="B1475" s="166" t="s">
        <v>2424</v>
      </c>
      <c r="C1475" s="166" t="s">
        <v>2425</v>
      </c>
      <c r="D1475" s="166" t="s">
        <v>2426</v>
      </c>
      <c r="E1475" s="166" t="s">
        <v>2161</v>
      </c>
      <c r="F1475" s="167">
        <v>43983</v>
      </c>
      <c r="G1475" s="167">
        <v>44347</v>
      </c>
      <c r="H1475" s="168">
        <v>48374</v>
      </c>
    </row>
    <row r="1476" spans="1:8" ht="13.7" customHeight="1" x14ac:dyDescent="0.25">
      <c r="A1476" s="166" t="s">
        <v>2433</v>
      </c>
      <c r="B1476" s="166" t="s">
        <v>2434</v>
      </c>
      <c r="C1476" s="166" t="s">
        <v>2435</v>
      </c>
      <c r="D1476" s="166" t="s">
        <v>2436</v>
      </c>
      <c r="E1476" s="166" t="s">
        <v>1705</v>
      </c>
      <c r="F1476" s="167">
        <v>43739</v>
      </c>
      <c r="G1476" s="167">
        <v>43952</v>
      </c>
      <c r="H1476" s="168">
        <v>5660.93</v>
      </c>
    </row>
    <row r="1477" spans="1:8" ht="13.7" customHeight="1" x14ac:dyDescent="0.25">
      <c r="A1477" s="166" t="s">
        <v>2437</v>
      </c>
      <c r="B1477" s="166" t="s">
        <v>2438</v>
      </c>
      <c r="C1477" s="166" t="s">
        <v>2439</v>
      </c>
      <c r="D1477" s="166" t="s">
        <v>2440</v>
      </c>
      <c r="E1477" s="166" t="s">
        <v>1481</v>
      </c>
      <c r="F1477" s="167">
        <v>43282</v>
      </c>
      <c r="G1477" s="167">
        <v>43646</v>
      </c>
      <c r="H1477" s="168">
        <v>15556</v>
      </c>
    </row>
    <row r="1478" spans="1:8" ht="13.7" customHeight="1" x14ac:dyDescent="0.25">
      <c r="A1478" s="166" t="s">
        <v>2441</v>
      </c>
      <c r="B1478" s="166" t="s">
        <v>2438</v>
      </c>
      <c r="C1478" s="166" t="s">
        <v>2439</v>
      </c>
      <c r="D1478" s="166" t="s">
        <v>2442</v>
      </c>
      <c r="E1478" s="166" t="s">
        <v>1481</v>
      </c>
      <c r="F1478" s="167">
        <v>43647</v>
      </c>
      <c r="G1478" s="167">
        <v>44012</v>
      </c>
      <c r="H1478" s="168">
        <v>-30392</v>
      </c>
    </row>
    <row r="1479" spans="1:8" ht="13.7" customHeight="1" x14ac:dyDescent="0.25">
      <c r="A1479" s="166" t="s">
        <v>2441</v>
      </c>
      <c r="B1479" s="166" t="s">
        <v>2438</v>
      </c>
      <c r="C1479" s="166" t="s">
        <v>2439</v>
      </c>
      <c r="D1479" s="166" t="s">
        <v>2442</v>
      </c>
      <c r="E1479" s="166" t="s">
        <v>1481</v>
      </c>
      <c r="F1479" s="167">
        <v>43647</v>
      </c>
      <c r="G1479" s="167">
        <v>44012</v>
      </c>
      <c r="H1479" s="168">
        <v>-5556</v>
      </c>
    </row>
    <row r="1480" spans="1:8" ht="13.7" customHeight="1" x14ac:dyDescent="0.25">
      <c r="A1480" s="166" t="s">
        <v>2441</v>
      </c>
      <c r="B1480" s="166" t="s">
        <v>2438</v>
      </c>
      <c r="C1480" s="166" t="s">
        <v>2439</v>
      </c>
      <c r="D1480" s="166" t="s">
        <v>2442</v>
      </c>
      <c r="E1480" s="166" t="s">
        <v>1481</v>
      </c>
      <c r="F1480" s="167">
        <v>43647</v>
      </c>
      <c r="G1480" s="167">
        <v>44012</v>
      </c>
      <c r="H1480" s="168">
        <v>-639</v>
      </c>
    </row>
    <row r="1481" spans="1:8" ht="13.7" customHeight="1" x14ac:dyDescent="0.25">
      <c r="A1481" s="166" t="s">
        <v>2441</v>
      </c>
      <c r="B1481" s="166" t="s">
        <v>2438</v>
      </c>
      <c r="C1481" s="166" t="s">
        <v>2439</v>
      </c>
      <c r="D1481" s="166" t="s">
        <v>2442</v>
      </c>
      <c r="E1481" s="166" t="s">
        <v>1481</v>
      </c>
      <c r="F1481" s="167">
        <v>43647</v>
      </c>
      <c r="G1481" s="167">
        <v>44012</v>
      </c>
      <c r="H1481" s="168">
        <v>104392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3:Q50"/>
  <sheetViews>
    <sheetView workbookViewId="0">
      <selection activeCell="P18" sqref="P18"/>
    </sheetView>
  </sheetViews>
  <sheetFormatPr defaultRowHeight="15" x14ac:dyDescent="0.25"/>
  <cols>
    <col min="1" max="1" width="34.7109375" bestFit="1" customWidth="1"/>
    <col min="2" max="17" width="11.5703125" bestFit="1" customWidth="1"/>
  </cols>
  <sheetData>
    <row r="3" spans="1:17" x14ac:dyDescent="0.25">
      <c r="A3" s="49" t="s">
        <v>2443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x14ac:dyDescent="0.25">
      <c r="A4" s="50" t="s">
        <v>406</v>
      </c>
      <c r="B4" s="42">
        <v>2010</v>
      </c>
      <c r="C4" s="42">
        <v>2011</v>
      </c>
      <c r="D4" s="42">
        <v>2012</v>
      </c>
      <c r="E4" s="42">
        <v>2013</v>
      </c>
      <c r="F4" s="42">
        <v>2014</v>
      </c>
      <c r="G4" s="42">
        <v>2015</v>
      </c>
      <c r="H4" s="42">
        <v>2016</v>
      </c>
      <c r="I4" s="42">
        <v>2017</v>
      </c>
      <c r="J4" s="42">
        <v>2018</v>
      </c>
      <c r="K4" s="42">
        <v>2019</v>
      </c>
      <c r="L4" s="42">
        <v>2020</v>
      </c>
      <c r="M4" s="254" t="s">
        <v>2444</v>
      </c>
      <c r="N4" s="42">
        <v>2022</v>
      </c>
      <c r="O4" s="42">
        <v>2023</v>
      </c>
      <c r="P4" s="42" t="s">
        <v>416</v>
      </c>
      <c r="Q4" s="254" t="s">
        <v>2445</v>
      </c>
    </row>
    <row r="5" spans="1:17" x14ac:dyDescent="0.25">
      <c r="A5" s="43" t="s">
        <v>420</v>
      </c>
      <c r="B5" s="31">
        <v>6074</v>
      </c>
      <c r="C5" s="31">
        <v>5772</v>
      </c>
      <c r="D5" s="31">
        <v>5625</v>
      </c>
      <c r="E5" s="31">
        <v>5226</v>
      </c>
      <c r="F5" s="31">
        <v>4931</v>
      </c>
      <c r="G5" s="31">
        <v>4575</v>
      </c>
      <c r="H5" s="31">
        <v>4253</v>
      </c>
      <c r="I5" s="31">
        <v>3952</v>
      </c>
      <c r="J5" s="31">
        <v>3706</v>
      </c>
      <c r="K5" s="31">
        <v>3274</v>
      </c>
      <c r="L5" s="31">
        <v>2973</v>
      </c>
      <c r="M5" s="31">
        <v>2973</v>
      </c>
      <c r="N5" s="31">
        <v>2950</v>
      </c>
      <c r="O5" s="31">
        <v>2950</v>
      </c>
      <c r="P5" s="31">
        <v>2950</v>
      </c>
      <c r="Q5" s="31">
        <v>2950</v>
      </c>
    </row>
    <row r="6" spans="1:17" x14ac:dyDescent="0.25">
      <c r="A6" s="43" t="s">
        <v>87</v>
      </c>
      <c r="B6" s="31">
        <v>1709</v>
      </c>
      <c r="C6" s="31">
        <v>1643</v>
      </c>
      <c r="D6" s="31">
        <v>1496</v>
      </c>
      <c r="E6" s="31">
        <v>1457</v>
      </c>
      <c r="F6" s="31">
        <v>1447</v>
      </c>
      <c r="G6" s="31">
        <v>1431</v>
      </c>
      <c r="H6" s="31">
        <v>1374</v>
      </c>
      <c r="I6" s="31">
        <v>1230</v>
      </c>
      <c r="J6" s="31">
        <v>1075</v>
      </c>
      <c r="K6" s="31">
        <v>1002</v>
      </c>
      <c r="L6" s="31">
        <v>1041</v>
      </c>
      <c r="M6" s="31">
        <v>1041</v>
      </c>
      <c r="N6" s="31">
        <v>1108</v>
      </c>
      <c r="O6" s="31">
        <v>1108</v>
      </c>
      <c r="P6" s="31">
        <v>1108</v>
      </c>
      <c r="Q6" s="31">
        <v>1108</v>
      </c>
    </row>
    <row r="7" spans="1:17" x14ac:dyDescent="0.25">
      <c r="A7" s="43" t="s">
        <v>75</v>
      </c>
      <c r="B7" s="31">
        <v>1585</v>
      </c>
      <c r="C7" s="31">
        <v>1566</v>
      </c>
      <c r="D7" s="31">
        <v>1512</v>
      </c>
      <c r="E7" s="31">
        <v>1452</v>
      </c>
      <c r="F7" s="31">
        <v>1412</v>
      </c>
      <c r="G7" s="31">
        <v>1403</v>
      </c>
      <c r="H7" s="31">
        <v>1438</v>
      </c>
      <c r="I7" s="31">
        <v>1380</v>
      </c>
      <c r="J7" s="31">
        <v>1192</v>
      </c>
      <c r="K7" s="31">
        <v>561</v>
      </c>
      <c r="L7" s="31">
        <v>517</v>
      </c>
      <c r="M7" s="31">
        <v>517</v>
      </c>
      <c r="N7" s="31">
        <v>520</v>
      </c>
      <c r="O7" s="31">
        <v>520</v>
      </c>
      <c r="P7" s="31">
        <v>520</v>
      </c>
      <c r="Q7" s="31">
        <v>520</v>
      </c>
    </row>
    <row r="8" spans="1:17" x14ac:dyDescent="0.25">
      <c r="A8" s="43" t="s">
        <v>421</v>
      </c>
      <c r="B8" s="31">
        <v>861</v>
      </c>
      <c r="C8" s="31">
        <v>920</v>
      </c>
      <c r="D8" s="31">
        <v>893</v>
      </c>
      <c r="E8" s="31">
        <v>862</v>
      </c>
      <c r="F8" s="31">
        <v>843</v>
      </c>
      <c r="G8" s="31">
        <v>829</v>
      </c>
      <c r="H8" s="31">
        <v>854</v>
      </c>
      <c r="I8" s="31">
        <v>853</v>
      </c>
      <c r="J8" s="31">
        <v>838</v>
      </c>
      <c r="K8" s="31">
        <v>852</v>
      </c>
      <c r="L8" s="31">
        <v>838</v>
      </c>
      <c r="M8" s="31">
        <v>838</v>
      </c>
      <c r="N8" s="31">
        <v>924</v>
      </c>
      <c r="O8" s="31">
        <v>924</v>
      </c>
      <c r="P8" s="31">
        <v>924</v>
      </c>
      <c r="Q8" s="31">
        <v>924</v>
      </c>
    </row>
    <row r="9" spans="1:17" x14ac:dyDescent="0.25">
      <c r="A9" s="43" t="s">
        <v>422</v>
      </c>
      <c r="B9" s="31">
        <v>1126</v>
      </c>
      <c r="C9" s="31">
        <v>1206</v>
      </c>
      <c r="D9" s="31">
        <v>1265</v>
      </c>
      <c r="E9" s="31">
        <v>1287</v>
      </c>
      <c r="F9" s="31">
        <v>1197</v>
      </c>
      <c r="G9" s="31">
        <v>1192</v>
      </c>
      <c r="H9" s="31">
        <v>1205</v>
      </c>
      <c r="I9" s="31">
        <v>1281</v>
      </c>
      <c r="J9" s="31">
        <v>1423</v>
      </c>
      <c r="K9" s="31">
        <v>2017</v>
      </c>
      <c r="L9" s="31">
        <v>2010</v>
      </c>
      <c r="M9" s="31">
        <v>2010</v>
      </c>
      <c r="N9" s="31">
        <v>2030</v>
      </c>
      <c r="O9" s="31">
        <v>2030</v>
      </c>
      <c r="P9" s="31">
        <v>2030</v>
      </c>
      <c r="Q9" s="31">
        <v>2030</v>
      </c>
    </row>
    <row r="10" spans="1:17" x14ac:dyDescent="0.25">
      <c r="A10" s="43" t="s">
        <v>424</v>
      </c>
      <c r="B10" s="31">
        <v>1281</v>
      </c>
      <c r="C10" s="31">
        <v>1288</v>
      </c>
      <c r="D10" s="31">
        <v>1168</v>
      </c>
      <c r="E10" s="31">
        <v>1151</v>
      </c>
      <c r="F10" s="31">
        <v>1102</v>
      </c>
      <c r="G10" s="31">
        <v>1039</v>
      </c>
      <c r="H10" s="31">
        <v>942</v>
      </c>
      <c r="I10" s="31">
        <v>906</v>
      </c>
      <c r="J10" s="31">
        <v>904</v>
      </c>
      <c r="K10" s="31">
        <v>814</v>
      </c>
      <c r="L10" s="31">
        <v>799</v>
      </c>
      <c r="M10" s="31">
        <v>799</v>
      </c>
      <c r="N10" s="31">
        <v>824</v>
      </c>
      <c r="O10" s="31">
        <v>824</v>
      </c>
      <c r="P10" s="31">
        <v>824</v>
      </c>
      <c r="Q10" s="31">
        <v>824</v>
      </c>
    </row>
    <row r="11" spans="1:17" x14ac:dyDescent="0.25">
      <c r="A11" s="43" t="s">
        <v>194</v>
      </c>
      <c r="B11" s="31">
        <v>31</v>
      </c>
      <c r="C11" s="31">
        <v>27</v>
      </c>
      <c r="D11" s="31">
        <v>23</v>
      </c>
      <c r="E11" s="31">
        <v>20</v>
      </c>
      <c r="F11" s="31">
        <v>22</v>
      </c>
      <c r="G11" s="31">
        <v>17</v>
      </c>
      <c r="H11" s="31">
        <v>11</v>
      </c>
      <c r="I11" s="31">
        <v>15</v>
      </c>
      <c r="J11" s="31">
        <v>13</v>
      </c>
      <c r="K11" s="31">
        <v>16</v>
      </c>
      <c r="L11" s="31">
        <v>18</v>
      </c>
      <c r="M11" s="31">
        <v>18</v>
      </c>
      <c r="N11" s="31">
        <v>0</v>
      </c>
      <c r="O11" s="31">
        <v>0</v>
      </c>
      <c r="P11" s="31">
        <v>0</v>
      </c>
      <c r="Q11" s="31">
        <v>0</v>
      </c>
    </row>
    <row r="12" spans="1:17" x14ac:dyDescent="0.25">
      <c r="A12" s="43" t="s">
        <v>426</v>
      </c>
      <c r="B12" s="31">
        <v>424</v>
      </c>
      <c r="C12" s="31">
        <v>343</v>
      </c>
      <c r="D12" s="31">
        <v>412</v>
      </c>
      <c r="E12" s="31">
        <v>353</v>
      </c>
      <c r="F12" s="31">
        <v>438</v>
      </c>
      <c r="G12" s="31">
        <v>367</v>
      </c>
      <c r="H12" s="31">
        <v>276</v>
      </c>
      <c r="I12" s="31">
        <v>215</v>
      </c>
      <c r="J12" s="31">
        <v>188</v>
      </c>
      <c r="K12" s="31">
        <v>161</v>
      </c>
      <c r="L12" s="31">
        <v>113</v>
      </c>
      <c r="M12" s="31">
        <v>113</v>
      </c>
      <c r="N12" s="31">
        <v>0</v>
      </c>
      <c r="O12" s="31">
        <v>0</v>
      </c>
      <c r="P12" s="31">
        <v>0</v>
      </c>
      <c r="Q12" s="31">
        <v>0</v>
      </c>
    </row>
    <row r="13" spans="1:17" x14ac:dyDescent="0.25">
      <c r="A13" s="43" t="s">
        <v>89</v>
      </c>
      <c r="B13" s="31">
        <v>260</v>
      </c>
      <c r="C13" s="31">
        <v>254</v>
      </c>
      <c r="D13" s="31">
        <v>252</v>
      </c>
      <c r="E13" s="31">
        <v>253</v>
      </c>
      <c r="F13" s="31">
        <v>250</v>
      </c>
      <c r="G13" s="31">
        <v>237</v>
      </c>
      <c r="H13" s="31">
        <v>232</v>
      </c>
      <c r="I13" s="31">
        <v>216</v>
      </c>
      <c r="J13" s="31">
        <v>222</v>
      </c>
      <c r="K13" s="31">
        <v>324</v>
      </c>
      <c r="L13" s="31">
        <v>342</v>
      </c>
      <c r="M13" s="31">
        <v>342</v>
      </c>
      <c r="N13" s="31">
        <v>367</v>
      </c>
      <c r="O13" s="31">
        <v>367</v>
      </c>
      <c r="P13" s="31">
        <v>367</v>
      </c>
      <c r="Q13" s="31">
        <v>367</v>
      </c>
    </row>
    <row r="14" spans="1:17" x14ac:dyDescent="0.25">
      <c r="A14" s="43" t="s">
        <v>429</v>
      </c>
      <c r="B14" s="32">
        <f t="shared" ref="B14:N14" si="0">SUM(B5:B13)</f>
        <v>13351</v>
      </c>
      <c r="C14" s="32">
        <f t="shared" si="0"/>
        <v>13019</v>
      </c>
      <c r="D14" s="32">
        <f t="shared" si="0"/>
        <v>12646</v>
      </c>
      <c r="E14" s="32">
        <f t="shared" si="0"/>
        <v>12061</v>
      </c>
      <c r="F14" s="32">
        <f t="shared" si="0"/>
        <v>11642</v>
      </c>
      <c r="G14" s="32">
        <f t="shared" si="0"/>
        <v>11090</v>
      </c>
      <c r="H14" s="32">
        <f t="shared" si="0"/>
        <v>10585</v>
      </c>
      <c r="I14" s="32">
        <f t="shared" si="0"/>
        <v>10048</v>
      </c>
      <c r="J14" s="32">
        <f t="shared" si="0"/>
        <v>9561</v>
      </c>
      <c r="K14" s="32">
        <f t="shared" si="0"/>
        <v>9021</v>
      </c>
      <c r="L14" s="32">
        <f t="shared" si="0"/>
        <v>8651</v>
      </c>
      <c r="M14" s="32">
        <f t="shared" si="0"/>
        <v>8651</v>
      </c>
      <c r="N14" s="32">
        <f t="shared" si="0"/>
        <v>8723</v>
      </c>
      <c r="O14" s="32">
        <f t="shared" ref="O14:Q14" si="1">SUM(O5:O13)</f>
        <v>8723</v>
      </c>
      <c r="P14" s="32">
        <f t="shared" si="1"/>
        <v>8723</v>
      </c>
      <c r="Q14" s="32">
        <f t="shared" si="1"/>
        <v>8723</v>
      </c>
    </row>
    <row r="16" spans="1:17" x14ac:dyDescent="0.25">
      <c r="A16" s="43" t="s">
        <v>91</v>
      </c>
      <c r="B16" s="31">
        <v>2597</v>
      </c>
      <c r="C16" s="31">
        <v>2837</v>
      </c>
      <c r="D16" s="31">
        <v>2493</v>
      </c>
      <c r="E16" s="31">
        <v>2438</v>
      </c>
      <c r="F16" s="31">
        <v>2193</v>
      </c>
      <c r="G16" s="31">
        <v>2034</v>
      </c>
      <c r="H16" s="31">
        <v>2015</v>
      </c>
      <c r="I16" s="31">
        <v>1747</v>
      </c>
      <c r="J16" s="31">
        <v>1412</v>
      </c>
      <c r="K16" s="31">
        <v>1381</v>
      </c>
      <c r="L16" s="31">
        <v>1157</v>
      </c>
      <c r="M16" s="31">
        <v>1157</v>
      </c>
      <c r="N16" s="31">
        <v>1100</v>
      </c>
      <c r="O16" s="31">
        <v>1100</v>
      </c>
      <c r="P16" s="31">
        <v>1100</v>
      </c>
      <c r="Q16" s="31">
        <v>1100</v>
      </c>
    </row>
    <row r="18" spans="1:17" ht="15.75" thickBot="1" x14ac:dyDescent="0.3">
      <c r="B18" s="24">
        <f t="shared" ref="B18:N18" si="2">+B16+B14</f>
        <v>15948</v>
      </c>
      <c r="C18" s="24">
        <f t="shared" si="2"/>
        <v>15856</v>
      </c>
      <c r="D18" s="24">
        <f t="shared" si="2"/>
        <v>15139</v>
      </c>
      <c r="E18" s="24">
        <f t="shared" si="2"/>
        <v>14499</v>
      </c>
      <c r="F18" s="24">
        <f t="shared" si="2"/>
        <v>13835</v>
      </c>
      <c r="G18" s="24">
        <f t="shared" si="2"/>
        <v>13124</v>
      </c>
      <c r="H18" s="24">
        <f t="shared" si="2"/>
        <v>12600</v>
      </c>
      <c r="I18" s="24">
        <f t="shared" si="2"/>
        <v>11795</v>
      </c>
      <c r="J18" s="24">
        <f t="shared" si="2"/>
        <v>10973</v>
      </c>
      <c r="K18" s="24">
        <f t="shared" si="2"/>
        <v>10402</v>
      </c>
      <c r="L18" s="24">
        <f t="shared" si="2"/>
        <v>9808</v>
      </c>
      <c r="M18" s="24">
        <f t="shared" si="2"/>
        <v>9808</v>
      </c>
      <c r="N18" s="24">
        <f t="shared" si="2"/>
        <v>9823</v>
      </c>
      <c r="O18" s="24">
        <f t="shared" ref="O18:Q18" si="3">+O16+O14</f>
        <v>9823</v>
      </c>
      <c r="P18" s="24">
        <f t="shared" si="3"/>
        <v>9823</v>
      </c>
      <c r="Q18" s="24">
        <f t="shared" si="3"/>
        <v>9823</v>
      </c>
    </row>
    <row r="19" spans="1:17" ht="15.75" thickTop="1" x14ac:dyDescent="0.25"/>
    <row r="21" spans="1:17" x14ac:dyDescent="0.25">
      <c r="A21" s="42" t="s">
        <v>406</v>
      </c>
      <c r="B21" s="42">
        <v>2010</v>
      </c>
      <c r="C21" s="42">
        <v>2011</v>
      </c>
      <c r="D21" s="42">
        <v>2012</v>
      </c>
      <c r="E21" s="42">
        <v>2013</v>
      </c>
      <c r="F21" s="42">
        <v>2014</v>
      </c>
      <c r="G21" s="42">
        <v>2015</v>
      </c>
      <c r="H21" s="42">
        <v>2016</v>
      </c>
      <c r="I21" s="42">
        <v>2017</v>
      </c>
      <c r="J21" s="42">
        <v>2018</v>
      </c>
      <c r="K21" s="42">
        <v>2019</v>
      </c>
      <c r="L21" s="42">
        <v>2020</v>
      </c>
      <c r="M21" s="42" t="s">
        <v>2446</v>
      </c>
      <c r="N21" s="42" t="s">
        <v>2447</v>
      </c>
      <c r="O21" s="42" t="s">
        <v>2447</v>
      </c>
      <c r="P21" s="42" t="s">
        <v>2447</v>
      </c>
      <c r="Q21" s="42" t="s">
        <v>2447</v>
      </c>
    </row>
    <row r="22" spans="1:17" x14ac:dyDescent="0.25">
      <c r="A22" s="43" t="s">
        <v>420</v>
      </c>
      <c r="B22" s="51">
        <f t="shared" ref="B22:J30" si="4">+B5/B$14</f>
        <v>0.45494719496666919</v>
      </c>
      <c r="C22" s="51">
        <f t="shared" si="4"/>
        <v>0.44335202396497425</v>
      </c>
      <c r="D22" s="51">
        <f t="shared" si="4"/>
        <v>0.44480468132215722</v>
      </c>
      <c r="E22" s="51">
        <f t="shared" si="4"/>
        <v>0.43329740485863527</v>
      </c>
      <c r="F22" s="51">
        <f t="shared" si="4"/>
        <v>0.42355265418313004</v>
      </c>
      <c r="G22" s="51">
        <f t="shared" si="4"/>
        <v>0.41253381424706942</v>
      </c>
      <c r="H22" s="51">
        <f t="shared" si="4"/>
        <v>0.40179499291450166</v>
      </c>
      <c r="I22" s="51">
        <f t="shared" si="4"/>
        <v>0.39331210191082805</v>
      </c>
      <c r="J22" s="51">
        <f t="shared" si="4"/>
        <v>0.38761635812153539</v>
      </c>
      <c r="K22" s="51">
        <f>+K5/K$14</f>
        <v>0.3629309389202971</v>
      </c>
      <c r="L22" s="51">
        <f>+L5/L$14</f>
        <v>0.34365969252109585</v>
      </c>
      <c r="M22" s="51">
        <f>+M5/M$14</f>
        <v>0.34365969252109585</v>
      </c>
      <c r="N22" s="51">
        <f>+N5/N$14</f>
        <v>0.33818640376017423</v>
      </c>
      <c r="O22" s="51">
        <f t="shared" ref="O22:Q22" si="5">+O5/O$14</f>
        <v>0.33818640376017423</v>
      </c>
      <c r="P22" s="51">
        <f t="shared" si="5"/>
        <v>0.33818640376017423</v>
      </c>
      <c r="Q22" s="51">
        <f t="shared" si="5"/>
        <v>0.33818640376017423</v>
      </c>
    </row>
    <row r="23" spans="1:17" x14ac:dyDescent="0.25">
      <c r="A23" s="43" t="s">
        <v>87</v>
      </c>
      <c r="B23" s="51">
        <f t="shared" si="4"/>
        <v>0.12800539285446783</v>
      </c>
      <c r="C23" s="51">
        <f t="shared" si="4"/>
        <v>0.12620016898379291</v>
      </c>
      <c r="D23" s="51">
        <f t="shared" si="4"/>
        <v>0.11829827613474617</v>
      </c>
      <c r="E23" s="51">
        <f t="shared" si="4"/>
        <v>0.12080258685017826</v>
      </c>
      <c r="F23" s="51">
        <f t="shared" si="4"/>
        <v>0.12429135887304586</v>
      </c>
      <c r="G23" s="51">
        <f t="shared" si="4"/>
        <v>0.12903516681695221</v>
      </c>
      <c r="H23" s="51">
        <f t="shared" si="4"/>
        <v>0.12980632971185641</v>
      </c>
      <c r="I23" s="51">
        <f t="shared" si="4"/>
        <v>0.1224124203821656</v>
      </c>
      <c r="J23" s="51">
        <f t="shared" si="4"/>
        <v>0.11243593766342433</v>
      </c>
      <c r="K23" s="51">
        <f t="shared" ref="K23:L30" si="6">+K6/K$14</f>
        <v>0.11107416029265048</v>
      </c>
      <c r="L23" s="51">
        <f t="shared" si="6"/>
        <v>0.12033290949023234</v>
      </c>
      <c r="M23" s="51">
        <f t="shared" ref="M23:N23" si="7">+M6/M$14</f>
        <v>0.12033290949023234</v>
      </c>
      <c r="N23" s="51">
        <f t="shared" si="7"/>
        <v>0.12702052046314341</v>
      </c>
      <c r="O23" s="51">
        <f t="shared" ref="O23:Q23" si="8">+O6/O$14</f>
        <v>0.12702052046314341</v>
      </c>
      <c r="P23" s="51">
        <f t="shared" si="8"/>
        <v>0.12702052046314341</v>
      </c>
      <c r="Q23" s="51">
        <f t="shared" si="8"/>
        <v>0.12702052046314341</v>
      </c>
    </row>
    <row r="24" spans="1:17" x14ac:dyDescent="0.25">
      <c r="A24" s="43" t="s">
        <v>75</v>
      </c>
      <c r="B24" s="51">
        <f t="shared" si="4"/>
        <v>0.11871769904876039</v>
      </c>
      <c r="C24" s="51">
        <f t="shared" si="4"/>
        <v>0.12028573623166142</v>
      </c>
      <c r="D24" s="51">
        <f t="shared" si="4"/>
        <v>0.11956349833939586</v>
      </c>
      <c r="E24" s="51">
        <f t="shared" si="4"/>
        <v>0.12038802752673908</v>
      </c>
      <c r="F24" s="51">
        <f t="shared" si="4"/>
        <v>0.12128500257687683</v>
      </c>
      <c r="G24" s="51">
        <f t="shared" si="4"/>
        <v>0.12651036970243462</v>
      </c>
      <c r="H24" s="51">
        <f t="shared" si="4"/>
        <v>0.1358526216343883</v>
      </c>
      <c r="I24" s="51">
        <f t="shared" si="4"/>
        <v>0.1373407643312102</v>
      </c>
      <c r="J24" s="51">
        <f t="shared" si="4"/>
        <v>0.12467315134400167</v>
      </c>
      <c r="K24" s="51">
        <f t="shared" si="6"/>
        <v>6.2188227469238445E-2</v>
      </c>
      <c r="L24" s="51">
        <f t="shared" si="6"/>
        <v>5.9761877239625477E-2</v>
      </c>
      <c r="M24" s="51">
        <f t="shared" ref="M24:N24" si="9">+M7/M$14</f>
        <v>5.9761877239625477E-2</v>
      </c>
      <c r="N24" s="51">
        <f t="shared" si="9"/>
        <v>5.9612518628912071E-2</v>
      </c>
      <c r="O24" s="51">
        <f t="shared" ref="O24:Q24" si="10">+O7/O$14</f>
        <v>5.9612518628912071E-2</v>
      </c>
      <c r="P24" s="51">
        <f t="shared" si="10"/>
        <v>5.9612518628912071E-2</v>
      </c>
      <c r="Q24" s="51">
        <f t="shared" si="10"/>
        <v>5.9612518628912071E-2</v>
      </c>
    </row>
    <row r="25" spans="1:17" x14ac:dyDescent="0.25">
      <c r="A25" s="43" t="s">
        <v>421</v>
      </c>
      <c r="B25" s="51">
        <f t="shared" si="4"/>
        <v>6.4489551344468585E-2</v>
      </c>
      <c r="C25" s="51">
        <f t="shared" si="4"/>
        <v>7.0665949765727015E-2</v>
      </c>
      <c r="D25" s="51">
        <f t="shared" si="4"/>
        <v>7.0615214297010911E-2</v>
      </c>
      <c r="E25" s="51">
        <f t="shared" si="4"/>
        <v>7.1470027360915345E-2</v>
      </c>
      <c r="F25" s="51">
        <f t="shared" si="4"/>
        <v>7.2410238790585807E-2</v>
      </c>
      <c r="G25" s="51">
        <f t="shared" si="4"/>
        <v>7.4752028854824168E-2</v>
      </c>
      <c r="H25" s="51">
        <f t="shared" si="4"/>
        <v>8.0680207841284837E-2</v>
      </c>
      <c r="I25" s="51">
        <f t="shared" si="4"/>
        <v>8.4892515923566877E-2</v>
      </c>
      <c r="J25" s="51">
        <f t="shared" si="4"/>
        <v>8.7647735592511239E-2</v>
      </c>
      <c r="K25" s="51">
        <f t="shared" si="6"/>
        <v>9.444629198536747E-2</v>
      </c>
      <c r="L25" s="51">
        <f t="shared" si="6"/>
        <v>9.6867414171772054E-2</v>
      </c>
      <c r="M25" s="51">
        <f t="shared" ref="M25:N25" si="11">+M8/M$14</f>
        <v>9.6867414171772054E-2</v>
      </c>
      <c r="N25" s="51">
        <f t="shared" si="11"/>
        <v>0.10592686002522068</v>
      </c>
      <c r="O25" s="51">
        <f t="shared" ref="O25:Q25" si="12">+O8/O$14</f>
        <v>0.10592686002522068</v>
      </c>
      <c r="P25" s="51">
        <f t="shared" si="12"/>
        <v>0.10592686002522068</v>
      </c>
      <c r="Q25" s="51">
        <f t="shared" si="12"/>
        <v>0.10592686002522068</v>
      </c>
    </row>
    <row r="26" spans="1:17" x14ac:dyDescent="0.25">
      <c r="A26" s="43" t="s">
        <v>422</v>
      </c>
      <c r="B26" s="51">
        <f t="shared" si="4"/>
        <v>8.4338251816343343E-2</v>
      </c>
      <c r="C26" s="51">
        <f t="shared" si="4"/>
        <v>9.2633842845072589E-2</v>
      </c>
      <c r="D26" s="51">
        <f t="shared" si="4"/>
        <v>0.10003163055511624</v>
      </c>
      <c r="E26" s="51">
        <f t="shared" si="4"/>
        <v>0.106707569853246</v>
      </c>
      <c r="F26" s="51">
        <f t="shared" si="4"/>
        <v>0.10281738532898127</v>
      </c>
      <c r="G26" s="51">
        <f t="shared" si="4"/>
        <v>0.10748422001803426</v>
      </c>
      <c r="H26" s="51">
        <f t="shared" si="4"/>
        <v>0.11384034010392065</v>
      </c>
      <c r="I26" s="51">
        <f t="shared" si="4"/>
        <v>0.12748805732484075</v>
      </c>
      <c r="J26" s="51">
        <f t="shared" si="4"/>
        <v>0.14883380399539797</v>
      </c>
      <c r="K26" s="51">
        <f t="shared" si="6"/>
        <v>0.22358940250526549</v>
      </c>
      <c r="L26" s="51">
        <f t="shared" si="6"/>
        <v>0.23234308172465612</v>
      </c>
      <c r="M26" s="51">
        <f t="shared" ref="M26:N26" si="13">+M9/M$14</f>
        <v>0.23234308172465612</v>
      </c>
      <c r="N26" s="51">
        <f t="shared" si="13"/>
        <v>0.23271810157056058</v>
      </c>
      <c r="O26" s="51">
        <f t="shared" ref="O26:Q26" si="14">+O9/O$14</f>
        <v>0.23271810157056058</v>
      </c>
      <c r="P26" s="51">
        <f t="shared" si="14"/>
        <v>0.23271810157056058</v>
      </c>
      <c r="Q26" s="51">
        <f t="shared" si="14"/>
        <v>0.23271810157056058</v>
      </c>
    </row>
    <row r="27" spans="1:17" x14ac:dyDescent="0.25">
      <c r="A27" s="43" t="s">
        <v>424</v>
      </c>
      <c r="B27" s="51">
        <f t="shared" si="4"/>
        <v>9.5947869073477646E-2</v>
      </c>
      <c r="C27" s="51">
        <f t="shared" si="4"/>
        <v>9.8932329672017816E-2</v>
      </c>
      <c r="D27" s="51">
        <f t="shared" si="4"/>
        <v>9.2361220939427488E-2</v>
      </c>
      <c r="E27" s="51">
        <f t="shared" si="4"/>
        <v>9.5431556255700184E-2</v>
      </c>
      <c r="F27" s="51">
        <f t="shared" si="4"/>
        <v>9.4657275382236727E-2</v>
      </c>
      <c r="G27" s="51">
        <f t="shared" si="4"/>
        <v>9.3688007213706043E-2</v>
      </c>
      <c r="H27" s="51">
        <f t="shared" si="4"/>
        <v>8.8993859234766173E-2</v>
      </c>
      <c r="I27" s="51">
        <f t="shared" si="4"/>
        <v>9.01671974522293E-2</v>
      </c>
      <c r="J27" s="51">
        <f t="shared" si="4"/>
        <v>9.4550779207195901E-2</v>
      </c>
      <c r="K27" s="51">
        <f t="shared" si="6"/>
        <v>9.0233898680855781E-2</v>
      </c>
      <c r="L27" s="51">
        <f t="shared" si="6"/>
        <v>9.2359264824875734E-2</v>
      </c>
      <c r="M27" s="51">
        <f t="shared" ref="M27:N27" si="15">+M10/M$14</f>
        <v>9.2359264824875734E-2</v>
      </c>
      <c r="N27" s="51">
        <f t="shared" si="15"/>
        <v>9.4462914135045289E-2</v>
      </c>
      <c r="O27" s="51">
        <f t="shared" ref="O27:Q27" si="16">+O10/O$14</f>
        <v>9.4462914135045289E-2</v>
      </c>
      <c r="P27" s="51">
        <f t="shared" si="16"/>
        <v>9.4462914135045289E-2</v>
      </c>
      <c r="Q27" s="51">
        <f t="shared" si="16"/>
        <v>9.4462914135045289E-2</v>
      </c>
    </row>
    <row r="28" spans="1:17" x14ac:dyDescent="0.25">
      <c r="A28" s="43" t="s">
        <v>194</v>
      </c>
      <c r="B28" s="51">
        <f t="shared" si="4"/>
        <v>2.3219234514268595E-3</v>
      </c>
      <c r="C28" s="51">
        <f t="shared" si="4"/>
        <v>2.0738920039941626E-3</v>
      </c>
      <c r="D28" s="51">
        <f t="shared" si="4"/>
        <v>1.8187569191839316E-3</v>
      </c>
      <c r="E28" s="51">
        <f t="shared" si="4"/>
        <v>1.6582372937567365E-3</v>
      </c>
      <c r="F28" s="51">
        <f t="shared" si="4"/>
        <v>1.8897096718776842E-3</v>
      </c>
      <c r="G28" s="51">
        <f t="shared" si="4"/>
        <v>1.5329125338142471E-3</v>
      </c>
      <c r="H28" s="51">
        <f t="shared" si="4"/>
        <v>1.0392064241851677E-3</v>
      </c>
      <c r="I28" s="51">
        <f t="shared" si="4"/>
        <v>1.4928343949044587E-3</v>
      </c>
      <c r="J28" s="51">
        <f t="shared" si="4"/>
        <v>1.3596904089530383E-3</v>
      </c>
      <c r="K28" s="51">
        <f t="shared" si="6"/>
        <v>1.7736392861101874E-3</v>
      </c>
      <c r="L28" s="51">
        <f t="shared" si="6"/>
        <v>2.0806843139521444E-3</v>
      </c>
      <c r="M28" s="51">
        <f t="shared" ref="M28:N28" si="17">+M11/M$14</f>
        <v>2.0806843139521444E-3</v>
      </c>
      <c r="N28" s="51">
        <f t="shared" si="17"/>
        <v>0</v>
      </c>
      <c r="O28" s="51">
        <f t="shared" ref="O28:Q28" si="18">+O11/O$14</f>
        <v>0</v>
      </c>
      <c r="P28" s="51">
        <f t="shared" si="18"/>
        <v>0</v>
      </c>
      <c r="Q28" s="51">
        <f t="shared" si="18"/>
        <v>0</v>
      </c>
    </row>
    <row r="29" spans="1:17" x14ac:dyDescent="0.25">
      <c r="A29" s="43" t="s">
        <v>426</v>
      </c>
      <c r="B29" s="51">
        <f t="shared" si="4"/>
        <v>3.1757920754999627E-2</v>
      </c>
      <c r="C29" s="51">
        <f t="shared" si="4"/>
        <v>2.6346109532222137E-2</v>
      </c>
      <c r="D29" s="51">
        <f t="shared" si="4"/>
        <v>3.2579471769729557E-2</v>
      </c>
      <c r="E29" s="51">
        <f t="shared" si="4"/>
        <v>2.9267888234806402E-2</v>
      </c>
      <c r="F29" s="51">
        <f t="shared" si="4"/>
        <v>3.7622401649201165E-2</v>
      </c>
      <c r="G29" s="51">
        <f t="shared" si="4"/>
        <v>3.3092876465284041E-2</v>
      </c>
      <c r="H29" s="51">
        <f t="shared" si="4"/>
        <v>2.6074633915918754E-2</v>
      </c>
      <c r="I29" s="51">
        <f t="shared" si="4"/>
        <v>2.1397292993630572E-2</v>
      </c>
      <c r="J29" s="51">
        <f t="shared" si="4"/>
        <v>1.9663215144859324E-2</v>
      </c>
      <c r="K29" s="51">
        <f t="shared" si="6"/>
        <v>1.7847245316483761E-2</v>
      </c>
      <c r="L29" s="51">
        <f t="shared" si="6"/>
        <v>1.3062073748699572E-2</v>
      </c>
      <c r="M29" s="51">
        <f t="shared" ref="M29:N29" si="19">+M12/M$14</f>
        <v>1.3062073748699572E-2</v>
      </c>
      <c r="N29" s="51">
        <f t="shared" si="19"/>
        <v>0</v>
      </c>
      <c r="O29" s="51">
        <f t="shared" ref="O29:Q29" si="20">+O12/O$14</f>
        <v>0</v>
      </c>
      <c r="P29" s="51">
        <f t="shared" si="20"/>
        <v>0</v>
      </c>
      <c r="Q29" s="51">
        <f t="shared" si="20"/>
        <v>0</v>
      </c>
    </row>
    <row r="30" spans="1:17" x14ac:dyDescent="0.25">
      <c r="A30" s="43" t="s">
        <v>89</v>
      </c>
      <c r="B30" s="51">
        <f t="shared" si="4"/>
        <v>1.9474196689386564E-2</v>
      </c>
      <c r="C30" s="51">
        <f t="shared" si="4"/>
        <v>1.9509947000537677E-2</v>
      </c>
      <c r="D30" s="51">
        <f t="shared" si="4"/>
        <v>1.9927249723232641E-2</v>
      </c>
      <c r="E30" s="51">
        <f t="shared" si="4"/>
        <v>2.0976701766022718E-2</v>
      </c>
      <c r="F30" s="51">
        <f t="shared" si="4"/>
        <v>2.1473973544064592E-2</v>
      </c>
      <c r="G30" s="51">
        <f t="shared" si="4"/>
        <v>2.1370604147880973E-2</v>
      </c>
      <c r="H30" s="51">
        <f t="shared" si="4"/>
        <v>2.1917808219178082E-2</v>
      </c>
      <c r="I30" s="51">
        <f t="shared" si="4"/>
        <v>2.1496815286624203E-2</v>
      </c>
      <c r="J30" s="51">
        <f t="shared" si="4"/>
        <v>2.3219328522121118E-2</v>
      </c>
      <c r="K30" s="51">
        <f t="shared" si="6"/>
        <v>3.5916195543731294E-2</v>
      </c>
      <c r="L30" s="51">
        <f t="shared" si="6"/>
        <v>3.9533001965090742E-2</v>
      </c>
      <c r="M30" s="51">
        <f t="shared" ref="M30:N30" si="21">+M13/M$14</f>
        <v>3.9533001965090742E-2</v>
      </c>
      <c r="N30" s="51">
        <f t="shared" si="21"/>
        <v>4.2072681416943709E-2</v>
      </c>
      <c r="O30" s="51">
        <f t="shared" ref="O30:Q30" si="22">+O13/O$14</f>
        <v>4.2072681416943709E-2</v>
      </c>
      <c r="P30" s="51">
        <f t="shared" si="22"/>
        <v>4.2072681416943709E-2</v>
      </c>
      <c r="Q30" s="51">
        <f t="shared" si="22"/>
        <v>4.2072681416943709E-2</v>
      </c>
    </row>
    <row r="31" spans="1:17" x14ac:dyDescent="0.25">
      <c r="B31" s="52">
        <f t="shared" ref="B31:K31" si="23">SUM(B22:B30)</f>
        <v>1</v>
      </c>
      <c r="C31" s="52">
        <f t="shared" si="23"/>
        <v>1</v>
      </c>
      <c r="D31" s="52">
        <f t="shared" si="23"/>
        <v>1</v>
      </c>
      <c r="E31" s="52">
        <f t="shared" si="23"/>
        <v>1</v>
      </c>
      <c r="F31" s="52">
        <f t="shared" si="23"/>
        <v>1.0000000000000002</v>
      </c>
      <c r="G31" s="52">
        <f t="shared" si="23"/>
        <v>0.99999999999999989</v>
      </c>
      <c r="H31" s="52">
        <f t="shared" si="23"/>
        <v>1</v>
      </c>
      <c r="I31" s="52">
        <f t="shared" si="23"/>
        <v>0.99999999999999989</v>
      </c>
      <c r="J31" s="52">
        <f t="shared" si="23"/>
        <v>1</v>
      </c>
      <c r="K31" s="52">
        <f t="shared" si="23"/>
        <v>0.99999999999999989</v>
      </c>
      <c r="L31" s="52">
        <f t="shared" ref="L31:M31" si="24">SUM(L22:L30)</f>
        <v>1</v>
      </c>
      <c r="M31" s="52">
        <f t="shared" si="24"/>
        <v>1</v>
      </c>
      <c r="N31" s="52">
        <f t="shared" ref="N31:Q31" si="25">SUM(N22:N30)</f>
        <v>1</v>
      </c>
      <c r="O31" s="52">
        <f t="shared" si="25"/>
        <v>1</v>
      </c>
      <c r="P31" s="52">
        <f t="shared" si="25"/>
        <v>1</v>
      </c>
      <c r="Q31" s="52">
        <f t="shared" si="25"/>
        <v>1</v>
      </c>
    </row>
    <row r="32" spans="1:17" x14ac:dyDescent="0.25">
      <c r="A32" s="43"/>
    </row>
    <row r="33" spans="1:17" x14ac:dyDescent="0.25">
      <c r="A33" s="43"/>
    </row>
    <row r="34" spans="1:17" x14ac:dyDescent="0.25">
      <c r="A34" s="43" t="s">
        <v>2448</v>
      </c>
      <c r="B34" s="1">
        <f>+'Net Tuition AY'!C22+'Net Tuition AY'!C28</f>
        <v>69910566</v>
      </c>
      <c r="C34" s="1">
        <f>+'Net Tuition AY'!D22+'Net Tuition AY'!D28</f>
        <v>71710839</v>
      </c>
      <c r="D34" s="1">
        <f>+'Net Tuition AY'!E22+'Net Tuition AY'!E28</f>
        <v>70595546</v>
      </c>
      <c r="E34" s="1">
        <f>+'Net Tuition AY'!F22+'Net Tuition AY'!F28</f>
        <v>67403605</v>
      </c>
      <c r="F34" s="1">
        <f>+'Net Tuition AY'!G22+'Net Tuition AY'!G28</f>
        <v>68637299.310000002</v>
      </c>
      <c r="G34" s="1">
        <f>+'Net Tuition AY'!H22+'Net Tuition AY'!H28</f>
        <v>62160722.159999996</v>
      </c>
      <c r="H34" s="1">
        <f>+'Net Tuition AY'!I22+'Net Tuition AY'!I28</f>
        <v>60930538.140000001</v>
      </c>
      <c r="I34" s="1">
        <f>+'Net Tuition AY'!J22+'Net Tuition AY'!J28</f>
        <v>59654205.479999997</v>
      </c>
      <c r="J34" s="1">
        <f>+'Net Tuition AY'!K22+'Net Tuition AY'!K28</f>
        <v>54240547.050000004</v>
      </c>
      <c r="K34" s="1">
        <f>+'Net Tuition AY'!L22+'Net Tuition AY'!L28</f>
        <v>50216153.57</v>
      </c>
      <c r="L34" s="1">
        <f>+'Net Tuition AY'!M22+'Net Tuition AY'!M28</f>
        <v>46280952.209999993</v>
      </c>
      <c r="M34" s="1">
        <f>+'Net Tuition AY'!N22+'Net Tuition AY'!N28</f>
        <v>47779944.310000002</v>
      </c>
      <c r="N34" s="1">
        <f>+'Net Tuition AY'!O22+'Net Tuition AY'!O28</f>
        <v>50522855.609999999</v>
      </c>
      <c r="O34" s="1">
        <f>+'Net Tuition AY'!P22+'Net Tuition AY'!P28</f>
        <v>53904067</v>
      </c>
      <c r="P34" s="1">
        <f>+'Net Tuition AY'!Q22+'Net Tuition AY'!Q28</f>
        <v>57438655.037031688</v>
      </c>
      <c r="Q34" s="1">
        <f>+'Net Tuition AY'!R22+'Net Tuition AY'!R28</f>
        <v>0</v>
      </c>
    </row>
    <row r="35" spans="1:17" x14ac:dyDescent="0.25">
      <c r="A35" s="43"/>
      <c r="K35" s="1"/>
      <c r="L35" s="1"/>
      <c r="N35" s="1"/>
      <c r="O35" s="1"/>
      <c r="P35" s="1"/>
      <c r="Q35" s="1"/>
    </row>
    <row r="36" spans="1:17" x14ac:dyDescent="0.25">
      <c r="A36" s="5" t="s">
        <v>75</v>
      </c>
      <c r="B36" s="5">
        <f t="shared" ref="B36:J36" si="26">+B34*B24</f>
        <v>8299621.5347165009</v>
      </c>
      <c r="C36" s="5">
        <f t="shared" si="26"/>
        <v>8625791.0649051387</v>
      </c>
      <c r="D36" s="5">
        <f t="shared" si="26"/>
        <v>8440650.4469397441</v>
      </c>
      <c r="E36" s="5">
        <f t="shared" si="26"/>
        <v>8114587.0541414479</v>
      </c>
      <c r="F36" s="5">
        <f t="shared" si="26"/>
        <v>8324675.0236832164</v>
      </c>
      <c r="G36" s="5">
        <f t="shared" si="26"/>
        <v>7863975.94143192</v>
      </c>
      <c r="H36" s="5">
        <f t="shared" si="26"/>
        <v>8277573.3439130858</v>
      </c>
      <c r="I36" s="5">
        <f t="shared" si="26"/>
        <v>8192954.1761942673</v>
      </c>
      <c r="J36" s="5">
        <f t="shared" si="26"/>
        <v>6762339.9313460942</v>
      </c>
      <c r="K36" s="5">
        <f>+K34*K24</f>
        <v>3122853.5808413704</v>
      </c>
      <c r="L36" s="5">
        <f>+L34*L24</f>
        <v>2765836.5845069932</v>
      </c>
      <c r="M36" s="5">
        <f>+M34*M24</f>
        <v>2855419.166370362</v>
      </c>
      <c r="N36" s="5">
        <f>+N34*M24</f>
        <v>3019340.6947601433</v>
      </c>
      <c r="O36" s="5">
        <f t="shared" ref="O36:Q36" si="27">+O34*N24</f>
        <v>3213357.1982116243</v>
      </c>
      <c r="P36" s="5">
        <f t="shared" si="27"/>
        <v>3424062.8934147055</v>
      </c>
      <c r="Q36" s="5">
        <f t="shared" si="27"/>
        <v>0</v>
      </c>
    </row>
    <row r="37" spans="1:17" x14ac:dyDescent="0.25">
      <c r="A37" s="5" t="s">
        <v>77</v>
      </c>
      <c r="B37" s="5">
        <f t="shared" ref="B37:J37" si="28">+B34*B26</f>
        <v>5896134.9199310914</v>
      </c>
      <c r="C37" s="5">
        <f t="shared" si="28"/>
        <v>6642850.5902143028</v>
      </c>
      <c r="D37" s="5">
        <f t="shared" si="28"/>
        <v>7061787.5763087142</v>
      </c>
      <c r="E37" s="5">
        <f t="shared" si="28"/>
        <v>7192474.8888981016</v>
      </c>
      <c r="F37" s="5">
        <f t="shared" si="28"/>
        <v>7057107.6510968907</v>
      </c>
      <c r="G37" s="5">
        <f t="shared" si="28"/>
        <v>6681296.7371253371</v>
      </c>
      <c r="H37" s="5">
        <f t="shared" si="28"/>
        <v>6936353.1845725086</v>
      </c>
      <c r="I37" s="5">
        <f t="shared" si="28"/>
        <v>7605198.7679020688</v>
      </c>
      <c r="J37" s="5">
        <f t="shared" si="28"/>
        <v>8072826.9482428627</v>
      </c>
      <c r="K37" s="5">
        <f>+K34*K26</f>
        <v>11227799.772828955</v>
      </c>
      <c r="L37" s="5">
        <f>+L34*L26</f>
        <v>10753059.061622933</v>
      </c>
      <c r="M37" s="5">
        <f>+M34*M26</f>
        <v>11101339.50561785</v>
      </c>
      <c r="N37" s="5">
        <f>+N34*M26</f>
        <v>11738635.969957231</v>
      </c>
      <c r="O37" s="5">
        <f t="shared" ref="O37:Q37" si="29">+O34*N26</f>
        <v>12544452.139172303</v>
      </c>
      <c r="P37" s="5">
        <f t="shared" si="29"/>
        <v>13367014.756984331</v>
      </c>
      <c r="Q37" s="5">
        <f t="shared" si="29"/>
        <v>0</v>
      </c>
    </row>
    <row r="38" spans="1:17" x14ac:dyDescent="0.25">
      <c r="A38" s="5" t="s">
        <v>79</v>
      </c>
      <c r="B38" s="5">
        <f t="shared" ref="B38:J38" si="30">+B34*B25</f>
        <v>4508501.0355778597</v>
      </c>
      <c r="C38" s="5">
        <f t="shared" si="30"/>
        <v>5067514.5464321375</v>
      </c>
      <c r="D38" s="5">
        <f t="shared" si="30"/>
        <v>4985119.6092044916</v>
      </c>
      <c r="E38" s="5">
        <f t="shared" si="30"/>
        <v>4817337.4935743306</v>
      </c>
      <c r="F38" s="5">
        <f t="shared" si="30"/>
        <v>4970043.2329780106</v>
      </c>
      <c r="G38" s="5">
        <f t="shared" si="30"/>
        <v>4646640.0965410275</v>
      </c>
      <c r="H38" s="5">
        <f t="shared" si="30"/>
        <v>4915888.4810165325</v>
      </c>
      <c r="I38" s="5">
        <f t="shared" si="30"/>
        <v>5064195.5886186305</v>
      </c>
      <c r="J38" s="5">
        <f t="shared" si="30"/>
        <v>4754061.1262315661</v>
      </c>
      <c r="K38" s="5">
        <f>+K34*K25</f>
        <v>4742729.5024542734</v>
      </c>
      <c r="L38" s="5">
        <f>+L34*L25</f>
        <v>4483116.1659900583</v>
      </c>
      <c r="M38" s="5">
        <f>+M34*M25</f>
        <v>4628319.654580974</v>
      </c>
      <c r="N38" s="5">
        <f>+N34*M25</f>
        <v>4894018.379514507</v>
      </c>
      <c r="O38" s="5">
        <f t="shared" ref="O38:Q38" si="31">+O34*N25</f>
        <v>5709888.5598991178</v>
      </c>
      <c r="P38" s="5">
        <f t="shared" si="31"/>
        <v>6084296.3721445929</v>
      </c>
      <c r="Q38" s="5">
        <f t="shared" si="31"/>
        <v>0</v>
      </c>
    </row>
    <row r="39" spans="1:17" x14ac:dyDescent="0.25">
      <c r="A39" s="5" t="s">
        <v>81</v>
      </c>
      <c r="B39" s="5">
        <f t="shared" ref="B39:J39" si="32">+B34*B22</f>
        <v>31805615.900232196</v>
      </c>
      <c r="C39" s="5">
        <f t="shared" si="32"/>
        <v>31793145.610876411</v>
      </c>
      <c r="D39" s="5">
        <f t="shared" si="32"/>
        <v>31401229.341293693</v>
      </c>
      <c r="E39" s="5">
        <f t="shared" si="32"/>
        <v>29205807.124616534</v>
      </c>
      <c r="F39" s="5">
        <f t="shared" si="32"/>
        <v>29071510.298712421</v>
      </c>
      <c r="G39" s="5">
        <f t="shared" si="32"/>
        <v>25643399.809017129</v>
      </c>
      <c r="H39" s="5">
        <f t="shared" si="32"/>
        <v>24481585.140238073</v>
      </c>
      <c r="I39" s="5">
        <f t="shared" si="32"/>
        <v>23462720.945159234</v>
      </c>
      <c r="J39" s="5">
        <f t="shared" si="32"/>
        <v>21024523.310040791</v>
      </c>
      <c r="K39" s="5">
        <f>+K34*K22</f>
        <v>18224995.764125928</v>
      </c>
      <c r="L39" s="5">
        <f>+L34*L22</f>
        <v>15904897.806072129</v>
      </c>
      <c r="M39" s="5">
        <f>+M34*M22</f>
        <v>16420040.970249685</v>
      </c>
      <c r="N39" s="5">
        <f>+N34*M22</f>
        <v>17362669.024220321</v>
      </c>
      <c r="O39" s="5">
        <f t="shared" ref="O39:Q39" si="33">+O34*N22</f>
        <v>18229622.566777483</v>
      </c>
      <c r="P39" s="5">
        <f t="shared" si="33"/>
        <v>19424972.183794964</v>
      </c>
      <c r="Q39" s="5">
        <f t="shared" si="33"/>
        <v>0</v>
      </c>
    </row>
    <row r="40" spans="1:17" x14ac:dyDescent="0.25">
      <c r="A40" s="5" t="s">
        <v>83</v>
      </c>
      <c r="B40" s="5">
        <f t="shared" ref="B40:J40" si="34">+B34*B27</f>
        <v>6707769.8334207181</v>
      </c>
      <c r="C40" s="5">
        <f t="shared" si="34"/>
        <v>7094520.3650049921</v>
      </c>
      <c r="D40" s="5">
        <f t="shared" si="34"/>
        <v>6520290.8214455163</v>
      </c>
      <c r="E40" s="5">
        <f t="shared" si="34"/>
        <v>6432430.9223944945</v>
      </c>
      <c r="F40" s="5">
        <f t="shared" si="34"/>
        <v>6497019.7422796767</v>
      </c>
      <c r="G40" s="5">
        <f t="shared" si="34"/>
        <v>5823714.1861352567</v>
      </c>
      <c r="H40" s="5">
        <f t="shared" si="34"/>
        <v>5422443.7343297116</v>
      </c>
      <c r="I40" s="5">
        <f t="shared" si="34"/>
        <v>5378852.5243710186</v>
      </c>
      <c r="J40" s="5">
        <f t="shared" si="34"/>
        <v>5128485.9882020717</v>
      </c>
      <c r="K40" s="5">
        <f>+K34*K27</f>
        <v>4531199.3133776747</v>
      </c>
      <c r="L40" s="5">
        <f>+L34*L27</f>
        <v>4274474.7215108071</v>
      </c>
      <c r="M40" s="5">
        <f>+M34*M27</f>
        <v>4412920.5298451046</v>
      </c>
      <c r="N40" s="5">
        <f>+N34*M27</f>
        <v>4666253.8009929489</v>
      </c>
      <c r="O40" s="5">
        <f t="shared" ref="O40:Q40" si="35">+O34*N27</f>
        <v>5091935.2525507286</v>
      </c>
      <c r="P40" s="5">
        <f t="shared" si="35"/>
        <v>5425822.7387956111</v>
      </c>
      <c r="Q40" s="5">
        <f t="shared" si="35"/>
        <v>0</v>
      </c>
    </row>
    <row r="41" spans="1:17" x14ac:dyDescent="0.25">
      <c r="A41" s="5" t="s">
        <v>85</v>
      </c>
      <c r="B41" s="5">
        <f t="shared" ref="B41:J41" si="36">+B34*0</f>
        <v>0</v>
      </c>
      <c r="C41" s="5">
        <f t="shared" si="36"/>
        <v>0</v>
      </c>
      <c r="D41" s="5">
        <f t="shared" si="36"/>
        <v>0</v>
      </c>
      <c r="E41" s="5">
        <f t="shared" si="36"/>
        <v>0</v>
      </c>
      <c r="F41" s="5">
        <f t="shared" si="36"/>
        <v>0</v>
      </c>
      <c r="G41" s="5">
        <f t="shared" si="36"/>
        <v>0</v>
      </c>
      <c r="H41" s="5">
        <f t="shared" si="36"/>
        <v>0</v>
      </c>
      <c r="I41" s="5">
        <f t="shared" si="36"/>
        <v>0</v>
      </c>
      <c r="J41" s="5">
        <f t="shared" si="36"/>
        <v>0</v>
      </c>
      <c r="K41" s="5">
        <f>+K34*0</f>
        <v>0</v>
      </c>
      <c r="L41" s="5">
        <f>+L34*0</f>
        <v>0</v>
      </c>
      <c r="M41" s="5">
        <f>+M34*0</f>
        <v>0</v>
      </c>
      <c r="N41" s="5">
        <f>+N34*0</f>
        <v>0</v>
      </c>
      <c r="O41" s="5">
        <f t="shared" ref="O41:Q41" si="37">+O34*0</f>
        <v>0</v>
      </c>
      <c r="P41" s="5">
        <f t="shared" si="37"/>
        <v>0</v>
      </c>
      <c r="Q41" s="5">
        <f t="shared" si="37"/>
        <v>0</v>
      </c>
    </row>
    <row r="42" spans="1:17" x14ac:dyDescent="0.25">
      <c r="A42" s="5" t="s">
        <v>87</v>
      </c>
      <c r="B42" s="5">
        <f t="shared" ref="B42:J42" si="38">+B34*B23</f>
        <v>8948929.4655082021</v>
      </c>
      <c r="C42" s="5">
        <f t="shared" si="38"/>
        <v>9049919.9997695666</v>
      </c>
      <c r="D42" s="5">
        <f t="shared" si="38"/>
        <v>8351331.394591175</v>
      </c>
      <c r="E42" s="5">
        <f t="shared" si="38"/>
        <v>8142529.8470276101</v>
      </c>
      <c r="F42" s="5">
        <f t="shared" si="38"/>
        <v>8531023.2006158736</v>
      </c>
      <c r="G42" s="5">
        <f t="shared" si="38"/>
        <v>8020919.153377817</v>
      </c>
      <c r="H42" s="5">
        <f t="shared" si="38"/>
        <v>7909169.5233216817</v>
      </c>
      <c r="I42" s="5">
        <f t="shared" si="38"/>
        <v>7302415.6787818465</v>
      </c>
      <c r="J42" s="5">
        <f t="shared" si="38"/>
        <v>6098586.7669438347</v>
      </c>
      <c r="K42" s="5">
        <f>+K34*K23</f>
        <v>5577717.0909145325</v>
      </c>
      <c r="L42" s="5">
        <f>+L34*L23</f>
        <v>5569121.633407698</v>
      </c>
      <c r="M42" s="5">
        <f>+M34*M23</f>
        <v>5749499.7141035721</v>
      </c>
      <c r="N42" s="5">
        <f>+N34*M23</f>
        <v>6079562.2113062069</v>
      </c>
      <c r="O42" s="5">
        <f t="shared" ref="O42:Q42" si="39">+O34*N23</f>
        <v>6846922.6454201536</v>
      </c>
      <c r="P42" s="5">
        <f t="shared" si="39"/>
        <v>7295887.8575067185</v>
      </c>
      <c r="Q42" s="5">
        <f t="shared" si="39"/>
        <v>0</v>
      </c>
    </row>
    <row r="43" spans="1:17" x14ac:dyDescent="0.25">
      <c r="A43" s="5" t="s">
        <v>89</v>
      </c>
      <c r="B43" s="5">
        <f t="shared" ref="B43:J43" si="40">+B34*B30</f>
        <v>1361452.1129503408</v>
      </c>
      <c r="C43" s="5">
        <f t="shared" si="40"/>
        <v>1399074.6682540902</v>
      </c>
      <c r="D43" s="5">
        <f t="shared" si="40"/>
        <v>1406775.0744899572</v>
      </c>
      <c r="E43" s="5">
        <f t="shared" si="40"/>
        <v>1413905.3200397978</v>
      </c>
      <c r="F43" s="5">
        <f t="shared" si="40"/>
        <v>1473915.5495189829</v>
      </c>
      <c r="G43" s="5">
        <f t="shared" si="40"/>
        <v>1328412.1868277725</v>
      </c>
      <c r="H43" s="5">
        <f t="shared" si="40"/>
        <v>1335463.8496438356</v>
      </c>
      <c r="I43" s="5">
        <f t="shared" si="40"/>
        <v>1282375.4362738852</v>
      </c>
      <c r="J43" s="5">
        <f t="shared" si="40"/>
        <v>1259429.0811735175</v>
      </c>
      <c r="K43" s="5">
        <f>+K34*K30</f>
        <v>1803573.1910741604</v>
      </c>
      <c r="L43" s="5">
        <f>+L34*L30</f>
        <v>1829624.9746642003</v>
      </c>
      <c r="M43" s="5">
        <f>+M34*M30</f>
        <v>1888884.6322991564</v>
      </c>
      <c r="N43" s="5">
        <f>+N34*M30</f>
        <v>1997320.1501121258</v>
      </c>
      <c r="O43" s="5">
        <f t="shared" ref="O43:Q43" si="41">+O34*N30</f>
        <v>2267888.6379685886</v>
      </c>
      <c r="P43" s="5">
        <f t="shared" si="41"/>
        <v>2416598.2343907631</v>
      </c>
      <c r="Q43" s="5">
        <f t="shared" si="41"/>
        <v>0</v>
      </c>
    </row>
    <row r="44" spans="1:17" x14ac:dyDescent="0.25">
      <c r="A44" s="5" t="s">
        <v>91</v>
      </c>
      <c r="B44" s="5">
        <f>+'Net Tuition AY'!C23+'Net Tuition AY'!C29</f>
        <v>5507952</v>
      </c>
      <c r="C44" s="5">
        <f>+'Net Tuition AY'!D23+'Net Tuition AY'!D29</f>
        <v>5613295</v>
      </c>
      <c r="D44" s="5">
        <f>+'Net Tuition AY'!E23+'Net Tuition AY'!E29</f>
        <v>4887297</v>
      </c>
      <c r="E44" s="5">
        <f>+'Net Tuition AY'!F23+'Net Tuition AY'!F29</f>
        <v>4565280</v>
      </c>
      <c r="F44" s="5">
        <f>+'Net Tuition AY'!G23+'Net Tuition AY'!G29</f>
        <v>4166385.85</v>
      </c>
      <c r="G44" s="5">
        <f>+'Net Tuition AY'!H23+'Net Tuition AY'!H29</f>
        <v>3938990.04</v>
      </c>
      <c r="H44" s="5">
        <f>+'Net Tuition AY'!I23+'Net Tuition AY'!I29</f>
        <v>3866438.1700000004</v>
      </c>
      <c r="I44" s="5">
        <f>+'Net Tuition AY'!J23+'Net Tuition AY'!J29</f>
        <v>3893850.6599999997</v>
      </c>
      <c r="J44" s="5">
        <f>+'Net Tuition AY'!K23+'Net Tuition AY'!K29</f>
        <v>3648420.38</v>
      </c>
      <c r="K44" s="5">
        <f>+'Net Tuition AY'!L23+'Net Tuition AY'!L29</f>
        <v>3436824.6700000004</v>
      </c>
      <c r="L44" s="5">
        <f>+'Net Tuition AY'!M23+'Net Tuition AY'!M29</f>
        <v>3036858.0599999996</v>
      </c>
      <c r="M44" s="5">
        <f>+'Net Tuition AY'!N23+'Net Tuition AY'!N29</f>
        <v>3078610.29</v>
      </c>
      <c r="N44" s="5">
        <f>+'Net Tuition AY'!O23+'Net Tuition AY'!O29</f>
        <v>3639254</v>
      </c>
      <c r="O44" s="5">
        <f>+'Net Tuition AY'!P23+'Net Tuition AY'!P29</f>
        <v>3928079</v>
      </c>
      <c r="P44" s="5">
        <f>+'Net Tuition AY'!Q23+'Net Tuition AY'!Q29</f>
        <v>3881125.5436480436</v>
      </c>
      <c r="Q44" s="5">
        <f>+'Net Tuition AY'!R23+'Net Tuition AY'!R29</f>
        <v>0</v>
      </c>
    </row>
    <row r="45" spans="1:17" x14ac:dyDescent="0.25">
      <c r="A45" s="5" t="s">
        <v>92</v>
      </c>
      <c r="B45" s="5">
        <f t="shared" ref="B45:J45" si="42">+B34*0</f>
        <v>0</v>
      </c>
      <c r="C45" s="5">
        <f t="shared" si="42"/>
        <v>0</v>
      </c>
      <c r="D45" s="5">
        <f t="shared" si="42"/>
        <v>0</v>
      </c>
      <c r="E45" s="5">
        <f t="shared" si="42"/>
        <v>0</v>
      </c>
      <c r="F45" s="5">
        <f t="shared" si="42"/>
        <v>0</v>
      </c>
      <c r="G45" s="5">
        <f t="shared" si="42"/>
        <v>0</v>
      </c>
      <c r="H45" s="5">
        <f t="shared" si="42"/>
        <v>0</v>
      </c>
      <c r="I45" s="5">
        <f t="shared" si="42"/>
        <v>0</v>
      </c>
      <c r="J45" s="5">
        <f t="shared" si="42"/>
        <v>0</v>
      </c>
      <c r="K45" s="5">
        <f>+K34*0</f>
        <v>0</v>
      </c>
      <c r="L45" s="5">
        <f>+L34*0</f>
        <v>0</v>
      </c>
      <c r="M45" s="5">
        <f>+M34*0</f>
        <v>0</v>
      </c>
      <c r="N45" s="5">
        <f>+N34*0</f>
        <v>0</v>
      </c>
      <c r="O45" s="5">
        <f t="shared" ref="O45:Q45" si="43">+O34*0</f>
        <v>0</v>
      </c>
      <c r="P45" s="5">
        <f t="shared" si="43"/>
        <v>0</v>
      </c>
      <c r="Q45" s="5">
        <f t="shared" si="43"/>
        <v>0</v>
      </c>
    </row>
    <row r="46" spans="1:17" x14ac:dyDescent="0.25">
      <c r="A46" s="5" t="s">
        <v>93</v>
      </c>
      <c r="B46" s="5">
        <f t="shared" ref="B46:J46" si="44">+B34*(B28+B29)</f>
        <v>2382541.1976630962</v>
      </c>
      <c r="C46" s="5">
        <f t="shared" si="44"/>
        <v>2038022.1545433598</v>
      </c>
      <c r="D46" s="5">
        <f t="shared" si="44"/>
        <v>2428361.7357267118</v>
      </c>
      <c r="E46" s="5">
        <f t="shared" si="44"/>
        <v>2084532.3493076861</v>
      </c>
      <c r="F46" s="5">
        <f t="shared" si="44"/>
        <v>2712004.6111149285</v>
      </c>
      <c r="G46" s="5">
        <f t="shared" si="44"/>
        <v>2152364.0495437332</v>
      </c>
      <c r="H46" s="5">
        <f t="shared" si="44"/>
        <v>1652060.8829645726</v>
      </c>
      <c r="I46" s="5">
        <f t="shared" si="44"/>
        <v>1365492.3626990444</v>
      </c>
      <c r="J46" s="5">
        <f t="shared" si="44"/>
        <v>1140293.8978192657</v>
      </c>
      <c r="K46" s="5">
        <f>+K34*(K28+K29)</f>
        <v>985285.35438310611</v>
      </c>
      <c r="L46" s="5">
        <f>+L34*(L28+L29)</f>
        <v>700821.26222517621</v>
      </c>
      <c r="M46" s="5">
        <f>+M34*(M28+M29)</f>
        <v>723520.13693330251</v>
      </c>
      <c r="N46" s="5">
        <f>+N34*(M28+M29)</f>
        <v>765055.37913651601</v>
      </c>
      <c r="O46" s="5">
        <f t="shared" ref="O46:Q46" si="45">+O34*(N28+N29)</f>
        <v>0</v>
      </c>
      <c r="P46" s="5">
        <f t="shared" si="45"/>
        <v>0</v>
      </c>
      <c r="Q46" s="5">
        <f t="shared" si="45"/>
        <v>0</v>
      </c>
    </row>
    <row r="47" spans="1:17" x14ac:dyDescent="0.25">
      <c r="A47" s="5" t="s">
        <v>95</v>
      </c>
      <c r="B47" s="5">
        <f t="shared" ref="B47:J47" si="46">+B34*0</f>
        <v>0</v>
      </c>
      <c r="C47" s="5">
        <f t="shared" si="46"/>
        <v>0</v>
      </c>
      <c r="D47" s="5">
        <f t="shared" si="46"/>
        <v>0</v>
      </c>
      <c r="E47" s="5">
        <f t="shared" si="46"/>
        <v>0</v>
      </c>
      <c r="F47" s="5">
        <f t="shared" si="46"/>
        <v>0</v>
      </c>
      <c r="G47" s="5">
        <f t="shared" si="46"/>
        <v>0</v>
      </c>
      <c r="H47" s="5">
        <f t="shared" si="46"/>
        <v>0</v>
      </c>
      <c r="I47" s="5">
        <f t="shared" si="46"/>
        <v>0</v>
      </c>
      <c r="J47" s="5">
        <f t="shared" si="46"/>
        <v>0</v>
      </c>
      <c r="K47" s="5">
        <f>+K34*0</f>
        <v>0</v>
      </c>
      <c r="L47" s="5">
        <f>+L34*0</f>
        <v>0</v>
      </c>
      <c r="M47" s="5">
        <f>+M34*0</f>
        <v>0</v>
      </c>
      <c r="N47" s="5">
        <f>+N34*0</f>
        <v>0</v>
      </c>
      <c r="O47" s="5">
        <f t="shared" ref="O47:Q47" si="47">+O34*0</f>
        <v>0</v>
      </c>
      <c r="P47" s="5">
        <f t="shared" si="47"/>
        <v>0</v>
      </c>
      <c r="Q47" s="5">
        <f t="shared" si="47"/>
        <v>0</v>
      </c>
    </row>
    <row r="48" spans="1:17" x14ac:dyDescent="0.25">
      <c r="A48" s="5" t="s">
        <v>26</v>
      </c>
      <c r="B48" s="5">
        <f t="shared" ref="B48:J48" si="48">+B34*0</f>
        <v>0</v>
      </c>
      <c r="C48" s="5">
        <f t="shared" si="48"/>
        <v>0</v>
      </c>
      <c r="D48" s="5">
        <f t="shared" si="48"/>
        <v>0</v>
      </c>
      <c r="E48" s="5">
        <f t="shared" si="48"/>
        <v>0</v>
      </c>
      <c r="F48" s="5">
        <f t="shared" si="48"/>
        <v>0</v>
      </c>
      <c r="G48" s="5">
        <f t="shared" si="48"/>
        <v>0</v>
      </c>
      <c r="H48" s="5">
        <f t="shared" si="48"/>
        <v>0</v>
      </c>
      <c r="I48" s="5">
        <f t="shared" si="48"/>
        <v>0</v>
      </c>
      <c r="J48" s="5">
        <f t="shared" si="48"/>
        <v>0</v>
      </c>
      <c r="K48" s="5">
        <f>+K34*0</f>
        <v>0</v>
      </c>
      <c r="L48" s="5">
        <f>+L34*0</f>
        <v>0</v>
      </c>
      <c r="M48" s="5">
        <f>+M34*0</f>
        <v>0</v>
      </c>
      <c r="N48" s="5">
        <f>+N34*0</f>
        <v>0</v>
      </c>
      <c r="O48" s="5">
        <f t="shared" ref="O48:Q48" si="49">+O34*0</f>
        <v>0</v>
      </c>
      <c r="P48" s="5">
        <f t="shared" si="49"/>
        <v>0</v>
      </c>
      <c r="Q48" s="5">
        <f t="shared" si="49"/>
        <v>0</v>
      </c>
    </row>
    <row r="49" spans="2:17" ht="15.75" thickBot="1" x14ac:dyDescent="0.3">
      <c r="B49" s="24">
        <f t="shared" ref="B49:J49" si="50">SUM(B36:B48)</f>
        <v>75418518</v>
      </c>
      <c r="C49" s="24">
        <f t="shared" si="50"/>
        <v>77324134</v>
      </c>
      <c r="D49" s="24">
        <f t="shared" si="50"/>
        <v>75482843</v>
      </c>
      <c r="E49" s="24">
        <f t="shared" si="50"/>
        <v>71968885</v>
      </c>
      <c r="F49" s="24">
        <f t="shared" si="50"/>
        <v>72803685.159999996</v>
      </c>
      <c r="G49" s="24">
        <f t="shared" si="50"/>
        <v>66099712.199999988</v>
      </c>
      <c r="H49" s="24">
        <f t="shared" si="50"/>
        <v>64796976.31000001</v>
      </c>
      <c r="I49" s="24">
        <f t="shared" si="50"/>
        <v>63548056.140000001</v>
      </c>
      <c r="J49" s="24">
        <f t="shared" si="50"/>
        <v>57888967.430000007</v>
      </c>
      <c r="K49" s="24">
        <f>SUM(K36:K48)</f>
        <v>53652978.240000002</v>
      </c>
      <c r="L49" s="24">
        <f>SUM(L36:L48)</f>
        <v>49317810.269999996</v>
      </c>
      <c r="M49" s="24">
        <f>SUM(M36:M48)</f>
        <v>50858554.600000001</v>
      </c>
      <c r="N49" s="24">
        <f>SUM(N36:N48)</f>
        <v>54162109.609999999</v>
      </c>
      <c r="O49" s="24">
        <f t="shared" ref="O49:Q49" si="51">SUM(O36:O48)</f>
        <v>57832146</v>
      </c>
      <c r="P49" s="24">
        <f t="shared" si="51"/>
        <v>61319780.580679737</v>
      </c>
      <c r="Q49" s="24">
        <f t="shared" si="51"/>
        <v>0</v>
      </c>
    </row>
    <row r="50" spans="2:17" ht="15.75" thickTop="1" x14ac:dyDescent="0.25"/>
  </sheetData>
  <pageMargins left="0.7" right="0.7" top="0.75" bottom="0.75" header="0.3" footer="0.3"/>
  <pageSetup scale="6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2520"/>
  <sheetViews>
    <sheetView topLeftCell="A1966" workbookViewId="0">
      <selection activeCell="S44" sqref="S44"/>
    </sheetView>
  </sheetViews>
  <sheetFormatPr defaultRowHeight="15" x14ac:dyDescent="0.25"/>
  <cols>
    <col min="1" max="1" width="28.7109375" bestFit="1" customWidth="1"/>
    <col min="2" max="2" width="14.42578125" bestFit="1" customWidth="1"/>
    <col min="3" max="3" width="32.140625" bestFit="1" customWidth="1"/>
    <col min="4" max="4" width="5" bestFit="1" customWidth="1"/>
    <col min="5" max="5" width="13.42578125" bestFit="1" customWidth="1"/>
  </cols>
  <sheetData>
    <row r="1" spans="1:5" x14ac:dyDescent="0.25">
      <c r="A1" s="48" t="s">
        <v>428</v>
      </c>
      <c r="B1" s="48" t="s">
        <v>2449</v>
      </c>
      <c r="C1" s="48" t="s">
        <v>2450</v>
      </c>
      <c r="D1" s="48" t="s">
        <v>326</v>
      </c>
      <c r="E1" s="48" t="s">
        <v>2451</v>
      </c>
    </row>
    <row r="2" spans="1:5" x14ac:dyDescent="0.25">
      <c r="A2" t="s">
        <v>420</v>
      </c>
      <c r="B2" t="s">
        <v>2452</v>
      </c>
      <c r="C2" t="s">
        <v>2453</v>
      </c>
      <c r="D2">
        <v>2019</v>
      </c>
      <c r="E2">
        <v>520</v>
      </c>
    </row>
    <row r="3" spans="1:5" x14ac:dyDescent="0.25">
      <c r="A3" t="s">
        <v>420</v>
      </c>
      <c r="B3" t="s">
        <v>2452</v>
      </c>
      <c r="C3" t="s">
        <v>2454</v>
      </c>
      <c r="D3">
        <v>2019</v>
      </c>
      <c r="E3">
        <v>6</v>
      </c>
    </row>
    <row r="4" spans="1:5" x14ac:dyDescent="0.25">
      <c r="A4" t="s">
        <v>420</v>
      </c>
      <c r="B4" t="s">
        <v>2452</v>
      </c>
      <c r="C4" t="s">
        <v>2455</v>
      </c>
      <c r="D4">
        <v>2019</v>
      </c>
      <c r="E4">
        <v>1</v>
      </c>
    </row>
    <row r="5" spans="1:5" x14ac:dyDescent="0.25">
      <c r="A5" t="s">
        <v>420</v>
      </c>
      <c r="B5" t="s">
        <v>2452</v>
      </c>
      <c r="C5" t="s">
        <v>2453</v>
      </c>
      <c r="D5">
        <v>2018</v>
      </c>
      <c r="E5">
        <v>548</v>
      </c>
    </row>
    <row r="6" spans="1:5" x14ac:dyDescent="0.25">
      <c r="A6" t="s">
        <v>420</v>
      </c>
      <c r="B6" t="s">
        <v>2452</v>
      </c>
      <c r="C6" t="s">
        <v>2456</v>
      </c>
      <c r="D6">
        <v>2018</v>
      </c>
      <c r="E6">
        <v>5</v>
      </c>
    </row>
    <row r="7" spans="1:5" x14ac:dyDescent="0.25">
      <c r="A7" t="s">
        <v>420</v>
      </c>
      <c r="B7" t="s">
        <v>2452</v>
      </c>
      <c r="C7" t="s">
        <v>2457</v>
      </c>
      <c r="D7">
        <v>2018</v>
      </c>
      <c r="E7">
        <v>1</v>
      </c>
    </row>
    <row r="8" spans="1:5" x14ac:dyDescent="0.25">
      <c r="A8" t="s">
        <v>420</v>
      </c>
      <c r="B8" t="s">
        <v>2452</v>
      </c>
      <c r="C8" t="s">
        <v>2454</v>
      </c>
      <c r="D8">
        <v>2018</v>
      </c>
      <c r="E8">
        <v>13</v>
      </c>
    </row>
    <row r="9" spans="1:5" x14ac:dyDescent="0.25">
      <c r="A9" t="s">
        <v>420</v>
      </c>
      <c r="B9" t="s">
        <v>2452</v>
      </c>
      <c r="C9" t="s">
        <v>2453</v>
      </c>
      <c r="D9">
        <v>2017</v>
      </c>
      <c r="E9">
        <v>586</v>
      </c>
    </row>
    <row r="10" spans="1:5" x14ac:dyDescent="0.25">
      <c r="A10" t="s">
        <v>420</v>
      </c>
      <c r="B10" t="s">
        <v>2452</v>
      </c>
      <c r="C10" t="s">
        <v>2456</v>
      </c>
      <c r="D10">
        <v>2017</v>
      </c>
      <c r="E10">
        <v>25</v>
      </c>
    </row>
    <row r="11" spans="1:5" x14ac:dyDescent="0.25">
      <c r="A11" t="s">
        <v>420</v>
      </c>
      <c r="B11" t="s">
        <v>2452</v>
      </c>
      <c r="C11" t="s">
        <v>2458</v>
      </c>
      <c r="D11">
        <v>2017</v>
      </c>
      <c r="E11">
        <v>3</v>
      </c>
    </row>
    <row r="12" spans="1:5" x14ac:dyDescent="0.25">
      <c r="A12" t="s">
        <v>420</v>
      </c>
      <c r="B12" t="s">
        <v>2452</v>
      </c>
      <c r="C12" t="s">
        <v>2459</v>
      </c>
      <c r="D12">
        <v>2017</v>
      </c>
      <c r="E12">
        <v>2</v>
      </c>
    </row>
    <row r="13" spans="1:5" x14ac:dyDescent="0.25">
      <c r="A13" t="s">
        <v>420</v>
      </c>
      <c r="B13" t="s">
        <v>2452</v>
      </c>
      <c r="C13" t="s">
        <v>2454</v>
      </c>
      <c r="D13">
        <v>2017</v>
      </c>
      <c r="E13">
        <v>24</v>
      </c>
    </row>
    <row r="14" spans="1:5" x14ac:dyDescent="0.25">
      <c r="A14" t="s">
        <v>420</v>
      </c>
      <c r="B14" t="s">
        <v>2452</v>
      </c>
      <c r="C14" t="s">
        <v>2453</v>
      </c>
      <c r="D14">
        <v>2016</v>
      </c>
      <c r="E14">
        <v>680</v>
      </c>
    </row>
    <row r="15" spans="1:5" x14ac:dyDescent="0.25">
      <c r="A15" t="s">
        <v>420</v>
      </c>
      <c r="B15" t="s">
        <v>2452</v>
      </c>
      <c r="C15" t="s">
        <v>2456</v>
      </c>
      <c r="D15">
        <v>2016</v>
      </c>
      <c r="E15">
        <v>48</v>
      </c>
    </row>
    <row r="16" spans="1:5" x14ac:dyDescent="0.25">
      <c r="A16" t="s">
        <v>420</v>
      </c>
      <c r="B16" t="s">
        <v>2452</v>
      </c>
      <c r="C16" t="s">
        <v>2458</v>
      </c>
      <c r="D16">
        <v>2016</v>
      </c>
      <c r="E16">
        <v>3</v>
      </c>
    </row>
    <row r="17" spans="1:5" x14ac:dyDescent="0.25">
      <c r="A17" t="s">
        <v>420</v>
      </c>
      <c r="B17" t="s">
        <v>2452</v>
      </c>
      <c r="C17" t="s">
        <v>2459</v>
      </c>
      <c r="D17">
        <v>2016</v>
      </c>
      <c r="E17">
        <v>10</v>
      </c>
    </row>
    <row r="18" spans="1:5" x14ac:dyDescent="0.25">
      <c r="A18" t="s">
        <v>420</v>
      </c>
      <c r="B18" t="s">
        <v>2452</v>
      </c>
      <c r="C18" t="s">
        <v>2454</v>
      </c>
      <c r="D18">
        <v>2016</v>
      </c>
      <c r="E18">
        <v>18</v>
      </c>
    </row>
    <row r="19" spans="1:5" x14ac:dyDescent="0.25">
      <c r="A19" t="s">
        <v>420</v>
      </c>
      <c r="B19" t="s">
        <v>2452</v>
      </c>
      <c r="C19" t="s">
        <v>2453</v>
      </c>
      <c r="D19">
        <v>2015</v>
      </c>
      <c r="E19">
        <v>703</v>
      </c>
    </row>
    <row r="20" spans="1:5" x14ac:dyDescent="0.25">
      <c r="A20" t="s">
        <v>420</v>
      </c>
      <c r="B20" t="s">
        <v>2452</v>
      </c>
      <c r="C20" t="s">
        <v>2460</v>
      </c>
      <c r="D20">
        <v>2015</v>
      </c>
      <c r="E20">
        <v>115</v>
      </c>
    </row>
    <row r="21" spans="1:5" x14ac:dyDescent="0.25">
      <c r="A21" t="s">
        <v>420</v>
      </c>
      <c r="B21" t="s">
        <v>2452</v>
      </c>
      <c r="C21" t="s">
        <v>2456</v>
      </c>
      <c r="D21">
        <v>2015</v>
      </c>
      <c r="E21">
        <v>126</v>
      </c>
    </row>
    <row r="22" spans="1:5" x14ac:dyDescent="0.25">
      <c r="A22" t="s">
        <v>420</v>
      </c>
      <c r="B22" t="s">
        <v>2452</v>
      </c>
      <c r="C22" t="s">
        <v>2458</v>
      </c>
      <c r="D22">
        <v>2015</v>
      </c>
      <c r="E22">
        <v>5</v>
      </c>
    </row>
    <row r="23" spans="1:5" x14ac:dyDescent="0.25">
      <c r="A23" t="s">
        <v>420</v>
      </c>
      <c r="B23" t="s">
        <v>2452</v>
      </c>
      <c r="C23" t="s">
        <v>2457</v>
      </c>
      <c r="D23">
        <v>2015</v>
      </c>
      <c r="E23">
        <v>6</v>
      </c>
    </row>
    <row r="24" spans="1:5" x14ac:dyDescent="0.25">
      <c r="A24" t="s">
        <v>420</v>
      </c>
      <c r="B24" t="s">
        <v>2452</v>
      </c>
      <c r="C24" t="s">
        <v>2459</v>
      </c>
      <c r="D24">
        <v>2015</v>
      </c>
      <c r="E24">
        <v>122</v>
      </c>
    </row>
    <row r="25" spans="1:5" x14ac:dyDescent="0.25">
      <c r="A25" t="s">
        <v>420</v>
      </c>
      <c r="B25" t="s">
        <v>2452</v>
      </c>
      <c r="C25" t="s">
        <v>2454</v>
      </c>
      <c r="D25">
        <v>2015</v>
      </c>
      <c r="E25">
        <v>25</v>
      </c>
    </row>
    <row r="26" spans="1:5" x14ac:dyDescent="0.25">
      <c r="A26" t="s">
        <v>420</v>
      </c>
      <c r="B26" t="s">
        <v>2452</v>
      </c>
      <c r="C26" t="s">
        <v>2461</v>
      </c>
      <c r="D26">
        <v>2015</v>
      </c>
      <c r="E26">
        <v>37</v>
      </c>
    </row>
    <row r="27" spans="1:5" x14ac:dyDescent="0.25">
      <c r="A27" t="s">
        <v>420</v>
      </c>
      <c r="B27" t="s">
        <v>2452</v>
      </c>
      <c r="C27" t="s">
        <v>2462</v>
      </c>
      <c r="D27">
        <v>2015</v>
      </c>
      <c r="E27">
        <v>1</v>
      </c>
    </row>
    <row r="28" spans="1:5" x14ac:dyDescent="0.25">
      <c r="A28" t="s">
        <v>420</v>
      </c>
      <c r="B28" t="s">
        <v>2452</v>
      </c>
      <c r="C28" t="s">
        <v>2453</v>
      </c>
      <c r="D28">
        <v>2014</v>
      </c>
      <c r="E28">
        <v>830</v>
      </c>
    </row>
    <row r="29" spans="1:5" x14ac:dyDescent="0.25">
      <c r="A29" t="s">
        <v>420</v>
      </c>
      <c r="B29" t="s">
        <v>2452</v>
      </c>
      <c r="C29" t="s">
        <v>2460</v>
      </c>
      <c r="D29">
        <v>2014</v>
      </c>
      <c r="E29">
        <v>140</v>
      </c>
    </row>
    <row r="30" spans="1:5" x14ac:dyDescent="0.25">
      <c r="A30" t="s">
        <v>420</v>
      </c>
      <c r="B30" t="s">
        <v>2452</v>
      </c>
      <c r="C30" t="s">
        <v>2456</v>
      </c>
      <c r="D30">
        <v>2014</v>
      </c>
      <c r="E30">
        <v>186</v>
      </c>
    </row>
    <row r="31" spans="1:5" x14ac:dyDescent="0.25">
      <c r="A31" t="s">
        <v>420</v>
      </c>
      <c r="B31" t="s">
        <v>2452</v>
      </c>
      <c r="C31" t="s">
        <v>2458</v>
      </c>
      <c r="D31">
        <v>2014</v>
      </c>
      <c r="E31">
        <v>4</v>
      </c>
    </row>
    <row r="32" spans="1:5" x14ac:dyDescent="0.25">
      <c r="A32" t="s">
        <v>420</v>
      </c>
      <c r="B32" t="s">
        <v>2452</v>
      </c>
      <c r="C32" t="s">
        <v>2459</v>
      </c>
      <c r="D32">
        <v>2014</v>
      </c>
      <c r="E32">
        <v>108</v>
      </c>
    </row>
    <row r="33" spans="1:5" x14ac:dyDescent="0.25">
      <c r="A33" t="s">
        <v>420</v>
      </c>
      <c r="B33" t="s">
        <v>2452</v>
      </c>
      <c r="C33" t="s">
        <v>2454</v>
      </c>
      <c r="D33">
        <v>2014</v>
      </c>
      <c r="E33">
        <v>20</v>
      </c>
    </row>
    <row r="34" spans="1:5" x14ac:dyDescent="0.25">
      <c r="A34" t="s">
        <v>420</v>
      </c>
      <c r="B34" t="s">
        <v>2452</v>
      </c>
      <c r="C34" t="s">
        <v>2463</v>
      </c>
      <c r="D34">
        <v>2014</v>
      </c>
      <c r="E34">
        <v>1</v>
      </c>
    </row>
    <row r="35" spans="1:5" x14ac:dyDescent="0.25">
      <c r="A35" t="s">
        <v>420</v>
      </c>
      <c r="B35" t="s">
        <v>2452</v>
      </c>
      <c r="C35" t="s">
        <v>2461</v>
      </c>
      <c r="D35">
        <v>2014</v>
      </c>
      <c r="E35">
        <v>58</v>
      </c>
    </row>
    <row r="36" spans="1:5" x14ac:dyDescent="0.25">
      <c r="A36" t="s">
        <v>420</v>
      </c>
      <c r="B36" t="s">
        <v>2452</v>
      </c>
      <c r="C36" t="s">
        <v>2455</v>
      </c>
      <c r="D36">
        <v>2014</v>
      </c>
      <c r="E36">
        <v>1</v>
      </c>
    </row>
    <row r="37" spans="1:5" x14ac:dyDescent="0.25">
      <c r="A37" t="s">
        <v>420</v>
      </c>
      <c r="B37" t="s">
        <v>2452</v>
      </c>
      <c r="C37" t="s">
        <v>2462</v>
      </c>
      <c r="D37">
        <v>2014</v>
      </c>
      <c r="E37">
        <v>1</v>
      </c>
    </row>
    <row r="38" spans="1:5" x14ac:dyDescent="0.25">
      <c r="A38" t="s">
        <v>420</v>
      </c>
      <c r="B38" t="s">
        <v>2452</v>
      </c>
      <c r="C38" t="s">
        <v>2453</v>
      </c>
      <c r="D38">
        <v>2013</v>
      </c>
      <c r="E38">
        <v>907</v>
      </c>
    </row>
    <row r="39" spans="1:5" x14ac:dyDescent="0.25">
      <c r="A39" t="s">
        <v>420</v>
      </c>
      <c r="B39" t="s">
        <v>2452</v>
      </c>
      <c r="C39" t="s">
        <v>2460</v>
      </c>
      <c r="D39">
        <v>2013</v>
      </c>
      <c r="E39">
        <v>130</v>
      </c>
    </row>
    <row r="40" spans="1:5" x14ac:dyDescent="0.25">
      <c r="A40" t="s">
        <v>420</v>
      </c>
      <c r="B40" t="s">
        <v>2452</v>
      </c>
      <c r="C40" t="s">
        <v>2456</v>
      </c>
      <c r="D40">
        <v>2013</v>
      </c>
      <c r="E40">
        <v>156</v>
      </c>
    </row>
    <row r="41" spans="1:5" x14ac:dyDescent="0.25">
      <c r="A41" t="s">
        <v>420</v>
      </c>
      <c r="B41" t="s">
        <v>2452</v>
      </c>
      <c r="C41" t="s">
        <v>2458</v>
      </c>
      <c r="D41">
        <v>2013</v>
      </c>
      <c r="E41">
        <v>9</v>
      </c>
    </row>
    <row r="42" spans="1:5" x14ac:dyDescent="0.25">
      <c r="A42" t="s">
        <v>420</v>
      </c>
      <c r="B42" t="s">
        <v>2452</v>
      </c>
      <c r="C42" t="s">
        <v>2457</v>
      </c>
      <c r="D42">
        <v>2013</v>
      </c>
      <c r="E42">
        <v>5</v>
      </c>
    </row>
    <row r="43" spans="1:5" x14ac:dyDescent="0.25">
      <c r="A43" t="s">
        <v>420</v>
      </c>
      <c r="B43" t="s">
        <v>2452</v>
      </c>
      <c r="C43" t="s">
        <v>2459</v>
      </c>
      <c r="D43">
        <v>2013</v>
      </c>
      <c r="E43">
        <v>124</v>
      </c>
    </row>
    <row r="44" spans="1:5" x14ac:dyDescent="0.25">
      <c r="A44" t="s">
        <v>420</v>
      </c>
      <c r="B44" t="s">
        <v>2452</v>
      </c>
      <c r="C44" t="s">
        <v>2454</v>
      </c>
      <c r="D44">
        <v>2013</v>
      </c>
      <c r="E44">
        <v>29</v>
      </c>
    </row>
    <row r="45" spans="1:5" x14ac:dyDescent="0.25">
      <c r="A45" t="s">
        <v>420</v>
      </c>
      <c r="B45" t="s">
        <v>2452</v>
      </c>
      <c r="C45" t="s">
        <v>2463</v>
      </c>
      <c r="D45">
        <v>2013</v>
      </c>
      <c r="E45">
        <v>15</v>
      </c>
    </row>
    <row r="46" spans="1:5" x14ac:dyDescent="0.25">
      <c r="A46" t="s">
        <v>420</v>
      </c>
      <c r="B46" t="s">
        <v>2452</v>
      </c>
      <c r="C46" t="s">
        <v>2461</v>
      </c>
      <c r="D46">
        <v>2013</v>
      </c>
      <c r="E46">
        <v>59</v>
      </c>
    </row>
    <row r="47" spans="1:5" x14ac:dyDescent="0.25">
      <c r="A47" t="s">
        <v>420</v>
      </c>
      <c r="B47" t="s">
        <v>2452</v>
      </c>
      <c r="C47" t="s">
        <v>2455</v>
      </c>
      <c r="D47">
        <v>2013</v>
      </c>
      <c r="E47">
        <v>1</v>
      </c>
    </row>
    <row r="48" spans="1:5" x14ac:dyDescent="0.25">
      <c r="A48" t="s">
        <v>420</v>
      </c>
      <c r="B48" t="s">
        <v>2452</v>
      </c>
      <c r="C48" t="s">
        <v>2453</v>
      </c>
      <c r="D48">
        <v>2012</v>
      </c>
      <c r="E48">
        <v>1038</v>
      </c>
    </row>
    <row r="49" spans="1:5" x14ac:dyDescent="0.25">
      <c r="A49" t="s">
        <v>420</v>
      </c>
      <c r="B49" t="s">
        <v>2452</v>
      </c>
      <c r="C49" t="s">
        <v>2460</v>
      </c>
      <c r="D49">
        <v>2012</v>
      </c>
      <c r="E49">
        <v>124</v>
      </c>
    </row>
    <row r="50" spans="1:5" x14ac:dyDescent="0.25">
      <c r="A50" t="s">
        <v>420</v>
      </c>
      <c r="B50" t="s">
        <v>2452</v>
      </c>
      <c r="C50" t="s">
        <v>2456</v>
      </c>
      <c r="D50">
        <v>2012</v>
      </c>
      <c r="E50">
        <v>187</v>
      </c>
    </row>
    <row r="51" spans="1:5" x14ac:dyDescent="0.25">
      <c r="A51" t="s">
        <v>420</v>
      </c>
      <c r="B51" t="s">
        <v>2452</v>
      </c>
      <c r="C51" t="s">
        <v>2458</v>
      </c>
      <c r="D51">
        <v>2012</v>
      </c>
      <c r="E51">
        <v>10</v>
      </c>
    </row>
    <row r="52" spans="1:5" x14ac:dyDescent="0.25">
      <c r="A52" t="s">
        <v>420</v>
      </c>
      <c r="B52" t="s">
        <v>2452</v>
      </c>
      <c r="C52" t="s">
        <v>2457</v>
      </c>
      <c r="D52">
        <v>2012</v>
      </c>
      <c r="E52">
        <v>8</v>
      </c>
    </row>
    <row r="53" spans="1:5" x14ac:dyDescent="0.25">
      <c r="A53" t="s">
        <v>420</v>
      </c>
      <c r="B53" t="s">
        <v>2452</v>
      </c>
      <c r="C53" t="s">
        <v>2459</v>
      </c>
      <c r="D53">
        <v>2012</v>
      </c>
      <c r="E53">
        <v>143</v>
      </c>
    </row>
    <row r="54" spans="1:5" x14ac:dyDescent="0.25">
      <c r="A54" t="s">
        <v>420</v>
      </c>
      <c r="B54" t="s">
        <v>2452</v>
      </c>
      <c r="C54" t="s">
        <v>2454</v>
      </c>
      <c r="D54">
        <v>2012</v>
      </c>
      <c r="E54">
        <v>29</v>
      </c>
    </row>
    <row r="55" spans="1:5" x14ac:dyDescent="0.25">
      <c r="A55" t="s">
        <v>420</v>
      </c>
      <c r="B55" t="s">
        <v>2452</v>
      </c>
      <c r="C55" t="s">
        <v>2463</v>
      </c>
      <c r="D55">
        <v>2012</v>
      </c>
      <c r="E55">
        <v>1</v>
      </c>
    </row>
    <row r="56" spans="1:5" x14ac:dyDescent="0.25">
      <c r="A56" t="s">
        <v>420</v>
      </c>
      <c r="B56" t="s">
        <v>2452</v>
      </c>
      <c r="C56" t="s">
        <v>2461</v>
      </c>
      <c r="D56">
        <v>2012</v>
      </c>
      <c r="E56">
        <v>52</v>
      </c>
    </row>
    <row r="57" spans="1:5" x14ac:dyDescent="0.25">
      <c r="A57" t="s">
        <v>420</v>
      </c>
      <c r="B57" t="s">
        <v>2452</v>
      </c>
      <c r="C57" t="s">
        <v>2453</v>
      </c>
      <c r="D57">
        <v>2011</v>
      </c>
      <c r="E57">
        <v>1058</v>
      </c>
    </row>
    <row r="58" spans="1:5" x14ac:dyDescent="0.25">
      <c r="A58" t="s">
        <v>420</v>
      </c>
      <c r="B58" t="s">
        <v>2452</v>
      </c>
      <c r="C58" t="s">
        <v>2460</v>
      </c>
      <c r="D58">
        <v>2011</v>
      </c>
      <c r="E58">
        <v>151</v>
      </c>
    </row>
    <row r="59" spans="1:5" x14ac:dyDescent="0.25">
      <c r="A59" t="s">
        <v>420</v>
      </c>
      <c r="B59" t="s">
        <v>2452</v>
      </c>
      <c r="C59" t="s">
        <v>2456</v>
      </c>
      <c r="D59">
        <v>2011</v>
      </c>
      <c r="E59">
        <v>167</v>
      </c>
    </row>
    <row r="60" spans="1:5" x14ac:dyDescent="0.25">
      <c r="A60" t="s">
        <v>420</v>
      </c>
      <c r="B60" t="s">
        <v>2452</v>
      </c>
      <c r="C60" t="s">
        <v>2458</v>
      </c>
      <c r="D60">
        <v>2011</v>
      </c>
      <c r="E60">
        <v>7</v>
      </c>
    </row>
    <row r="61" spans="1:5" x14ac:dyDescent="0.25">
      <c r="A61" t="s">
        <v>420</v>
      </c>
      <c r="B61" t="s">
        <v>2452</v>
      </c>
      <c r="C61" t="s">
        <v>2457</v>
      </c>
      <c r="D61">
        <v>2011</v>
      </c>
      <c r="E61">
        <v>27</v>
      </c>
    </row>
    <row r="62" spans="1:5" x14ac:dyDescent="0.25">
      <c r="A62" t="s">
        <v>420</v>
      </c>
      <c r="B62" t="s">
        <v>2452</v>
      </c>
      <c r="C62" t="s">
        <v>2459</v>
      </c>
      <c r="D62">
        <v>2011</v>
      </c>
      <c r="E62">
        <v>141</v>
      </c>
    </row>
    <row r="63" spans="1:5" x14ac:dyDescent="0.25">
      <c r="A63" t="s">
        <v>420</v>
      </c>
      <c r="B63" t="s">
        <v>2452</v>
      </c>
      <c r="C63" t="s">
        <v>2454</v>
      </c>
      <c r="D63">
        <v>2011</v>
      </c>
      <c r="E63">
        <v>38</v>
      </c>
    </row>
    <row r="64" spans="1:5" x14ac:dyDescent="0.25">
      <c r="A64" t="s">
        <v>420</v>
      </c>
      <c r="B64" t="s">
        <v>2452</v>
      </c>
      <c r="C64" t="s">
        <v>2461</v>
      </c>
      <c r="D64">
        <v>2011</v>
      </c>
      <c r="E64">
        <v>56</v>
      </c>
    </row>
    <row r="65" spans="1:5" x14ac:dyDescent="0.25">
      <c r="A65" t="s">
        <v>420</v>
      </c>
      <c r="B65" t="s">
        <v>2452</v>
      </c>
      <c r="C65" t="s">
        <v>2455</v>
      </c>
      <c r="D65">
        <v>2011</v>
      </c>
      <c r="E65">
        <v>1</v>
      </c>
    </row>
    <row r="66" spans="1:5" x14ac:dyDescent="0.25">
      <c r="A66" t="s">
        <v>420</v>
      </c>
      <c r="B66" t="s">
        <v>2452</v>
      </c>
      <c r="C66" t="s">
        <v>2453</v>
      </c>
      <c r="D66">
        <v>2010</v>
      </c>
      <c r="E66">
        <v>1190</v>
      </c>
    </row>
    <row r="67" spans="1:5" x14ac:dyDescent="0.25">
      <c r="A67" t="s">
        <v>420</v>
      </c>
      <c r="B67" t="s">
        <v>2452</v>
      </c>
      <c r="C67" t="s">
        <v>2460</v>
      </c>
      <c r="D67">
        <v>2010</v>
      </c>
      <c r="E67">
        <v>165</v>
      </c>
    </row>
    <row r="68" spans="1:5" x14ac:dyDescent="0.25">
      <c r="A68" t="s">
        <v>420</v>
      </c>
      <c r="B68" t="s">
        <v>2452</v>
      </c>
      <c r="C68" t="s">
        <v>2456</v>
      </c>
      <c r="D68">
        <v>2010</v>
      </c>
      <c r="E68">
        <v>158</v>
      </c>
    </row>
    <row r="69" spans="1:5" x14ac:dyDescent="0.25">
      <c r="A69" t="s">
        <v>420</v>
      </c>
      <c r="B69" t="s">
        <v>2452</v>
      </c>
      <c r="C69" t="s">
        <v>2458</v>
      </c>
      <c r="D69">
        <v>2010</v>
      </c>
      <c r="E69">
        <v>25</v>
      </c>
    </row>
    <row r="70" spans="1:5" x14ac:dyDescent="0.25">
      <c r="A70" t="s">
        <v>420</v>
      </c>
      <c r="B70" t="s">
        <v>2452</v>
      </c>
      <c r="C70" t="s">
        <v>2457</v>
      </c>
      <c r="D70">
        <v>2010</v>
      </c>
      <c r="E70">
        <v>39</v>
      </c>
    </row>
    <row r="71" spans="1:5" x14ac:dyDescent="0.25">
      <c r="A71" t="s">
        <v>420</v>
      </c>
      <c r="B71" t="s">
        <v>2452</v>
      </c>
      <c r="C71" t="s">
        <v>2459</v>
      </c>
      <c r="D71">
        <v>2010</v>
      </c>
      <c r="E71">
        <v>177</v>
      </c>
    </row>
    <row r="72" spans="1:5" x14ac:dyDescent="0.25">
      <c r="A72" t="s">
        <v>420</v>
      </c>
      <c r="B72" t="s">
        <v>2452</v>
      </c>
      <c r="C72" t="s">
        <v>2454</v>
      </c>
      <c r="D72">
        <v>2010</v>
      </c>
      <c r="E72">
        <v>35</v>
      </c>
    </row>
    <row r="73" spans="1:5" x14ac:dyDescent="0.25">
      <c r="A73" t="s">
        <v>420</v>
      </c>
      <c r="B73" t="s">
        <v>2452</v>
      </c>
      <c r="C73" t="s">
        <v>2463</v>
      </c>
      <c r="D73">
        <v>2010</v>
      </c>
      <c r="E73">
        <v>5</v>
      </c>
    </row>
    <row r="74" spans="1:5" x14ac:dyDescent="0.25">
      <c r="A74" t="s">
        <v>420</v>
      </c>
      <c r="B74" t="s">
        <v>2452</v>
      </c>
      <c r="C74" t="s">
        <v>2461</v>
      </c>
      <c r="D74">
        <v>2010</v>
      </c>
      <c r="E74">
        <v>64</v>
      </c>
    </row>
    <row r="75" spans="1:5" x14ac:dyDescent="0.25">
      <c r="A75" t="s">
        <v>420</v>
      </c>
      <c r="B75" t="s">
        <v>2452</v>
      </c>
      <c r="C75" t="s">
        <v>2455</v>
      </c>
      <c r="D75">
        <v>2010</v>
      </c>
      <c r="E75">
        <v>2</v>
      </c>
    </row>
    <row r="76" spans="1:5" x14ac:dyDescent="0.25">
      <c r="A76" t="s">
        <v>420</v>
      </c>
      <c r="B76" t="s">
        <v>2452</v>
      </c>
      <c r="C76" t="s">
        <v>2462</v>
      </c>
      <c r="D76">
        <v>2010</v>
      </c>
      <c r="E76">
        <v>3</v>
      </c>
    </row>
    <row r="77" spans="1:5" x14ac:dyDescent="0.25">
      <c r="A77" t="s">
        <v>420</v>
      </c>
      <c r="B77" t="s">
        <v>2452</v>
      </c>
      <c r="C77" t="s">
        <v>2453</v>
      </c>
      <c r="D77">
        <v>2009</v>
      </c>
      <c r="E77">
        <v>1254</v>
      </c>
    </row>
    <row r="78" spans="1:5" x14ac:dyDescent="0.25">
      <c r="A78" t="s">
        <v>420</v>
      </c>
      <c r="B78" t="s">
        <v>2452</v>
      </c>
      <c r="C78" t="s">
        <v>2460</v>
      </c>
      <c r="D78">
        <v>2009</v>
      </c>
      <c r="E78">
        <v>151</v>
      </c>
    </row>
    <row r="79" spans="1:5" x14ac:dyDescent="0.25">
      <c r="A79" t="s">
        <v>420</v>
      </c>
      <c r="B79" t="s">
        <v>2452</v>
      </c>
      <c r="C79" t="s">
        <v>2456</v>
      </c>
      <c r="D79">
        <v>2009</v>
      </c>
      <c r="E79">
        <v>131</v>
      </c>
    </row>
    <row r="80" spans="1:5" x14ac:dyDescent="0.25">
      <c r="A80" t="s">
        <v>420</v>
      </c>
      <c r="B80" t="s">
        <v>2452</v>
      </c>
      <c r="C80" t="s">
        <v>2458</v>
      </c>
      <c r="D80">
        <v>2009</v>
      </c>
      <c r="E80">
        <v>40</v>
      </c>
    </row>
    <row r="81" spans="1:5" x14ac:dyDescent="0.25">
      <c r="A81" t="s">
        <v>420</v>
      </c>
      <c r="B81" t="s">
        <v>2452</v>
      </c>
      <c r="C81" t="s">
        <v>2457</v>
      </c>
      <c r="D81">
        <v>2009</v>
      </c>
      <c r="E81">
        <v>29</v>
      </c>
    </row>
    <row r="82" spans="1:5" x14ac:dyDescent="0.25">
      <c r="A82" t="s">
        <v>420</v>
      </c>
      <c r="B82" t="s">
        <v>2452</v>
      </c>
      <c r="C82" t="s">
        <v>2459</v>
      </c>
      <c r="D82">
        <v>2009</v>
      </c>
      <c r="E82">
        <v>158</v>
      </c>
    </row>
    <row r="83" spans="1:5" x14ac:dyDescent="0.25">
      <c r="A83" t="s">
        <v>420</v>
      </c>
      <c r="B83" t="s">
        <v>2452</v>
      </c>
      <c r="C83" t="s">
        <v>2454</v>
      </c>
      <c r="D83">
        <v>2009</v>
      </c>
      <c r="E83">
        <v>46</v>
      </c>
    </row>
    <row r="84" spans="1:5" x14ac:dyDescent="0.25">
      <c r="A84" t="s">
        <v>420</v>
      </c>
      <c r="B84" t="s">
        <v>2452</v>
      </c>
      <c r="C84" t="s">
        <v>2463</v>
      </c>
      <c r="D84">
        <v>2009</v>
      </c>
      <c r="E84">
        <v>3</v>
      </c>
    </row>
    <row r="85" spans="1:5" x14ac:dyDescent="0.25">
      <c r="A85" t="s">
        <v>420</v>
      </c>
      <c r="B85" t="s">
        <v>2452</v>
      </c>
      <c r="C85" t="s">
        <v>2461</v>
      </c>
      <c r="D85">
        <v>2009</v>
      </c>
      <c r="E85">
        <v>58</v>
      </c>
    </row>
    <row r="86" spans="1:5" x14ac:dyDescent="0.25">
      <c r="A86" t="s">
        <v>420</v>
      </c>
      <c r="B86" t="s">
        <v>2452</v>
      </c>
      <c r="C86" t="s">
        <v>2455</v>
      </c>
      <c r="D86">
        <v>2009</v>
      </c>
      <c r="E86">
        <v>3</v>
      </c>
    </row>
    <row r="87" spans="1:5" x14ac:dyDescent="0.25">
      <c r="A87" t="s">
        <v>420</v>
      </c>
      <c r="B87" t="s">
        <v>2452</v>
      </c>
      <c r="C87" t="s">
        <v>2462</v>
      </c>
      <c r="D87">
        <v>2009</v>
      </c>
      <c r="E87">
        <v>1</v>
      </c>
    </row>
    <row r="88" spans="1:5" x14ac:dyDescent="0.25">
      <c r="A88" t="s">
        <v>420</v>
      </c>
      <c r="B88" t="s">
        <v>2452</v>
      </c>
      <c r="C88" t="s">
        <v>2453</v>
      </c>
      <c r="D88">
        <v>2008</v>
      </c>
      <c r="E88">
        <v>1418</v>
      </c>
    </row>
    <row r="89" spans="1:5" x14ac:dyDescent="0.25">
      <c r="A89" t="s">
        <v>420</v>
      </c>
      <c r="B89" t="s">
        <v>2452</v>
      </c>
      <c r="C89" t="s">
        <v>2460</v>
      </c>
      <c r="D89">
        <v>2008</v>
      </c>
      <c r="E89">
        <v>133</v>
      </c>
    </row>
    <row r="90" spans="1:5" x14ac:dyDescent="0.25">
      <c r="A90" t="s">
        <v>420</v>
      </c>
      <c r="B90" t="s">
        <v>2452</v>
      </c>
      <c r="C90" t="s">
        <v>2456</v>
      </c>
      <c r="D90">
        <v>2008</v>
      </c>
      <c r="E90">
        <v>146</v>
      </c>
    </row>
    <row r="91" spans="1:5" x14ac:dyDescent="0.25">
      <c r="A91" t="s">
        <v>420</v>
      </c>
      <c r="B91" t="s">
        <v>2452</v>
      </c>
      <c r="C91" t="s">
        <v>2458</v>
      </c>
      <c r="D91">
        <v>2008</v>
      </c>
      <c r="E91">
        <v>67</v>
      </c>
    </row>
    <row r="92" spans="1:5" x14ac:dyDescent="0.25">
      <c r="A92" t="s">
        <v>420</v>
      </c>
      <c r="B92" t="s">
        <v>2452</v>
      </c>
      <c r="C92" t="s">
        <v>2457</v>
      </c>
      <c r="D92">
        <v>2008</v>
      </c>
      <c r="E92">
        <v>26</v>
      </c>
    </row>
    <row r="93" spans="1:5" x14ac:dyDescent="0.25">
      <c r="A93" t="s">
        <v>420</v>
      </c>
      <c r="B93" t="s">
        <v>2452</v>
      </c>
      <c r="C93" t="s">
        <v>2459</v>
      </c>
      <c r="D93">
        <v>2008</v>
      </c>
      <c r="E93">
        <v>157</v>
      </c>
    </row>
    <row r="94" spans="1:5" x14ac:dyDescent="0.25">
      <c r="A94" t="s">
        <v>420</v>
      </c>
      <c r="B94" t="s">
        <v>2452</v>
      </c>
      <c r="C94" t="s">
        <v>2454</v>
      </c>
      <c r="D94">
        <v>2008</v>
      </c>
      <c r="E94">
        <v>42</v>
      </c>
    </row>
    <row r="95" spans="1:5" x14ac:dyDescent="0.25">
      <c r="A95" t="s">
        <v>420</v>
      </c>
      <c r="B95" t="s">
        <v>2452</v>
      </c>
      <c r="C95" t="s">
        <v>2461</v>
      </c>
      <c r="D95">
        <v>2008</v>
      </c>
      <c r="E95">
        <v>74</v>
      </c>
    </row>
    <row r="96" spans="1:5" x14ac:dyDescent="0.25">
      <c r="A96" t="s">
        <v>420</v>
      </c>
      <c r="B96" t="s">
        <v>2452</v>
      </c>
      <c r="C96" t="s">
        <v>2455</v>
      </c>
      <c r="D96">
        <v>2008</v>
      </c>
      <c r="E96">
        <v>12</v>
      </c>
    </row>
    <row r="97" spans="1:5" x14ac:dyDescent="0.25">
      <c r="A97" t="s">
        <v>420</v>
      </c>
      <c r="B97" t="s">
        <v>2452</v>
      </c>
      <c r="C97" t="s">
        <v>2462</v>
      </c>
      <c r="D97">
        <v>2008</v>
      </c>
      <c r="E97">
        <v>1</v>
      </c>
    </row>
    <row r="98" spans="1:5" x14ac:dyDescent="0.25">
      <c r="A98" t="s">
        <v>420</v>
      </c>
      <c r="B98" t="s">
        <v>2464</v>
      </c>
      <c r="C98" t="s">
        <v>2465</v>
      </c>
      <c r="D98">
        <v>2019</v>
      </c>
      <c r="E98">
        <v>19</v>
      </c>
    </row>
    <row r="99" spans="1:5" x14ac:dyDescent="0.25">
      <c r="A99" t="s">
        <v>420</v>
      </c>
      <c r="B99" t="s">
        <v>2464</v>
      </c>
      <c r="C99" t="s">
        <v>2465</v>
      </c>
      <c r="D99">
        <v>2018</v>
      </c>
      <c r="E99">
        <v>19</v>
      </c>
    </row>
    <row r="100" spans="1:5" x14ac:dyDescent="0.25">
      <c r="A100" t="s">
        <v>420</v>
      </c>
      <c r="B100" t="s">
        <v>2464</v>
      </c>
      <c r="C100" t="s">
        <v>2466</v>
      </c>
      <c r="D100">
        <v>2018</v>
      </c>
      <c r="E100">
        <v>11</v>
      </c>
    </row>
    <row r="101" spans="1:5" x14ac:dyDescent="0.25">
      <c r="A101" t="s">
        <v>420</v>
      </c>
      <c r="B101" t="s">
        <v>2464</v>
      </c>
      <c r="C101" t="s">
        <v>2467</v>
      </c>
      <c r="D101">
        <v>2018</v>
      </c>
      <c r="E101">
        <v>2</v>
      </c>
    </row>
    <row r="102" spans="1:5" x14ac:dyDescent="0.25">
      <c r="A102" t="s">
        <v>420</v>
      </c>
      <c r="B102" t="s">
        <v>2464</v>
      </c>
      <c r="C102" t="s">
        <v>2465</v>
      </c>
      <c r="D102">
        <v>2017</v>
      </c>
      <c r="E102">
        <v>20</v>
      </c>
    </row>
    <row r="103" spans="1:5" x14ac:dyDescent="0.25">
      <c r="A103" t="s">
        <v>420</v>
      </c>
      <c r="B103" t="s">
        <v>2464</v>
      </c>
      <c r="C103" t="s">
        <v>2468</v>
      </c>
      <c r="D103">
        <v>2017</v>
      </c>
      <c r="E103">
        <v>1</v>
      </c>
    </row>
    <row r="104" spans="1:5" x14ac:dyDescent="0.25">
      <c r="A104" t="s">
        <v>420</v>
      </c>
      <c r="B104" t="s">
        <v>2464</v>
      </c>
      <c r="C104" t="s">
        <v>2465</v>
      </c>
      <c r="D104">
        <v>2016</v>
      </c>
      <c r="E104">
        <v>23</v>
      </c>
    </row>
    <row r="105" spans="1:5" x14ac:dyDescent="0.25">
      <c r="A105" t="s">
        <v>420</v>
      </c>
      <c r="B105" t="s">
        <v>2464</v>
      </c>
      <c r="C105" t="s">
        <v>2467</v>
      </c>
      <c r="D105">
        <v>2016</v>
      </c>
      <c r="E105">
        <v>3</v>
      </c>
    </row>
    <row r="106" spans="1:5" x14ac:dyDescent="0.25">
      <c r="A106" t="s">
        <v>420</v>
      </c>
      <c r="B106" t="s">
        <v>2464</v>
      </c>
      <c r="C106" t="s">
        <v>2469</v>
      </c>
      <c r="D106">
        <v>2016</v>
      </c>
      <c r="E106">
        <v>1</v>
      </c>
    </row>
    <row r="107" spans="1:5" x14ac:dyDescent="0.25">
      <c r="A107" t="s">
        <v>420</v>
      </c>
      <c r="B107" t="s">
        <v>2464</v>
      </c>
      <c r="C107" t="s">
        <v>2465</v>
      </c>
      <c r="D107">
        <v>2015</v>
      </c>
      <c r="E107">
        <v>20</v>
      </c>
    </row>
    <row r="108" spans="1:5" x14ac:dyDescent="0.25">
      <c r="A108" t="s">
        <v>420</v>
      </c>
      <c r="B108" t="s">
        <v>2464</v>
      </c>
      <c r="C108" t="s">
        <v>2467</v>
      </c>
      <c r="D108">
        <v>2015</v>
      </c>
      <c r="E108">
        <v>4</v>
      </c>
    </row>
    <row r="109" spans="1:5" x14ac:dyDescent="0.25">
      <c r="A109" t="s">
        <v>420</v>
      </c>
      <c r="B109" t="s">
        <v>2464</v>
      </c>
      <c r="C109" t="s">
        <v>2465</v>
      </c>
      <c r="D109">
        <v>2014</v>
      </c>
      <c r="E109">
        <v>17</v>
      </c>
    </row>
    <row r="110" spans="1:5" x14ac:dyDescent="0.25">
      <c r="A110" t="s">
        <v>420</v>
      </c>
      <c r="B110" t="s">
        <v>2464</v>
      </c>
      <c r="C110" t="s">
        <v>2467</v>
      </c>
      <c r="D110">
        <v>2014</v>
      </c>
      <c r="E110">
        <v>2</v>
      </c>
    </row>
    <row r="111" spans="1:5" x14ac:dyDescent="0.25">
      <c r="A111" t="s">
        <v>420</v>
      </c>
      <c r="B111" t="s">
        <v>2464</v>
      </c>
      <c r="C111" t="s">
        <v>2465</v>
      </c>
      <c r="D111">
        <v>2013</v>
      </c>
      <c r="E111">
        <v>12</v>
      </c>
    </row>
    <row r="112" spans="1:5" x14ac:dyDescent="0.25">
      <c r="A112" t="s">
        <v>420</v>
      </c>
      <c r="B112" t="s">
        <v>2464</v>
      </c>
      <c r="C112" t="s">
        <v>2467</v>
      </c>
      <c r="D112">
        <v>2013</v>
      </c>
      <c r="E112">
        <v>1</v>
      </c>
    </row>
    <row r="113" spans="1:5" x14ac:dyDescent="0.25">
      <c r="A113" t="s">
        <v>420</v>
      </c>
      <c r="B113" t="s">
        <v>2464</v>
      </c>
      <c r="C113" t="s">
        <v>2465</v>
      </c>
      <c r="D113">
        <v>2012</v>
      </c>
      <c r="E113">
        <v>13</v>
      </c>
    </row>
    <row r="114" spans="1:5" x14ac:dyDescent="0.25">
      <c r="A114" t="s">
        <v>420</v>
      </c>
      <c r="B114" t="s">
        <v>2464</v>
      </c>
      <c r="C114" t="s">
        <v>2467</v>
      </c>
      <c r="D114">
        <v>2012</v>
      </c>
      <c r="E114">
        <v>1</v>
      </c>
    </row>
    <row r="115" spans="1:5" x14ac:dyDescent="0.25">
      <c r="A115" t="s">
        <v>420</v>
      </c>
      <c r="B115" t="s">
        <v>2464</v>
      </c>
      <c r="C115" t="s">
        <v>2465</v>
      </c>
      <c r="D115">
        <v>2011</v>
      </c>
      <c r="E115">
        <v>9</v>
      </c>
    </row>
    <row r="116" spans="1:5" x14ac:dyDescent="0.25">
      <c r="A116" t="s">
        <v>420</v>
      </c>
      <c r="B116" t="s">
        <v>2464</v>
      </c>
      <c r="C116" t="s">
        <v>2467</v>
      </c>
      <c r="D116">
        <v>2011</v>
      </c>
      <c r="E116">
        <v>1</v>
      </c>
    </row>
    <row r="117" spans="1:5" x14ac:dyDescent="0.25">
      <c r="A117" t="s">
        <v>420</v>
      </c>
      <c r="B117" t="s">
        <v>2464</v>
      </c>
      <c r="C117" t="s">
        <v>2465</v>
      </c>
      <c r="D117">
        <v>2010</v>
      </c>
      <c r="E117">
        <v>6</v>
      </c>
    </row>
    <row r="118" spans="1:5" x14ac:dyDescent="0.25">
      <c r="A118" t="s">
        <v>420</v>
      </c>
      <c r="B118" t="s">
        <v>2464</v>
      </c>
      <c r="C118" t="s">
        <v>2465</v>
      </c>
      <c r="D118">
        <v>2009</v>
      </c>
      <c r="E118">
        <v>9</v>
      </c>
    </row>
    <row r="119" spans="1:5" x14ac:dyDescent="0.25">
      <c r="A119" t="s">
        <v>420</v>
      </c>
      <c r="B119" t="s">
        <v>2464</v>
      </c>
      <c r="C119" t="s">
        <v>2468</v>
      </c>
      <c r="D119">
        <v>2009</v>
      </c>
      <c r="E119">
        <v>1</v>
      </c>
    </row>
    <row r="120" spans="1:5" x14ac:dyDescent="0.25">
      <c r="A120" t="s">
        <v>420</v>
      </c>
      <c r="B120" t="s">
        <v>2464</v>
      </c>
      <c r="C120" t="s">
        <v>2465</v>
      </c>
      <c r="D120">
        <v>2008</v>
      </c>
      <c r="E120">
        <v>14</v>
      </c>
    </row>
    <row r="121" spans="1:5" x14ac:dyDescent="0.25">
      <c r="A121" t="s">
        <v>420</v>
      </c>
      <c r="B121" t="s">
        <v>2464</v>
      </c>
      <c r="C121" t="s">
        <v>2468</v>
      </c>
      <c r="D121">
        <v>2008</v>
      </c>
      <c r="E121">
        <v>1</v>
      </c>
    </row>
    <row r="122" spans="1:5" x14ac:dyDescent="0.25">
      <c r="A122" t="s">
        <v>420</v>
      </c>
      <c r="B122" t="s">
        <v>2470</v>
      </c>
      <c r="C122" t="s">
        <v>2471</v>
      </c>
      <c r="D122">
        <v>2019</v>
      </c>
      <c r="E122">
        <v>14</v>
      </c>
    </row>
    <row r="123" spans="1:5" x14ac:dyDescent="0.25">
      <c r="A123" t="s">
        <v>420</v>
      </c>
      <c r="B123" t="s">
        <v>2470</v>
      </c>
      <c r="C123" t="s">
        <v>2472</v>
      </c>
      <c r="D123">
        <v>2019</v>
      </c>
      <c r="E123">
        <v>19</v>
      </c>
    </row>
    <row r="124" spans="1:5" x14ac:dyDescent="0.25">
      <c r="A124" t="s">
        <v>420</v>
      </c>
      <c r="B124" t="s">
        <v>2470</v>
      </c>
      <c r="C124" t="s">
        <v>2390</v>
      </c>
      <c r="D124">
        <v>2019</v>
      </c>
      <c r="E124">
        <v>167</v>
      </c>
    </row>
    <row r="125" spans="1:5" x14ac:dyDescent="0.25">
      <c r="A125" t="s">
        <v>420</v>
      </c>
      <c r="B125" t="s">
        <v>2470</v>
      </c>
      <c r="C125" t="s">
        <v>2473</v>
      </c>
      <c r="D125">
        <v>2019</v>
      </c>
      <c r="E125">
        <v>15</v>
      </c>
    </row>
    <row r="126" spans="1:5" x14ac:dyDescent="0.25">
      <c r="A126" t="s">
        <v>420</v>
      </c>
      <c r="B126" t="s">
        <v>2470</v>
      </c>
      <c r="C126" t="s">
        <v>2039</v>
      </c>
      <c r="D126">
        <v>2019</v>
      </c>
      <c r="E126">
        <v>346</v>
      </c>
    </row>
    <row r="127" spans="1:5" x14ac:dyDescent="0.25">
      <c r="A127" t="s">
        <v>420</v>
      </c>
      <c r="B127" t="s">
        <v>2470</v>
      </c>
      <c r="C127" t="s">
        <v>2474</v>
      </c>
      <c r="D127">
        <v>2019</v>
      </c>
      <c r="E127">
        <v>7</v>
      </c>
    </row>
    <row r="128" spans="1:5" x14ac:dyDescent="0.25">
      <c r="A128" t="s">
        <v>420</v>
      </c>
      <c r="B128" t="s">
        <v>2470</v>
      </c>
      <c r="C128" t="s">
        <v>2475</v>
      </c>
      <c r="D128">
        <v>2019</v>
      </c>
      <c r="E128">
        <v>129</v>
      </c>
    </row>
    <row r="129" spans="1:5" x14ac:dyDescent="0.25">
      <c r="A129" t="s">
        <v>420</v>
      </c>
      <c r="B129" t="s">
        <v>2470</v>
      </c>
      <c r="C129" t="s">
        <v>2476</v>
      </c>
      <c r="D129">
        <v>2019</v>
      </c>
      <c r="E129">
        <v>61</v>
      </c>
    </row>
    <row r="130" spans="1:5" x14ac:dyDescent="0.25">
      <c r="A130" t="s">
        <v>420</v>
      </c>
      <c r="B130" t="s">
        <v>2470</v>
      </c>
      <c r="C130" t="s">
        <v>2477</v>
      </c>
      <c r="D130">
        <v>2019</v>
      </c>
      <c r="E130">
        <v>35</v>
      </c>
    </row>
    <row r="131" spans="1:5" x14ac:dyDescent="0.25">
      <c r="A131" t="s">
        <v>420</v>
      </c>
      <c r="B131" t="s">
        <v>2470</v>
      </c>
      <c r="C131" t="s">
        <v>2478</v>
      </c>
      <c r="D131">
        <v>2019</v>
      </c>
      <c r="E131">
        <v>51</v>
      </c>
    </row>
    <row r="132" spans="1:5" x14ac:dyDescent="0.25">
      <c r="A132" t="s">
        <v>420</v>
      </c>
      <c r="B132" t="s">
        <v>2470</v>
      </c>
      <c r="C132" t="s">
        <v>1882</v>
      </c>
      <c r="D132">
        <v>2019</v>
      </c>
      <c r="E132">
        <v>13</v>
      </c>
    </row>
    <row r="133" spans="1:5" x14ac:dyDescent="0.25">
      <c r="A133" t="s">
        <v>420</v>
      </c>
      <c r="B133" t="s">
        <v>2470</v>
      </c>
      <c r="C133" t="s">
        <v>2479</v>
      </c>
      <c r="D133">
        <v>2019</v>
      </c>
      <c r="E133">
        <v>21</v>
      </c>
    </row>
    <row r="134" spans="1:5" x14ac:dyDescent="0.25">
      <c r="A134" t="s">
        <v>420</v>
      </c>
      <c r="B134" t="s">
        <v>2470</v>
      </c>
      <c r="C134" t="s">
        <v>2480</v>
      </c>
      <c r="D134">
        <v>2019</v>
      </c>
      <c r="E134">
        <v>15</v>
      </c>
    </row>
    <row r="135" spans="1:5" x14ac:dyDescent="0.25">
      <c r="A135" t="s">
        <v>420</v>
      </c>
      <c r="B135" t="s">
        <v>2470</v>
      </c>
      <c r="C135" t="s">
        <v>1689</v>
      </c>
      <c r="D135">
        <v>2019</v>
      </c>
      <c r="E135">
        <v>49</v>
      </c>
    </row>
    <row r="136" spans="1:5" x14ac:dyDescent="0.25">
      <c r="A136" t="s">
        <v>420</v>
      </c>
      <c r="B136" t="s">
        <v>2470</v>
      </c>
      <c r="C136" t="s">
        <v>2481</v>
      </c>
      <c r="D136">
        <v>2019</v>
      </c>
      <c r="E136">
        <v>2</v>
      </c>
    </row>
    <row r="137" spans="1:5" x14ac:dyDescent="0.25">
      <c r="A137" t="s">
        <v>420</v>
      </c>
      <c r="B137" t="s">
        <v>2470</v>
      </c>
      <c r="C137" t="s">
        <v>2482</v>
      </c>
      <c r="D137">
        <v>2019</v>
      </c>
      <c r="E137">
        <v>6</v>
      </c>
    </row>
    <row r="138" spans="1:5" x14ac:dyDescent="0.25">
      <c r="A138" t="s">
        <v>420</v>
      </c>
      <c r="B138" t="s">
        <v>2470</v>
      </c>
      <c r="C138" t="s">
        <v>2483</v>
      </c>
      <c r="D138">
        <v>2019</v>
      </c>
      <c r="E138">
        <v>18</v>
      </c>
    </row>
    <row r="139" spans="1:5" x14ac:dyDescent="0.25">
      <c r="A139" t="s">
        <v>420</v>
      </c>
      <c r="B139" t="s">
        <v>2470</v>
      </c>
      <c r="C139" t="s">
        <v>2484</v>
      </c>
      <c r="D139">
        <v>2019</v>
      </c>
      <c r="E139">
        <v>36</v>
      </c>
    </row>
    <row r="140" spans="1:5" x14ac:dyDescent="0.25">
      <c r="A140" t="s">
        <v>420</v>
      </c>
      <c r="B140" t="s">
        <v>2470</v>
      </c>
      <c r="C140" t="s">
        <v>1597</v>
      </c>
      <c r="D140">
        <v>2019</v>
      </c>
      <c r="E140">
        <v>102</v>
      </c>
    </row>
    <row r="141" spans="1:5" x14ac:dyDescent="0.25">
      <c r="A141" t="s">
        <v>420</v>
      </c>
      <c r="B141" t="s">
        <v>2470</v>
      </c>
      <c r="C141" t="s">
        <v>2485</v>
      </c>
      <c r="D141">
        <v>2019</v>
      </c>
      <c r="E141">
        <v>8</v>
      </c>
    </row>
    <row r="142" spans="1:5" x14ac:dyDescent="0.25">
      <c r="A142" t="s">
        <v>420</v>
      </c>
      <c r="B142" t="s">
        <v>2470</v>
      </c>
      <c r="C142" t="s">
        <v>2486</v>
      </c>
      <c r="D142">
        <v>2019</v>
      </c>
      <c r="E142">
        <v>6</v>
      </c>
    </row>
    <row r="143" spans="1:5" x14ac:dyDescent="0.25">
      <c r="A143" t="s">
        <v>420</v>
      </c>
      <c r="B143" t="s">
        <v>2470</v>
      </c>
      <c r="C143" t="s">
        <v>1516</v>
      </c>
      <c r="D143">
        <v>2019</v>
      </c>
      <c r="E143">
        <v>44</v>
      </c>
    </row>
    <row r="144" spans="1:5" x14ac:dyDescent="0.25">
      <c r="A144" t="s">
        <v>420</v>
      </c>
      <c r="B144" t="s">
        <v>2470</v>
      </c>
      <c r="C144" t="s">
        <v>2487</v>
      </c>
      <c r="D144">
        <v>2019</v>
      </c>
      <c r="E144">
        <v>5</v>
      </c>
    </row>
    <row r="145" spans="1:5" x14ac:dyDescent="0.25">
      <c r="A145" t="s">
        <v>420</v>
      </c>
      <c r="B145" t="s">
        <v>2470</v>
      </c>
      <c r="C145" t="s">
        <v>1463</v>
      </c>
      <c r="D145">
        <v>2019</v>
      </c>
      <c r="E145">
        <v>97</v>
      </c>
    </row>
    <row r="146" spans="1:5" x14ac:dyDescent="0.25">
      <c r="A146" t="s">
        <v>420</v>
      </c>
      <c r="B146" t="s">
        <v>2470</v>
      </c>
      <c r="C146" t="s">
        <v>1455</v>
      </c>
      <c r="D146">
        <v>2019</v>
      </c>
      <c r="E146">
        <v>186</v>
      </c>
    </row>
    <row r="147" spans="1:5" x14ac:dyDescent="0.25">
      <c r="A147" t="s">
        <v>420</v>
      </c>
      <c r="B147" t="s">
        <v>2470</v>
      </c>
      <c r="C147" t="s">
        <v>1434</v>
      </c>
      <c r="D147">
        <v>2019</v>
      </c>
      <c r="E147">
        <v>40</v>
      </c>
    </row>
    <row r="148" spans="1:5" x14ac:dyDescent="0.25">
      <c r="A148" t="s">
        <v>420</v>
      </c>
      <c r="B148" t="s">
        <v>2470</v>
      </c>
      <c r="C148" t="s">
        <v>2488</v>
      </c>
      <c r="D148">
        <v>2019</v>
      </c>
      <c r="E148">
        <v>9</v>
      </c>
    </row>
    <row r="149" spans="1:5" x14ac:dyDescent="0.25">
      <c r="A149" t="s">
        <v>420</v>
      </c>
      <c r="B149" t="s">
        <v>2470</v>
      </c>
      <c r="C149" t="s">
        <v>1158</v>
      </c>
      <c r="D149">
        <v>2019</v>
      </c>
      <c r="E149">
        <v>156</v>
      </c>
    </row>
    <row r="150" spans="1:5" x14ac:dyDescent="0.25">
      <c r="A150" t="s">
        <v>420</v>
      </c>
      <c r="B150" t="s">
        <v>2470</v>
      </c>
      <c r="C150" t="s">
        <v>2489</v>
      </c>
      <c r="D150">
        <v>2019</v>
      </c>
      <c r="E150">
        <v>9</v>
      </c>
    </row>
    <row r="151" spans="1:5" x14ac:dyDescent="0.25">
      <c r="A151" t="s">
        <v>420</v>
      </c>
      <c r="B151" t="s">
        <v>2470</v>
      </c>
      <c r="C151" t="s">
        <v>1135</v>
      </c>
      <c r="D151">
        <v>2019</v>
      </c>
      <c r="E151">
        <v>137</v>
      </c>
    </row>
    <row r="152" spans="1:5" x14ac:dyDescent="0.25">
      <c r="A152" t="s">
        <v>420</v>
      </c>
      <c r="B152" t="s">
        <v>2470</v>
      </c>
      <c r="C152" t="s">
        <v>2490</v>
      </c>
      <c r="D152">
        <v>2019</v>
      </c>
      <c r="E152">
        <v>3</v>
      </c>
    </row>
    <row r="153" spans="1:5" x14ac:dyDescent="0.25">
      <c r="A153" t="s">
        <v>420</v>
      </c>
      <c r="B153" t="s">
        <v>2470</v>
      </c>
      <c r="C153" t="s">
        <v>765</v>
      </c>
      <c r="D153">
        <v>2019</v>
      </c>
      <c r="E153">
        <v>44</v>
      </c>
    </row>
    <row r="154" spans="1:5" x14ac:dyDescent="0.25">
      <c r="A154" t="s">
        <v>420</v>
      </c>
      <c r="B154" t="s">
        <v>2470</v>
      </c>
      <c r="C154" t="s">
        <v>2491</v>
      </c>
      <c r="D154">
        <v>2019</v>
      </c>
      <c r="E154">
        <v>5</v>
      </c>
    </row>
    <row r="155" spans="1:5" x14ac:dyDescent="0.25">
      <c r="A155" t="s">
        <v>420</v>
      </c>
      <c r="B155" t="s">
        <v>2470</v>
      </c>
      <c r="C155" t="s">
        <v>2492</v>
      </c>
      <c r="D155">
        <v>2019</v>
      </c>
      <c r="E155">
        <v>260</v>
      </c>
    </row>
    <row r="156" spans="1:5" x14ac:dyDescent="0.25">
      <c r="A156" t="s">
        <v>420</v>
      </c>
      <c r="B156" t="s">
        <v>2470</v>
      </c>
      <c r="C156" t="s">
        <v>2493</v>
      </c>
      <c r="D156">
        <v>2019</v>
      </c>
      <c r="E156">
        <v>35</v>
      </c>
    </row>
    <row r="157" spans="1:5" x14ac:dyDescent="0.25">
      <c r="A157" t="s">
        <v>420</v>
      </c>
      <c r="B157" t="s">
        <v>2470</v>
      </c>
      <c r="C157" t="s">
        <v>2494</v>
      </c>
      <c r="D157">
        <v>2019</v>
      </c>
      <c r="E157">
        <v>1</v>
      </c>
    </row>
    <row r="158" spans="1:5" x14ac:dyDescent="0.25">
      <c r="A158" t="s">
        <v>420</v>
      </c>
      <c r="B158" t="s">
        <v>2470</v>
      </c>
      <c r="C158" t="s">
        <v>459</v>
      </c>
      <c r="D158">
        <v>2019</v>
      </c>
      <c r="E158">
        <v>107</v>
      </c>
    </row>
    <row r="159" spans="1:5" x14ac:dyDescent="0.25">
      <c r="A159" t="s">
        <v>420</v>
      </c>
      <c r="B159" t="s">
        <v>2470</v>
      </c>
      <c r="C159" t="s">
        <v>2495</v>
      </c>
      <c r="D159">
        <v>2019</v>
      </c>
      <c r="E159">
        <v>2</v>
      </c>
    </row>
    <row r="160" spans="1:5" x14ac:dyDescent="0.25">
      <c r="A160" t="s">
        <v>420</v>
      </c>
      <c r="B160" t="s">
        <v>2470</v>
      </c>
      <c r="C160" t="s">
        <v>2471</v>
      </c>
      <c r="D160">
        <v>2018</v>
      </c>
      <c r="E160">
        <v>16</v>
      </c>
    </row>
    <row r="161" spans="1:5" x14ac:dyDescent="0.25">
      <c r="A161" t="s">
        <v>420</v>
      </c>
      <c r="B161" t="s">
        <v>2470</v>
      </c>
      <c r="C161" t="s">
        <v>2472</v>
      </c>
      <c r="D161">
        <v>2018</v>
      </c>
      <c r="E161">
        <v>17</v>
      </c>
    </row>
    <row r="162" spans="1:5" x14ac:dyDescent="0.25">
      <c r="A162" t="s">
        <v>420</v>
      </c>
      <c r="B162" t="s">
        <v>2470</v>
      </c>
      <c r="C162" t="s">
        <v>2390</v>
      </c>
      <c r="D162">
        <v>2018</v>
      </c>
      <c r="E162">
        <v>184</v>
      </c>
    </row>
    <row r="163" spans="1:5" x14ac:dyDescent="0.25">
      <c r="A163" t="s">
        <v>420</v>
      </c>
      <c r="B163" t="s">
        <v>2470</v>
      </c>
      <c r="C163" t="s">
        <v>2473</v>
      </c>
      <c r="D163">
        <v>2018</v>
      </c>
      <c r="E163">
        <v>17</v>
      </c>
    </row>
    <row r="164" spans="1:5" x14ac:dyDescent="0.25">
      <c r="A164" t="s">
        <v>420</v>
      </c>
      <c r="B164" t="s">
        <v>2470</v>
      </c>
      <c r="C164" t="s">
        <v>2039</v>
      </c>
      <c r="D164">
        <v>2018</v>
      </c>
      <c r="E164">
        <v>364</v>
      </c>
    </row>
    <row r="165" spans="1:5" x14ac:dyDescent="0.25">
      <c r="A165" t="s">
        <v>420</v>
      </c>
      <c r="B165" t="s">
        <v>2470</v>
      </c>
      <c r="C165" t="s">
        <v>2474</v>
      </c>
      <c r="D165">
        <v>2018</v>
      </c>
      <c r="E165">
        <v>6</v>
      </c>
    </row>
    <row r="166" spans="1:5" x14ac:dyDescent="0.25">
      <c r="A166" t="s">
        <v>420</v>
      </c>
      <c r="B166" t="s">
        <v>2470</v>
      </c>
      <c r="C166" t="s">
        <v>2475</v>
      </c>
      <c r="D166">
        <v>2018</v>
      </c>
      <c r="E166">
        <v>153</v>
      </c>
    </row>
    <row r="167" spans="1:5" x14ac:dyDescent="0.25">
      <c r="A167" t="s">
        <v>420</v>
      </c>
      <c r="B167" t="s">
        <v>2470</v>
      </c>
      <c r="C167" t="s">
        <v>2476</v>
      </c>
      <c r="D167">
        <v>2018</v>
      </c>
      <c r="E167">
        <v>68</v>
      </c>
    </row>
    <row r="168" spans="1:5" x14ac:dyDescent="0.25">
      <c r="A168" t="s">
        <v>420</v>
      </c>
      <c r="B168" t="s">
        <v>2470</v>
      </c>
      <c r="C168" t="s">
        <v>2477</v>
      </c>
      <c r="D168">
        <v>2018</v>
      </c>
      <c r="E168">
        <v>29</v>
      </c>
    </row>
    <row r="169" spans="1:5" x14ac:dyDescent="0.25">
      <c r="A169" t="s">
        <v>420</v>
      </c>
      <c r="B169" t="s">
        <v>2470</v>
      </c>
      <c r="C169" t="s">
        <v>2478</v>
      </c>
      <c r="D169">
        <v>2018</v>
      </c>
      <c r="E169">
        <v>63</v>
      </c>
    </row>
    <row r="170" spans="1:5" x14ac:dyDescent="0.25">
      <c r="A170" t="s">
        <v>420</v>
      </c>
      <c r="B170" t="s">
        <v>2470</v>
      </c>
      <c r="C170" t="s">
        <v>1882</v>
      </c>
      <c r="D170">
        <v>2018</v>
      </c>
      <c r="E170">
        <v>16</v>
      </c>
    </row>
    <row r="171" spans="1:5" x14ac:dyDescent="0.25">
      <c r="A171" t="s">
        <v>420</v>
      </c>
      <c r="B171" t="s">
        <v>2470</v>
      </c>
      <c r="C171" t="s">
        <v>2479</v>
      </c>
      <c r="D171">
        <v>2018</v>
      </c>
      <c r="E171">
        <v>32</v>
      </c>
    </row>
    <row r="172" spans="1:5" x14ac:dyDescent="0.25">
      <c r="A172" t="s">
        <v>420</v>
      </c>
      <c r="B172" t="s">
        <v>2470</v>
      </c>
      <c r="C172" t="s">
        <v>2496</v>
      </c>
      <c r="D172">
        <v>2018</v>
      </c>
      <c r="E172">
        <v>3</v>
      </c>
    </row>
    <row r="173" spans="1:5" x14ac:dyDescent="0.25">
      <c r="A173" t="s">
        <v>420</v>
      </c>
      <c r="B173" t="s">
        <v>2470</v>
      </c>
      <c r="C173" t="s">
        <v>2480</v>
      </c>
      <c r="D173">
        <v>2018</v>
      </c>
      <c r="E173">
        <v>20</v>
      </c>
    </row>
    <row r="174" spans="1:5" x14ac:dyDescent="0.25">
      <c r="A174" t="s">
        <v>420</v>
      </c>
      <c r="B174" t="s">
        <v>2470</v>
      </c>
      <c r="C174" t="s">
        <v>1689</v>
      </c>
      <c r="D174">
        <v>2018</v>
      </c>
      <c r="E174">
        <v>58</v>
      </c>
    </row>
    <row r="175" spans="1:5" x14ac:dyDescent="0.25">
      <c r="A175" t="s">
        <v>420</v>
      </c>
      <c r="B175" t="s">
        <v>2470</v>
      </c>
      <c r="C175" t="s">
        <v>2481</v>
      </c>
      <c r="D175">
        <v>2018</v>
      </c>
      <c r="E175">
        <v>4</v>
      </c>
    </row>
    <row r="176" spans="1:5" x14ac:dyDescent="0.25">
      <c r="A176" t="s">
        <v>420</v>
      </c>
      <c r="B176" t="s">
        <v>2470</v>
      </c>
      <c r="C176" t="s">
        <v>2497</v>
      </c>
      <c r="D176">
        <v>2018</v>
      </c>
      <c r="E176">
        <v>6</v>
      </c>
    </row>
    <row r="177" spans="1:5" x14ac:dyDescent="0.25">
      <c r="A177" t="s">
        <v>420</v>
      </c>
      <c r="B177" t="s">
        <v>2470</v>
      </c>
      <c r="C177" t="s">
        <v>2483</v>
      </c>
      <c r="D177">
        <v>2018</v>
      </c>
      <c r="E177">
        <v>28</v>
      </c>
    </row>
    <row r="178" spans="1:5" x14ac:dyDescent="0.25">
      <c r="A178" t="s">
        <v>420</v>
      </c>
      <c r="B178" t="s">
        <v>2470</v>
      </c>
      <c r="C178" t="s">
        <v>2484</v>
      </c>
      <c r="D178">
        <v>2018</v>
      </c>
      <c r="E178">
        <v>24</v>
      </c>
    </row>
    <row r="179" spans="1:5" x14ac:dyDescent="0.25">
      <c r="A179" t="s">
        <v>420</v>
      </c>
      <c r="B179" t="s">
        <v>2470</v>
      </c>
      <c r="C179" t="s">
        <v>1597</v>
      </c>
      <c r="D179">
        <v>2018</v>
      </c>
      <c r="E179">
        <v>125</v>
      </c>
    </row>
    <row r="180" spans="1:5" x14ac:dyDescent="0.25">
      <c r="A180" t="s">
        <v>420</v>
      </c>
      <c r="B180" t="s">
        <v>2470</v>
      </c>
      <c r="C180" t="s">
        <v>2485</v>
      </c>
      <c r="D180">
        <v>2018</v>
      </c>
      <c r="E180">
        <v>5</v>
      </c>
    </row>
    <row r="181" spans="1:5" x14ac:dyDescent="0.25">
      <c r="A181" t="s">
        <v>420</v>
      </c>
      <c r="B181" t="s">
        <v>2470</v>
      </c>
      <c r="C181" t="s">
        <v>2486</v>
      </c>
      <c r="D181">
        <v>2018</v>
      </c>
      <c r="E181">
        <v>4</v>
      </c>
    </row>
    <row r="182" spans="1:5" x14ac:dyDescent="0.25">
      <c r="A182" t="s">
        <v>420</v>
      </c>
      <c r="B182" t="s">
        <v>2470</v>
      </c>
      <c r="C182" t="s">
        <v>1516</v>
      </c>
      <c r="D182">
        <v>2018</v>
      </c>
      <c r="E182">
        <v>59</v>
      </c>
    </row>
    <row r="183" spans="1:5" x14ac:dyDescent="0.25">
      <c r="A183" t="s">
        <v>420</v>
      </c>
      <c r="B183" t="s">
        <v>2470</v>
      </c>
      <c r="C183" t="s">
        <v>1507</v>
      </c>
      <c r="D183">
        <v>2018</v>
      </c>
      <c r="E183">
        <v>43</v>
      </c>
    </row>
    <row r="184" spans="1:5" x14ac:dyDescent="0.25">
      <c r="A184" t="s">
        <v>420</v>
      </c>
      <c r="B184" t="s">
        <v>2470</v>
      </c>
      <c r="C184" t="s">
        <v>2487</v>
      </c>
      <c r="D184">
        <v>2018</v>
      </c>
      <c r="E184">
        <v>7</v>
      </c>
    </row>
    <row r="185" spans="1:5" x14ac:dyDescent="0.25">
      <c r="A185" t="s">
        <v>420</v>
      </c>
      <c r="B185" t="s">
        <v>2470</v>
      </c>
      <c r="C185" t="s">
        <v>1463</v>
      </c>
      <c r="D185">
        <v>2018</v>
      </c>
      <c r="E185">
        <v>98</v>
      </c>
    </row>
    <row r="186" spans="1:5" x14ac:dyDescent="0.25">
      <c r="A186" t="s">
        <v>420</v>
      </c>
      <c r="B186" t="s">
        <v>2470</v>
      </c>
      <c r="C186" t="s">
        <v>1455</v>
      </c>
      <c r="D186">
        <v>2018</v>
      </c>
      <c r="E186">
        <v>193</v>
      </c>
    </row>
    <row r="187" spans="1:5" x14ac:dyDescent="0.25">
      <c r="A187" t="s">
        <v>420</v>
      </c>
      <c r="B187" t="s">
        <v>2470</v>
      </c>
      <c r="C187" t="s">
        <v>1434</v>
      </c>
      <c r="D187">
        <v>2018</v>
      </c>
      <c r="E187">
        <v>42</v>
      </c>
    </row>
    <row r="188" spans="1:5" x14ac:dyDescent="0.25">
      <c r="A188" t="s">
        <v>420</v>
      </c>
      <c r="B188" t="s">
        <v>2470</v>
      </c>
      <c r="C188" t="s">
        <v>2488</v>
      </c>
      <c r="D188">
        <v>2018</v>
      </c>
      <c r="E188">
        <v>5</v>
      </c>
    </row>
    <row r="189" spans="1:5" x14ac:dyDescent="0.25">
      <c r="A189" t="s">
        <v>420</v>
      </c>
      <c r="B189" t="s">
        <v>2470</v>
      </c>
      <c r="C189" t="s">
        <v>1158</v>
      </c>
      <c r="D189">
        <v>2018</v>
      </c>
      <c r="E189">
        <v>186</v>
      </c>
    </row>
    <row r="190" spans="1:5" x14ac:dyDescent="0.25">
      <c r="A190" t="s">
        <v>420</v>
      </c>
      <c r="B190" t="s">
        <v>2470</v>
      </c>
      <c r="C190" t="s">
        <v>2489</v>
      </c>
      <c r="D190">
        <v>2018</v>
      </c>
      <c r="E190">
        <v>12</v>
      </c>
    </row>
    <row r="191" spans="1:5" x14ac:dyDescent="0.25">
      <c r="A191" t="s">
        <v>420</v>
      </c>
      <c r="B191" t="s">
        <v>2470</v>
      </c>
      <c r="C191" t="s">
        <v>1135</v>
      </c>
      <c r="D191">
        <v>2018</v>
      </c>
      <c r="E191">
        <v>173</v>
      </c>
    </row>
    <row r="192" spans="1:5" x14ac:dyDescent="0.25">
      <c r="A192" t="s">
        <v>420</v>
      </c>
      <c r="B192" t="s">
        <v>2470</v>
      </c>
      <c r="C192" t="s">
        <v>2490</v>
      </c>
      <c r="D192">
        <v>2018</v>
      </c>
      <c r="E192">
        <v>8</v>
      </c>
    </row>
    <row r="193" spans="1:5" x14ac:dyDescent="0.25">
      <c r="A193" t="s">
        <v>420</v>
      </c>
      <c r="B193" t="s">
        <v>2470</v>
      </c>
      <c r="C193" t="s">
        <v>765</v>
      </c>
      <c r="D193">
        <v>2018</v>
      </c>
      <c r="E193">
        <v>51</v>
      </c>
    </row>
    <row r="194" spans="1:5" x14ac:dyDescent="0.25">
      <c r="A194" t="s">
        <v>420</v>
      </c>
      <c r="B194" t="s">
        <v>2470</v>
      </c>
      <c r="C194" t="s">
        <v>2491</v>
      </c>
      <c r="D194">
        <v>2018</v>
      </c>
      <c r="E194">
        <v>3</v>
      </c>
    </row>
    <row r="195" spans="1:5" x14ac:dyDescent="0.25">
      <c r="A195" t="s">
        <v>420</v>
      </c>
      <c r="B195" t="s">
        <v>2470</v>
      </c>
      <c r="C195" t="s">
        <v>2492</v>
      </c>
      <c r="D195">
        <v>2018</v>
      </c>
      <c r="E195">
        <v>245</v>
      </c>
    </row>
    <row r="196" spans="1:5" x14ac:dyDescent="0.25">
      <c r="A196" t="s">
        <v>420</v>
      </c>
      <c r="B196" t="s">
        <v>2470</v>
      </c>
      <c r="C196" t="s">
        <v>2493</v>
      </c>
      <c r="D196">
        <v>2018</v>
      </c>
      <c r="E196">
        <v>48</v>
      </c>
    </row>
    <row r="197" spans="1:5" x14ac:dyDescent="0.25">
      <c r="A197" t="s">
        <v>420</v>
      </c>
      <c r="B197" t="s">
        <v>2470</v>
      </c>
      <c r="C197" t="s">
        <v>2494</v>
      </c>
      <c r="D197">
        <v>2018</v>
      </c>
      <c r="E197">
        <v>3</v>
      </c>
    </row>
    <row r="198" spans="1:5" x14ac:dyDescent="0.25">
      <c r="A198" t="s">
        <v>420</v>
      </c>
      <c r="B198" t="s">
        <v>2470</v>
      </c>
      <c r="C198" t="s">
        <v>459</v>
      </c>
      <c r="D198">
        <v>2018</v>
      </c>
      <c r="E198">
        <v>116</v>
      </c>
    </row>
    <row r="199" spans="1:5" x14ac:dyDescent="0.25">
      <c r="A199" t="s">
        <v>420</v>
      </c>
      <c r="B199" t="s">
        <v>2470</v>
      </c>
      <c r="C199" t="s">
        <v>2495</v>
      </c>
      <c r="D199">
        <v>2018</v>
      </c>
      <c r="E199">
        <v>1</v>
      </c>
    </row>
    <row r="200" spans="1:5" x14ac:dyDescent="0.25">
      <c r="A200" t="s">
        <v>420</v>
      </c>
      <c r="B200" t="s">
        <v>2470</v>
      </c>
      <c r="C200" t="s">
        <v>2471</v>
      </c>
      <c r="D200">
        <v>2017</v>
      </c>
      <c r="E200">
        <v>9</v>
      </c>
    </row>
    <row r="201" spans="1:5" x14ac:dyDescent="0.25">
      <c r="A201" t="s">
        <v>420</v>
      </c>
      <c r="B201" t="s">
        <v>2470</v>
      </c>
      <c r="C201" t="s">
        <v>2472</v>
      </c>
      <c r="D201">
        <v>2017</v>
      </c>
      <c r="E201">
        <v>22</v>
      </c>
    </row>
    <row r="202" spans="1:5" x14ac:dyDescent="0.25">
      <c r="A202" t="s">
        <v>420</v>
      </c>
      <c r="B202" t="s">
        <v>2470</v>
      </c>
      <c r="C202" t="s">
        <v>2390</v>
      </c>
      <c r="D202">
        <v>2017</v>
      </c>
      <c r="E202">
        <v>221</v>
      </c>
    </row>
    <row r="203" spans="1:5" x14ac:dyDescent="0.25">
      <c r="A203" t="s">
        <v>420</v>
      </c>
      <c r="B203" t="s">
        <v>2470</v>
      </c>
      <c r="C203" t="s">
        <v>117</v>
      </c>
      <c r="D203">
        <v>2017</v>
      </c>
      <c r="E203">
        <v>1</v>
      </c>
    </row>
    <row r="204" spans="1:5" x14ac:dyDescent="0.25">
      <c r="A204" t="s">
        <v>420</v>
      </c>
      <c r="B204" t="s">
        <v>2470</v>
      </c>
      <c r="C204" t="s">
        <v>2473</v>
      </c>
      <c r="D204">
        <v>2017</v>
      </c>
      <c r="E204">
        <v>11</v>
      </c>
    </row>
    <row r="205" spans="1:5" x14ac:dyDescent="0.25">
      <c r="A205" t="s">
        <v>420</v>
      </c>
      <c r="B205" t="s">
        <v>2470</v>
      </c>
      <c r="C205" t="s">
        <v>2039</v>
      </c>
      <c r="D205">
        <v>2017</v>
      </c>
      <c r="E205">
        <v>387</v>
      </c>
    </row>
    <row r="206" spans="1:5" x14ac:dyDescent="0.25">
      <c r="A206" t="s">
        <v>420</v>
      </c>
      <c r="B206" t="s">
        <v>2470</v>
      </c>
      <c r="C206" t="s">
        <v>2474</v>
      </c>
      <c r="D206">
        <v>2017</v>
      </c>
      <c r="E206">
        <v>4</v>
      </c>
    </row>
    <row r="207" spans="1:5" x14ac:dyDescent="0.25">
      <c r="A207" t="s">
        <v>420</v>
      </c>
      <c r="B207" t="s">
        <v>2470</v>
      </c>
      <c r="C207" t="s">
        <v>2475</v>
      </c>
      <c r="D207">
        <v>2017</v>
      </c>
      <c r="E207">
        <v>167</v>
      </c>
    </row>
    <row r="208" spans="1:5" x14ac:dyDescent="0.25">
      <c r="A208" t="s">
        <v>420</v>
      </c>
      <c r="B208" t="s">
        <v>2470</v>
      </c>
      <c r="C208" t="s">
        <v>2476</v>
      </c>
      <c r="D208">
        <v>2017</v>
      </c>
      <c r="E208">
        <v>72</v>
      </c>
    </row>
    <row r="209" spans="1:5" x14ac:dyDescent="0.25">
      <c r="A209" t="s">
        <v>420</v>
      </c>
      <c r="B209" t="s">
        <v>2470</v>
      </c>
      <c r="C209" t="s">
        <v>2477</v>
      </c>
      <c r="D209">
        <v>2017</v>
      </c>
      <c r="E209">
        <v>29</v>
      </c>
    </row>
    <row r="210" spans="1:5" x14ac:dyDescent="0.25">
      <c r="A210" t="s">
        <v>420</v>
      </c>
      <c r="B210" t="s">
        <v>2470</v>
      </c>
      <c r="C210" t="s">
        <v>2478</v>
      </c>
      <c r="D210">
        <v>2017</v>
      </c>
      <c r="E210">
        <v>53</v>
      </c>
    </row>
    <row r="211" spans="1:5" x14ac:dyDescent="0.25">
      <c r="A211" t="s">
        <v>420</v>
      </c>
      <c r="B211" t="s">
        <v>2470</v>
      </c>
      <c r="C211" t="s">
        <v>1882</v>
      </c>
      <c r="D211">
        <v>2017</v>
      </c>
      <c r="E211">
        <v>15</v>
      </c>
    </row>
    <row r="212" spans="1:5" x14ac:dyDescent="0.25">
      <c r="A212" t="s">
        <v>420</v>
      </c>
      <c r="B212" t="s">
        <v>2470</v>
      </c>
      <c r="C212" t="s">
        <v>2479</v>
      </c>
      <c r="D212">
        <v>2017</v>
      </c>
      <c r="E212">
        <v>32</v>
      </c>
    </row>
    <row r="213" spans="1:5" x14ac:dyDescent="0.25">
      <c r="A213" t="s">
        <v>420</v>
      </c>
      <c r="B213" t="s">
        <v>2470</v>
      </c>
      <c r="C213" t="s">
        <v>2496</v>
      </c>
      <c r="D213">
        <v>2017</v>
      </c>
      <c r="E213">
        <v>16</v>
      </c>
    </row>
    <row r="214" spans="1:5" x14ac:dyDescent="0.25">
      <c r="A214" t="s">
        <v>420</v>
      </c>
      <c r="B214" t="s">
        <v>2470</v>
      </c>
      <c r="C214" t="s">
        <v>2480</v>
      </c>
      <c r="D214">
        <v>2017</v>
      </c>
      <c r="E214">
        <v>17</v>
      </c>
    </row>
    <row r="215" spans="1:5" x14ac:dyDescent="0.25">
      <c r="A215" t="s">
        <v>420</v>
      </c>
      <c r="B215" t="s">
        <v>2470</v>
      </c>
      <c r="C215" t="s">
        <v>1689</v>
      </c>
      <c r="D215">
        <v>2017</v>
      </c>
      <c r="E215">
        <v>67</v>
      </c>
    </row>
    <row r="216" spans="1:5" x14ac:dyDescent="0.25">
      <c r="A216" t="s">
        <v>420</v>
      </c>
      <c r="B216" t="s">
        <v>2470</v>
      </c>
      <c r="C216" t="s">
        <v>2481</v>
      </c>
      <c r="D216">
        <v>2017</v>
      </c>
      <c r="E216">
        <v>1</v>
      </c>
    </row>
    <row r="217" spans="1:5" x14ac:dyDescent="0.25">
      <c r="A217" t="s">
        <v>420</v>
      </c>
      <c r="B217" t="s">
        <v>2470</v>
      </c>
      <c r="C217" t="s">
        <v>2497</v>
      </c>
      <c r="D217">
        <v>2017</v>
      </c>
      <c r="E217">
        <v>15</v>
      </c>
    </row>
    <row r="218" spans="1:5" x14ac:dyDescent="0.25">
      <c r="A218" t="s">
        <v>420</v>
      </c>
      <c r="B218" t="s">
        <v>2470</v>
      </c>
      <c r="C218" t="s">
        <v>2483</v>
      </c>
      <c r="D218">
        <v>2017</v>
      </c>
      <c r="E218">
        <v>26</v>
      </c>
    </row>
    <row r="219" spans="1:5" x14ac:dyDescent="0.25">
      <c r="A219" t="s">
        <v>420</v>
      </c>
      <c r="B219" t="s">
        <v>2470</v>
      </c>
      <c r="C219" t="s">
        <v>2484</v>
      </c>
      <c r="D219">
        <v>2017</v>
      </c>
      <c r="E219">
        <v>29</v>
      </c>
    </row>
    <row r="220" spans="1:5" x14ac:dyDescent="0.25">
      <c r="A220" t="s">
        <v>420</v>
      </c>
      <c r="B220" t="s">
        <v>2470</v>
      </c>
      <c r="C220" t="s">
        <v>1597</v>
      </c>
      <c r="D220">
        <v>2017</v>
      </c>
      <c r="E220">
        <v>126</v>
      </c>
    </row>
    <row r="221" spans="1:5" x14ac:dyDescent="0.25">
      <c r="A221" t="s">
        <v>420</v>
      </c>
      <c r="B221" t="s">
        <v>2470</v>
      </c>
      <c r="C221" t="s">
        <v>2485</v>
      </c>
      <c r="D221">
        <v>2017</v>
      </c>
      <c r="E221">
        <v>1</v>
      </c>
    </row>
    <row r="222" spans="1:5" x14ac:dyDescent="0.25">
      <c r="A222" t="s">
        <v>420</v>
      </c>
      <c r="B222" t="s">
        <v>2470</v>
      </c>
      <c r="C222" t="s">
        <v>2486</v>
      </c>
      <c r="D222">
        <v>2017</v>
      </c>
      <c r="E222">
        <v>4</v>
      </c>
    </row>
    <row r="223" spans="1:5" x14ac:dyDescent="0.25">
      <c r="A223" t="s">
        <v>420</v>
      </c>
      <c r="B223" t="s">
        <v>2470</v>
      </c>
      <c r="C223" t="s">
        <v>1516</v>
      </c>
      <c r="D223">
        <v>2017</v>
      </c>
      <c r="E223">
        <v>51</v>
      </c>
    </row>
    <row r="224" spans="1:5" x14ac:dyDescent="0.25">
      <c r="A224" t="s">
        <v>420</v>
      </c>
      <c r="B224" t="s">
        <v>2470</v>
      </c>
      <c r="C224" t="s">
        <v>1507</v>
      </c>
      <c r="D224">
        <v>2017</v>
      </c>
      <c r="E224">
        <v>51</v>
      </c>
    </row>
    <row r="225" spans="1:5" x14ac:dyDescent="0.25">
      <c r="A225" t="s">
        <v>420</v>
      </c>
      <c r="B225" t="s">
        <v>2470</v>
      </c>
      <c r="C225" t="s">
        <v>2487</v>
      </c>
      <c r="D225">
        <v>2017</v>
      </c>
      <c r="E225">
        <v>9</v>
      </c>
    </row>
    <row r="226" spans="1:5" x14ac:dyDescent="0.25">
      <c r="A226" t="s">
        <v>420</v>
      </c>
      <c r="B226" t="s">
        <v>2470</v>
      </c>
      <c r="C226" t="s">
        <v>1463</v>
      </c>
      <c r="D226">
        <v>2017</v>
      </c>
      <c r="E226">
        <v>108</v>
      </c>
    </row>
    <row r="227" spans="1:5" x14ac:dyDescent="0.25">
      <c r="A227" t="s">
        <v>420</v>
      </c>
      <c r="B227" t="s">
        <v>2470</v>
      </c>
      <c r="C227" t="s">
        <v>1455</v>
      </c>
      <c r="D227">
        <v>2017</v>
      </c>
      <c r="E227">
        <v>203</v>
      </c>
    </row>
    <row r="228" spans="1:5" x14ac:dyDescent="0.25">
      <c r="A228" t="s">
        <v>420</v>
      </c>
      <c r="B228" t="s">
        <v>2470</v>
      </c>
      <c r="C228" t="s">
        <v>1434</v>
      </c>
      <c r="D228">
        <v>2017</v>
      </c>
      <c r="E228">
        <v>58</v>
      </c>
    </row>
    <row r="229" spans="1:5" x14ac:dyDescent="0.25">
      <c r="A229" t="s">
        <v>420</v>
      </c>
      <c r="B229" t="s">
        <v>2470</v>
      </c>
      <c r="C229" t="s">
        <v>2488</v>
      </c>
      <c r="D229">
        <v>2017</v>
      </c>
      <c r="E229">
        <v>7</v>
      </c>
    </row>
    <row r="230" spans="1:5" x14ac:dyDescent="0.25">
      <c r="A230" t="s">
        <v>420</v>
      </c>
      <c r="B230" t="s">
        <v>2470</v>
      </c>
      <c r="C230" t="s">
        <v>1158</v>
      </c>
      <c r="D230">
        <v>2017</v>
      </c>
      <c r="E230">
        <v>197</v>
      </c>
    </row>
    <row r="231" spans="1:5" x14ac:dyDescent="0.25">
      <c r="A231" t="s">
        <v>420</v>
      </c>
      <c r="B231" t="s">
        <v>2470</v>
      </c>
      <c r="C231" t="s">
        <v>2489</v>
      </c>
      <c r="D231">
        <v>2017</v>
      </c>
      <c r="E231">
        <v>9</v>
      </c>
    </row>
    <row r="232" spans="1:5" x14ac:dyDescent="0.25">
      <c r="A232" t="s">
        <v>420</v>
      </c>
      <c r="B232" t="s">
        <v>2470</v>
      </c>
      <c r="C232" t="s">
        <v>1135</v>
      </c>
      <c r="D232">
        <v>2017</v>
      </c>
      <c r="E232">
        <v>155</v>
      </c>
    </row>
    <row r="233" spans="1:5" x14ac:dyDescent="0.25">
      <c r="A233" t="s">
        <v>420</v>
      </c>
      <c r="B233" t="s">
        <v>2470</v>
      </c>
      <c r="C233" t="s">
        <v>2490</v>
      </c>
      <c r="D233">
        <v>2017</v>
      </c>
      <c r="E233">
        <v>7</v>
      </c>
    </row>
    <row r="234" spans="1:5" x14ac:dyDescent="0.25">
      <c r="A234" t="s">
        <v>420</v>
      </c>
      <c r="B234" t="s">
        <v>2470</v>
      </c>
      <c r="C234" t="s">
        <v>765</v>
      </c>
      <c r="D234">
        <v>2017</v>
      </c>
      <c r="E234">
        <v>49</v>
      </c>
    </row>
    <row r="235" spans="1:5" x14ac:dyDescent="0.25">
      <c r="A235" t="s">
        <v>420</v>
      </c>
      <c r="B235" t="s">
        <v>2470</v>
      </c>
      <c r="C235" t="s">
        <v>2491</v>
      </c>
      <c r="D235">
        <v>2017</v>
      </c>
      <c r="E235">
        <v>1</v>
      </c>
    </row>
    <row r="236" spans="1:5" x14ac:dyDescent="0.25">
      <c r="A236" t="s">
        <v>420</v>
      </c>
      <c r="B236" t="s">
        <v>2470</v>
      </c>
      <c r="C236" t="s">
        <v>2492</v>
      </c>
      <c r="D236">
        <v>2017</v>
      </c>
      <c r="E236">
        <v>312</v>
      </c>
    </row>
    <row r="237" spans="1:5" x14ac:dyDescent="0.25">
      <c r="A237" t="s">
        <v>420</v>
      </c>
      <c r="B237" t="s">
        <v>2470</v>
      </c>
      <c r="C237" t="s">
        <v>2493</v>
      </c>
      <c r="D237">
        <v>2017</v>
      </c>
      <c r="E237">
        <v>50</v>
      </c>
    </row>
    <row r="238" spans="1:5" x14ac:dyDescent="0.25">
      <c r="A238" t="s">
        <v>420</v>
      </c>
      <c r="B238" t="s">
        <v>2470</v>
      </c>
      <c r="C238" t="s">
        <v>2494</v>
      </c>
      <c r="D238">
        <v>2017</v>
      </c>
      <c r="E238">
        <v>1</v>
      </c>
    </row>
    <row r="239" spans="1:5" x14ac:dyDescent="0.25">
      <c r="A239" t="s">
        <v>420</v>
      </c>
      <c r="B239" t="s">
        <v>2470</v>
      </c>
      <c r="C239" t="s">
        <v>459</v>
      </c>
      <c r="D239">
        <v>2017</v>
      </c>
      <c r="E239">
        <v>126</v>
      </c>
    </row>
    <row r="240" spans="1:5" x14ac:dyDescent="0.25">
      <c r="A240" t="s">
        <v>420</v>
      </c>
      <c r="B240" t="s">
        <v>2470</v>
      </c>
      <c r="C240" t="s">
        <v>2495</v>
      </c>
      <c r="D240">
        <v>2017</v>
      </c>
      <c r="E240">
        <v>2</v>
      </c>
    </row>
    <row r="241" spans="1:5" x14ac:dyDescent="0.25">
      <c r="A241" t="s">
        <v>420</v>
      </c>
      <c r="B241" t="s">
        <v>2470</v>
      </c>
      <c r="C241" t="s">
        <v>2471</v>
      </c>
      <c r="D241">
        <v>2016</v>
      </c>
      <c r="E241">
        <v>16</v>
      </c>
    </row>
    <row r="242" spans="1:5" x14ac:dyDescent="0.25">
      <c r="A242" t="s">
        <v>420</v>
      </c>
      <c r="B242" t="s">
        <v>2470</v>
      </c>
      <c r="C242" t="s">
        <v>2472</v>
      </c>
      <c r="D242">
        <v>2016</v>
      </c>
      <c r="E242">
        <v>28</v>
      </c>
    </row>
    <row r="243" spans="1:5" x14ac:dyDescent="0.25">
      <c r="A243" t="s">
        <v>420</v>
      </c>
      <c r="B243" t="s">
        <v>2470</v>
      </c>
      <c r="C243" t="s">
        <v>2390</v>
      </c>
      <c r="D243">
        <v>2016</v>
      </c>
      <c r="E243">
        <v>248</v>
      </c>
    </row>
    <row r="244" spans="1:5" x14ac:dyDescent="0.25">
      <c r="A244" t="s">
        <v>420</v>
      </c>
      <c r="B244" t="s">
        <v>2470</v>
      </c>
      <c r="C244" t="s">
        <v>2473</v>
      </c>
      <c r="D244">
        <v>2016</v>
      </c>
      <c r="E244">
        <v>11</v>
      </c>
    </row>
    <row r="245" spans="1:5" x14ac:dyDescent="0.25">
      <c r="A245" t="s">
        <v>420</v>
      </c>
      <c r="B245" t="s">
        <v>2470</v>
      </c>
      <c r="C245" t="s">
        <v>2039</v>
      </c>
      <c r="D245">
        <v>2016</v>
      </c>
      <c r="E245">
        <v>432</v>
      </c>
    </row>
    <row r="246" spans="1:5" x14ac:dyDescent="0.25">
      <c r="A246" t="s">
        <v>420</v>
      </c>
      <c r="B246" t="s">
        <v>2470</v>
      </c>
      <c r="C246" t="s">
        <v>2474</v>
      </c>
      <c r="D246">
        <v>2016</v>
      </c>
      <c r="E246">
        <v>6</v>
      </c>
    </row>
    <row r="247" spans="1:5" x14ac:dyDescent="0.25">
      <c r="A247" t="s">
        <v>420</v>
      </c>
      <c r="B247" t="s">
        <v>2470</v>
      </c>
      <c r="C247" t="s">
        <v>2475</v>
      </c>
      <c r="D247">
        <v>2016</v>
      </c>
      <c r="E247">
        <v>147</v>
      </c>
    </row>
    <row r="248" spans="1:5" x14ac:dyDescent="0.25">
      <c r="A248" t="s">
        <v>420</v>
      </c>
      <c r="B248" t="s">
        <v>2470</v>
      </c>
      <c r="C248" t="s">
        <v>2476</v>
      </c>
      <c r="D248">
        <v>2016</v>
      </c>
      <c r="E248">
        <v>73</v>
      </c>
    </row>
    <row r="249" spans="1:5" x14ac:dyDescent="0.25">
      <c r="A249" t="s">
        <v>420</v>
      </c>
      <c r="B249" t="s">
        <v>2470</v>
      </c>
      <c r="C249" t="s">
        <v>2477</v>
      </c>
      <c r="D249">
        <v>2016</v>
      </c>
      <c r="E249">
        <v>34</v>
      </c>
    </row>
    <row r="250" spans="1:5" x14ac:dyDescent="0.25">
      <c r="A250" t="s">
        <v>420</v>
      </c>
      <c r="B250" t="s">
        <v>2470</v>
      </c>
      <c r="C250" t="s">
        <v>2478</v>
      </c>
      <c r="D250">
        <v>2016</v>
      </c>
      <c r="E250">
        <v>36</v>
      </c>
    </row>
    <row r="251" spans="1:5" x14ac:dyDescent="0.25">
      <c r="A251" t="s">
        <v>420</v>
      </c>
      <c r="B251" t="s">
        <v>2470</v>
      </c>
      <c r="C251" t="s">
        <v>1882</v>
      </c>
      <c r="D251">
        <v>2016</v>
      </c>
      <c r="E251">
        <v>16</v>
      </c>
    </row>
    <row r="252" spans="1:5" x14ac:dyDescent="0.25">
      <c r="A252" t="s">
        <v>420</v>
      </c>
      <c r="B252" t="s">
        <v>2470</v>
      </c>
      <c r="C252" t="s">
        <v>2479</v>
      </c>
      <c r="D252">
        <v>2016</v>
      </c>
      <c r="E252">
        <v>35</v>
      </c>
    </row>
    <row r="253" spans="1:5" x14ac:dyDescent="0.25">
      <c r="A253" t="s">
        <v>420</v>
      </c>
      <c r="B253" t="s">
        <v>2470</v>
      </c>
      <c r="C253" t="s">
        <v>2496</v>
      </c>
      <c r="D253">
        <v>2016</v>
      </c>
      <c r="E253">
        <v>30</v>
      </c>
    </row>
    <row r="254" spans="1:5" x14ac:dyDescent="0.25">
      <c r="A254" t="s">
        <v>420</v>
      </c>
      <c r="B254" t="s">
        <v>2470</v>
      </c>
      <c r="C254" t="s">
        <v>1689</v>
      </c>
      <c r="D254">
        <v>2016</v>
      </c>
      <c r="E254">
        <v>77</v>
      </c>
    </row>
    <row r="255" spans="1:5" x14ac:dyDescent="0.25">
      <c r="A255" t="s">
        <v>420</v>
      </c>
      <c r="B255" t="s">
        <v>2470</v>
      </c>
      <c r="C255" t="s">
        <v>2481</v>
      </c>
      <c r="D255">
        <v>2016</v>
      </c>
      <c r="E255">
        <v>4</v>
      </c>
    </row>
    <row r="256" spans="1:5" x14ac:dyDescent="0.25">
      <c r="A256" t="s">
        <v>420</v>
      </c>
      <c r="B256" t="s">
        <v>2470</v>
      </c>
      <c r="C256" t="s">
        <v>2497</v>
      </c>
      <c r="D256">
        <v>2016</v>
      </c>
      <c r="E256">
        <v>18</v>
      </c>
    </row>
    <row r="257" spans="1:5" x14ac:dyDescent="0.25">
      <c r="A257" t="s">
        <v>420</v>
      </c>
      <c r="B257" t="s">
        <v>2470</v>
      </c>
      <c r="C257" t="s">
        <v>2483</v>
      </c>
      <c r="D257">
        <v>2016</v>
      </c>
      <c r="E257">
        <v>23</v>
      </c>
    </row>
    <row r="258" spans="1:5" x14ac:dyDescent="0.25">
      <c r="A258" t="s">
        <v>420</v>
      </c>
      <c r="B258" t="s">
        <v>2470</v>
      </c>
      <c r="C258" t="s">
        <v>2484</v>
      </c>
      <c r="D258">
        <v>2016</v>
      </c>
      <c r="E258">
        <v>38</v>
      </c>
    </row>
    <row r="259" spans="1:5" x14ac:dyDescent="0.25">
      <c r="A259" t="s">
        <v>420</v>
      </c>
      <c r="B259" t="s">
        <v>2470</v>
      </c>
      <c r="C259" t="s">
        <v>1597</v>
      </c>
      <c r="D259">
        <v>2016</v>
      </c>
      <c r="E259">
        <v>134</v>
      </c>
    </row>
    <row r="260" spans="1:5" x14ac:dyDescent="0.25">
      <c r="A260" t="s">
        <v>420</v>
      </c>
      <c r="B260" t="s">
        <v>2470</v>
      </c>
      <c r="C260" t="s">
        <v>2486</v>
      </c>
      <c r="D260">
        <v>2016</v>
      </c>
      <c r="E260">
        <v>7</v>
      </c>
    </row>
    <row r="261" spans="1:5" x14ac:dyDescent="0.25">
      <c r="A261" t="s">
        <v>420</v>
      </c>
      <c r="B261" t="s">
        <v>2470</v>
      </c>
      <c r="C261" t="s">
        <v>1516</v>
      </c>
      <c r="D261">
        <v>2016</v>
      </c>
      <c r="E261">
        <v>68</v>
      </c>
    </row>
    <row r="262" spans="1:5" x14ac:dyDescent="0.25">
      <c r="A262" t="s">
        <v>420</v>
      </c>
      <c r="B262" t="s">
        <v>2470</v>
      </c>
      <c r="C262" t="s">
        <v>2498</v>
      </c>
      <c r="D262">
        <v>2016</v>
      </c>
      <c r="E262">
        <v>1</v>
      </c>
    </row>
    <row r="263" spans="1:5" x14ac:dyDescent="0.25">
      <c r="A263" t="s">
        <v>420</v>
      </c>
      <c r="B263" t="s">
        <v>2470</v>
      </c>
      <c r="C263" t="s">
        <v>1507</v>
      </c>
      <c r="D263">
        <v>2016</v>
      </c>
      <c r="E263">
        <v>51</v>
      </c>
    </row>
    <row r="264" spans="1:5" x14ac:dyDescent="0.25">
      <c r="A264" t="s">
        <v>420</v>
      </c>
      <c r="B264" t="s">
        <v>2470</v>
      </c>
      <c r="C264" t="s">
        <v>2487</v>
      </c>
      <c r="D264">
        <v>2016</v>
      </c>
      <c r="E264">
        <v>11</v>
      </c>
    </row>
    <row r="265" spans="1:5" x14ac:dyDescent="0.25">
      <c r="A265" t="s">
        <v>420</v>
      </c>
      <c r="B265" t="s">
        <v>2470</v>
      </c>
      <c r="C265" t="s">
        <v>1463</v>
      </c>
      <c r="D265">
        <v>2016</v>
      </c>
      <c r="E265">
        <v>124</v>
      </c>
    </row>
    <row r="266" spans="1:5" x14ac:dyDescent="0.25">
      <c r="A266" t="s">
        <v>420</v>
      </c>
      <c r="B266" t="s">
        <v>2470</v>
      </c>
      <c r="C266" t="s">
        <v>1455</v>
      </c>
      <c r="D266">
        <v>2016</v>
      </c>
      <c r="E266">
        <v>228</v>
      </c>
    </row>
    <row r="267" spans="1:5" x14ac:dyDescent="0.25">
      <c r="A267" t="s">
        <v>420</v>
      </c>
      <c r="B267" t="s">
        <v>2470</v>
      </c>
      <c r="C267" t="s">
        <v>1434</v>
      </c>
      <c r="D267">
        <v>2016</v>
      </c>
      <c r="E267">
        <v>79</v>
      </c>
    </row>
    <row r="268" spans="1:5" x14ac:dyDescent="0.25">
      <c r="A268" t="s">
        <v>420</v>
      </c>
      <c r="B268" t="s">
        <v>2470</v>
      </c>
      <c r="C268" t="s">
        <v>2488</v>
      </c>
      <c r="D268">
        <v>2016</v>
      </c>
      <c r="E268">
        <v>4</v>
      </c>
    </row>
    <row r="269" spans="1:5" x14ac:dyDescent="0.25">
      <c r="A269" t="s">
        <v>420</v>
      </c>
      <c r="B269" t="s">
        <v>2470</v>
      </c>
      <c r="C269" t="s">
        <v>1158</v>
      </c>
      <c r="D269">
        <v>2016</v>
      </c>
      <c r="E269">
        <v>176</v>
      </c>
    </row>
    <row r="270" spans="1:5" x14ac:dyDescent="0.25">
      <c r="A270" t="s">
        <v>420</v>
      </c>
      <c r="B270" t="s">
        <v>2470</v>
      </c>
      <c r="C270" t="s">
        <v>2489</v>
      </c>
      <c r="D270">
        <v>2016</v>
      </c>
      <c r="E270">
        <v>8</v>
      </c>
    </row>
    <row r="271" spans="1:5" x14ac:dyDescent="0.25">
      <c r="A271" t="s">
        <v>420</v>
      </c>
      <c r="B271" t="s">
        <v>2470</v>
      </c>
      <c r="C271" t="s">
        <v>1135</v>
      </c>
      <c r="D271">
        <v>2016</v>
      </c>
      <c r="E271">
        <v>187</v>
      </c>
    </row>
    <row r="272" spans="1:5" x14ac:dyDescent="0.25">
      <c r="A272" t="s">
        <v>420</v>
      </c>
      <c r="B272" t="s">
        <v>2470</v>
      </c>
      <c r="C272" t="s">
        <v>2490</v>
      </c>
      <c r="D272">
        <v>2016</v>
      </c>
      <c r="E272">
        <v>6</v>
      </c>
    </row>
    <row r="273" spans="1:5" x14ac:dyDescent="0.25">
      <c r="A273" t="s">
        <v>420</v>
      </c>
      <c r="B273" t="s">
        <v>2470</v>
      </c>
      <c r="C273" t="s">
        <v>765</v>
      </c>
      <c r="D273">
        <v>2016</v>
      </c>
      <c r="E273">
        <v>58</v>
      </c>
    </row>
    <row r="274" spans="1:5" x14ac:dyDescent="0.25">
      <c r="A274" t="s">
        <v>420</v>
      </c>
      <c r="B274" t="s">
        <v>2470</v>
      </c>
      <c r="C274" t="s">
        <v>2491</v>
      </c>
      <c r="D274">
        <v>2016</v>
      </c>
      <c r="E274">
        <v>6</v>
      </c>
    </row>
    <row r="275" spans="1:5" x14ac:dyDescent="0.25">
      <c r="A275" t="s">
        <v>420</v>
      </c>
      <c r="B275" t="s">
        <v>2470</v>
      </c>
      <c r="C275" t="s">
        <v>2492</v>
      </c>
      <c r="D275">
        <v>2016</v>
      </c>
      <c r="E275">
        <v>328</v>
      </c>
    </row>
    <row r="276" spans="1:5" x14ac:dyDescent="0.25">
      <c r="A276" t="s">
        <v>420</v>
      </c>
      <c r="B276" t="s">
        <v>2470</v>
      </c>
      <c r="C276" t="s">
        <v>2493</v>
      </c>
      <c r="D276">
        <v>2016</v>
      </c>
      <c r="E276">
        <v>51</v>
      </c>
    </row>
    <row r="277" spans="1:5" x14ac:dyDescent="0.25">
      <c r="A277" t="s">
        <v>420</v>
      </c>
      <c r="B277" t="s">
        <v>2470</v>
      </c>
      <c r="C277" t="s">
        <v>2494</v>
      </c>
      <c r="D277">
        <v>2016</v>
      </c>
      <c r="E277">
        <v>2</v>
      </c>
    </row>
    <row r="278" spans="1:5" x14ac:dyDescent="0.25">
      <c r="A278" t="s">
        <v>420</v>
      </c>
      <c r="B278" t="s">
        <v>2470</v>
      </c>
      <c r="C278" t="s">
        <v>459</v>
      </c>
      <c r="D278">
        <v>2016</v>
      </c>
      <c r="E278">
        <v>145</v>
      </c>
    </row>
    <row r="279" spans="1:5" x14ac:dyDescent="0.25">
      <c r="A279" t="s">
        <v>420</v>
      </c>
      <c r="B279" t="s">
        <v>2470</v>
      </c>
      <c r="C279" t="s">
        <v>2495</v>
      </c>
      <c r="D279">
        <v>2016</v>
      </c>
      <c r="E279">
        <v>1</v>
      </c>
    </row>
    <row r="280" spans="1:5" x14ac:dyDescent="0.25">
      <c r="A280" t="s">
        <v>420</v>
      </c>
      <c r="B280" t="s">
        <v>2470</v>
      </c>
      <c r="C280" t="s">
        <v>2471</v>
      </c>
      <c r="D280">
        <v>2015</v>
      </c>
      <c r="E280">
        <v>3</v>
      </c>
    </row>
    <row r="281" spans="1:5" x14ac:dyDescent="0.25">
      <c r="A281" t="s">
        <v>420</v>
      </c>
      <c r="B281" t="s">
        <v>2470</v>
      </c>
      <c r="C281" t="s">
        <v>2472</v>
      </c>
      <c r="D281">
        <v>2015</v>
      </c>
      <c r="E281">
        <v>27</v>
      </c>
    </row>
    <row r="282" spans="1:5" x14ac:dyDescent="0.25">
      <c r="A282" t="s">
        <v>420</v>
      </c>
      <c r="B282" t="s">
        <v>2470</v>
      </c>
      <c r="C282" t="s">
        <v>2390</v>
      </c>
      <c r="D282">
        <v>2015</v>
      </c>
      <c r="E282">
        <v>259</v>
      </c>
    </row>
    <row r="283" spans="1:5" x14ac:dyDescent="0.25">
      <c r="A283" t="s">
        <v>420</v>
      </c>
      <c r="B283" t="s">
        <v>2470</v>
      </c>
      <c r="C283" t="s">
        <v>117</v>
      </c>
      <c r="D283">
        <v>2015</v>
      </c>
      <c r="E283">
        <v>22</v>
      </c>
    </row>
    <row r="284" spans="1:5" x14ac:dyDescent="0.25">
      <c r="A284" t="s">
        <v>420</v>
      </c>
      <c r="B284" t="s">
        <v>2470</v>
      </c>
      <c r="C284" t="s">
        <v>2473</v>
      </c>
      <c r="D284">
        <v>2015</v>
      </c>
      <c r="E284">
        <v>6</v>
      </c>
    </row>
    <row r="285" spans="1:5" x14ac:dyDescent="0.25">
      <c r="A285" t="s">
        <v>420</v>
      </c>
      <c r="B285" t="s">
        <v>2470</v>
      </c>
      <c r="C285" t="s">
        <v>2039</v>
      </c>
      <c r="D285">
        <v>2015</v>
      </c>
      <c r="E285">
        <v>353</v>
      </c>
    </row>
    <row r="286" spans="1:5" x14ac:dyDescent="0.25">
      <c r="A286" t="s">
        <v>420</v>
      </c>
      <c r="B286" t="s">
        <v>2470</v>
      </c>
      <c r="C286" t="s">
        <v>2474</v>
      </c>
      <c r="D286">
        <v>2015</v>
      </c>
      <c r="E286">
        <v>8</v>
      </c>
    </row>
    <row r="287" spans="1:5" x14ac:dyDescent="0.25">
      <c r="A287" t="s">
        <v>420</v>
      </c>
      <c r="B287" t="s">
        <v>2470</v>
      </c>
      <c r="C287" t="s">
        <v>2475</v>
      </c>
      <c r="D287">
        <v>2015</v>
      </c>
      <c r="E287">
        <v>155</v>
      </c>
    </row>
    <row r="288" spans="1:5" x14ac:dyDescent="0.25">
      <c r="A288" t="s">
        <v>420</v>
      </c>
      <c r="B288" t="s">
        <v>2470</v>
      </c>
      <c r="C288" t="s">
        <v>2476</v>
      </c>
      <c r="D288">
        <v>2015</v>
      </c>
      <c r="E288">
        <v>70</v>
      </c>
    </row>
    <row r="289" spans="1:5" x14ac:dyDescent="0.25">
      <c r="A289" t="s">
        <v>420</v>
      </c>
      <c r="B289" t="s">
        <v>2470</v>
      </c>
      <c r="C289" t="s">
        <v>2477</v>
      </c>
      <c r="D289">
        <v>2015</v>
      </c>
      <c r="E289">
        <v>38</v>
      </c>
    </row>
    <row r="290" spans="1:5" x14ac:dyDescent="0.25">
      <c r="A290" t="s">
        <v>420</v>
      </c>
      <c r="B290" t="s">
        <v>2470</v>
      </c>
      <c r="C290" t="s">
        <v>1882</v>
      </c>
      <c r="D290">
        <v>2015</v>
      </c>
      <c r="E290">
        <v>14</v>
      </c>
    </row>
    <row r="291" spans="1:5" x14ac:dyDescent="0.25">
      <c r="A291" t="s">
        <v>420</v>
      </c>
      <c r="B291" t="s">
        <v>2470</v>
      </c>
      <c r="C291" t="s">
        <v>2479</v>
      </c>
      <c r="D291">
        <v>2015</v>
      </c>
      <c r="E291">
        <v>31</v>
      </c>
    </row>
    <row r="292" spans="1:5" x14ac:dyDescent="0.25">
      <c r="A292" t="s">
        <v>420</v>
      </c>
      <c r="B292" t="s">
        <v>2470</v>
      </c>
      <c r="C292" t="s">
        <v>2496</v>
      </c>
      <c r="D292">
        <v>2015</v>
      </c>
      <c r="E292">
        <v>32</v>
      </c>
    </row>
    <row r="293" spans="1:5" x14ac:dyDescent="0.25">
      <c r="A293" t="s">
        <v>420</v>
      </c>
      <c r="B293" t="s">
        <v>2470</v>
      </c>
      <c r="C293" t="s">
        <v>1689</v>
      </c>
      <c r="D293">
        <v>2015</v>
      </c>
      <c r="E293">
        <v>76</v>
      </c>
    </row>
    <row r="294" spans="1:5" x14ac:dyDescent="0.25">
      <c r="A294" t="s">
        <v>420</v>
      </c>
      <c r="B294" t="s">
        <v>2470</v>
      </c>
      <c r="C294" t="s">
        <v>2481</v>
      </c>
      <c r="D294">
        <v>2015</v>
      </c>
      <c r="E294">
        <v>4</v>
      </c>
    </row>
    <row r="295" spans="1:5" x14ac:dyDescent="0.25">
      <c r="A295" t="s">
        <v>420</v>
      </c>
      <c r="B295" t="s">
        <v>2470</v>
      </c>
      <c r="C295" t="s">
        <v>2497</v>
      </c>
      <c r="D295">
        <v>2015</v>
      </c>
      <c r="E295">
        <v>34</v>
      </c>
    </row>
    <row r="296" spans="1:5" x14ac:dyDescent="0.25">
      <c r="A296" t="s">
        <v>420</v>
      </c>
      <c r="B296" t="s">
        <v>2470</v>
      </c>
      <c r="C296" t="s">
        <v>2483</v>
      </c>
      <c r="D296">
        <v>2015</v>
      </c>
      <c r="E296">
        <v>25</v>
      </c>
    </row>
    <row r="297" spans="1:5" x14ac:dyDescent="0.25">
      <c r="A297" t="s">
        <v>420</v>
      </c>
      <c r="B297" t="s">
        <v>2470</v>
      </c>
      <c r="C297" t="s">
        <v>2499</v>
      </c>
      <c r="D297">
        <v>2015</v>
      </c>
      <c r="E297">
        <v>1</v>
      </c>
    </row>
    <row r="298" spans="1:5" x14ac:dyDescent="0.25">
      <c r="A298" t="s">
        <v>420</v>
      </c>
      <c r="B298" t="s">
        <v>2470</v>
      </c>
      <c r="C298" t="s">
        <v>2484</v>
      </c>
      <c r="D298">
        <v>2015</v>
      </c>
      <c r="E298">
        <v>37</v>
      </c>
    </row>
    <row r="299" spans="1:5" x14ac:dyDescent="0.25">
      <c r="A299" t="s">
        <v>420</v>
      </c>
      <c r="B299" t="s">
        <v>2470</v>
      </c>
      <c r="C299" t="s">
        <v>1597</v>
      </c>
      <c r="D299">
        <v>2015</v>
      </c>
      <c r="E299">
        <v>153</v>
      </c>
    </row>
    <row r="300" spans="1:5" x14ac:dyDescent="0.25">
      <c r="A300" t="s">
        <v>420</v>
      </c>
      <c r="B300" t="s">
        <v>2470</v>
      </c>
      <c r="C300" t="s">
        <v>2486</v>
      </c>
      <c r="D300">
        <v>2015</v>
      </c>
      <c r="E300">
        <v>9</v>
      </c>
    </row>
    <row r="301" spans="1:5" x14ac:dyDescent="0.25">
      <c r="A301" t="s">
        <v>420</v>
      </c>
      <c r="B301" t="s">
        <v>2470</v>
      </c>
      <c r="C301" t="s">
        <v>1516</v>
      </c>
      <c r="D301">
        <v>2015</v>
      </c>
      <c r="E301">
        <v>73</v>
      </c>
    </row>
    <row r="302" spans="1:5" x14ac:dyDescent="0.25">
      <c r="A302" t="s">
        <v>420</v>
      </c>
      <c r="B302" t="s">
        <v>2470</v>
      </c>
      <c r="C302" t="s">
        <v>2498</v>
      </c>
      <c r="D302">
        <v>2015</v>
      </c>
      <c r="E302">
        <v>1</v>
      </c>
    </row>
    <row r="303" spans="1:5" x14ac:dyDescent="0.25">
      <c r="A303" t="s">
        <v>420</v>
      </c>
      <c r="B303" t="s">
        <v>2470</v>
      </c>
      <c r="C303" t="s">
        <v>1507</v>
      </c>
      <c r="D303">
        <v>2015</v>
      </c>
      <c r="E303">
        <v>41</v>
      </c>
    </row>
    <row r="304" spans="1:5" x14ac:dyDescent="0.25">
      <c r="A304" t="s">
        <v>420</v>
      </c>
      <c r="B304" t="s">
        <v>2470</v>
      </c>
      <c r="C304" t="s">
        <v>2487</v>
      </c>
      <c r="D304">
        <v>2015</v>
      </c>
      <c r="E304">
        <v>12</v>
      </c>
    </row>
    <row r="305" spans="1:5" x14ac:dyDescent="0.25">
      <c r="A305" t="s">
        <v>420</v>
      </c>
      <c r="B305" t="s">
        <v>2470</v>
      </c>
      <c r="C305" t="s">
        <v>1463</v>
      </c>
      <c r="D305">
        <v>2015</v>
      </c>
      <c r="E305">
        <v>127</v>
      </c>
    </row>
    <row r="306" spans="1:5" x14ac:dyDescent="0.25">
      <c r="A306" t="s">
        <v>420</v>
      </c>
      <c r="B306" t="s">
        <v>2470</v>
      </c>
      <c r="C306" t="s">
        <v>1455</v>
      </c>
      <c r="D306">
        <v>2015</v>
      </c>
      <c r="E306">
        <v>139</v>
      </c>
    </row>
    <row r="307" spans="1:5" x14ac:dyDescent="0.25">
      <c r="A307" t="s">
        <v>420</v>
      </c>
      <c r="B307" t="s">
        <v>2470</v>
      </c>
      <c r="C307" t="s">
        <v>1434</v>
      </c>
      <c r="D307">
        <v>2015</v>
      </c>
      <c r="E307">
        <v>65</v>
      </c>
    </row>
    <row r="308" spans="1:5" x14ac:dyDescent="0.25">
      <c r="A308" t="s">
        <v>420</v>
      </c>
      <c r="B308" t="s">
        <v>2470</v>
      </c>
      <c r="C308" t="s">
        <v>2488</v>
      </c>
      <c r="D308">
        <v>2015</v>
      </c>
      <c r="E308">
        <v>3</v>
      </c>
    </row>
    <row r="309" spans="1:5" x14ac:dyDescent="0.25">
      <c r="A309" t="s">
        <v>420</v>
      </c>
      <c r="B309" t="s">
        <v>2470</v>
      </c>
      <c r="C309" t="s">
        <v>1158</v>
      </c>
      <c r="D309">
        <v>2015</v>
      </c>
      <c r="E309">
        <v>175</v>
      </c>
    </row>
    <row r="310" spans="1:5" x14ac:dyDescent="0.25">
      <c r="A310" t="s">
        <v>420</v>
      </c>
      <c r="B310" t="s">
        <v>2470</v>
      </c>
      <c r="C310" t="s">
        <v>2489</v>
      </c>
      <c r="D310">
        <v>2015</v>
      </c>
      <c r="E310">
        <v>9</v>
      </c>
    </row>
    <row r="311" spans="1:5" x14ac:dyDescent="0.25">
      <c r="A311" t="s">
        <v>420</v>
      </c>
      <c r="B311" t="s">
        <v>2470</v>
      </c>
      <c r="C311" t="s">
        <v>1135</v>
      </c>
      <c r="D311">
        <v>2015</v>
      </c>
      <c r="E311">
        <v>169</v>
      </c>
    </row>
    <row r="312" spans="1:5" x14ac:dyDescent="0.25">
      <c r="A312" t="s">
        <v>420</v>
      </c>
      <c r="B312" t="s">
        <v>2470</v>
      </c>
      <c r="C312" t="s">
        <v>2500</v>
      </c>
      <c r="D312">
        <v>2015</v>
      </c>
      <c r="E312">
        <v>7</v>
      </c>
    </row>
    <row r="313" spans="1:5" x14ac:dyDescent="0.25">
      <c r="A313" t="s">
        <v>420</v>
      </c>
      <c r="B313" t="s">
        <v>2470</v>
      </c>
      <c r="C313" t="s">
        <v>2490</v>
      </c>
      <c r="D313">
        <v>2015</v>
      </c>
      <c r="E313">
        <v>6</v>
      </c>
    </row>
    <row r="314" spans="1:5" x14ac:dyDescent="0.25">
      <c r="A314" t="s">
        <v>420</v>
      </c>
      <c r="B314" t="s">
        <v>2470</v>
      </c>
      <c r="C314" t="s">
        <v>765</v>
      </c>
      <c r="D314">
        <v>2015</v>
      </c>
      <c r="E314">
        <v>64</v>
      </c>
    </row>
    <row r="315" spans="1:5" x14ac:dyDescent="0.25">
      <c r="A315" t="s">
        <v>420</v>
      </c>
      <c r="B315" t="s">
        <v>2470</v>
      </c>
      <c r="C315" t="s">
        <v>2491</v>
      </c>
      <c r="D315">
        <v>2015</v>
      </c>
      <c r="E315">
        <v>4</v>
      </c>
    </row>
    <row r="316" spans="1:5" x14ac:dyDescent="0.25">
      <c r="A316" t="s">
        <v>420</v>
      </c>
      <c r="B316" t="s">
        <v>2470</v>
      </c>
      <c r="C316" t="s">
        <v>2492</v>
      </c>
      <c r="D316">
        <v>2015</v>
      </c>
      <c r="E316">
        <v>402</v>
      </c>
    </row>
    <row r="317" spans="1:5" x14ac:dyDescent="0.25">
      <c r="A317" t="s">
        <v>420</v>
      </c>
      <c r="B317" t="s">
        <v>2470</v>
      </c>
      <c r="C317" t="s">
        <v>2493</v>
      </c>
      <c r="D317">
        <v>2015</v>
      </c>
      <c r="E317">
        <v>50</v>
      </c>
    </row>
    <row r="318" spans="1:5" x14ac:dyDescent="0.25">
      <c r="A318" t="s">
        <v>420</v>
      </c>
      <c r="B318" t="s">
        <v>2470</v>
      </c>
      <c r="C318" t="s">
        <v>2494</v>
      </c>
      <c r="D318">
        <v>2015</v>
      </c>
      <c r="E318">
        <v>3</v>
      </c>
    </row>
    <row r="319" spans="1:5" x14ac:dyDescent="0.25">
      <c r="A319" t="s">
        <v>420</v>
      </c>
      <c r="B319" t="s">
        <v>2470</v>
      </c>
      <c r="C319" t="s">
        <v>459</v>
      </c>
      <c r="D319">
        <v>2015</v>
      </c>
      <c r="E319">
        <v>164</v>
      </c>
    </row>
    <row r="320" spans="1:5" x14ac:dyDescent="0.25">
      <c r="A320" t="s">
        <v>420</v>
      </c>
      <c r="B320" t="s">
        <v>2470</v>
      </c>
      <c r="C320" t="s">
        <v>2472</v>
      </c>
      <c r="D320">
        <v>2014</v>
      </c>
      <c r="E320">
        <v>23</v>
      </c>
    </row>
    <row r="321" spans="1:5" x14ac:dyDescent="0.25">
      <c r="A321" t="s">
        <v>420</v>
      </c>
      <c r="B321" t="s">
        <v>2470</v>
      </c>
      <c r="C321" t="s">
        <v>2390</v>
      </c>
      <c r="D321">
        <v>2014</v>
      </c>
      <c r="E321">
        <v>283</v>
      </c>
    </row>
    <row r="322" spans="1:5" x14ac:dyDescent="0.25">
      <c r="A322" t="s">
        <v>420</v>
      </c>
      <c r="B322" t="s">
        <v>2470</v>
      </c>
      <c r="C322" t="s">
        <v>2473</v>
      </c>
      <c r="D322">
        <v>2014</v>
      </c>
      <c r="E322">
        <v>13</v>
      </c>
    </row>
    <row r="323" spans="1:5" x14ac:dyDescent="0.25">
      <c r="A323" t="s">
        <v>420</v>
      </c>
      <c r="B323" t="s">
        <v>2470</v>
      </c>
      <c r="C323" t="s">
        <v>2039</v>
      </c>
      <c r="D323">
        <v>2014</v>
      </c>
      <c r="E323">
        <v>362</v>
      </c>
    </row>
    <row r="324" spans="1:5" x14ac:dyDescent="0.25">
      <c r="A324" t="s">
        <v>420</v>
      </c>
      <c r="B324" t="s">
        <v>2470</v>
      </c>
      <c r="C324" t="s">
        <v>2474</v>
      </c>
      <c r="D324">
        <v>2014</v>
      </c>
      <c r="E324">
        <v>7</v>
      </c>
    </row>
    <row r="325" spans="1:5" x14ac:dyDescent="0.25">
      <c r="A325" t="s">
        <v>420</v>
      </c>
      <c r="B325" t="s">
        <v>2470</v>
      </c>
      <c r="C325" t="s">
        <v>2475</v>
      </c>
      <c r="D325">
        <v>2014</v>
      </c>
      <c r="E325">
        <v>193</v>
      </c>
    </row>
    <row r="326" spans="1:5" x14ac:dyDescent="0.25">
      <c r="A326" t="s">
        <v>420</v>
      </c>
      <c r="B326" t="s">
        <v>2470</v>
      </c>
      <c r="C326" t="s">
        <v>2476</v>
      </c>
      <c r="D326">
        <v>2014</v>
      </c>
      <c r="E326">
        <v>67</v>
      </c>
    </row>
    <row r="327" spans="1:5" x14ac:dyDescent="0.25">
      <c r="A327" t="s">
        <v>420</v>
      </c>
      <c r="B327" t="s">
        <v>2470</v>
      </c>
      <c r="C327" t="s">
        <v>2477</v>
      </c>
      <c r="D327">
        <v>2014</v>
      </c>
      <c r="E327">
        <v>38</v>
      </c>
    </row>
    <row r="328" spans="1:5" x14ac:dyDescent="0.25">
      <c r="A328" t="s">
        <v>420</v>
      </c>
      <c r="B328" t="s">
        <v>2470</v>
      </c>
      <c r="C328" t="s">
        <v>1882</v>
      </c>
      <c r="D328">
        <v>2014</v>
      </c>
      <c r="E328">
        <v>17</v>
      </c>
    </row>
    <row r="329" spans="1:5" x14ac:dyDescent="0.25">
      <c r="A329" t="s">
        <v>420</v>
      </c>
      <c r="B329" t="s">
        <v>2470</v>
      </c>
      <c r="C329" t="s">
        <v>2479</v>
      </c>
      <c r="D329">
        <v>2014</v>
      </c>
      <c r="E329">
        <v>40</v>
      </c>
    </row>
    <row r="330" spans="1:5" x14ac:dyDescent="0.25">
      <c r="A330" t="s">
        <v>420</v>
      </c>
      <c r="B330" t="s">
        <v>2470</v>
      </c>
      <c r="C330" t="s">
        <v>2496</v>
      </c>
      <c r="D330">
        <v>2014</v>
      </c>
      <c r="E330">
        <v>31</v>
      </c>
    </row>
    <row r="331" spans="1:5" x14ac:dyDescent="0.25">
      <c r="A331" t="s">
        <v>420</v>
      </c>
      <c r="B331" t="s">
        <v>2470</v>
      </c>
      <c r="C331" t="s">
        <v>1689</v>
      </c>
      <c r="D331">
        <v>2014</v>
      </c>
      <c r="E331">
        <v>86</v>
      </c>
    </row>
    <row r="332" spans="1:5" x14ac:dyDescent="0.25">
      <c r="A332" t="s">
        <v>420</v>
      </c>
      <c r="B332" t="s">
        <v>2470</v>
      </c>
      <c r="C332" t="s">
        <v>2497</v>
      </c>
      <c r="D332">
        <v>2014</v>
      </c>
      <c r="E332">
        <v>42</v>
      </c>
    </row>
    <row r="333" spans="1:5" x14ac:dyDescent="0.25">
      <c r="A333" t="s">
        <v>420</v>
      </c>
      <c r="B333" t="s">
        <v>2470</v>
      </c>
      <c r="C333" t="s">
        <v>2483</v>
      </c>
      <c r="D333">
        <v>2014</v>
      </c>
      <c r="E333">
        <v>27</v>
      </c>
    </row>
    <row r="334" spans="1:5" x14ac:dyDescent="0.25">
      <c r="A334" t="s">
        <v>420</v>
      </c>
      <c r="B334" t="s">
        <v>2470</v>
      </c>
      <c r="C334" t="s">
        <v>2499</v>
      </c>
      <c r="D334">
        <v>2014</v>
      </c>
      <c r="E334">
        <v>1</v>
      </c>
    </row>
    <row r="335" spans="1:5" x14ac:dyDescent="0.25">
      <c r="A335" t="s">
        <v>420</v>
      </c>
      <c r="B335" t="s">
        <v>2470</v>
      </c>
      <c r="C335" t="s">
        <v>2484</v>
      </c>
      <c r="D335">
        <v>2014</v>
      </c>
      <c r="E335">
        <v>32</v>
      </c>
    </row>
    <row r="336" spans="1:5" x14ac:dyDescent="0.25">
      <c r="A336" t="s">
        <v>420</v>
      </c>
      <c r="B336" t="s">
        <v>2470</v>
      </c>
      <c r="C336" t="s">
        <v>1597</v>
      </c>
      <c r="D336">
        <v>2014</v>
      </c>
      <c r="E336">
        <v>169</v>
      </c>
    </row>
    <row r="337" spans="1:5" x14ac:dyDescent="0.25">
      <c r="A337" t="s">
        <v>420</v>
      </c>
      <c r="B337" t="s">
        <v>2470</v>
      </c>
      <c r="C337" t="s">
        <v>2486</v>
      </c>
      <c r="D337">
        <v>2014</v>
      </c>
      <c r="E337">
        <v>9</v>
      </c>
    </row>
    <row r="338" spans="1:5" x14ac:dyDescent="0.25">
      <c r="A338" t="s">
        <v>420</v>
      </c>
      <c r="B338" t="s">
        <v>2470</v>
      </c>
      <c r="C338" t="s">
        <v>1516</v>
      </c>
      <c r="D338">
        <v>2014</v>
      </c>
      <c r="E338">
        <v>89</v>
      </c>
    </row>
    <row r="339" spans="1:5" x14ac:dyDescent="0.25">
      <c r="A339" t="s">
        <v>420</v>
      </c>
      <c r="B339" t="s">
        <v>2470</v>
      </c>
      <c r="C339" t="s">
        <v>2498</v>
      </c>
      <c r="D339">
        <v>2014</v>
      </c>
      <c r="E339">
        <v>5</v>
      </c>
    </row>
    <row r="340" spans="1:5" x14ac:dyDescent="0.25">
      <c r="A340" t="s">
        <v>420</v>
      </c>
      <c r="B340" t="s">
        <v>2470</v>
      </c>
      <c r="C340" t="s">
        <v>1507</v>
      </c>
      <c r="D340">
        <v>2014</v>
      </c>
      <c r="E340">
        <v>55</v>
      </c>
    </row>
    <row r="341" spans="1:5" x14ac:dyDescent="0.25">
      <c r="A341" t="s">
        <v>420</v>
      </c>
      <c r="B341" t="s">
        <v>2470</v>
      </c>
      <c r="C341" t="s">
        <v>2487</v>
      </c>
      <c r="D341">
        <v>2014</v>
      </c>
      <c r="E341">
        <v>16</v>
      </c>
    </row>
    <row r="342" spans="1:5" x14ac:dyDescent="0.25">
      <c r="A342" t="s">
        <v>420</v>
      </c>
      <c r="B342" t="s">
        <v>2470</v>
      </c>
      <c r="C342" t="s">
        <v>1463</v>
      </c>
      <c r="D342">
        <v>2014</v>
      </c>
      <c r="E342">
        <v>130</v>
      </c>
    </row>
    <row r="343" spans="1:5" x14ac:dyDescent="0.25">
      <c r="A343" t="s">
        <v>420</v>
      </c>
      <c r="B343" t="s">
        <v>2470</v>
      </c>
      <c r="C343" t="s">
        <v>1455</v>
      </c>
      <c r="D343">
        <v>2014</v>
      </c>
      <c r="E343">
        <v>157</v>
      </c>
    </row>
    <row r="344" spans="1:5" x14ac:dyDescent="0.25">
      <c r="A344" t="s">
        <v>420</v>
      </c>
      <c r="B344" t="s">
        <v>2470</v>
      </c>
      <c r="C344" t="s">
        <v>1434</v>
      </c>
      <c r="D344">
        <v>2014</v>
      </c>
      <c r="E344">
        <v>48</v>
      </c>
    </row>
    <row r="345" spans="1:5" x14ac:dyDescent="0.25">
      <c r="A345" t="s">
        <v>420</v>
      </c>
      <c r="B345" t="s">
        <v>2470</v>
      </c>
      <c r="C345" t="s">
        <v>2488</v>
      </c>
      <c r="D345">
        <v>2014</v>
      </c>
      <c r="E345">
        <v>7</v>
      </c>
    </row>
    <row r="346" spans="1:5" x14ac:dyDescent="0.25">
      <c r="A346" t="s">
        <v>420</v>
      </c>
      <c r="B346" t="s">
        <v>2470</v>
      </c>
      <c r="C346" t="s">
        <v>1158</v>
      </c>
      <c r="D346">
        <v>2014</v>
      </c>
      <c r="E346">
        <v>145</v>
      </c>
    </row>
    <row r="347" spans="1:5" x14ac:dyDescent="0.25">
      <c r="A347" t="s">
        <v>420</v>
      </c>
      <c r="B347" t="s">
        <v>2470</v>
      </c>
      <c r="C347" t="s">
        <v>2489</v>
      </c>
      <c r="D347">
        <v>2014</v>
      </c>
      <c r="E347">
        <v>5</v>
      </c>
    </row>
    <row r="348" spans="1:5" x14ac:dyDescent="0.25">
      <c r="A348" t="s">
        <v>420</v>
      </c>
      <c r="B348" t="s">
        <v>2470</v>
      </c>
      <c r="C348" t="s">
        <v>1135</v>
      </c>
      <c r="D348">
        <v>2014</v>
      </c>
      <c r="E348">
        <v>180</v>
      </c>
    </row>
    <row r="349" spans="1:5" x14ac:dyDescent="0.25">
      <c r="A349" t="s">
        <v>420</v>
      </c>
      <c r="B349" t="s">
        <v>2470</v>
      </c>
      <c r="C349" t="s">
        <v>2490</v>
      </c>
      <c r="D349">
        <v>2014</v>
      </c>
      <c r="E349">
        <v>7</v>
      </c>
    </row>
    <row r="350" spans="1:5" x14ac:dyDescent="0.25">
      <c r="A350" t="s">
        <v>420</v>
      </c>
      <c r="B350" t="s">
        <v>2470</v>
      </c>
      <c r="C350" t="s">
        <v>765</v>
      </c>
      <c r="D350">
        <v>2014</v>
      </c>
      <c r="E350">
        <v>64</v>
      </c>
    </row>
    <row r="351" spans="1:5" x14ac:dyDescent="0.25">
      <c r="A351" t="s">
        <v>420</v>
      </c>
      <c r="B351" t="s">
        <v>2470</v>
      </c>
      <c r="C351" t="s">
        <v>2491</v>
      </c>
      <c r="D351">
        <v>2014</v>
      </c>
      <c r="E351">
        <v>3</v>
      </c>
    </row>
    <row r="352" spans="1:5" x14ac:dyDescent="0.25">
      <c r="A352" t="s">
        <v>420</v>
      </c>
      <c r="B352" t="s">
        <v>2470</v>
      </c>
      <c r="C352" t="s">
        <v>2492</v>
      </c>
      <c r="D352">
        <v>2014</v>
      </c>
      <c r="E352">
        <v>385</v>
      </c>
    </row>
    <row r="353" spans="1:5" x14ac:dyDescent="0.25">
      <c r="A353" t="s">
        <v>420</v>
      </c>
      <c r="B353" t="s">
        <v>2470</v>
      </c>
      <c r="C353" t="s">
        <v>2493</v>
      </c>
      <c r="D353">
        <v>2014</v>
      </c>
      <c r="E353">
        <v>58</v>
      </c>
    </row>
    <row r="354" spans="1:5" x14ac:dyDescent="0.25">
      <c r="A354" t="s">
        <v>420</v>
      </c>
      <c r="B354" t="s">
        <v>2470</v>
      </c>
      <c r="C354" t="s">
        <v>2494</v>
      </c>
      <c r="D354">
        <v>2014</v>
      </c>
      <c r="E354">
        <v>7</v>
      </c>
    </row>
    <row r="355" spans="1:5" x14ac:dyDescent="0.25">
      <c r="A355" t="s">
        <v>420</v>
      </c>
      <c r="B355" t="s">
        <v>2470</v>
      </c>
      <c r="C355" t="s">
        <v>459</v>
      </c>
      <c r="D355">
        <v>2014</v>
      </c>
      <c r="E355">
        <v>198</v>
      </c>
    </row>
    <row r="356" spans="1:5" x14ac:dyDescent="0.25">
      <c r="A356" t="s">
        <v>420</v>
      </c>
      <c r="B356" t="s">
        <v>2470</v>
      </c>
      <c r="C356" t="s">
        <v>2472</v>
      </c>
      <c r="D356">
        <v>2013</v>
      </c>
      <c r="E356">
        <v>37</v>
      </c>
    </row>
    <row r="357" spans="1:5" x14ac:dyDescent="0.25">
      <c r="A357" t="s">
        <v>420</v>
      </c>
      <c r="B357" t="s">
        <v>2470</v>
      </c>
      <c r="C357" t="s">
        <v>2390</v>
      </c>
      <c r="D357">
        <v>2013</v>
      </c>
      <c r="E357">
        <v>314</v>
      </c>
    </row>
    <row r="358" spans="1:5" x14ac:dyDescent="0.25">
      <c r="A358" t="s">
        <v>420</v>
      </c>
      <c r="B358" t="s">
        <v>2470</v>
      </c>
      <c r="C358" t="s">
        <v>2501</v>
      </c>
      <c r="D358">
        <v>2013</v>
      </c>
      <c r="E358">
        <v>1</v>
      </c>
    </row>
    <row r="359" spans="1:5" x14ac:dyDescent="0.25">
      <c r="A359" t="s">
        <v>420</v>
      </c>
      <c r="B359" t="s">
        <v>2470</v>
      </c>
      <c r="C359" t="s">
        <v>2473</v>
      </c>
      <c r="D359">
        <v>2013</v>
      </c>
      <c r="E359">
        <v>14</v>
      </c>
    </row>
    <row r="360" spans="1:5" x14ac:dyDescent="0.25">
      <c r="A360" t="s">
        <v>420</v>
      </c>
      <c r="B360" t="s">
        <v>2470</v>
      </c>
      <c r="C360" t="s">
        <v>2039</v>
      </c>
      <c r="D360">
        <v>2013</v>
      </c>
      <c r="E360">
        <v>385</v>
      </c>
    </row>
    <row r="361" spans="1:5" x14ac:dyDescent="0.25">
      <c r="A361" t="s">
        <v>420</v>
      </c>
      <c r="B361" t="s">
        <v>2470</v>
      </c>
      <c r="C361" t="s">
        <v>2474</v>
      </c>
      <c r="D361">
        <v>2013</v>
      </c>
      <c r="E361">
        <v>12</v>
      </c>
    </row>
    <row r="362" spans="1:5" x14ac:dyDescent="0.25">
      <c r="A362" t="s">
        <v>420</v>
      </c>
      <c r="B362" t="s">
        <v>2470</v>
      </c>
      <c r="C362" t="s">
        <v>2475</v>
      </c>
      <c r="D362">
        <v>2013</v>
      </c>
      <c r="E362">
        <v>210</v>
      </c>
    </row>
    <row r="363" spans="1:5" x14ac:dyDescent="0.25">
      <c r="A363" t="s">
        <v>420</v>
      </c>
      <c r="B363" t="s">
        <v>2470</v>
      </c>
      <c r="C363" t="s">
        <v>2476</v>
      </c>
      <c r="D363">
        <v>2013</v>
      </c>
      <c r="E363">
        <v>69</v>
      </c>
    </row>
    <row r="364" spans="1:5" x14ac:dyDescent="0.25">
      <c r="A364" t="s">
        <v>420</v>
      </c>
      <c r="B364" t="s">
        <v>2470</v>
      </c>
      <c r="C364" t="s">
        <v>2477</v>
      </c>
      <c r="D364">
        <v>2013</v>
      </c>
      <c r="E364">
        <v>43</v>
      </c>
    </row>
    <row r="365" spans="1:5" x14ac:dyDescent="0.25">
      <c r="A365" t="s">
        <v>420</v>
      </c>
      <c r="B365" t="s">
        <v>2470</v>
      </c>
      <c r="C365" t="s">
        <v>1882</v>
      </c>
      <c r="D365">
        <v>2013</v>
      </c>
      <c r="E365">
        <v>21</v>
      </c>
    </row>
    <row r="366" spans="1:5" x14ac:dyDescent="0.25">
      <c r="A366" t="s">
        <v>420</v>
      </c>
      <c r="B366" t="s">
        <v>2470</v>
      </c>
      <c r="C366" t="s">
        <v>2479</v>
      </c>
      <c r="D366">
        <v>2013</v>
      </c>
      <c r="E366">
        <v>42</v>
      </c>
    </row>
    <row r="367" spans="1:5" x14ac:dyDescent="0.25">
      <c r="A367" t="s">
        <v>420</v>
      </c>
      <c r="B367" t="s">
        <v>2470</v>
      </c>
      <c r="C367" t="s">
        <v>2496</v>
      </c>
      <c r="D367">
        <v>2013</v>
      </c>
      <c r="E367">
        <v>29</v>
      </c>
    </row>
    <row r="368" spans="1:5" x14ac:dyDescent="0.25">
      <c r="A368" t="s">
        <v>420</v>
      </c>
      <c r="B368" t="s">
        <v>2470</v>
      </c>
      <c r="C368" t="s">
        <v>1689</v>
      </c>
      <c r="D368">
        <v>2013</v>
      </c>
      <c r="E368">
        <v>99</v>
      </c>
    </row>
    <row r="369" spans="1:5" x14ac:dyDescent="0.25">
      <c r="A369" t="s">
        <v>420</v>
      </c>
      <c r="B369" t="s">
        <v>2470</v>
      </c>
      <c r="C369" t="s">
        <v>2481</v>
      </c>
      <c r="D369">
        <v>2013</v>
      </c>
      <c r="E369">
        <v>1</v>
      </c>
    </row>
    <row r="370" spans="1:5" x14ac:dyDescent="0.25">
      <c r="A370" t="s">
        <v>420</v>
      </c>
      <c r="B370" t="s">
        <v>2470</v>
      </c>
      <c r="C370" t="s">
        <v>2497</v>
      </c>
      <c r="D370">
        <v>2013</v>
      </c>
      <c r="E370">
        <v>53</v>
      </c>
    </row>
    <row r="371" spans="1:5" x14ac:dyDescent="0.25">
      <c r="A371" t="s">
        <v>420</v>
      </c>
      <c r="B371" t="s">
        <v>2470</v>
      </c>
      <c r="C371" t="s">
        <v>2483</v>
      </c>
      <c r="D371">
        <v>2013</v>
      </c>
      <c r="E371">
        <v>22</v>
      </c>
    </row>
    <row r="372" spans="1:5" x14ac:dyDescent="0.25">
      <c r="A372" t="s">
        <v>420</v>
      </c>
      <c r="B372" t="s">
        <v>2470</v>
      </c>
      <c r="C372" t="s">
        <v>2499</v>
      </c>
      <c r="D372">
        <v>2013</v>
      </c>
      <c r="E372">
        <v>3</v>
      </c>
    </row>
    <row r="373" spans="1:5" x14ac:dyDescent="0.25">
      <c r="A373" t="s">
        <v>420</v>
      </c>
      <c r="B373" t="s">
        <v>2470</v>
      </c>
      <c r="C373" t="s">
        <v>2502</v>
      </c>
      <c r="D373">
        <v>2013</v>
      </c>
      <c r="E373">
        <v>3</v>
      </c>
    </row>
    <row r="374" spans="1:5" x14ac:dyDescent="0.25">
      <c r="A374" t="s">
        <v>420</v>
      </c>
      <c r="B374" t="s">
        <v>2470</v>
      </c>
      <c r="C374" t="s">
        <v>2484</v>
      </c>
      <c r="D374">
        <v>2013</v>
      </c>
      <c r="E374">
        <v>17</v>
      </c>
    </row>
    <row r="375" spans="1:5" x14ac:dyDescent="0.25">
      <c r="A375" t="s">
        <v>420</v>
      </c>
      <c r="B375" t="s">
        <v>2470</v>
      </c>
      <c r="C375" t="s">
        <v>1597</v>
      </c>
      <c r="D375">
        <v>2013</v>
      </c>
      <c r="E375">
        <v>188</v>
      </c>
    </row>
    <row r="376" spans="1:5" x14ac:dyDescent="0.25">
      <c r="A376" t="s">
        <v>420</v>
      </c>
      <c r="B376" t="s">
        <v>2470</v>
      </c>
      <c r="C376" t="s">
        <v>2486</v>
      </c>
      <c r="D376">
        <v>2013</v>
      </c>
      <c r="E376">
        <v>12</v>
      </c>
    </row>
    <row r="377" spans="1:5" x14ac:dyDescent="0.25">
      <c r="A377" t="s">
        <v>420</v>
      </c>
      <c r="B377" t="s">
        <v>2470</v>
      </c>
      <c r="C377" t="s">
        <v>1516</v>
      </c>
      <c r="D377">
        <v>2013</v>
      </c>
      <c r="E377">
        <v>97</v>
      </c>
    </row>
    <row r="378" spans="1:5" x14ac:dyDescent="0.25">
      <c r="A378" t="s">
        <v>420</v>
      </c>
      <c r="B378" t="s">
        <v>2470</v>
      </c>
      <c r="C378" t="s">
        <v>2498</v>
      </c>
      <c r="D378">
        <v>2013</v>
      </c>
      <c r="E378">
        <v>7</v>
      </c>
    </row>
    <row r="379" spans="1:5" x14ac:dyDescent="0.25">
      <c r="A379" t="s">
        <v>420</v>
      </c>
      <c r="B379" t="s">
        <v>2470</v>
      </c>
      <c r="C379" t="s">
        <v>1507</v>
      </c>
      <c r="D379">
        <v>2013</v>
      </c>
      <c r="E379">
        <v>67</v>
      </c>
    </row>
    <row r="380" spans="1:5" x14ac:dyDescent="0.25">
      <c r="A380" t="s">
        <v>420</v>
      </c>
      <c r="B380" t="s">
        <v>2470</v>
      </c>
      <c r="C380" t="s">
        <v>2487</v>
      </c>
      <c r="D380">
        <v>2013</v>
      </c>
      <c r="E380">
        <v>21</v>
      </c>
    </row>
    <row r="381" spans="1:5" x14ac:dyDescent="0.25">
      <c r="A381" t="s">
        <v>420</v>
      </c>
      <c r="B381" t="s">
        <v>2470</v>
      </c>
      <c r="C381" t="s">
        <v>1463</v>
      </c>
      <c r="D381">
        <v>2013</v>
      </c>
      <c r="E381">
        <v>134</v>
      </c>
    </row>
    <row r="382" spans="1:5" x14ac:dyDescent="0.25">
      <c r="A382" t="s">
        <v>420</v>
      </c>
      <c r="B382" t="s">
        <v>2470</v>
      </c>
      <c r="C382" t="s">
        <v>1455</v>
      </c>
      <c r="D382">
        <v>2013</v>
      </c>
      <c r="E382">
        <v>167</v>
      </c>
    </row>
    <row r="383" spans="1:5" x14ac:dyDescent="0.25">
      <c r="A383" t="s">
        <v>420</v>
      </c>
      <c r="B383" t="s">
        <v>2470</v>
      </c>
      <c r="C383" t="s">
        <v>1434</v>
      </c>
      <c r="D383">
        <v>2013</v>
      </c>
      <c r="E383">
        <v>53</v>
      </c>
    </row>
    <row r="384" spans="1:5" x14ac:dyDescent="0.25">
      <c r="A384" t="s">
        <v>420</v>
      </c>
      <c r="B384" t="s">
        <v>2470</v>
      </c>
      <c r="C384" t="s">
        <v>2488</v>
      </c>
      <c r="D384">
        <v>2013</v>
      </c>
      <c r="E384">
        <v>4</v>
      </c>
    </row>
    <row r="385" spans="1:5" x14ac:dyDescent="0.25">
      <c r="A385" t="s">
        <v>420</v>
      </c>
      <c r="B385" t="s">
        <v>2470</v>
      </c>
      <c r="C385" t="s">
        <v>1158</v>
      </c>
      <c r="D385">
        <v>2013</v>
      </c>
      <c r="E385">
        <v>145</v>
      </c>
    </row>
    <row r="386" spans="1:5" x14ac:dyDescent="0.25">
      <c r="A386" t="s">
        <v>420</v>
      </c>
      <c r="B386" t="s">
        <v>2470</v>
      </c>
      <c r="C386" t="s">
        <v>2489</v>
      </c>
      <c r="D386">
        <v>2013</v>
      </c>
      <c r="E386">
        <v>7</v>
      </c>
    </row>
    <row r="387" spans="1:5" x14ac:dyDescent="0.25">
      <c r="A387" t="s">
        <v>420</v>
      </c>
      <c r="B387" t="s">
        <v>2470</v>
      </c>
      <c r="C387" t="s">
        <v>1135</v>
      </c>
      <c r="D387">
        <v>2013</v>
      </c>
      <c r="E387">
        <v>173</v>
      </c>
    </row>
    <row r="388" spans="1:5" x14ac:dyDescent="0.25">
      <c r="A388" t="s">
        <v>420</v>
      </c>
      <c r="B388" t="s">
        <v>2470</v>
      </c>
      <c r="C388" t="s">
        <v>2500</v>
      </c>
      <c r="D388">
        <v>2013</v>
      </c>
      <c r="E388">
        <v>1</v>
      </c>
    </row>
    <row r="389" spans="1:5" x14ac:dyDescent="0.25">
      <c r="A389" t="s">
        <v>420</v>
      </c>
      <c r="B389" t="s">
        <v>2470</v>
      </c>
      <c r="C389" t="s">
        <v>2490</v>
      </c>
      <c r="D389">
        <v>2013</v>
      </c>
      <c r="E389">
        <v>7</v>
      </c>
    </row>
    <row r="390" spans="1:5" x14ac:dyDescent="0.25">
      <c r="A390" t="s">
        <v>420</v>
      </c>
      <c r="B390" t="s">
        <v>2470</v>
      </c>
      <c r="C390" t="s">
        <v>765</v>
      </c>
      <c r="D390">
        <v>2013</v>
      </c>
      <c r="E390">
        <v>77</v>
      </c>
    </row>
    <row r="391" spans="1:5" x14ac:dyDescent="0.25">
      <c r="A391" t="s">
        <v>420</v>
      </c>
      <c r="B391" t="s">
        <v>2470</v>
      </c>
      <c r="C391" t="s">
        <v>2491</v>
      </c>
      <c r="D391">
        <v>2013</v>
      </c>
      <c r="E391">
        <v>11</v>
      </c>
    </row>
    <row r="392" spans="1:5" x14ac:dyDescent="0.25">
      <c r="A392" t="s">
        <v>420</v>
      </c>
      <c r="B392" t="s">
        <v>2470</v>
      </c>
      <c r="C392" t="s">
        <v>2492</v>
      </c>
      <c r="D392">
        <v>2013</v>
      </c>
      <c r="E392">
        <v>370</v>
      </c>
    </row>
    <row r="393" spans="1:5" x14ac:dyDescent="0.25">
      <c r="A393" t="s">
        <v>420</v>
      </c>
      <c r="B393" t="s">
        <v>2470</v>
      </c>
      <c r="C393" t="s">
        <v>2493</v>
      </c>
      <c r="D393">
        <v>2013</v>
      </c>
      <c r="E393">
        <v>53</v>
      </c>
    </row>
    <row r="394" spans="1:5" x14ac:dyDescent="0.25">
      <c r="A394" t="s">
        <v>420</v>
      </c>
      <c r="B394" t="s">
        <v>2470</v>
      </c>
      <c r="C394" t="s">
        <v>2494</v>
      </c>
      <c r="D394">
        <v>2013</v>
      </c>
      <c r="E394">
        <v>11</v>
      </c>
    </row>
    <row r="395" spans="1:5" x14ac:dyDescent="0.25">
      <c r="A395" t="s">
        <v>420</v>
      </c>
      <c r="B395" t="s">
        <v>2470</v>
      </c>
      <c r="C395" t="s">
        <v>459</v>
      </c>
      <c r="D395">
        <v>2013</v>
      </c>
      <c r="E395">
        <v>215</v>
      </c>
    </row>
    <row r="396" spans="1:5" x14ac:dyDescent="0.25">
      <c r="A396" t="s">
        <v>420</v>
      </c>
      <c r="B396" t="s">
        <v>2470</v>
      </c>
      <c r="C396" t="s">
        <v>2472</v>
      </c>
      <c r="D396">
        <v>2012</v>
      </c>
      <c r="E396">
        <v>49</v>
      </c>
    </row>
    <row r="397" spans="1:5" x14ac:dyDescent="0.25">
      <c r="A397" t="s">
        <v>420</v>
      </c>
      <c r="B397" t="s">
        <v>2470</v>
      </c>
      <c r="C397" t="s">
        <v>2390</v>
      </c>
      <c r="D397">
        <v>2012</v>
      </c>
      <c r="E397">
        <v>322</v>
      </c>
    </row>
    <row r="398" spans="1:5" x14ac:dyDescent="0.25">
      <c r="A398" t="s">
        <v>420</v>
      </c>
      <c r="B398" t="s">
        <v>2470</v>
      </c>
      <c r="C398" t="s">
        <v>2473</v>
      </c>
      <c r="D398">
        <v>2012</v>
      </c>
      <c r="E398">
        <v>15</v>
      </c>
    </row>
    <row r="399" spans="1:5" x14ac:dyDescent="0.25">
      <c r="A399" t="s">
        <v>420</v>
      </c>
      <c r="B399" t="s">
        <v>2470</v>
      </c>
      <c r="C399" t="s">
        <v>2039</v>
      </c>
      <c r="D399">
        <v>2012</v>
      </c>
      <c r="E399">
        <v>409</v>
      </c>
    </row>
    <row r="400" spans="1:5" x14ac:dyDescent="0.25">
      <c r="A400" t="s">
        <v>420</v>
      </c>
      <c r="B400" t="s">
        <v>2470</v>
      </c>
      <c r="C400" t="s">
        <v>2474</v>
      </c>
      <c r="D400">
        <v>2012</v>
      </c>
      <c r="E400">
        <v>15</v>
      </c>
    </row>
    <row r="401" spans="1:5" x14ac:dyDescent="0.25">
      <c r="A401" t="s">
        <v>420</v>
      </c>
      <c r="B401" t="s">
        <v>2470</v>
      </c>
      <c r="C401" t="s">
        <v>2475</v>
      </c>
      <c r="D401">
        <v>2012</v>
      </c>
      <c r="E401">
        <v>232</v>
      </c>
    </row>
    <row r="402" spans="1:5" x14ac:dyDescent="0.25">
      <c r="A402" t="s">
        <v>420</v>
      </c>
      <c r="B402" t="s">
        <v>2470</v>
      </c>
      <c r="C402" t="s">
        <v>2476</v>
      </c>
      <c r="D402">
        <v>2012</v>
      </c>
      <c r="E402">
        <v>70</v>
      </c>
    </row>
    <row r="403" spans="1:5" x14ac:dyDescent="0.25">
      <c r="A403" t="s">
        <v>420</v>
      </c>
      <c r="B403" t="s">
        <v>2470</v>
      </c>
      <c r="C403" t="s">
        <v>2477</v>
      </c>
      <c r="D403">
        <v>2012</v>
      </c>
      <c r="E403">
        <v>52</v>
      </c>
    </row>
    <row r="404" spans="1:5" x14ac:dyDescent="0.25">
      <c r="A404" t="s">
        <v>420</v>
      </c>
      <c r="B404" t="s">
        <v>2470</v>
      </c>
      <c r="C404" t="s">
        <v>1882</v>
      </c>
      <c r="D404">
        <v>2012</v>
      </c>
      <c r="E404">
        <v>30</v>
      </c>
    </row>
    <row r="405" spans="1:5" x14ac:dyDescent="0.25">
      <c r="A405" t="s">
        <v>420</v>
      </c>
      <c r="B405" t="s">
        <v>2470</v>
      </c>
      <c r="C405" t="s">
        <v>2479</v>
      </c>
      <c r="D405">
        <v>2012</v>
      </c>
      <c r="E405">
        <v>40</v>
      </c>
    </row>
    <row r="406" spans="1:5" x14ac:dyDescent="0.25">
      <c r="A406" t="s">
        <v>420</v>
      </c>
      <c r="B406" t="s">
        <v>2470</v>
      </c>
      <c r="C406" t="s">
        <v>2496</v>
      </c>
      <c r="D406">
        <v>2012</v>
      </c>
      <c r="E406">
        <v>37</v>
      </c>
    </row>
    <row r="407" spans="1:5" x14ac:dyDescent="0.25">
      <c r="A407" t="s">
        <v>420</v>
      </c>
      <c r="B407" t="s">
        <v>2470</v>
      </c>
      <c r="C407" t="s">
        <v>1689</v>
      </c>
      <c r="D407">
        <v>2012</v>
      </c>
      <c r="E407">
        <v>83</v>
      </c>
    </row>
    <row r="408" spans="1:5" x14ac:dyDescent="0.25">
      <c r="A408" t="s">
        <v>420</v>
      </c>
      <c r="B408" t="s">
        <v>2470</v>
      </c>
      <c r="C408" t="s">
        <v>2481</v>
      </c>
      <c r="D408">
        <v>2012</v>
      </c>
      <c r="E408">
        <v>3</v>
      </c>
    </row>
    <row r="409" spans="1:5" x14ac:dyDescent="0.25">
      <c r="A409" t="s">
        <v>420</v>
      </c>
      <c r="B409" t="s">
        <v>2470</v>
      </c>
      <c r="C409" t="s">
        <v>2497</v>
      </c>
      <c r="D409">
        <v>2012</v>
      </c>
      <c r="E409">
        <v>57</v>
      </c>
    </row>
    <row r="410" spans="1:5" x14ac:dyDescent="0.25">
      <c r="A410" t="s">
        <v>420</v>
      </c>
      <c r="B410" t="s">
        <v>2470</v>
      </c>
      <c r="C410" t="s">
        <v>2483</v>
      </c>
      <c r="D410">
        <v>2012</v>
      </c>
      <c r="E410">
        <v>25</v>
      </c>
    </row>
    <row r="411" spans="1:5" x14ac:dyDescent="0.25">
      <c r="A411" t="s">
        <v>420</v>
      </c>
      <c r="B411" t="s">
        <v>2470</v>
      </c>
      <c r="C411" t="s">
        <v>2503</v>
      </c>
      <c r="D411">
        <v>2012</v>
      </c>
      <c r="E411">
        <v>3</v>
      </c>
    </row>
    <row r="412" spans="1:5" x14ac:dyDescent="0.25">
      <c r="A412" t="s">
        <v>420</v>
      </c>
      <c r="B412" t="s">
        <v>2470</v>
      </c>
      <c r="C412" t="s">
        <v>2499</v>
      </c>
      <c r="D412">
        <v>2012</v>
      </c>
      <c r="E412">
        <v>1</v>
      </c>
    </row>
    <row r="413" spans="1:5" x14ac:dyDescent="0.25">
      <c r="A413" t="s">
        <v>420</v>
      </c>
      <c r="B413" t="s">
        <v>2470</v>
      </c>
      <c r="C413" t="s">
        <v>2502</v>
      </c>
      <c r="D413">
        <v>2012</v>
      </c>
      <c r="E413">
        <v>2</v>
      </c>
    </row>
    <row r="414" spans="1:5" x14ac:dyDescent="0.25">
      <c r="A414" t="s">
        <v>420</v>
      </c>
      <c r="B414" t="s">
        <v>2470</v>
      </c>
      <c r="C414" t="s">
        <v>2484</v>
      </c>
      <c r="D414">
        <v>2012</v>
      </c>
      <c r="E414">
        <v>20</v>
      </c>
    </row>
    <row r="415" spans="1:5" x14ac:dyDescent="0.25">
      <c r="A415" t="s">
        <v>420</v>
      </c>
      <c r="B415" t="s">
        <v>2470</v>
      </c>
      <c r="C415" t="s">
        <v>1597</v>
      </c>
      <c r="D415">
        <v>2012</v>
      </c>
      <c r="E415">
        <v>228</v>
      </c>
    </row>
    <row r="416" spans="1:5" x14ac:dyDescent="0.25">
      <c r="A416" t="s">
        <v>420</v>
      </c>
      <c r="B416" t="s">
        <v>2470</v>
      </c>
      <c r="C416" t="s">
        <v>2486</v>
      </c>
      <c r="D416">
        <v>2012</v>
      </c>
      <c r="E416">
        <v>14</v>
      </c>
    </row>
    <row r="417" spans="1:5" x14ac:dyDescent="0.25">
      <c r="A417" t="s">
        <v>420</v>
      </c>
      <c r="B417" t="s">
        <v>2470</v>
      </c>
      <c r="C417" t="s">
        <v>1516</v>
      </c>
      <c r="D417">
        <v>2012</v>
      </c>
      <c r="E417">
        <v>95</v>
      </c>
    </row>
    <row r="418" spans="1:5" x14ac:dyDescent="0.25">
      <c r="A418" t="s">
        <v>420</v>
      </c>
      <c r="B418" t="s">
        <v>2470</v>
      </c>
      <c r="C418" t="s">
        <v>2498</v>
      </c>
      <c r="D418">
        <v>2012</v>
      </c>
      <c r="E418">
        <v>13</v>
      </c>
    </row>
    <row r="419" spans="1:5" x14ac:dyDescent="0.25">
      <c r="A419" t="s">
        <v>420</v>
      </c>
      <c r="B419" t="s">
        <v>2470</v>
      </c>
      <c r="C419" t="s">
        <v>1507</v>
      </c>
      <c r="D419">
        <v>2012</v>
      </c>
      <c r="E419">
        <v>68</v>
      </c>
    </row>
    <row r="420" spans="1:5" x14ac:dyDescent="0.25">
      <c r="A420" t="s">
        <v>420</v>
      </c>
      <c r="B420" t="s">
        <v>2470</v>
      </c>
      <c r="C420" t="s">
        <v>2487</v>
      </c>
      <c r="D420">
        <v>2012</v>
      </c>
      <c r="E420">
        <v>19</v>
      </c>
    </row>
    <row r="421" spans="1:5" x14ac:dyDescent="0.25">
      <c r="A421" t="s">
        <v>420</v>
      </c>
      <c r="B421" t="s">
        <v>2470</v>
      </c>
      <c r="C421" t="s">
        <v>1463</v>
      </c>
      <c r="D421">
        <v>2012</v>
      </c>
      <c r="E421">
        <v>160</v>
      </c>
    </row>
    <row r="422" spans="1:5" x14ac:dyDescent="0.25">
      <c r="A422" t="s">
        <v>420</v>
      </c>
      <c r="B422" t="s">
        <v>2470</v>
      </c>
      <c r="C422" t="s">
        <v>1455</v>
      </c>
      <c r="D422">
        <v>2012</v>
      </c>
      <c r="E422">
        <v>193</v>
      </c>
    </row>
    <row r="423" spans="1:5" x14ac:dyDescent="0.25">
      <c r="A423" t="s">
        <v>420</v>
      </c>
      <c r="B423" t="s">
        <v>2470</v>
      </c>
      <c r="C423" t="s">
        <v>1434</v>
      </c>
      <c r="D423">
        <v>2012</v>
      </c>
      <c r="E423">
        <v>58</v>
      </c>
    </row>
    <row r="424" spans="1:5" x14ac:dyDescent="0.25">
      <c r="A424" t="s">
        <v>420</v>
      </c>
      <c r="B424" t="s">
        <v>2470</v>
      </c>
      <c r="C424" t="s">
        <v>2488</v>
      </c>
      <c r="D424">
        <v>2012</v>
      </c>
      <c r="E424">
        <v>6</v>
      </c>
    </row>
    <row r="425" spans="1:5" x14ac:dyDescent="0.25">
      <c r="A425" t="s">
        <v>420</v>
      </c>
      <c r="B425" t="s">
        <v>2470</v>
      </c>
      <c r="C425" t="s">
        <v>1158</v>
      </c>
      <c r="D425">
        <v>2012</v>
      </c>
      <c r="E425">
        <v>126</v>
      </c>
    </row>
    <row r="426" spans="1:5" x14ac:dyDescent="0.25">
      <c r="A426" t="s">
        <v>420</v>
      </c>
      <c r="B426" t="s">
        <v>2470</v>
      </c>
      <c r="C426" t="s">
        <v>2489</v>
      </c>
      <c r="D426">
        <v>2012</v>
      </c>
      <c r="E426">
        <v>9</v>
      </c>
    </row>
    <row r="427" spans="1:5" x14ac:dyDescent="0.25">
      <c r="A427" t="s">
        <v>420</v>
      </c>
      <c r="B427" t="s">
        <v>2470</v>
      </c>
      <c r="C427" t="s">
        <v>1135</v>
      </c>
      <c r="D427">
        <v>2012</v>
      </c>
      <c r="E427">
        <v>161</v>
      </c>
    </row>
    <row r="428" spans="1:5" x14ac:dyDescent="0.25">
      <c r="A428" t="s">
        <v>420</v>
      </c>
      <c r="B428" t="s">
        <v>2470</v>
      </c>
      <c r="C428" t="s">
        <v>2490</v>
      </c>
      <c r="D428">
        <v>2012</v>
      </c>
      <c r="E428">
        <v>10</v>
      </c>
    </row>
    <row r="429" spans="1:5" x14ac:dyDescent="0.25">
      <c r="A429" t="s">
        <v>420</v>
      </c>
      <c r="B429" t="s">
        <v>2470</v>
      </c>
      <c r="C429" t="s">
        <v>765</v>
      </c>
      <c r="D429">
        <v>2012</v>
      </c>
      <c r="E429">
        <v>72</v>
      </c>
    </row>
    <row r="430" spans="1:5" x14ac:dyDescent="0.25">
      <c r="A430" t="s">
        <v>420</v>
      </c>
      <c r="B430" t="s">
        <v>2470</v>
      </c>
      <c r="C430" t="s">
        <v>2491</v>
      </c>
      <c r="D430">
        <v>2012</v>
      </c>
      <c r="E430">
        <v>7</v>
      </c>
    </row>
    <row r="431" spans="1:5" x14ac:dyDescent="0.25">
      <c r="A431" t="s">
        <v>420</v>
      </c>
      <c r="B431" t="s">
        <v>2470</v>
      </c>
      <c r="C431" t="s">
        <v>2492</v>
      </c>
      <c r="D431">
        <v>2012</v>
      </c>
      <c r="E431">
        <v>402</v>
      </c>
    </row>
    <row r="432" spans="1:5" x14ac:dyDescent="0.25">
      <c r="A432" t="s">
        <v>420</v>
      </c>
      <c r="B432" t="s">
        <v>2470</v>
      </c>
      <c r="C432" t="s">
        <v>2493</v>
      </c>
      <c r="D432">
        <v>2012</v>
      </c>
      <c r="E432">
        <v>45</v>
      </c>
    </row>
    <row r="433" spans="1:5" x14ac:dyDescent="0.25">
      <c r="A433" t="s">
        <v>420</v>
      </c>
      <c r="B433" t="s">
        <v>2470</v>
      </c>
      <c r="C433" t="s">
        <v>2494</v>
      </c>
      <c r="D433">
        <v>2012</v>
      </c>
      <c r="E433">
        <v>8</v>
      </c>
    </row>
    <row r="434" spans="1:5" x14ac:dyDescent="0.25">
      <c r="A434" t="s">
        <v>420</v>
      </c>
      <c r="B434" t="s">
        <v>2470</v>
      </c>
      <c r="C434" t="s">
        <v>459</v>
      </c>
      <c r="D434">
        <v>2012</v>
      </c>
      <c r="E434">
        <v>262</v>
      </c>
    </row>
    <row r="435" spans="1:5" x14ac:dyDescent="0.25">
      <c r="A435" t="s">
        <v>420</v>
      </c>
      <c r="B435" t="s">
        <v>2470</v>
      </c>
      <c r="C435" t="s">
        <v>2472</v>
      </c>
      <c r="D435">
        <v>2011</v>
      </c>
      <c r="E435">
        <v>58</v>
      </c>
    </row>
    <row r="436" spans="1:5" x14ac:dyDescent="0.25">
      <c r="A436" t="s">
        <v>420</v>
      </c>
      <c r="B436" t="s">
        <v>2470</v>
      </c>
      <c r="C436" t="s">
        <v>2390</v>
      </c>
      <c r="D436">
        <v>2011</v>
      </c>
      <c r="E436">
        <v>342</v>
      </c>
    </row>
    <row r="437" spans="1:5" x14ac:dyDescent="0.25">
      <c r="A437" t="s">
        <v>420</v>
      </c>
      <c r="B437" t="s">
        <v>2470</v>
      </c>
      <c r="C437" t="s">
        <v>2473</v>
      </c>
      <c r="D437">
        <v>2011</v>
      </c>
      <c r="E437">
        <v>18</v>
      </c>
    </row>
    <row r="438" spans="1:5" x14ac:dyDescent="0.25">
      <c r="A438" t="s">
        <v>420</v>
      </c>
      <c r="B438" t="s">
        <v>2470</v>
      </c>
      <c r="C438" t="s">
        <v>2039</v>
      </c>
      <c r="D438">
        <v>2011</v>
      </c>
      <c r="E438">
        <v>388</v>
      </c>
    </row>
    <row r="439" spans="1:5" x14ac:dyDescent="0.25">
      <c r="A439" t="s">
        <v>420</v>
      </c>
      <c r="B439" t="s">
        <v>2470</v>
      </c>
      <c r="C439" t="s">
        <v>2474</v>
      </c>
      <c r="D439">
        <v>2011</v>
      </c>
      <c r="E439">
        <v>21</v>
      </c>
    </row>
    <row r="440" spans="1:5" x14ac:dyDescent="0.25">
      <c r="A440" t="s">
        <v>420</v>
      </c>
      <c r="B440" t="s">
        <v>2470</v>
      </c>
      <c r="C440" t="s">
        <v>2475</v>
      </c>
      <c r="D440">
        <v>2011</v>
      </c>
      <c r="E440">
        <v>246</v>
      </c>
    </row>
    <row r="441" spans="1:5" x14ac:dyDescent="0.25">
      <c r="A441" t="s">
        <v>420</v>
      </c>
      <c r="B441" t="s">
        <v>2470</v>
      </c>
      <c r="C441" t="s">
        <v>2476</v>
      </c>
      <c r="D441">
        <v>2011</v>
      </c>
      <c r="E441">
        <v>56</v>
      </c>
    </row>
    <row r="442" spans="1:5" x14ac:dyDescent="0.25">
      <c r="A442" t="s">
        <v>420</v>
      </c>
      <c r="B442" t="s">
        <v>2470</v>
      </c>
      <c r="C442" t="s">
        <v>2477</v>
      </c>
      <c r="D442">
        <v>2011</v>
      </c>
      <c r="E442">
        <v>36</v>
      </c>
    </row>
    <row r="443" spans="1:5" x14ac:dyDescent="0.25">
      <c r="A443" t="s">
        <v>420</v>
      </c>
      <c r="B443" t="s">
        <v>2470</v>
      </c>
      <c r="C443" t="s">
        <v>1882</v>
      </c>
      <c r="D443">
        <v>2011</v>
      </c>
      <c r="E443">
        <v>29</v>
      </c>
    </row>
    <row r="444" spans="1:5" x14ac:dyDescent="0.25">
      <c r="A444" t="s">
        <v>420</v>
      </c>
      <c r="B444" t="s">
        <v>2470</v>
      </c>
      <c r="C444" t="s">
        <v>2479</v>
      </c>
      <c r="D444">
        <v>2011</v>
      </c>
      <c r="E444">
        <v>34</v>
      </c>
    </row>
    <row r="445" spans="1:5" x14ac:dyDescent="0.25">
      <c r="A445" t="s">
        <v>420</v>
      </c>
      <c r="B445" t="s">
        <v>2470</v>
      </c>
      <c r="C445" t="s">
        <v>2496</v>
      </c>
      <c r="D445">
        <v>2011</v>
      </c>
      <c r="E445">
        <v>38</v>
      </c>
    </row>
    <row r="446" spans="1:5" x14ac:dyDescent="0.25">
      <c r="A446" t="s">
        <v>420</v>
      </c>
      <c r="B446" t="s">
        <v>2470</v>
      </c>
      <c r="C446" t="s">
        <v>1689</v>
      </c>
      <c r="D446">
        <v>2011</v>
      </c>
      <c r="E446">
        <v>73</v>
      </c>
    </row>
    <row r="447" spans="1:5" x14ac:dyDescent="0.25">
      <c r="A447" t="s">
        <v>420</v>
      </c>
      <c r="B447" t="s">
        <v>2470</v>
      </c>
      <c r="C447" t="s">
        <v>2481</v>
      </c>
      <c r="D447">
        <v>2011</v>
      </c>
      <c r="E447">
        <v>5</v>
      </c>
    </row>
    <row r="448" spans="1:5" x14ac:dyDescent="0.25">
      <c r="A448" t="s">
        <v>420</v>
      </c>
      <c r="B448" t="s">
        <v>2470</v>
      </c>
      <c r="C448" t="s">
        <v>2497</v>
      </c>
      <c r="D448">
        <v>2011</v>
      </c>
      <c r="E448">
        <v>57</v>
      </c>
    </row>
    <row r="449" spans="1:5" x14ac:dyDescent="0.25">
      <c r="A449" t="s">
        <v>420</v>
      </c>
      <c r="B449" t="s">
        <v>2470</v>
      </c>
      <c r="C449" t="s">
        <v>2483</v>
      </c>
      <c r="D449">
        <v>2011</v>
      </c>
      <c r="E449">
        <v>24</v>
      </c>
    </row>
    <row r="450" spans="1:5" x14ac:dyDescent="0.25">
      <c r="A450" t="s">
        <v>420</v>
      </c>
      <c r="B450" t="s">
        <v>2470</v>
      </c>
      <c r="C450" t="s">
        <v>2503</v>
      </c>
      <c r="D450">
        <v>2011</v>
      </c>
      <c r="E450">
        <v>2</v>
      </c>
    </row>
    <row r="451" spans="1:5" x14ac:dyDescent="0.25">
      <c r="A451" t="s">
        <v>420</v>
      </c>
      <c r="B451" t="s">
        <v>2470</v>
      </c>
      <c r="C451" t="s">
        <v>2499</v>
      </c>
      <c r="D451">
        <v>2011</v>
      </c>
      <c r="E451">
        <v>4</v>
      </c>
    </row>
    <row r="452" spans="1:5" x14ac:dyDescent="0.25">
      <c r="A452" t="s">
        <v>420</v>
      </c>
      <c r="B452" t="s">
        <v>2470</v>
      </c>
      <c r="C452" t="s">
        <v>2502</v>
      </c>
      <c r="D452">
        <v>2011</v>
      </c>
      <c r="E452">
        <v>5</v>
      </c>
    </row>
    <row r="453" spans="1:5" x14ac:dyDescent="0.25">
      <c r="A453" t="s">
        <v>420</v>
      </c>
      <c r="B453" t="s">
        <v>2470</v>
      </c>
      <c r="C453" t="s">
        <v>2484</v>
      </c>
      <c r="D453">
        <v>2011</v>
      </c>
      <c r="E453">
        <v>21</v>
      </c>
    </row>
    <row r="454" spans="1:5" x14ac:dyDescent="0.25">
      <c r="A454" t="s">
        <v>420</v>
      </c>
      <c r="B454" t="s">
        <v>2470</v>
      </c>
      <c r="C454" t="s">
        <v>1597</v>
      </c>
      <c r="D454">
        <v>2011</v>
      </c>
      <c r="E454">
        <v>241</v>
      </c>
    </row>
    <row r="455" spans="1:5" x14ac:dyDescent="0.25">
      <c r="A455" t="s">
        <v>420</v>
      </c>
      <c r="B455" t="s">
        <v>2470</v>
      </c>
      <c r="C455" t="s">
        <v>2486</v>
      </c>
      <c r="D455">
        <v>2011</v>
      </c>
      <c r="E455">
        <v>16</v>
      </c>
    </row>
    <row r="456" spans="1:5" x14ac:dyDescent="0.25">
      <c r="A456" t="s">
        <v>420</v>
      </c>
      <c r="B456" t="s">
        <v>2470</v>
      </c>
      <c r="C456" t="s">
        <v>1516</v>
      </c>
      <c r="D456">
        <v>2011</v>
      </c>
      <c r="E456">
        <v>64</v>
      </c>
    </row>
    <row r="457" spans="1:5" x14ac:dyDescent="0.25">
      <c r="A457" t="s">
        <v>420</v>
      </c>
      <c r="B457" t="s">
        <v>2470</v>
      </c>
      <c r="C457" t="s">
        <v>2498</v>
      </c>
      <c r="D457">
        <v>2011</v>
      </c>
      <c r="E457">
        <v>31</v>
      </c>
    </row>
    <row r="458" spans="1:5" x14ac:dyDescent="0.25">
      <c r="A458" t="s">
        <v>420</v>
      </c>
      <c r="B458" t="s">
        <v>2470</v>
      </c>
      <c r="C458" t="s">
        <v>1507</v>
      </c>
      <c r="D458">
        <v>2011</v>
      </c>
      <c r="E458">
        <v>68</v>
      </c>
    </row>
    <row r="459" spans="1:5" x14ac:dyDescent="0.25">
      <c r="A459" t="s">
        <v>420</v>
      </c>
      <c r="B459" t="s">
        <v>2470</v>
      </c>
      <c r="C459" t="s">
        <v>2487</v>
      </c>
      <c r="D459">
        <v>2011</v>
      </c>
      <c r="E459">
        <v>18</v>
      </c>
    </row>
    <row r="460" spans="1:5" x14ac:dyDescent="0.25">
      <c r="A460" t="s">
        <v>420</v>
      </c>
      <c r="B460" t="s">
        <v>2470</v>
      </c>
      <c r="C460" t="s">
        <v>1463</v>
      </c>
      <c r="D460">
        <v>2011</v>
      </c>
      <c r="E460">
        <v>190</v>
      </c>
    </row>
    <row r="461" spans="1:5" x14ac:dyDescent="0.25">
      <c r="A461" t="s">
        <v>420</v>
      </c>
      <c r="B461" t="s">
        <v>2470</v>
      </c>
      <c r="C461" t="s">
        <v>1455</v>
      </c>
      <c r="D461">
        <v>2011</v>
      </c>
      <c r="E461">
        <v>242</v>
      </c>
    </row>
    <row r="462" spans="1:5" x14ac:dyDescent="0.25">
      <c r="A462" t="s">
        <v>420</v>
      </c>
      <c r="B462" t="s">
        <v>2470</v>
      </c>
      <c r="C462" t="s">
        <v>1434</v>
      </c>
      <c r="D462">
        <v>2011</v>
      </c>
      <c r="E462">
        <v>52</v>
      </c>
    </row>
    <row r="463" spans="1:5" x14ac:dyDescent="0.25">
      <c r="A463" t="s">
        <v>420</v>
      </c>
      <c r="B463" t="s">
        <v>2470</v>
      </c>
      <c r="C463" t="s">
        <v>1158</v>
      </c>
      <c r="D463">
        <v>2011</v>
      </c>
      <c r="E463">
        <v>122</v>
      </c>
    </row>
    <row r="464" spans="1:5" x14ac:dyDescent="0.25">
      <c r="A464" t="s">
        <v>420</v>
      </c>
      <c r="B464" t="s">
        <v>2470</v>
      </c>
      <c r="C464" t="s">
        <v>2489</v>
      </c>
      <c r="D464">
        <v>2011</v>
      </c>
      <c r="E464">
        <v>3</v>
      </c>
    </row>
    <row r="465" spans="1:5" x14ac:dyDescent="0.25">
      <c r="A465" t="s">
        <v>420</v>
      </c>
      <c r="B465" t="s">
        <v>2470</v>
      </c>
      <c r="C465" t="s">
        <v>1135</v>
      </c>
      <c r="D465">
        <v>2011</v>
      </c>
      <c r="E465">
        <v>152</v>
      </c>
    </row>
    <row r="466" spans="1:5" x14ac:dyDescent="0.25">
      <c r="A466" t="s">
        <v>420</v>
      </c>
      <c r="B466" t="s">
        <v>2470</v>
      </c>
      <c r="C466" t="s">
        <v>2500</v>
      </c>
      <c r="D466">
        <v>2011</v>
      </c>
      <c r="E466">
        <v>3</v>
      </c>
    </row>
    <row r="467" spans="1:5" x14ac:dyDescent="0.25">
      <c r="A467" t="s">
        <v>420</v>
      </c>
      <c r="B467" t="s">
        <v>2470</v>
      </c>
      <c r="C467" t="s">
        <v>2490</v>
      </c>
      <c r="D467">
        <v>2011</v>
      </c>
      <c r="E467">
        <v>11</v>
      </c>
    </row>
    <row r="468" spans="1:5" x14ac:dyDescent="0.25">
      <c r="A468" t="s">
        <v>420</v>
      </c>
      <c r="B468" t="s">
        <v>2470</v>
      </c>
      <c r="C468" t="s">
        <v>765</v>
      </c>
      <c r="D468">
        <v>2011</v>
      </c>
      <c r="E468">
        <v>80</v>
      </c>
    </row>
    <row r="469" spans="1:5" x14ac:dyDescent="0.25">
      <c r="A469" t="s">
        <v>420</v>
      </c>
      <c r="B469" t="s">
        <v>2470</v>
      </c>
      <c r="C469" t="s">
        <v>2491</v>
      </c>
      <c r="D469">
        <v>2011</v>
      </c>
      <c r="E469">
        <v>6</v>
      </c>
    </row>
    <row r="470" spans="1:5" x14ac:dyDescent="0.25">
      <c r="A470" t="s">
        <v>420</v>
      </c>
      <c r="B470" t="s">
        <v>2470</v>
      </c>
      <c r="C470" t="s">
        <v>2492</v>
      </c>
      <c r="D470">
        <v>2011</v>
      </c>
      <c r="E470">
        <v>407</v>
      </c>
    </row>
    <row r="471" spans="1:5" x14ac:dyDescent="0.25">
      <c r="A471" t="s">
        <v>420</v>
      </c>
      <c r="B471" t="s">
        <v>2470</v>
      </c>
      <c r="C471" t="s">
        <v>2493</v>
      </c>
      <c r="D471">
        <v>2011</v>
      </c>
      <c r="E471">
        <v>41</v>
      </c>
    </row>
    <row r="472" spans="1:5" x14ac:dyDescent="0.25">
      <c r="A472" t="s">
        <v>420</v>
      </c>
      <c r="B472" t="s">
        <v>2470</v>
      </c>
      <c r="C472" t="s">
        <v>2494</v>
      </c>
      <c r="D472">
        <v>2011</v>
      </c>
      <c r="E472">
        <v>11</v>
      </c>
    </row>
    <row r="473" spans="1:5" x14ac:dyDescent="0.25">
      <c r="A473" t="s">
        <v>420</v>
      </c>
      <c r="B473" t="s">
        <v>2470</v>
      </c>
      <c r="C473" t="s">
        <v>459</v>
      </c>
      <c r="D473">
        <v>2011</v>
      </c>
      <c r="E473">
        <v>288</v>
      </c>
    </row>
    <row r="474" spans="1:5" x14ac:dyDescent="0.25">
      <c r="A474" t="s">
        <v>420</v>
      </c>
      <c r="B474" t="s">
        <v>2470</v>
      </c>
      <c r="C474" t="s">
        <v>2472</v>
      </c>
      <c r="D474">
        <v>2010</v>
      </c>
      <c r="E474">
        <v>44</v>
      </c>
    </row>
    <row r="475" spans="1:5" x14ac:dyDescent="0.25">
      <c r="A475" t="s">
        <v>420</v>
      </c>
      <c r="B475" t="s">
        <v>2470</v>
      </c>
      <c r="C475" t="s">
        <v>2390</v>
      </c>
      <c r="D475">
        <v>2010</v>
      </c>
      <c r="E475">
        <v>348</v>
      </c>
    </row>
    <row r="476" spans="1:5" x14ac:dyDescent="0.25">
      <c r="A476" t="s">
        <v>420</v>
      </c>
      <c r="B476" t="s">
        <v>2470</v>
      </c>
      <c r="C476" t="s">
        <v>2473</v>
      </c>
      <c r="D476">
        <v>2010</v>
      </c>
      <c r="E476">
        <v>13</v>
      </c>
    </row>
    <row r="477" spans="1:5" x14ac:dyDescent="0.25">
      <c r="A477" t="s">
        <v>420</v>
      </c>
      <c r="B477" t="s">
        <v>2470</v>
      </c>
      <c r="C477" t="s">
        <v>2039</v>
      </c>
      <c r="D477">
        <v>2010</v>
      </c>
      <c r="E477">
        <v>371</v>
      </c>
    </row>
    <row r="478" spans="1:5" x14ac:dyDescent="0.25">
      <c r="A478" t="s">
        <v>420</v>
      </c>
      <c r="B478" t="s">
        <v>2470</v>
      </c>
      <c r="C478" t="s">
        <v>2474</v>
      </c>
      <c r="D478">
        <v>2010</v>
      </c>
      <c r="E478">
        <v>31</v>
      </c>
    </row>
    <row r="479" spans="1:5" x14ac:dyDescent="0.25">
      <c r="A479" t="s">
        <v>420</v>
      </c>
      <c r="B479" t="s">
        <v>2470</v>
      </c>
      <c r="C479" t="s">
        <v>2475</v>
      </c>
      <c r="D479">
        <v>2010</v>
      </c>
      <c r="E479">
        <v>255</v>
      </c>
    </row>
    <row r="480" spans="1:5" x14ac:dyDescent="0.25">
      <c r="A480" t="s">
        <v>420</v>
      </c>
      <c r="B480" t="s">
        <v>2470</v>
      </c>
      <c r="C480" t="s">
        <v>2476</v>
      </c>
      <c r="D480">
        <v>2010</v>
      </c>
      <c r="E480">
        <v>59</v>
      </c>
    </row>
    <row r="481" spans="1:5" x14ac:dyDescent="0.25">
      <c r="A481" t="s">
        <v>420</v>
      </c>
      <c r="B481" t="s">
        <v>2470</v>
      </c>
      <c r="C481" t="s">
        <v>2477</v>
      </c>
      <c r="D481">
        <v>2010</v>
      </c>
      <c r="E481">
        <v>46</v>
      </c>
    </row>
    <row r="482" spans="1:5" x14ac:dyDescent="0.25">
      <c r="A482" t="s">
        <v>420</v>
      </c>
      <c r="B482" t="s">
        <v>2470</v>
      </c>
      <c r="C482" t="s">
        <v>1882</v>
      </c>
      <c r="D482">
        <v>2010</v>
      </c>
      <c r="E482">
        <v>26</v>
      </c>
    </row>
    <row r="483" spans="1:5" x14ac:dyDescent="0.25">
      <c r="A483" t="s">
        <v>420</v>
      </c>
      <c r="B483" t="s">
        <v>2470</v>
      </c>
      <c r="C483" t="s">
        <v>2479</v>
      </c>
      <c r="D483">
        <v>2010</v>
      </c>
      <c r="E483">
        <v>27</v>
      </c>
    </row>
    <row r="484" spans="1:5" x14ac:dyDescent="0.25">
      <c r="A484" t="s">
        <v>420</v>
      </c>
      <c r="B484" t="s">
        <v>2470</v>
      </c>
      <c r="C484" t="s">
        <v>2496</v>
      </c>
      <c r="D484">
        <v>2010</v>
      </c>
      <c r="E484">
        <v>37</v>
      </c>
    </row>
    <row r="485" spans="1:5" x14ac:dyDescent="0.25">
      <c r="A485" t="s">
        <v>420</v>
      </c>
      <c r="B485" t="s">
        <v>2470</v>
      </c>
      <c r="C485" t="s">
        <v>1689</v>
      </c>
      <c r="D485">
        <v>2010</v>
      </c>
      <c r="E485">
        <v>89</v>
      </c>
    </row>
    <row r="486" spans="1:5" x14ac:dyDescent="0.25">
      <c r="A486" t="s">
        <v>420</v>
      </c>
      <c r="B486" t="s">
        <v>2470</v>
      </c>
      <c r="C486" t="s">
        <v>2481</v>
      </c>
      <c r="D486">
        <v>2010</v>
      </c>
      <c r="E486">
        <v>6</v>
      </c>
    </row>
    <row r="487" spans="1:5" x14ac:dyDescent="0.25">
      <c r="A487" t="s">
        <v>420</v>
      </c>
      <c r="B487" t="s">
        <v>2470</v>
      </c>
      <c r="C487" t="s">
        <v>2497</v>
      </c>
      <c r="D487">
        <v>2010</v>
      </c>
      <c r="E487">
        <v>57</v>
      </c>
    </row>
    <row r="488" spans="1:5" x14ac:dyDescent="0.25">
      <c r="A488" t="s">
        <v>420</v>
      </c>
      <c r="B488" t="s">
        <v>2470</v>
      </c>
      <c r="C488" t="s">
        <v>2504</v>
      </c>
      <c r="D488">
        <v>2010</v>
      </c>
      <c r="E488">
        <v>1</v>
      </c>
    </row>
    <row r="489" spans="1:5" x14ac:dyDescent="0.25">
      <c r="A489" t="s">
        <v>420</v>
      </c>
      <c r="B489" t="s">
        <v>2470</v>
      </c>
      <c r="C489" t="s">
        <v>2483</v>
      </c>
      <c r="D489">
        <v>2010</v>
      </c>
      <c r="E489">
        <v>40</v>
      </c>
    </row>
    <row r="490" spans="1:5" x14ac:dyDescent="0.25">
      <c r="A490" t="s">
        <v>420</v>
      </c>
      <c r="B490" t="s">
        <v>2470</v>
      </c>
      <c r="C490" t="s">
        <v>2499</v>
      </c>
      <c r="D490">
        <v>2010</v>
      </c>
      <c r="E490">
        <v>4</v>
      </c>
    </row>
    <row r="491" spans="1:5" x14ac:dyDescent="0.25">
      <c r="A491" t="s">
        <v>420</v>
      </c>
      <c r="B491" t="s">
        <v>2470</v>
      </c>
      <c r="C491" t="s">
        <v>2502</v>
      </c>
      <c r="D491">
        <v>2010</v>
      </c>
      <c r="E491">
        <v>6</v>
      </c>
    </row>
    <row r="492" spans="1:5" x14ac:dyDescent="0.25">
      <c r="A492" t="s">
        <v>420</v>
      </c>
      <c r="B492" t="s">
        <v>2470</v>
      </c>
      <c r="C492" t="s">
        <v>2484</v>
      </c>
      <c r="D492">
        <v>2010</v>
      </c>
      <c r="E492">
        <v>16</v>
      </c>
    </row>
    <row r="493" spans="1:5" x14ac:dyDescent="0.25">
      <c r="A493" t="s">
        <v>420</v>
      </c>
      <c r="B493" t="s">
        <v>2470</v>
      </c>
      <c r="C493" t="s">
        <v>1597</v>
      </c>
      <c r="D493">
        <v>2010</v>
      </c>
      <c r="E493">
        <v>246</v>
      </c>
    </row>
    <row r="494" spans="1:5" x14ac:dyDescent="0.25">
      <c r="A494" t="s">
        <v>420</v>
      </c>
      <c r="B494" t="s">
        <v>2470</v>
      </c>
      <c r="C494" t="s">
        <v>2486</v>
      </c>
      <c r="D494">
        <v>2010</v>
      </c>
      <c r="E494">
        <v>19</v>
      </c>
    </row>
    <row r="495" spans="1:5" x14ac:dyDescent="0.25">
      <c r="A495" t="s">
        <v>420</v>
      </c>
      <c r="B495" t="s">
        <v>2470</v>
      </c>
      <c r="C495" t="s">
        <v>1516</v>
      </c>
      <c r="D495">
        <v>2010</v>
      </c>
      <c r="E495">
        <v>43</v>
      </c>
    </row>
    <row r="496" spans="1:5" x14ac:dyDescent="0.25">
      <c r="A496" t="s">
        <v>420</v>
      </c>
      <c r="B496" t="s">
        <v>2470</v>
      </c>
      <c r="C496" t="s">
        <v>2498</v>
      </c>
      <c r="D496">
        <v>2010</v>
      </c>
      <c r="E496">
        <v>57</v>
      </c>
    </row>
    <row r="497" spans="1:5" x14ac:dyDescent="0.25">
      <c r="A497" t="s">
        <v>420</v>
      </c>
      <c r="B497" t="s">
        <v>2470</v>
      </c>
      <c r="C497" t="s">
        <v>1507</v>
      </c>
      <c r="D497">
        <v>2010</v>
      </c>
      <c r="E497">
        <v>70</v>
      </c>
    </row>
    <row r="498" spans="1:5" x14ac:dyDescent="0.25">
      <c r="A498" t="s">
        <v>420</v>
      </c>
      <c r="B498" t="s">
        <v>2470</v>
      </c>
      <c r="C498" t="s">
        <v>2487</v>
      </c>
      <c r="D498">
        <v>2010</v>
      </c>
      <c r="E498">
        <v>22</v>
      </c>
    </row>
    <row r="499" spans="1:5" x14ac:dyDescent="0.25">
      <c r="A499" t="s">
        <v>420</v>
      </c>
      <c r="B499" t="s">
        <v>2470</v>
      </c>
      <c r="C499" t="s">
        <v>1463</v>
      </c>
      <c r="D499">
        <v>2010</v>
      </c>
      <c r="E499">
        <v>186</v>
      </c>
    </row>
    <row r="500" spans="1:5" x14ac:dyDescent="0.25">
      <c r="A500" t="s">
        <v>420</v>
      </c>
      <c r="B500" t="s">
        <v>2470</v>
      </c>
      <c r="C500" t="s">
        <v>1455</v>
      </c>
      <c r="D500">
        <v>2010</v>
      </c>
      <c r="E500">
        <v>252</v>
      </c>
    </row>
    <row r="501" spans="1:5" x14ac:dyDescent="0.25">
      <c r="A501" t="s">
        <v>420</v>
      </c>
      <c r="B501" t="s">
        <v>2470</v>
      </c>
      <c r="C501" t="s">
        <v>1434</v>
      </c>
      <c r="D501">
        <v>2010</v>
      </c>
      <c r="E501">
        <v>50</v>
      </c>
    </row>
    <row r="502" spans="1:5" x14ac:dyDescent="0.25">
      <c r="A502" t="s">
        <v>420</v>
      </c>
      <c r="B502" t="s">
        <v>2470</v>
      </c>
      <c r="C502" t="s">
        <v>1158</v>
      </c>
      <c r="D502">
        <v>2010</v>
      </c>
      <c r="E502">
        <v>116</v>
      </c>
    </row>
    <row r="503" spans="1:5" x14ac:dyDescent="0.25">
      <c r="A503" t="s">
        <v>420</v>
      </c>
      <c r="B503" t="s">
        <v>2470</v>
      </c>
      <c r="C503" t="s">
        <v>2489</v>
      </c>
      <c r="D503">
        <v>2010</v>
      </c>
      <c r="E503">
        <v>2</v>
      </c>
    </row>
    <row r="504" spans="1:5" x14ac:dyDescent="0.25">
      <c r="A504" t="s">
        <v>420</v>
      </c>
      <c r="B504" t="s">
        <v>2470</v>
      </c>
      <c r="C504" t="s">
        <v>1135</v>
      </c>
      <c r="D504">
        <v>2010</v>
      </c>
      <c r="E504">
        <v>158</v>
      </c>
    </row>
    <row r="505" spans="1:5" x14ac:dyDescent="0.25">
      <c r="A505" t="s">
        <v>420</v>
      </c>
      <c r="B505" t="s">
        <v>2470</v>
      </c>
      <c r="C505" t="s">
        <v>2500</v>
      </c>
      <c r="D505">
        <v>2010</v>
      </c>
      <c r="E505">
        <v>14</v>
      </c>
    </row>
    <row r="506" spans="1:5" x14ac:dyDescent="0.25">
      <c r="A506" t="s">
        <v>420</v>
      </c>
      <c r="B506" t="s">
        <v>2470</v>
      </c>
      <c r="C506" t="s">
        <v>2490</v>
      </c>
      <c r="D506">
        <v>2010</v>
      </c>
      <c r="E506">
        <v>12</v>
      </c>
    </row>
    <row r="507" spans="1:5" x14ac:dyDescent="0.25">
      <c r="A507" t="s">
        <v>420</v>
      </c>
      <c r="B507" t="s">
        <v>2470</v>
      </c>
      <c r="C507" t="s">
        <v>765</v>
      </c>
      <c r="D507">
        <v>2010</v>
      </c>
      <c r="E507">
        <v>89</v>
      </c>
    </row>
    <row r="508" spans="1:5" x14ac:dyDescent="0.25">
      <c r="A508" t="s">
        <v>420</v>
      </c>
      <c r="B508" t="s">
        <v>2470</v>
      </c>
      <c r="C508" t="s">
        <v>2491</v>
      </c>
      <c r="D508">
        <v>2010</v>
      </c>
      <c r="E508">
        <v>2</v>
      </c>
    </row>
    <row r="509" spans="1:5" x14ac:dyDescent="0.25">
      <c r="A509" t="s">
        <v>420</v>
      </c>
      <c r="B509" t="s">
        <v>2470</v>
      </c>
      <c r="C509" t="s">
        <v>2492</v>
      </c>
      <c r="D509">
        <v>2010</v>
      </c>
      <c r="E509">
        <v>428</v>
      </c>
    </row>
    <row r="510" spans="1:5" x14ac:dyDescent="0.25">
      <c r="A510" t="s">
        <v>420</v>
      </c>
      <c r="B510" t="s">
        <v>2470</v>
      </c>
      <c r="C510" t="s">
        <v>2493</v>
      </c>
      <c r="D510">
        <v>2010</v>
      </c>
      <c r="E510">
        <v>16</v>
      </c>
    </row>
    <row r="511" spans="1:5" x14ac:dyDescent="0.25">
      <c r="A511" t="s">
        <v>420</v>
      </c>
      <c r="B511" t="s">
        <v>2470</v>
      </c>
      <c r="C511" t="s">
        <v>2494</v>
      </c>
      <c r="D511">
        <v>2010</v>
      </c>
      <c r="E511">
        <v>11</v>
      </c>
    </row>
    <row r="512" spans="1:5" x14ac:dyDescent="0.25">
      <c r="A512" t="s">
        <v>420</v>
      </c>
      <c r="B512" t="s">
        <v>2470</v>
      </c>
      <c r="C512" t="s">
        <v>459</v>
      </c>
      <c r="D512">
        <v>2010</v>
      </c>
      <c r="E512">
        <v>283</v>
      </c>
    </row>
    <row r="513" spans="1:5" x14ac:dyDescent="0.25">
      <c r="A513" t="s">
        <v>420</v>
      </c>
      <c r="B513" t="s">
        <v>2470</v>
      </c>
      <c r="C513" t="s">
        <v>2472</v>
      </c>
      <c r="D513">
        <v>2009</v>
      </c>
      <c r="E513">
        <v>49</v>
      </c>
    </row>
    <row r="514" spans="1:5" x14ac:dyDescent="0.25">
      <c r="A514" t="s">
        <v>420</v>
      </c>
      <c r="B514" t="s">
        <v>2470</v>
      </c>
      <c r="C514" t="s">
        <v>2390</v>
      </c>
      <c r="D514">
        <v>2009</v>
      </c>
      <c r="E514">
        <v>299</v>
      </c>
    </row>
    <row r="515" spans="1:5" x14ac:dyDescent="0.25">
      <c r="A515" t="s">
        <v>420</v>
      </c>
      <c r="B515" t="s">
        <v>2470</v>
      </c>
      <c r="C515" t="s">
        <v>2473</v>
      </c>
      <c r="D515">
        <v>2009</v>
      </c>
      <c r="E515">
        <v>14</v>
      </c>
    </row>
    <row r="516" spans="1:5" x14ac:dyDescent="0.25">
      <c r="A516" t="s">
        <v>420</v>
      </c>
      <c r="B516" t="s">
        <v>2470</v>
      </c>
      <c r="C516" t="s">
        <v>2039</v>
      </c>
      <c r="D516">
        <v>2009</v>
      </c>
      <c r="E516">
        <v>331</v>
      </c>
    </row>
    <row r="517" spans="1:5" x14ac:dyDescent="0.25">
      <c r="A517" t="s">
        <v>420</v>
      </c>
      <c r="B517" t="s">
        <v>2470</v>
      </c>
      <c r="C517" t="s">
        <v>2474</v>
      </c>
      <c r="D517">
        <v>2009</v>
      </c>
      <c r="E517">
        <v>19</v>
      </c>
    </row>
    <row r="518" spans="1:5" x14ac:dyDescent="0.25">
      <c r="A518" t="s">
        <v>420</v>
      </c>
      <c r="B518" t="s">
        <v>2470</v>
      </c>
      <c r="C518" t="s">
        <v>2475</v>
      </c>
      <c r="D518">
        <v>2009</v>
      </c>
      <c r="E518">
        <v>283</v>
      </c>
    </row>
    <row r="519" spans="1:5" x14ac:dyDescent="0.25">
      <c r="A519" t="s">
        <v>420</v>
      </c>
      <c r="B519" t="s">
        <v>2470</v>
      </c>
      <c r="C519" t="s">
        <v>2476</v>
      </c>
      <c r="D519">
        <v>2009</v>
      </c>
      <c r="E519">
        <v>67</v>
      </c>
    </row>
    <row r="520" spans="1:5" x14ac:dyDescent="0.25">
      <c r="A520" t="s">
        <v>420</v>
      </c>
      <c r="B520" t="s">
        <v>2470</v>
      </c>
      <c r="C520" t="s">
        <v>2477</v>
      </c>
      <c r="D520">
        <v>2009</v>
      </c>
      <c r="E520">
        <v>48</v>
      </c>
    </row>
    <row r="521" spans="1:5" x14ac:dyDescent="0.25">
      <c r="A521" t="s">
        <v>420</v>
      </c>
      <c r="B521" t="s">
        <v>2470</v>
      </c>
      <c r="C521" t="s">
        <v>1882</v>
      </c>
      <c r="D521">
        <v>2009</v>
      </c>
      <c r="E521">
        <v>21</v>
      </c>
    </row>
    <row r="522" spans="1:5" x14ac:dyDescent="0.25">
      <c r="A522" t="s">
        <v>420</v>
      </c>
      <c r="B522" t="s">
        <v>2470</v>
      </c>
      <c r="C522" t="s">
        <v>2479</v>
      </c>
      <c r="D522">
        <v>2009</v>
      </c>
      <c r="E522">
        <v>27</v>
      </c>
    </row>
    <row r="523" spans="1:5" x14ac:dyDescent="0.25">
      <c r="A523" t="s">
        <v>420</v>
      </c>
      <c r="B523" t="s">
        <v>2470</v>
      </c>
      <c r="C523" t="s">
        <v>2496</v>
      </c>
      <c r="D523">
        <v>2009</v>
      </c>
      <c r="E523">
        <v>38</v>
      </c>
    </row>
    <row r="524" spans="1:5" x14ac:dyDescent="0.25">
      <c r="A524" t="s">
        <v>420</v>
      </c>
      <c r="B524" t="s">
        <v>2470</v>
      </c>
      <c r="C524" t="s">
        <v>1689</v>
      </c>
      <c r="D524">
        <v>2009</v>
      </c>
      <c r="E524">
        <v>77</v>
      </c>
    </row>
    <row r="525" spans="1:5" x14ac:dyDescent="0.25">
      <c r="A525" t="s">
        <v>420</v>
      </c>
      <c r="B525" t="s">
        <v>2470</v>
      </c>
      <c r="C525" t="s">
        <v>2481</v>
      </c>
      <c r="D525">
        <v>2009</v>
      </c>
      <c r="E525">
        <v>6</v>
      </c>
    </row>
    <row r="526" spans="1:5" x14ac:dyDescent="0.25">
      <c r="A526" t="s">
        <v>420</v>
      </c>
      <c r="B526" t="s">
        <v>2470</v>
      </c>
      <c r="C526" t="s">
        <v>2497</v>
      </c>
      <c r="D526">
        <v>2009</v>
      </c>
      <c r="E526">
        <v>66</v>
      </c>
    </row>
    <row r="527" spans="1:5" x14ac:dyDescent="0.25">
      <c r="A527" t="s">
        <v>420</v>
      </c>
      <c r="B527" t="s">
        <v>2470</v>
      </c>
      <c r="C527" t="s">
        <v>2483</v>
      </c>
      <c r="D527">
        <v>2009</v>
      </c>
      <c r="E527">
        <v>47</v>
      </c>
    </row>
    <row r="528" spans="1:5" x14ac:dyDescent="0.25">
      <c r="A528" t="s">
        <v>420</v>
      </c>
      <c r="B528" t="s">
        <v>2470</v>
      </c>
      <c r="C528" t="s">
        <v>2484</v>
      </c>
      <c r="D528">
        <v>2009</v>
      </c>
      <c r="E528">
        <v>17</v>
      </c>
    </row>
    <row r="529" spans="1:5" x14ac:dyDescent="0.25">
      <c r="A529" t="s">
        <v>420</v>
      </c>
      <c r="B529" t="s">
        <v>2470</v>
      </c>
      <c r="C529" t="s">
        <v>1597</v>
      </c>
      <c r="D529">
        <v>2009</v>
      </c>
      <c r="E529">
        <v>247</v>
      </c>
    </row>
    <row r="530" spans="1:5" x14ac:dyDescent="0.25">
      <c r="A530" t="s">
        <v>420</v>
      </c>
      <c r="B530" t="s">
        <v>2470</v>
      </c>
      <c r="C530" t="s">
        <v>2486</v>
      </c>
      <c r="D530">
        <v>2009</v>
      </c>
      <c r="E530">
        <v>13</v>
      </c>
    </row>
    <row r="531" spans="1:5" x14ac:dyDescent="0.25">
      <c r="A531" t="s">
        <v>420</v>
      </c>
      <c r="B531" t="s">
        <v>2470</v>
      </c>
      <c r="C531" t="s">
        <v>1516</v>
      </c>
      <c r="D531">
        <v>2009</v>
      </c>
      <c r="E531">
        <v>2</v>
      </c>
    </row>
    <row r="532" spans="1:5" x14ac:dyDescent="0.25">
      <c r="A532" t="s">
        <v>420</v>
      </c>
      <c r="B532" t="s">
        <v>2470</v>
      </c>
      <c r="C532" t="s">
        <v>2498</v>
      </c>
      <c r="D532">
        <v>2009</v>
      </c>
      <c r="E532">
        <v>80</v>
      </c>
    </row>
    <row r="533" spans="1:5" x14ac:dyDescent="0.25">
      <c r="A533" t="s">
        <v>420</v>
      </c>
      <c r="B533" t="s">
        <v>2470</v>
      </c>
      <c r="C533" t="s">
        <v>1507</v>
      </c>
      <c r="D533">
        <v>2009</v>
      </c>
      <c r="E533">
        <v>71</v>
      </c>
    </row>
    <row r="534" spans="1:5" x14ac:dyDescent="0.25">
      <c r="A534" t="s">
        <v>420</v>
      </c>
      <c r="B534" t="s">
        <v>2470</v>
      </c>
      <c r="C534" t="s">
        <v>2487</v>
      </c>
      <c r="D534">
        <v>2009</v>
      </c>
      <c r="E534">
        <v>18</v>
      </c>
    </row>
    <row r="535" spans="1:5" x14ac:dyDescent="0.25">
      <c r="A535" t="s">
        <v>420</v>
      </c>
      <c r="B535" t="s">
        <v>2470</v>
      </c>
      <c r="C535" t="s">
        <v>1463</v>
      </c>
      <c r="D535">
        <v>2009</v>
      </c>
      <c r="E535">
        <v>164</v>
      </c>
    </row>
    <row r="536" spans="1:5" x14ac:dyDescent="0.25">
      <c r="A536" t="s">
        <v>420</v>
      </c>
      <c r="B536" t="s">
        <v>2470</v>
      </c>
      <c r="C536" t="s">
        <v>1455</v>
      </c>
      <c r="D536">
        <v>2009</v>
      </c>
      <c r="E536">
        <v>249</v>
      </c>
    </row>
    <row r="537" spans="1:5" x14ac:dyDescent="0.25">
      <c r="A537" t="s">
        <v>420</v>
      </c>
      <c r="B537" t="s">
        <v>2470</v>
      </c>
      <c r="C537" t="s">
        <v>1434</v>
      </c>
      <c r="D537">
        <v>2009</v>
      </c>
      <c r="E537">
        <v>55</v>
      </c>
    </row>
    <row r="538" spans="1:5" x14ac:dyDescent="0.25">
      <c r="A538" t="s">
        <v>420</v>
      </c>
      <c r="B538" t="s">
        <v>2470</v>
      </c>
      <c r="C538" t="s">
        <v>1158</v>
      </c>
      <c r="D538">
        <v>2009</v>
      </c>
      <c r="E538">
        <v>106</v>
      </c>
    </row>
    <row r="539" spans="1:5" x14ac:dyDescent="0.25">
      <c r="A539" t="s">
        <v>420</v>
      </c>
      <c r="B539" t="s">
        <v>2470</v>
      </c>
      <c r="C539" t="s">
        <v>2489</v>
      </c>
      <c r="D539">
        <v>2009</v>
      </c>
      <c r="E539">
        <v>4</v>
      </c>
    </row>
    <row r="540" spans="1:5" x14ac:dyDescent="0.25">
      <c r="A540" t="s">
        <v>420</v>
      </c>
      <c r="B540" t="s">
        <v>2470</v>
      </c>
      <c r="C540" t="s">
        <v>1135</v>
      </c>
      <c r="D540">
        <v>2009</v>
      </c>
      <c r="E540">
        <v>166</v>
      </c>
    </row>
    <row r="541" spans="1:5" x14ac:dyDescent="0.25">
      <c r="A541" t="s">
        <v>420</v>
      </c>
      <c r="B541" t="s">
        <v>2470</v>
      </c>
      <c r="C541" t="s">
        <v>2500</v>
      </c>
      <c r="D541">
        <v>2009</v>
      </c>
      <c r="E541">
        <v>11</v>
      </c>
    </row>
    <row r="542" spans="1:5" x14ac:dyDescent="0.25">
      <c r="A542" t="s">
        <v>420</v>
      </c>
      <c r="B542" t="s">
        <v>2470</v>
      </c>
      <c r="C542" t="s">
        <v>2490</v>
      </c>
      <c r="D542">
        <v>2009</v>
      </c>
      <c r="E542">
        <v>20</v>
      </c>
    </row>
    <row r="543" spans="1:5" x14ac:dyDescent="0.25">
      <c r="A543" t="s">
        <v>420</v>
      </c>
      <c r="B543" t="s">
        <v>2470</v>
      </c>
      <c r="C543" t="s">
        <v>765</v>
      </c>
      <c r="D543">
        <v>2009</v>
      </c>
      <c r="E543">
        <v>102</v>
      </c>
    </row>
    <row r="544" spans="1:5" x14ac:dyDescent="0.25">
      <c r="A544" t="s">
        <v>420</v>
      </c>
      <c r="B544" t="s">
        <v>2470</v>
      </c>
      <c r="C544" t="s">
        <v>2492</v>
      </c>
      <c r="D544">
        <v>2009</v>
      </c>
      <c r="E544">
        <v>431</v>
      </c>
    </row>
    <row r="545" spans="1:5" x14ac:dyDescent="0.25">
      <c r="A545" t="s">
        <v>420</v>
      </c>
      <c r="B545" t="s">
        <v>2470</v>
      </c>
      <c r="C545" t="s">
        <v>2494</v>
      </c>
      <c r="D545">
        <v>2009</v>
      </c>
      <c r="E545">
        <v>8</v>
      </c>
    </row>
    <row r="546" spans="1:5" x14ac:dyDescent="0.25">
      <c r="A546" t="s">
        <v>420</v>
      </c>
      <c r="B546" t="s">
        <v>2470</v>
      </c>
      <c r="C546" t="s">
        <v>459</v>
      </c>
      <c r="D546">
        <v>2009</v>
      </c>
      <c r="E546">
        <v>260</v>
      </c>
    </row>
    <row r="547" spans="1:5" x14ac:dyDescent="0.25">
      <c r="A547" t="s">
        <v>420</v>
      </c>
      <c r="B547" t="s">
        <v>2470</v>
      </c>
      <c r="C547" t="s">
        <v>2472</v>
      </c>
      <c r="D547">
        <v>2008</v>
      </c>
      <c r="E547">
        <v>36</v>
      </c>
    </row>
    <row r="548" spans="1:5" x14ac:dyDescent="0.25">
      <c r="A548" t="s">
        <v>420</v>
      </c>
      <c r="B548" t="s">
        <v>2470</v>
      </c>
      <c r="C548" t="s">
        <v>2390</v>
      </c>
      <c r="D548">
        <v>2008</v>
      </c>
      <c r="E548">
        <v>271</v>
      </c>
    </row>
    <row r="549" spans="1:5" x14ac:dyDescent="0.25">
      <c r="A549" t="s">
        <v>420</v>
      </c>
      <c r="B549" t="s">
        <v>2470</v>
      </c>
      <c r="C549" t="s">
        <v>2473</v>
      </c>
      <c r="D549">
        <v>2008</v>
      </c>
      <c r="E549">
        <v>11</v>
      </c>
    </row>
    <row r="550" spans="1:5" x14ac:dyDescent="0.25">
      <c r="A550" t="s">
        <v>420</v>
      </c>
      <c r="B550" t="s">
        <v>2470</v>
      </c>
      <c r="C550" t="s">
        <v>2039</v>
      </c>
      <c r="D550">
        <v>2008</v>
      </c>
      <c r="E550">
        <v>315</v>
      </c>
    </row>
    <row r="551" spans="1:5" x14ac:dyDescent="0.25">
      <c r="A551" t="s">
        <v>420</v>
      </c>
      <c r="B551" t="s">
        <v>2470</v>
      </c>
      <c r="C551" t="s">
        <v>2474</v>
      </c>
      <c r="D551">
        <v>2008</v>
      </c>
      <c r="E551">
        <v>12</v>
      </c>
    </row>
    <row r="552" spans="1:5" x14ac:dyDescent="0.25">
      <c r="A552" t="s">
        <v>420</v>
      </c>
      <c r="B552" t="s">
        <v>2470</v>
      </c>
      <c r="C552" t="s">
        <v>2475</v>
      </c>
      <c r="D552">
        <v>2008</v>
      </c>
      <c r="E552">
        <v>249</v>
      </c>
    </row>
    <row r="553" spans="1:5" x14ac:dyDescent="0.25">
      <c r="A553" t="s">
        <v>420</v>
      </c>
      <c r="B553" t="s">
        <v>2470</v>
      </c>
      <c r="C553" t="s">
        <v>2476</v>
      </c>
      <c r="D553">
        <v>2008</v>
      </c>
      <c r="E553">
        <v>54</v>
      </c>
    </row>
    <row r="554" spans="1:5" x14ac:dyDescent="0.25">
      <c r="A554" t="s">
        <v>420</v>
      </c>
      <c r="B554" t="s">
        <v>2470</v>
      </c>
      <c r="C554" t="s">
        <v>2477</v>
      </c>
      <c r="D554">
        <v>2008</v>
      </c>
      <c r="E554">
        <v>57</v>
      </c>
    </row>
    <row r="555" spans="1:5" x14ac:dyDescent="0.25">
      <c r="A555" t="s">
        <v>420</v>
      </c>
      <c r="B555" t="s">
        <v>2470</v>
      </c>
      <c r="C555" t="s">
        <v>1882</v>
      </c>
      <c r="D555">
        <v>2008</v>
      </c>
      <c r="E555">
        <v>21</v>
      </c>
    </row>
    <row r="556" spans="1:5" x14ac:dyDescent="0.25">
      <c r="A556" t="s">
        <v>420</v>
      </c>
      <c r="B556" t="s">
        <v>2470</v>
      </c>
      <c r="C556" t="s">
        <v>2479</v>
      </c>
      <c r="D556">
        <v>2008</v>
      </c>
      <c r="E556">
        <v>19</v>
      </c>
    </row>
    <row r="557" spans="1:5" x14ac:dyDescent="0.25">
      <c r="A557" t="s">
        <v>420</v>
      </c>
      <c r="B557" t="s">
        <v>2470</v>
      </c>
      <c r="C557" t="s">
        <v>2496</v>
      </c>
      <c r="D557">
        <v>2008</v>
      </c>
      <c r="E557">
        <v>26</v>
      </c>
    </row>
    <row r="558" spans="1:5" x14ac:dyDescent="0.25">
      <c r="A558" t="s">
        <v>420</v>
      </c>
      <c r="B558" t="s">
        <v>2470</v>
      </c>
      <c r="C558" t="s">
        <v>1689</v>
      </c>
      <c r="D558">
        <v>2008</v>
      </c>
      <c r="E558">
        <v>67</v>
      </c>
    </row>
    <row r="559" spans="1:5" x14ac:dyDescent="0.25">
      <c r="A559" t="s">
        <v>420</v>
      </c>
      <c r="B559" t="s">
        <v>2470</v>
      </c>
      <c r="C559" t="s">
        <v>2481</v>
      </c>
      <c r="D559">
        <v>2008</v>
      </c>
      <c r="E559">
        <v>3</v>
      </c>
    </row>
    <row r="560" spans="1:5" x14ac:dyDescent="0.25">
      <c r="A560" t="s">
        <v>420</v>
      </c>
      <c r="B560" t="s">
        <v>2470</v>
      </c>
      <c r="C560" t="s">
        <v>2497</v>
      </c>
      <c r="D560">
        <v>2008</v>
      </c>
      <c r="E560">
        <v>70</v>
      </c>
    </row>
    <row r="561" spans="1:5" x14ac:dyDescent="0.25">
      <c r="A561" t="s">
        <v>420</v>
      </c>
      <c r="B561" t="s">
        <v>2470</v>
      </c>
      <c r="C561" t="s">
        <v>2483</v>
      </c>
      <c r="D561">
        <v>2008</v>
      </c>
      <c r="E561">
        <v>41</v>
      </c>
    </row>
    <row r="562" spans="1:5" x14ac:dyDescent="0.25">
      <c r="A562" t="s">
        <v>420</v>
      </c>
      <c r="B562" t="s">
        <v>2470</v>
      </c>
      <c r="C562" t="s">
        <v>2484</v>
      </c>
      <c r="D562">
        <v>2008</v>
      </c>
      <c r="E562">
        <v>17</v>
      </c>
    </row>
    <row r="563" spans="1:5" x14ac:dyDescent="0.25">
      <c r="A563" t="s">
        <v>420</v>
      </c>
      <c r="B563" t="s">
        <v>2470</v>
      </c>
      <c r="C563" t="s">
        <v>1597</v>
      </c>
      <c r="D563">
        <v>2008</v>
      </c>
      <c r="E563">
        <v>273</v>
      </c>
    </row>
    <row r="564" spans="1:5" x14ac:dyDescent="0.25">
      <c r="A564" t="s">
        <v>420</v>
      </c>
      <c r="B564" t="s">
        <v>2470</v>
      </c>
      <c r="C564" t="s">
        <v>2486</v>
      </c>
      <c r="D564">
        <v>2008</v>
      </c>
      <c r="E564">
        <v>20</v>
      </c>
    </row>
    <row r="565" spans="1:5" x14ac:dyDescent="0.25">
      <c r="A565" t="s">
        <v>420</v>
      </c>
      <c r="B565" t="s">
        <v>2470</v>
      </c>
      <c r="C565" t="s">
        <v>2498</v>
      </c>
      <c r="D565">
        <v>2008</v>
      </c>
      <c r="E565">
        <v>76</v>
      </c>
    </row>
    <row r="566" spans="1:5" x14ac:dyDescent="0.25">
      <c r="A566" t="s">
        <v>420</v>
      </c>
      <c r="B566" t="s">
        <v>2470</v>
      </c>
      <c r="C566" t="s">
        <v>1507</v>
      </c>
      <c r="D566">
        <v>2008</v>
      </c>
      <c r="E566">
        <v>69</v>
      </c>
    </row>
    <row r="567" spans="1:5" x14ac:dyDescent="0.25">
      <c r="A567" t="s">
        <v>420</v>
      </c>
      <c r="B567" t="s">
        <v>2470</v>
      </c>
      <c r="C567" t="s">
        <v>2487</v>
      </c>
      <c r="D567">
        <v>2008</v>
      </c>
      <c r="E567">
        <v>16</v>
      </c>
    </row>
    <row r="568" spans="1:5" x14ac:dyDescent="0.25">
      <c r="A568" t="s">
        <v>420</v>
      </c>
      <c r="B568" t="s">
        <v>2470</v>
      </c>
      <c r="C568" t="s">
        <v>1463</v>
      </c>
      <c r="D568">
        <v>2008</v>
      </c>
      <c r="E568">
        <v>152</v>
      </c>
    </row>
    <row r="569" spans="1:5" x14ac:dyDescent="0.25">
      <c r="A569" t="s">
        <v>420</v>
      </c>
      <c r="B569" t="s">
        <v>2470</v>
      </c>
      <c r="C569" t="s">
        <v>1455</v>
      </c>
      <c r="D569">
        <v>2008</v>
      </c>
      <c r="E569">
        <v>250</v>
      </c>
    </row>
    <row r="570" spans="1:5" x14ac:dyDescent="0.25">
      <c r="A570" t="s">
        <v>420</v>
      </c>
      <c r="B570" t="s">
        <v>2470</v>
      </c>
      <c r="C570" t="s">
        <v>1434</v>
      </c>
      <c r="D570">
        <v>2008</v>
      </c>
      <c r="E570">
        <v>54</v>
      </c>
    </row>
    <row r="571" spans="1:5" x14ac:dyDescent="0.25">
      <c r="A571" t="s">
        <v>420</v>
      </c>
      <c r="B571" t="s">
        <v>2470</v>
      </c>
      <c r="C571" t="s">
        <v>1158</v>
      </c>
      <c r="D571">
        <v>2008</v>
      </c>
      <c r="E571">
        <v>94</v>
      </c>
    </row>
    <row r="572" spans="1:5" x14ac:dyDescent="0.25">
      <c r="A572" t="s">
        <v>420</v>
      </c>
      <c r="B572" t="s">
        <v>2470</v>
      </c>
      <c r="C572" t="s">
        <v>2489</v>
      </c>
      <c r="D572">
        <v>2008</v>
      </c>
      <c r="E572">
        <v>6</v>
      </c>
    </row>
    <row r="573" spans="1:5" x14ac:dyDescent="0.25">
      <c r="A573" t="s">
        <v>420</v>
      </c>
      <c r="B573" t="s">
        <v>2470</v>
      </c>
      <c r="C573" t="s">
        <v>1135</v>
      </c>
      <c r="D573">
        <v>2008</v>
      </c>
      <c r="E573">
        <v>175</v>
      </c>
    </row>
    <row r="574" spans="1:5" x14ac:dyDescent="0.25">
      <c r="A574" t="s">
        <v>420</v>
      </c>
      <c r="B574" t="s">
        <v>2470</v>
      </c>
      <c r="C574" t="s">
        <v>2500</v>
      </c>
      <c r="D574">
        <v>2008</v>
      </c>
      <c r="E574">
        <v>14</v>
      </c>
    </row>
    <row r="575" spans="1:5" x14ac:dyDescent="0.25">
      <c r="A575" t="s">
        <v>420</v>
      </c>
      <c r="B575" t="s">
        <v>2470</v>
      </c>
      <c r="C575" t="s">
        <v>2490</v>
      </c>
      <c r="D575">
        <v>2008</v>
      </c>
      <c r="E575">
        <v>17</v>
      </c>
    </row>
    <row r="576" spans="1:5" x14ac:dyDescent="0.25">
      <c r="A576" t="s">
        <v>420</v>
      </c>
      <c r="B576" t="s">
        <v>2470</v>
      </c>
      <c r="C576" t="s">
        <v>765</v>
      </c>
      <c r="D576">
        <v>2008</v>
      </c>
      <c r="E576">
        <v>87</v>
      </c>
    </row>
    <row r="577" spans="1:5" x14ac:dyDescent="0.25">
      <c r="A577" t="s">
        <v>420</v>
      </c>
      <c r="B577" t="s">
        <v>2470</v>
      </c>
      <c r="C577" t="s">
        <v>2492</v>
      </c>
      <c r="D577">
        <v>2008</v>
      </c>
      <c r="E577">
        <v>402</v>
      </c>
    </row>
    <row r="578" spans="1:5" x14ac:dyDescent="0.25">
      <c r="A578" t="s">
        <v>420</v>
      </c>
      <c r="B578" t="s">
        <v>2470</v>
      </c>
      <c r="C578" t="s">
        <v>459</v>
      </c>
      <c r="D578">
        <v>2008</v>
      </c>
      <c r="E578">
        <v>253</v>
      </c>
    </row>
    <row r="579" spans="1:5" x14ac:dyDescent="0.25">
      <c r="A579" t="s">
        <v>420</v>
      </c>
      <c r="B579" t="s">
        <v>2505</v>
      </c>
      <c r="C579" t="s">
        <v>2506</v>
      </c>
      <c r="D579">
        <v>2019</v>
      </c>
      <c r="E579">
        <v>3</v>
      </c>
    </row>
    <row r="580" spans="1:5" x14ac:dyDescent="0.25">
      <c r="A580" t="s">
        <v>420</v>
      </c>
      <c r="B580" t="s">
        <v>2505</v>
      </c>
      <c r="C580" t="s">
        <v>2390</v>
      </c>
      <c r="D580">
        <v>2019</v>
      </c>
      <c r="E580">
        <v>7</v>
      </c>
    </row>
    <row r="581" spans="1:5" x14ac:dyDescent="0.25">
      <c r="A581" t="s">
        <v>420</v>
      </c>
      <c r="B581" t="s">
        <v>2505</v>
      </c>
      <c r="C581" t="s">
        <v>2465</v>
      </c>
      <c r="D581">
        <v>2019</v>
      </c>
      <c r="E581">
        <v>1</v>
      </c>
    </row>
    <row r="582" spans="1:5" x14ac:dyDescent="0.25">
      <c r="A582" t="s">
        <v>420</v>
      </c>
      <c r="B582" t="s">
        <v>2505</v>
      </c>
      <c r="C582" t="s">
        <v>2475</v>
      </c>
      <c r="D582">
        <v>2019</v>
      </c>
      <c r="E582">
        <v>10</v>
      </c>
    </row>
    <row r="583" spans="1:5" x14ac:dyDescent="0.25">
      <c r="A583" t="s">
        <v>420</v>
      </c>
      <c r="B583" t="s">
        <v>2505</v>
      </c>
      <c r="C583" t="s">
        <v>2477</v>
      </c>
      <c r="D583">
        <v>2019</v>
      </c>
      <c r="E583">
        <v>10</v>
      </c>
    </row>
    <row r="584" spans="1:5" x14ac:dyDescent="0.25">
      <c r="A584" t="s">
        <v>420</v>
      </c>
      <c r="B584" t="s">
        <v>2505</v>
      </c>
      <c r="C584" t="s">
        <v>2507</v>
      </c>
      <c r="D584">
        <v>2019</v>
      </c>
      <c r="E584">
        <v>1</v>
      </c>
    </row>
    <row r="585" spans="1:5" x14ac:dyDescent="0.25">
      <c r="A585" t="s">
        <v>420</v>
      </c>
      <c r="B585" t="s">
        <v>2505</v>
      </c>
      <c r="C585" t="s">
        <v>2508</v>
      </c>
      <c r="D585">
        <v>2019</v>
      </c>
      <c r="E585">
        <v>3</v>
      </c>
    </row>
    <row r="586" spans="1:5" x14ac:dyDescent="0.25">
      <c r="A586" t="s">
        <v>420</v>
      </c>
      <c r="B586" t="s">
        <v>2505</v>
      </c>
      <c r="C586" t="s">
        <v>1689</v>
      </c>
      <c r="D586">
        <v>2019</v>
      </c>
      <c r="E586">
        <v>10</v>
      </c>
    </row>
    <row r="587" spans="1:5" x14ac:dyDescent="0.25">
      <c r="A587" t="s">
        <v>420</v>
      </c>
      <c r="B587" t="s">
        <v>2505</v>
      </c>
      <c r="C587" t="s">
        <v>2482</v>
      </c>
      <c r="D587">
        <v>2019</v>
      </c>
      <c r="E587">
        <v>8</v>
      </c>
    </row>
    <row r="588" spans="1:5" x14ac:dyDescent="0.25">
      <c r="A588" t="s">
        <v>420</v>
      </c>
      <c r="B588" t="s">
        <v>2505</v>
      </c>
      <c r="C588" t="s">
        <v>1597</v>
      </c>
      <c r="D588">
        <v>2019</v>
      </c>
      <c r="E588">
        <v>11</v>
      </c>
    </row>
    <row r="589" spans="1:5" x14ac:dyDescent="0.25">
      <c r="A589" t="s">
        <v>420</v>
      </c>
      <c r="B589" t="s">
        <v>2505</v>
      </c>
      <c r="C589" t="s">
        <v>1516</v>
      </c>
      <c r="D589">
        <v>2019</v>
      </c>
      <c r="E589">
        <v>14</v>
      </c>
    </row>
    <row r="590" spans="1:5" x14ac:dyDescent="0.25">
      <c r="A590" t="s">
        <v>420</v>
      </c>
      <c r="B590" t="s">
        <v>2505</v>
      </c>
      <c r="C590" t="s">
        <v>2498</v>
      </c>
      <c r="D590">
        <v>2019</v>
      </c>
      <c r="E590">
        <v>1</v>
      </c>
    </row>
    <row r="591" spans="1:5" x14ac:dyDescent="0.25">
      <c r="A591" t="s">
        <v>420</v>
      </c>
      <c r="B591" t="s">
        <v>2505</v>
      </c>
      <c r="C591" t="s">
        <v>1463</v>
      </c>
      <c r="D591">
        <v>2019</v>
      </c>
      <c r="E591">
        <v>51</v>
      </c>
    </row>
    <row r="592" spans="1:5" x14ac:dyDescent="0.25">
      <c r="A592" t="s">
        <v>420</v>
      </c>
      <c r="B592" t="s">
        <v>2505</v>
      </c>
      <c r="C592" t="s">
        <v>1455</v>
      </c>
      <c r="D592">
        <v>2019</v>
      </c>
      <c r="E592">
        <v>18</v>
      </c>
    </row>
    <row r="593" spans="1:5" x14ac:dyDescent="0.25">
      <c r="A593" t="s">
        <v>420</v>
      </c>
      <c r="B593" t="s">
        <v>2505</v>
      </c>
      <c r="C593" t="s">
        <v>1434</v>
      </c>
      <c r="D593">
        <v>2019</v>
      </c>
      <c r="E593">
        <v>5</v>
      </c>
    </row>
    <row r="594" spans="1:5" x14ac:dyDescent="0.25">
      <c r="A594" t="s">
        <v>420</v>
      </c>
      <c r="B594" t="s">
        <v>2505</v>
      </c>
      <c r="C594" t="s">
        <v>2509</v>
      </c>
      <c r="D594">
        <v>2019</v>
      </c>
      <c r="E594">
        <v>6</v>
      </c>
    </row>
    <row r="595" spans="1:5" x14ac:dyDescent="0.25">
      <c r="A595" t="s">
        <v>420</v>
      </c>
      <c r="B595" t="s">
        <v>2505</v>
      </c>
      <c r="C595" t="s">
        <v>2510</v>
      </c>
      <c r="D595">
        <v>2019</v>
      </c>
      <c r="E595">
        <v>37</v>
      </c>
    </row>
    <row r="596" spans="1:5" x14ac:dyDescent="0.25">
      <c r="A596" t="s">
        <v>420</v>
      </c>
      <c r="B596" t="s">
        <v>2505</v>
      </c>
      <c r="C596" t="s">
        <v>1158</v>
      </c>
      <c r="D596">
        <v>2019</v>
      </c>
      <c r="E596">
        <v>27</v>
      </c>
    </row>
    <row r="597" spans="1:5" x14ac:dyDescent="0.25">
      <c r="A597" t="s">
        <v>420</v>
      </c>
      <c r="B597" t="s">
        <v>2505</v>
      </c>
      <c r="C597" t="s">
        <v>1135</v>
      </c>
      <c r="D597">
        <v>2019</v>
      </c>
      <c r="E597">
        <v>13</v>
      </c>
    </row>
    <row r="598" spans="1:5" x14ac:dyDescent="0.25">
      <c r="A598" t="s">
        <v>420</v>
      </c>
      <c r="B598" t="s">
        <v>2505</v>
      </c>
      <c r="C598" t="s">
        <v>765</v>
      </c>
      <c r="D598">
        <v>2019</v>
      </c>
      <c r="E598">
        <v>2</v>
      </c>
    </row>
    <row r="599" spans="1:5" x14ac:dyDescent="0.25">
      <c r="A599" t="s">
        <v>420</v>
      </c>
      <c r="B599" t="s">
        <v>2505</v>
      </c>
      <c r="C599" t="s">
        <v>2511</v>
      </c>
      <c r="D599">
        <v>2019</v>
      </c>
      <c r="E599">
        <v>3</v>
      </c>
    </row>
    <row r="600" spans="1:5" x14ac:dyDescent="0.25">
      <c r="A600" t="s">
        <v>420</v>
      </c>
      <c r="B600" t="s">
        <v>2505</v>
      </c>
      <c r="C600" t="s">
        <v>2512</v>
      </c>
      <c r="D600">
        <v>2019</v>
      </c>
      <c r="E600">
        <v>2</v>
      </c>
    </row>
    <row r="601" spans="1:5" x14ac:dyDescent="0.25">
      <c r="A601" t="s">
        <v>420</v>
      </c>
      <c r="B601" t="s">
        <v>2505</v>
      </c>
      <c r="C601" t="s">
        <v>459</v>
      </c>
      <c r="D601">
        <v>2019</v>
      </c>
      <c r="E601">
        <v>37</v>
      </c>
    </row>
    <row r="602" spans="1:5" x14ac:dyDescent="0.25">
      <c r="A602" t="s">
        <v>420</v>
      </c>
      <c r="B602" t="s">
        <v>2505</v>
      </c>
      <c r="C602" t="s">
        <v>2506</v>
      </c>
      <c r="D602">
        <v>2018</v>
      </c>
      <c r="E602">
        <v>5</v>
      </c>
    </row>
    <row r="603" spans="1:5" x14ac:dyDescent="0.25">
      <c r="A603" t="s">
        <v>420</v>
      </c>
      <c r="B603" t="s">
        <v>2505</v>
      </c>
      <c r="C603" t="s">
        <v>2513</v>
      </c>
      <c r="D603">
        <v>2018</v>
      </c>
      <c r="E603">
        <v>1</v>
      </c>
    </row>
    <row r="604" spans="1:5" x14ac:dyDescent="0.25">
      <c r="A604" t="s">
        <v>420</v>
      </c>
      <c r="B604" t="s">
        <v>2505</v>
      </c>
      <c r="C604" t="s">
        <v>2390</v>
      </c>
      <c r="D604">
        <v>2018</v>
      </c>
      <c r="E604">
        <v>7</v>
      </c>
    </row>
    <row r="605" spans="1:5" x14ac:dyDescent="0.25">
      <c r="A605" t="s">
        <v>420</v>
      </c>
      <c r="B605" t="s">
        <v>2505</v>
      </c>
      <c r="C605" t="s">
        <v>2465</v>
      </c>
      <c r="D605">
        <v>2018</v>
      </c>
      <c r="E605">
        <v>1</v>
      </c>
    </row>
    <row r="606" spans="1:5" x14ac:dyDescent="0.25">
      <c r="A606" t="s">
        <v>420</v>
      </c>
      <c r="B606" t="s">
        <v>2505</v>
      </c>
      <c r="C606" t="s">
        <v>2466</v>
      </c>
      <c r="D606">
        <v>2018</v>
      </c>
      <c r="E606">
        <v>68</v>
      </c>
    </row>
    <row r="607" spans="1:5" x14ac:dyDescent="0.25">
      <c r="A607" t="s">
        <v>420</v>
      </c>
      <c r="B607" t="s">
        <v>2505</v>
      </c>
      <c r="C607" t="s">
        <v>2475</v>
      </c>
      <c r="D607">
        <v>2018</v>
      </c>
      <c r="E607">
        <v>9</v>
      </c>
    </row>
    <row r="608" spans="1:5" x14ac:dyDescent="0.25">
      <c r="A608" t="s">
        <v>420</v>
      </c>
      <c r="B608" t="s">
        <v>2505</v>
      </c>
      <c r="C608" t="s">
        <v>2477</v>
      </c>
      <c r="D608">
        <v>2018</v>
      </c>
      <c r="E608">
        <v>9</v>
      </c>
    </row>
    <row r="609" spans="1:5" x14ac:dyDescent="0.25">
      <c r="A609" t="s">
        <v>420</v>
      </c>
      <c r="B609" t="s">
        <v>2505</v>
      </c>
      <c r="C609" t="s">
        <v>2507</v>
      </c>
      <c r="D609">
        <v>2018</v>
      </c>
      <c r="E609">
        <v>2</v>
      </c>
    </row>
    <row r="610" spans="1:5" x14ac:dyDescent="0.25">
      <c r="A610" t="s">
        <v>420</v>
      </c>
      <c r="B610" t="s">
        <v>2505</v>
      </c>
      <c r="C610" t="s">
        <v>2508</v>
      </c>
      <c r="D610">
        <v>2018</v>
      </c>
      <c r="E610">
        <v>3</v>
      </c>
    </row>
    <row r="611" spans="1:5" x14ac:dyDescent="0.25">
      <c r="A611" t="s">
        <v>420</v>
      </c>
      <c r="B611" t="s">
        <v>2505</v>
      </c>
      <c r="C611" t="s">
        <v>1689</v>
      </c>
      <c r="D611">
        <v>2018</v>
      </c>
      <c r="E611">
        <v>6</v>
      </c>
    </row>
    <row r="612" spans="1:5" x14ac:dyDescent="0.25">
      <c r="A612" t="s">
        <v>420</v>
      </c>
      <c r="B612" t="s">
        <v>2505</v>
      </c>
      <c r="C612" t="s">
        <v>2482</v>
      </c>
      <c r="D612">
        <v>2018</v>
      </c>
      <c r="E612">
        <v>8</v>
      </c>
    </row>
    <row r="613" spans="1:5" x14ac:dyDescent="0.25">
      <c r="A613" t="s">
        <v>420</v>
      </c>
      <c r="B613" t="s">
        <v>2505</v>
      </c>
      <c r="C613" t="s">
        <v>1597</v>
      </c>
      <c r="D613">
        <v>2018</v>
      </c>
      <c r="E613">
        <v>11</v>
      </c>
    </row>
    <row r="614" spans="1:5" x14ac:dyDescent="0.25">
      <c r="A614" t="s">
        <v>420</v>
      </c>
      <c r="B614" t="s">
        <v>2505</v>
      </c>
      <c r="C614" t="s">
        <v>1516</v>
      </c>
      <c r="D614">
        <v>2018</v>
      </c>
      <c r="E614">
        <v>16</v>
      </c>
    </row>
    <row r="615" spans="1:5" x14ac:dyDescent="0.25">
      <c r="A615" t="s">
        <v>420</v>
      </c>
      <c r="B615" t="s">
        <v>2505</v>
      </c>
      <c r="C615" t="s">
        <v>1507</v>
      </c>
      <c r="D615">
        <v>2018</v>
      </c>
      <c r="E615">
        <v>17</v>
      </c>
    </row>
    <row r="616" spans="1:5" x14ac:dyDescent="0.25">
      <c r="A616" t="s">
        <v>420</v>
      </c>
      <c r="B616" t="s">
        <v>2505</v>
      </c>
      <c r="C616" t="s">
        <v>1463</v>
      </c>
      <c r="D616">
        <v>2018</v>
      </c>
      <c r="E616">
        <v>55</v>
      </c>
    </row>
    <row r="617" spans="1:5" x14ac:dyDescent="0.25">
      <c r="A617" t="s">
        <v>420</v>
      </c>
      <c r="B617" t="s">
        <v>2505</v>
      </c>
      <c r="C617" t="s">
        <v>1455</v>
      </c>
      <c r="D617">
        <v>2018</v>
      </c>
      <c r="E617">
        <v>22</v>
      </c>
    </row>
    <row r="618" spans="1:5" x14ac:dyDescent="0.25">
      <c r="A618" t="s">
        <v>420</v>
      </c>
      <c r="B618" t="s">
        <v>2505</v>
      </c>
      <c r="C618" t="s">
        <v>1434</v>
      </c>
      <c r="D618">
        <v>2018</v>
      </c>
      <c r="E618">
        <v>9</v>
      </c>
    </row>
    <row r="619" spans="1:5" x14ac:dyDescent="0.25">
      <c r="A619" t="s">
        <v>420</v>
      </c>
      <c r="B619" t="s">
        <v>2505</v>
      </c>
      <c r="C619" t="s">
        <v>2509</v>
      </c>
      <c r="D619">
        <v>2018</v>
      </c>
      <c r="E619">
        <v>1</v>
      </c>
    </row>
    <row r="620" spans="1:5" x14ac:dyDescent="0.25">
      <c r="A620" t="s">
        <v>420</v>
      </c>
      <c r="B620" t="s">
        <v>2505</v>
      </c>
      <c r="C620" t="s">
        <v>2510</v>
      </c>
      <c r="D620">
        <v>2018</v>
      </c>
      <c r="E620">
        <v>42</v>
      </c>
    </row>
    <row r="621" spans="1:5" x14ac:dyDescent="0.25">
      <c r="A621" t="s">
        <v>420</v>
      </c>
      <c r="B621" t="s">
        <v>2505</v>
      </c>
      <c r="C621" t="s">
        <v>1158</v>
      </c>
      <c r="D621">
        <v>2018</v>
      </c>
      <c r="E621">
        <v>26</v>
      </c>
    </row>
    <row r="622" spans="1:5" x14ac:dyDescent="0.25">
      <c r="A622" t="s">
        <v>420</v>
      </c>
      <c r="B622" t="s">
        <v>2505</v>
      </c>
      <c r="C622" t="s">
        <v>1135</v>
      </c>
      <c r="D622">
        <v>2018</v>
      </c>
      <c r="E622">
        <v>17</v>
      </c>
    </row>
    <row r="623" spans="1:5" x14ac:dyDescent="0.25">
      <c r="A623" t="s">
        <v>420</v>
      </c>
      <c r="B623" t="s">
        <v>2505</v>
      </c>
      <c r="C623" t="s">
        <v>765</v>
      </c>
      <c r="D623">
        <v>2018</v>
      </c>
      <c r="E623">
        <v>4</v>
      </c>
    </row>
    <row r="624" spans="1:5" x14ac:dyDescent="0.25">
      <c r="A624" t="s">
        <v>420</v>
      </c>
      <c r="B624" t="s">
        <v>2505</v>
      </c>
      <c r="C624" t="s">
        <v>2511</v>
      </c>
      <c r="D624">
        <v>2018</v>
      </c>
      <c r="E624">
        <v>4</v>
      </c>
    </row>
    <row r="625" spans="1:5" x14ac:dyDescent="0.25">
      <c r="A625" t="s">
        <v>420</v>
      </c>
      <c r="B625" t="s">
        <v>2505</v>
      </c>
      <c r="C625" t="s">
        <v>2512</v>
      </c>
      <c r="D625">
        <v>2018</v>
      </c>
      <c r="E625">
        <v>3</v>
      </c>
    </row>
    <row r="626" spans="1:5" x14ac:dyDescent="0.25">
      <c r="A626" t="s">
        <v>420</v>
      </c>
      <c r="B626" t="s">
        <v>2505</v>
      </c>
      <c r="C626" t="s">
        <v>459</v>
      </c>
      <c r="D626">
        <v>2018</v>
      </c>
      <c r="E626">
        <v>39</v>
      </c>
    </row>
    <row r="627" spans="1:5" x14ac:dyDescent="0.25">
      <c r="A627" t="s">
        <v>420</v>
      </c>
      <c r="B627" t="s">
        <v>2505</v>
      </c>
      <c r="C627" t="s">
        <v>2513</v>
      </c>
      <c r="D627">
        <v>2017</v>
      </c>
      <c r="E627">
        <v>4</v>
      </c>
    </row>
    <row r="628" spans="1:5" x14ac:dyDescent="0.25">
      <c r="A628" t="s">
        <v>420</v>
      </c>
      <c r="B628" t="s">
        <v>2505</v>
      </c>
      <c r="C628" t="s">
        <v>2390</v>
      </c>
      <c r="D628">
        <v>2017</v>
      </c>
      <c r="E628">
        <v>8</v>
      </c>
    </row>
    <row r="629" spans="1:5" x14ac:dyDescent="0.25">
      <c r="A629" t="s">
        <v>420</v>
      </c>
      <c r="B629" t="s">
        <v>2505</v>
      </c>
      <c r="C629" t="s">
        <v>2466</v>
      </c>
      <c r="D629">
        <v>2017</v>
      </c>
      <c r="E629">
        <v>66</v>
      </c>
    </row>
    <row r="630" spans="1:5" x14ac:dyDescent="0.25">
      <c r="A630" t="s">
        <v>420</v>
      </c>
      <c r="B630" t="s">
        <v>2505</v>
      </c>
      <c r="C630" t="s">
        <v>2475</v>
      </c>
      <c r="D630">
        <v>2017</v>
      </c>
      <c r="E630">
        <v>9</v>
      </c>
    </row>
    <row r="631" spans="1:5" x14ac:dyDescent="0.25">
      <c r="A631" t="s">
        <v>420</v>
      </c>
      <c r="B631" t="s">
        <v>2505</v>
      </c>
      <c r="C631" t="s">
        <v>2477</v>
      </c>
      <c r="D631">
        <v>2017</v>
      </c>
      <c r="E631">
        <v>8</v>
      </c>
    </row>
    <row r="632" spans="1:5" x14ac:dyDescent="0.25">
      <c r="A632" t="s">
        <v>420</v>
      </c>
      <c r="B632" t="s">
        <v>2505</v>
      </c>
      <c r="C632" t="s">
        <v>2507</v>
      </c>
      <c r="D632">
        <v>2017</v>
      </c>
      <c r="E632">
        <v>5</v>
      </c>
    </row>
    <row r="633" spans="1:5" x14ac:dyDescent="0.25">
      <c r="A633" t="s">
        <v>420</v>
      </c>
      <c r="B633" t="s">
        <v>2505</v>
      </c>
      <c r="C633" t="s">
        <v>2508</v>
      </c>
      <c r="D633">
        <v>2017</v>
      </c>
      <c r="E633">
        <v>1</v>
      </c>
    </row>
    <row r="634" spans="1:5" x14ac:dyDescent="0.25">
      <c r="A634" t="s">
        <v>420</v>
      </c>
      <c r="B634" t="s">
        <v>2505</v>
      </c>
      <c r="C634" t="s">
        <v>1689</v>
      </c>
      <c r="D634">
        <v>2017</v>
      </c>
      <c r="E634">
        <v>9</v>
      </c>
    </row>
    <row r="635" spans="1:5" x14ac:dyDescent="0.25">
      <c r="A635" t="s">
        <v>420</v>
      </c>
      <c r="B635" t="s">
        <v>2505</v>
      </c>
      <c r="C635" t="s">
        <v>2482</v>
      </c>
      <c r="D635">
        <v>2017</v>
      </c>
      <c r="E635">
        <v>6</v>
      </c>
    </row>
    <row r="636" spans="1:5" x14ac:dyDescent="0.25">
      <c r="A636" t="s">
        <v>420</v>
      </c>
      <c r="B636" t="s">
        <v>2505</v>
      </c>
      <c r="C636" t="s">
        <v>1597</v>
      </c>
      <c r="D636">
        <v>2017</v>
      </c>
      <c r="E636">
        <v>8</v>
      </c>
    </row>
    <row r="637" spans="1:5" x14ac:dyDescent="0.25">
      <c r="A637" t="s">
        <v>420</v>
      </c>
      <c r="B637" t="s">
        <v>2505</v>
      </c>
      <c r="C637" t="s">
        <v>1516</v>
      </c>
      <c r="D637">
        <v>2017</v>
      </c>
      <c r="E637">
        <v>16</v>
      </c>
    </row>
    <row r="638" spans="1:5" x14ac:dyDescent="0.25">
      <c r="A638" t="s">
        <v>420</v>
      </c>
      <c r="B638" t="s">
        <v>2505</v>
      </c>
      <c r="C638" t="s">
        <v>1507</v>
      </c>
      <c r="D638">
        <v>2017</v>
      </c>
      <c r="E638">
        <v>25</v>
      </c>
    </row>
    <row r="639" spans="1:5" x14ac:dyDescent="0.25">
      <c r="A639" t="s">
        <v>420</v>
      </c>
      <c r="B639" t="s">
        <v>2505</v>
      </c>
      <c r="C639" t="s">
        <v>1463</v>
      </c>
      <c r="D639">
        <v>2017</v>
      </c>
      <c r="E639">
        <v>54</v>
      </c>
    </row>
    <row r="640" spans="1:5" x14ac:dyDescent="0.25">
      <c r="A640" t="s">
        <v>420</v>
      </c>
      <c r="B640" t="s">
        <v>2505</v>
      </c>
      <c r="C640" t="s">
        <v>1455</v>
      </c>
      <c r="D640">
        <v>2017</v>
      </c>
      <c r="E640">
        <v>19</v>
      </c>
    </row>
    <row r="641" spans="1:5" x14ac:dyDescent="0.25">
      <c r="A641" t="s">
        <v>420</v>
      </c>
      <c r="B641" t="s">
        <v>2505</v>
      </c>
      <c r="C641" t="s">
        <v>1434</v>
      </c>
      <c r="D641">
        <v>2017</v>
      </c>
      <c r="E641">
        <v>9</v>
      </c>
    </row>
    <row r="642" spans="1:5" x14ac:dyDescent="0.25">
      <c r="A642" t="s">
        <v>420</v>
      </c>
      <c r="B642" t="s">
        <v>2505</v>
      </c>
      <c r="C642" t="s">
        <v>2509</v>
      </c>
      <c r="D642">
        <v>2017</v>
      </c>
      <c r="E642">
        <v>1</v>
      </c>
    </row>
    <row r="643" spans="1:5" x14ac:dyDescent="0.25">
      <c r="A643" t="s">
        <v>420</v>
      </c>
      <c r="B643" t="s">
        <v>2505</v>
      </c>
      <c r="C643" t="s">
        <v>2510</v>
      </c>
      <c r="D643">
        <v>2017</v>
      </c>
      <c r="E643">
        <v>44</v>
      </c>
    </row>
    <row r="644" spans="1:5" x14ac:dyDescent="0.25">
      <c r="A644" t="s">
        <v>420</v>
      </c>
      <c r="B644" t="s">
        <v>2505</v>
      </c>
      <c r="C644" t="s">
        <v>1158</v>
      </c>
      <c r="D644">
        <v>2017</v>
      </c>
      <c r="E644">
        <v>20</v>
      </c>
    </row>
    <row r="645" spans="1:5" x14ac:dyDescent="0.25">
      <c r="A645" t="s">
        <v>420</v>
      </c>
      <c r="B645" t="s">
        <v>2505</v>
      </c>
      <c r="C645" t="s">
        <v>1135</v>
      </c>
      <c r="D645">
        <v>2017</v>
      </c>
      <c r="E645">
        <v>17</v>
      </c>
    </row>
    <row r="646" spans="1:5" x14ac:dyDescent="0.25">
      <c r="A646" t="s">
        <v>420</v>
      </c>
      <c r="B646" t="s">
        <v>2505</v>
      </c>
      <c r="C646" t="s">
        <v>765</v>
      </c>
      <c r="D646">
        <v>2017</v>
      </c>
      <c r="E646">
        <v>4</v>
      </c>
    </row>
    <row r="647" spans="1:5" x14ac:dyDescent="0.25">
      <c r="A647" t="s">
        <v>420</v>
      </c>
      <c r="B647" t="s">
        <v>2505</v>
      </c>
      <c r="C647" t="s">
        <v>2511</v>
      </c>
      <c r="D647">
        <v>2017</v>
      </c>
      <c r="E647">
        <v>3</v>
      </c>
    </row>
    <row r="648" spans="1:5" x14ac:dyDescent="0.25">
      <c r="A648" t="s">
        <v>420</v>
      </c>
      <c r="B648" t="s">
        <v>2505</v>
      </c>
      <c r="C648" t="s">
        <v>2512</v>
      </c>
      <c r="D648">
        <v>2017</v>
      </c>
      <c r="E648">
        <v>3</v>
      </c>
    </row>
    <row r="649" spans="1:5" x14ac:dyDescent="0.25">
      <c r="A649" t="s">
        <v>420</v>
      </c>
      <c r="B649" t="s">
        <v>2505</v>
      </c>
      <c r="C649" t="s">
        <v>459</v>
      </c>
      <c r="D649">
        <v>2017</v>
      </c>
      <c r="E649">
        <v>41</v>
      </c>
    </row>
    <row r="650" spans="1:5" x14ac:dyDescent="0.25">
      <c r="A650" t="s">
        <v>420</v>
      </c>
      <c r="B650" t="s">
        <v>2505</v>
      </c>
      <c r="C650" t="s">
        <v>2513</v>
      </c>
      <c r="D650">
        <v>2016</v>
      </c>
      <c r="E650">
        <v>3</v>
      </c>
    </row>
    <row r="651" spans="1:5" x14ac:dyDescent="0.25">
      <c r="A651" t="s">
        <v>420</v>
      </c>
      <c r="B651" t="s">
        <v>2505</v>
      </c>
      <c r="C651" t="s">
        <v>2390</v>
      </c>
      <c r="D651">
        <v>2016</v>
      </c>
      <c r="E651">
        <v>8</v>
      </c>
    </row>
    <row r="652" spans="1:5" x14ac:dyDescent="0.25">
      <c r="A652" t="s">
        <v>420</v>
      </c>
      <c r="B652" t="s">
        <v>2505</v>
      </c>
      <c r="C652" t="s">
        <v>2466</v>
      </c>
      <c r="D652">
        <v>2016</v>
      </c>
      <c r="E652">
        <v>51</v>
      </c>
    </row>
    <row r="653" spans="1:5" x14ac:dyDescent="0.25">
      <c r="A653" t="s">
        <v>420</v>
      </c>
      <c r="B653" t="s">
        <v>2505</v>
      </c>
      <c r="C653" t="s">
        <v>2475</v>
      </c>
      <c r="D653">
        <v>2016</v>
      </c>
      <c r="E653">
        <v>12</v>
      </c>
    </row>
    <row r="654" spans="1:5" x14ac:dyDescent="0.25">
      <c r="A654" t="s">
        <v>420</v>
      </c>
      <c r="B654" t="s">
        <v>2505</v>
      </c>
      <c r="C654" t="s">
        <v>2477</v>
      </c>
      <c r="D654">
        <v>2016</v>
      </c>
      <c r="E654">
        <v>8</v>
      </c>
    </row>
    <row r="655" spans="1:5" x14ac:dyDescent="0.25">
      <c r="A655" t="s">
        <v>420</v>
      </c>
      <c r="B655" t="s">
        <v>2505</v>
      </c>
      <c r="C655" t="s">
        <v>2507</v>
      </c>
      <c r="D655">
        <v>2016</v>
      </c>
      <c r="E655">
        <v>5</v>
      </c>
    </row>
    <row r="656" spans="1:5" x14ac:dyDescent="0.25">
      <c r="A656" t="s">
        <v>420</v>
      </c>
      <c r="B656" t="s">
        <v>2505</v>
      </c>
      <c r="C656" t="s">
        <v>2514</v>
      </c>
      <c r="D656">
        <v>2016</v>
      </c>
      <c r="E656">
        <v>1</v>
      </c>
    </row>
    <row r="657" spans="1:5" x14ac:dyDescent="0.25">
      <c r="A657" t="s">
        <v>420</v>
      </c>
      <c r="B657" t="s">
        <v>2505</v>
      </c>
      <c r="C657" t="s">
        <v>1689</v>
      </c>
      <c r="D657">
        <v>2016</v>
      </c>
      <c r="E657">
        <v>10</v>
      </c>
    </row>
    <row r="658" spans="1:5" x14ac:dyDescent="0.25">
      <c r="A658" t="s">
        <v>420</v>
      </c>
      <c r="B658" t="s">
        <v>2505</v>
      </c>
      <c r="C658" t="s">
        <v>2482</v>
      </c>
      <c r="D658">
        <v>2016</v>
      </c>
      <c r="E658">
        <v>9</v>
      </c>
    </row>
    <row r="659" spans="1:5" x14ac:dyDescent="0.25">
      <c r="A659" t="s">
        <v>420</v>
      </c>
      <c r="B659" t="s">
        <v>2505</v>
      </c>
      <c r="C659" t="s">
        <v>1597</v>
      </c>
      <c r="D659">
        <v>2016</v>
      </c>
      <c r="E659">
        <v>7</v>
      </c>
    </row>
    <row r="660" spans="1:5" x14ac:dyDescent="0.25">
      <c r="A660" t="s">
        <v>420</v>
      </c>
      <c r="B660" t="s">
        <v>2505</v>
      </c>
      <c r="C660" t="s">
        <v>1516</v>
      </c>
      <c r="D660">
        <v>2016</v>
      </c>
      <c r="E660">
        <v>12</v>
      </c>
    </row>
    <row r="661" spans="1:5" x14ac:dyDescent="0.25">
      <c r="A661" t="s">
        <v>420</v>
      </c>
      <c r="B661" t="s">
        <v>2505</v>
      </c>
      <c r="C661" t="s">
        <v>2498</v>
      </c>
      <c r="D661">
        <v>2016</v>
      </c>
      <c r="E661">
        <v>1</v>
      </c>
    </row>
    <row r="662" spans="1:5" x14ac:dyDescent="0.25">
      <c r="A662" t="s">
        <v>420</v>
      </c>
      <c r="B662" t="s">
        <v>2505</v>
      </c>
      <c r="C662" t="s">
        <v>1507</v>
      </c>
      <c r="D662">
        <v>2016</v>
      </c>
      <c r="E662">
        <v>21</v>
      </c>
    </row>
    <row r="663" spans="1:5" x14ac:dyDescent="0.25">
      <c r="A663" t="s">
        <v>420</v>
      </c>
      <c r="B663" t="s">
        <v>2505</v>
      </c>
      <c r="C663" t="s">
        <v>1463</v>
      </c>
      <c r="D663">
        <v>2016</v>
      </c>
      <c r="E663">
        <v>52</v>
      </c>
    </row>
    <row r="664" spans="1:5" x14ac:dyDescent="0.25">
      <c r="A664" t="s">
        <v>420</v>
      </c>
      <c r="B664" t="s">
        <v>2505</v>
      </c>
      <c r="C664" t="s">
        <v>1455</v>
      </c>
      <c r="D664">
        <v>2016</v>
      </c>
      <c r="E664">
        <v>20</v>
      </c>
    </row>
    <row r="665" spans="1:5" x14ac:dyDescent="0.25">
      <c r="A665" t="s">
        <v>420</v>
      </c>
      <c r="B665" t="s">
        <v>2505</v>
      </c>
      <c r="C665" t="s">
        <v>1434</v>
      </c>
      <c r="D665">
        <v>2016</v>
      </c>
      <c r="E665">
        <v>6</v>
      </c>
    </row>
    <row r="666" spans="1:5" x14ac:dyDescent="0.25">
      <c r="A666" t="s">
        <v>420</v>
      </c>
      <c r="B666" t="s">
        <v>2505</v>
      </c>
      <c r="C666" t="s">
        <v>2510</v>
      </c>
      <c r="D666">
        <v>2016</v>
      </c>
      <c r="E666">
        <v>38</v>
      </c>
    </row>
    <row r="667" spans="1:5" x14ac:dyDescent="0.25">
      <c r="A667" t="s">
        <v>420</v>
      </c>
      <c r="B667" t="s">
        <v>2505</v>
      </c>
      <c r="C667" t="s">
        <v>1158</v>
      </c>
      <c r="D667">
        <v>2016</v>
      </c>
      <c r="E667">
        <v>14</v>
      </c>
    </row>
    <row r="668" spans="1:5" x14ac:dyDescent="0.25">
      <c r="A668" t="s">
        <v>420</v>
      </c>
      <c r="B668" t="s">
        <v>2505</v>
      </c>
      <c r="C668" t="s">
        <v>1135</v>
      </c>
      <c r="D668">
        <v>2016</v>
      </c>
      <c r="E668">
        <v>12</v>
      </c>
    </row>
    <row r="669" spans="1:5" x14ac:dyDescent="0.25">
      <c r="A669" t="s">
        <v>420</v>
      </c>
      <c r="B669" t="s">
        <v>2505</v>
      </c>
      <c r="C669" t="s">
        <v>765</v>
      </c>
      <c r="D669">
        <v>2016</v>
      </c>
      <c r="E669">
        <v>3</v>
      </c>
    </row>
    <row r="670" spans="1:5" x14ac:dyDescent="0.25">
      <c r="A670" t="s">
        <v>420</v>
      </c>
      <c r="B670" t="s">
        <v>2505</v>
      </c>
      <c r="C670" t="s">
        <v>2511</v>
      </c>
      <c r="D670">
        <v>2016</v>
      </c>
      <c r="E670">
        <v>2</v>
      </c>
    </row>
    <row r="671" spans="1:5" x14ac:dyDescent="0.25">
      <c r="A671" t="s">
        <v>420</v>
      </c>
      <c r="B671" t="s">
        <v>2505</v>
      </c>
      <c r="C671" t="s">
        <v>2512</v>
      </c>
      <c r="D671">
        <v>2016</v>
      </c>
      <c r="E671">
        <v>2</v>
      </c>
    </row>
    <row r="672" spans="1:5" x14ac:dyDescent="0.25">
      <c r="A672" t="s">
        <v>420</v>
      </c>
      <c r="B672" t="s">
        <v>2505</v>
      </c>
      <c r="C672" t="s">
        <v>459</v>
      </c>
      <c r="D672">
        <v>2016</v>
      </c>
      <c r="E672">
        <v>41</v>
      </c>
    </row>
    <row r="673" spans="1:5" x14ac:dyDescent="0.25">
      <c r="A673" t="s">
        <v>420</v>
      </c>
      <c r="B673" t="s">
        <v>2505</v>
      </c>
      <c r="C673" t="s">
        <v>2513</v>
      </c>
      <c r="D673">
        <v>2015</v>
      </c>
      <c r="E673">
        <v>5</v>
      </c>
    </row>
    <row r="674" spans="1:5" x14ac:dyDescent="0.25">
      <c r="A674" t="s">
        <v>420</v>
      </c>
      <c r="B674" t="s">
        <v>2505</v>
      </c>
      <c r="C674" t="s">
        <v>2515</v>
      </c>
      <c r="D674">
        <v>2015</v>
      </c>
      <c r="E674">
        <v>10</v>
      </c>
    </row>
    <row r="675" spans="1:5" x14ac:dyDescent="0.25">
      <c r="A675" t="s">
        <v>420</v>
      </c>
      <c r="B675" t="s">
        <v>2505</v>
      </c>
      <c r="C675" t="s">
        <v>2390</v>
      </c>
      <c r="D675">
        <v>2015</v>
      </c>
      <c r="E675">
        <v>10</v>
      </c>
    </row>
    <row r="676" spans="1:5" x14ac:dyDescent="0.25">
      <c r="A676" t="s">
        <v>420</v>
      </c>
      <c r="B676" t="s">
        <v>2505</v>
      </c>
      <c r="C676" t="s">
        <v>2466</v>
      </c>
      <c r="D676">
        <v>2015</v>
      </c>
      <c r="E676">
        <v>44</v>
      </c>
    </row>
    <row r="677" spans="1:5" x14ac:dyDescent="0.25">
      <c r="A677" t="s">
        <v>420</v>
      </c>
      <c r="B677" t="s">
        <v>2505</v>
      </c>
      <c r="C677" t="s">
        <v>2475</v>
      </c>
      <c r="D677">
        <v>2015</v>
      </c>
      <c r="E677">
        <v>8</v>
      </c>
    </row>
    <row r="678" spans="1:5" x14ac:dyDescent="0.25">
      <c r="A678" t="s">
        <v>420</v>
      </c>
      <c r="B678" t="s">
        <v>2505</v>
      </c>
      <c r="C678" t="s">
        <v>2477</v>
      </c>
      <c r="D678">
        <v>2015</v>
      </c>
      <c r="E678">
        <v>6</v>
      </c>
    </row>
    <row r="679" spans="1:5" x14ac:dyDescent="0.25">
      <c r="A679" t="s">
        <v>420</v>
      </c>
      <c r="B679" t="s">
        <v>2505</v>
      </c>
      <c r="C679" t="s">
        <v>2507</v>
      </c>
      <c r="D679">
        <v>2015</v>
      </c>
      <c r="E679">
        <v>5</v>
      </c>
    </row>
    <row r="680" spans="1:5" x14ac:dyDescent="0.25">
      <c r="A680" t="s">
        <v>420</v>
      </c>
      <c r="B680" t="s">
        <v>2505</v>
      </c>
      <c r="C680" t="s">
        <v>2514</v>
      </c>
      <c r="D680">
        <v>2015</v>
      </c>
      <c r="E680">
        <v>1</v>
      </c>
    </row>
    <row r="681" spans="1:5" x14ac:dyDescent="0.25">
      <c r="A681" t="s">
        <v>420</v>
      </c>
      <c r="B681" t="s">
        <v>2505</v>
      </c>
      <c r="C681" t="s">
        <v>1689</v>
      </c>
      <c r="D681">
        <v>2015</v>
      </c>
      <c r="E681">
        <v>12</v>
      </c>
    </row>
    <row r="682" spans="1:5" x14ac:dyDescent="0.25">
      <c r="A682" t="s">
        <v>420</v>
      </c>
      <c r="B682" t="s">
        <v>2505</v>
      </c>
      <c r="C682" t="s">
        <v>2482</v>
      </c>
      <c r="D682">
        <v>2015</v>
      </c>
      <c r="E682">
        <v>10</v>
      </c>
    </row>
    <row r="683" spans="1:5" x14ac:dyDescent="0.25">
      <c r="A683" t="s">
        <v>420</v>
      </c>
      <c r="B683" t="s">
        <v>2505</v>
      </c>
      <c r="C683" t="s">
        <v>1597</v>
      </c>
      <c r="D683">
        <v>2015</v>
      </c>
      <c r="E683">
        <v>8</v>
      </c>
    </row>
    <row r="684" spans="1:5" x14ac:dyDescent="0.25">
      <c r="A684" t="s">
        <v>420</v>
      </c>
      <c r="B684" t="s">
        <v>2505</v>
      </c>
      <c r="C684" t="s">
        <v>1516</v>
      </c>
      <c r="D684">
        <v>2015</v>
      </c>
      <c r="E684">
        <v>8</v>
      </c>
    </row>
    <row r="685" spans="1:5" x14ac:dyDescent="0.25">
      <c r="A685" t="s">
        <v>420</v>
      </c>
      <c r="B685" t="s">
        <v>2505</v>
      </c>
      <c r="C685" t="s">
        <v>2498</v>
      </c>
      <c r="D685">
        <v>2015</v>
      </c>
      <c r="E685">
        <v>4</v>
      </c>
    </row>
    <row r="686" spans="1:5" x14ac:dyDescent="0.25">
      <c r="A686" t="s">
        <v>420</v>
      </c>
      <c r="B686" t="s">
        <v>2505</v>
      </c>
      <c r="C686" t="s">
        <v>1507</v>
      </c>
      <c r="D686">
        <v>2015</v>
      </c>
      <c r="E686">
        <v>16</v>
      </c>
    </row>
    <row r="687" spans="1:5" x14ac:dyDescent="0.25">
      <c r="A687" t="s">
        <v>420</v>
      </c>
      <c r="B687" t="s">
        <v>2505</v>
      </c>
      <c r="C687" t="s">
        <v>1463</v>
      </c>
      <c r="D687">
        <v>2015</v>
      </c>
      <c r="E687">
        <v>52</v>
      </c>
    </row>
    <row r="688" spans="1:5" x14ac:dyDescent="0.25">
      <c r="A688" t="s">
        <v>420</v>
      </c>
      <c r="B688" t="s">
        <v>2505</v>
      </c>
      <c r="C688" t="s">
        <v>1455</v>
      </c>
      <c r="D688">
        <v>2015</v>
      </c>
      <c r="E688">
        <v>19</v>
      </c>
    </row>
    <row r="689" spans="1:5" x14ac:dyDescent="0.25">
      <c r="A689" t="s">
        <v>420</v>
      </c>
      <c r="B689" t="s">
        <v>2505</v>
      </c>
      <c r="C689" t="s">
        <v>1434</v>
      </c>
      <c r="D689">
        <v>2015</v>
      </c>
      <c r="E689">
        <v>7</v>
      </c>
    </row>
    <row r="690" spans="1:5" x14ac:dyDescent="0.25">
      <c r="A690" t="s">
        <v>420</v>
      </c>
      <c r="B690" t="s">
        <v>2505</v>
      </c>
      <c r="C690" t="s">
        <v>2510</v>
      </c>
      <c r="D690">
        <v>2015</v>
      </c>
      <c r="E690">
        <v>44</v>
      </c>
    </row>
    <row r="691" spans="1:5" x14ac:dyDescent="0.25">
      <c r="A691" t="s">
        <v>420</v>
      </c>
      <c r="B691" t="s">
        <v>2505</v>
      </c>
      <c r="C691" t="s">
        <v>1158</v>
      </c>
      <c r="D691">
        <v>2015</v>
      </c>
      <c r="E691">
        <v>13</v>
      </c>
    </row>
    <row r="692" spans="1:5" x14ac:dyDescent="0.25">
      <c r="A692" t="s">
        <v>420</v>
      </c>
      <c r="B692" t="s">
        <v>2505</v>
      </c>
      <c r="C692" t="s">
        <v>1135</v>
      </c>
      <c r="D692">
        <v>2015</v>
      </c>
      <c r="E692">
        <v>14</v>
      </c>
    </row>
    <row r="693" spans="1:5" x14ac:dyDescent="0.25">
      <c r="A693" t="s">
        <v>420</v>
      </c>
      <c r="B693" t="s">
        <v>2505</v>
      </c>
      <c r="C693" t="s">
        <v>765</v>
      </c>
      <c r="D693">
        <v>2015</v>
      </c>
      <c r="E693">
        <v>1</v>
      </c>
    </row>
    <row r="694" spans="1:5" x14ac:dyDescent="0.25">
      <c r="A694" t="s">
        <v>420</v>
      </c>
      <c r="B694" t="s">
        <v>2505</v>
      </c>
      <c r="C694" t="s">
        <v>2511</v>
      </c>
      <c r="D694">
        <v>2015</v>
      </c>
      <c r="E694">
        <v>2</v>
      </c>
    </row>
    <row r="695" spans="1:5" x14ac:dyDescent="0.25">
      <c r="A695" t="s">
        <v>420</v>
      </c>
      <c r="B695" t="s">
        <v>2505</v>
      </c>
      <c r="C695" t="s">
        <v>2512</v>
      </c>
      <c r="D695">
        <v>2015</v>
      </c>
      <c r="E695">
        <v>1</v>
      </c>
    </row>
    <row r="696" spans="1:5" x14ac:dyDescent="0.25">
      <c r="A696" t="s">
        <v>420</v>
      </c>
      <c r="B696" t="s">
        <v>2505</v>
      </c>
      <c r="C696" t="s">
        <v>2493</v>
      </c>
      <c r="D696">
        <v>2015</v>
      </c>
      <c r="E696">
        <v>1</v>
      </c>
    </row>
    <row r="697" spans="1:5" x14ac:dyDescent="0.25">
      <c r="A697" t="s">
        <v>420</v>
      </c>
      <c r="B697" t="s">
        <v>2505</v>
      </c>
      <c r="C697" t="s">
        <v>459</v>
      </c>
      <c r="D697">
        <v>2015</v>
      </c>
      <c r="E697">
        <v>43</v>
      </c>
    </row>
    <row r="698" spans="1:5" x14ac:dyDescent="0.25">
      <c r="A698" t="s">
        <v>420</v>
      </c>
      <c r="B698" t="s">
        <v>2505</v>
      </c>
      <c r="C698" t="s">
        <v>2513</v>
      </c>
      <c r="D698">
        <v>2014</v>
      </c>
      <c r="E698">
        <v>3</v>
      </c>
    </row>
    <row r="699" spans="1:5" x14ac:dyDescent="0.25">
      <c r="A699" t="s">
        <v>420</v>
      </c>
      <c r="B699" t="s">
        <v>2505</v>
      </c>
      <c r="C699" t="s">
        <v>2515</v>
      </c>
      <c r="D699">
        <v>2014</v>
      </c>
      <c r="E699">
        <v>8</v>
      </c>
    </row>
    <row r="700" spans="1:5" x14ac:dyDescent="0.25">
      <c r="A700" t="s">
        <v>420</v>
      </c>
      <c r="B700" t="s">
        <v>2505</v>
      </c>
      <c r="C700" t="s">
        <v>2390</v>
      </c>
      <c r="D700">
        <v>2014</v>
      </c>
      <c r="E700">
        <v>11</v>
      </c>
    </row>
    <row r="701" spans="1:5" x14ac:dyDescent="0.25">
      <c r="A701" t="s">
        <v>420</v>
      </c>
      <c r="B701" t="s">
        <v>2505</v>
      </c>
      <c r="C701" t="s">
        <v>2466</v>
      </c>
      <c r="D701">
        <v>2014</v>
      </c>
      <c r="E701">
        <v>55</v>
      </c>
    </row>
    <row r="702" spans="1:5" x14ac:dyDescent="0.25">
      <c r="A702" t="s">
        <v>420</v>
      </c>
      <c r="B702" t="s">
        <v>2505</v>
      </c>
      <c r="C702" t="s">
        <v>2475</v>
      </c>
      <c r="D702">
        <v>2014</v>
      </c>
      <c r="E702">
        <v>5</v>
      </c>
    </row>
    <row r="703" spans="1:5" x14ac:dyDescent="0.25">
      <c r="A703" t="s">
        <v>420</v>
      </c>
      <c r="B703" t="s">
        <v>2505</v>
      </c>
      <c r="C703" t="s">
        <v>2477</v>
      </c>
      <c r="D703">
        <v>2014</v>
      </c>
      <c r="E703">
        <v>6</v>
      </c>
    </row>
    <row r="704" spans="1:5" x14ac:dyDescent="0.25">
      <c r="A704" t="s">
        <v>420</v>
      </c>
      <c r="B704" t="s">
        <v>2505</v>
      </c>
      <c r="C704" t="s">
        <v>2507</v>
      </c>
      <c r="D704">
        <v>2014</v>
      </c>
      <c r="E704">
        <v>3</v>
      </c>
    </row>
    <row r="705" spans="1:5" x14ac:dyDescent="0.25">
      <c r="A705" t="s">
        <v>420</v>
      </c>
      <c r="B705" t="s">
        <v>2505</v>
      </c>
      <c r="C705" t="s">
        <v>2514</v>
      </c>
      <c r="D705">
        <v>2014</v>
      </c>
      <c r="E705">
        <v>2</v>
      </c>
    </row>
    <row r="706" spans="1:5" x14ac:dyDescent="0.25">
      <c r="A706" t="s">
        <v>420</v>
      </c>
      <c r="B706" t="s">
        <v>2505</v>
      </c>
      <c r="C706" t="s">
        <v>1689</v>
      </c>
      <c r="D706">
        <v>2014</v>
      </c>
      <c r="E706">
        <v>11</v>
      </c>
    </row>
    <row r="707" spans="1:5" x14ac:dyDescent="0.25">
      <c r="A707" t="s">
        <v>420</v>
      </c>
      <c r="B707" t="s">
        <v>2505</v>
      </c>
      <c r="C707" t="s">
        <v>2482</v>
      </c>
      <c r="D707">
        <v>2014</v>
      </c>
      <c r="E707">
        <v>5</v>
      </c>
    </row>
    <row r="708" spans="1:5" x14ac:dyDescent="0.25">
      <c r="A708" t="s">
        <v>420</v>
      </c>
      <c r="B708" t="s">
        <v>2505</v>
      </c>
      <c r="C708" t="s">
        <v>1597</v>
      </c>
      <c r="D708">
        <v>2014</v>
      </c>
      <c r="E708">
        <v>12</v>
      </c>
    </row>
    <row r="709" spans="1:5" x14ac:dyDescent="0.25">
      <c r="A709" t="s">
        <v>420</v>
      </c>
      <c r="B709" t="s">
        <v>2505</v>
      </c>
      <c r="C709" t="s">
        <v>2516</v>
      </c>
      <c r="D709">
        <v>2014</v>
      </c>
      <c r="E709">
        <v>8</v>
      </c>
    </row>
    <row r="710" spans="1:5" x14ac:dyDescent="0.25">
      <c r="A710" t="s">
        <v>420</v>
      </c>
      <c r="B710" t="s">
        <v>2505</v>
      </c>
      <c r="C710" t="s">
        <v>1516</v>
      </c>
      <c r="D710">
        <v>2014</v>
      </c>
      <c r="E710">
        <v>5</v>
      </c>
    </row>
    <row r="711" spans="1:5" x14ac:dyDescent="0.25">
      <c r="A711" t="s">
        <v>420</v>
      </c>
      <c r="B711" t="s">
        <v>2505</v>
      </c>
      <c r="C711" t="s">
        <v>2498</v>
      </c>
      <c r="D711">
        <v>2014</v>
      </c>
      <c r="E711">
        <v>6</v>
      </c>
    </row>
    <row r="712" spans="1:5" x14ac:dyDescent="0.25">
      <c r="A712" t="s">
        <v>420</v>
      </c>
      <c r="B712" t="s">
        <v>2505</v>
      </c>
      <c r="C712" t="s">
        <v>1507</v>
      </c>
      <c r="D712">
        <v>2014</v>
      </c>
      <c r="E712">
        <v>13</v>
      </c>
    </row>
    <row r="713" spans="1:5" x14ac:dyDescent="0.25">
      <c r="A713" t="s">
        <v>420</v>
      </c>
      <c r="B713" t="s">
        <v>2505</v>
      </c>
      <c r="C713" t="s">
        <v>1463</v>
      </c>
      <c r="D713">
        <v>2014</v>
      </c>
      <c r="E713">
        <v>52</v>
      </c>
    </row>
    <row r="714" spans="1:5" x14ac:dyDescent="0.25">
      <c r="A714" t="s">
        <v>420</v>
      </c>
      <c r="B714" t="s">
        <v>2505</v>
      </c>
      <c r="C714" t="s">
        <v>1455</v>
      </c>
      <c r="D714">
        <v>2014</v>
      </c>
      <c r="E714">
        <v>21</v>
      </c>
    </row>
    <row r="715" spans="1:5" x14ac:dyDescent="0.25">
      <c r="A715" t="s">
        <v>420</v>
      </c>
      <c r="B715" t="s">
        <v>2505</v>
      </c>
      <c r="C715" t="s">
        <v>1434</v>
      </c>
      <c r="D715">
        <v>2014</v>
      </c>
      <c r="E715">
        <v>11</v>
      </c>
    </row>
    <row r="716" spans="1:5" x14ac:dyDescent="0.25">
      <c r="A716" t="s">
        <v>420</v>
      </c>
      <c r="B716" t="s">
        <v>2505</v>
      </c>
      <c r="C716" t="s">
        <v>2510</v>
      </c>
      <c r="D716">
        <v>2014</v>
      </c>
      <c r="E716">
        <v>48</v>
      </c>
    </row>
    <row r="717" spans="1:5" x14ac:dyDescent="0.25">
      <c r="A717" t="s">
        <v>420</v>
      </c>
      <c r="B717" t="s">
        <v>2505</v>
      </c>
      <c r="C717" t="s">
        <v>1158</v>
      </c>
      <c r="D717">
        <v>2014</v>
      </c>
      <c r="E717">
        <v>17</v>
      </c>
    </row>
    <row r="718" spans="1:5" x14ac:dyDescent="0.25">
      <c r="A718" t="s">
        <v>420</v>
      </c>
      <c r="B718" t="s">
        <v>2505</v>
      </c>
      <c r="C718" t="s">
        <v>1135</v>
      </c>
      <c r="D718">
        <v>2014</v>
      </c>
      <c r="E718">
        <v>13</v>
      </c>
    </row>
    <row r="719" spans="1:5" x14ac:dyDescent="0.25">
      <c r="A719" t="s">
        <v>420</v>
      </c>
      <c r="B719" t="s">
        <v>2505</v>
      </c>
      <c r="C719" t="s">
        <v>2512</v>
      </c>
      <c r="D719">
        <v>2014</v>
      </c>
      <c r="E719">
        <v>1</v>
      </c>
    </row>
    <row r="720" spans="1:5" x14ac:dyDescent="0.25">
      <c r="A720" t="s">
        <v>420</v>
      </c>
      <c r="B720" t="s">
        <v>2505</v>
      </c>
      <c r="C720" t="s">
        <v>2493</v>
      </c>
      <c r="D720">
        <v>2014</v>
      </c>
      <c r="E720">
        <v>1</v>
      </c>
    </row>
    <row r="721" spans="1:5" x14ac:dyDescent="0.25">
      <c r="A721" t="s">
        <v>420</v>
      </c>
      <c r="B721" t="s">
        <v>2505</v>
      </c>
      <c r="C721" t="s">
        <v>459</v>
      </c>
      <c r="D721">
        <v>2014</v>
      </c>
      <c r="E721">
        <v>50</v>
      </c>
    </row>
    <row r="722" spans="1:5" x14ac:dyDescent="0.25">
      <c r="A722" t="s">
        <v>420</v>
      </c>
      <c r="B722" t="s">
        <v>2505</v>
      </c>
      <c r="C722" t="s">
        <v>2513</v>
      </c>
      <c r="D722">
        <v>2013</v>
      </c>
      <c r="E722">
        <v>1</v>
      </c>
    </row>
    <row r="723" spans="1:5" x14ac:dyDescent="0.25">
      <c r="A723" t="s">
        <v>420</v>
      </c>
      <c r="B723" t="s">
        <v>2505</v>
      </c>
      <c r="C723" t="s">
        <v>2515</v>
      </c>
      <c r="D723">
        <v>2013</v>
      </c>
      <c r="E723">
        <v>7</v>
      </c>
    </row>
    <row r="724" spans="1:5" x14ac:dyDescent="0.25">
      <c r="A724" t="s">
        <v>420</v>
      </c>
      <c r="B724" t="s">
        <v>2505</v>
      </c>
      <c r="C724" t="s">
        <v>2390</v>
      </c>
      <c r="D724">
        <v>2013</v>
      </c>
      <c r="E724">
        <v>12</v>
      </c>
    </row>
    <row r="725" spans="1:5" x14ac:dyDescent="0.25">
      <c r="A725" t="s">
        <v>420</v>
      </c>
      <c r="B725" t="s">
        <v>2505</v>
      </c>
      <c r="C725" t="s">
        <v>2466</v>
      </c>
      <c r="D725">
        <v>2013</v>
      </c>
      <c r="E725">
        <v>52</v>
      </c>
    </row>
    <row r="726" spans="1:5" x14ac:dyDescent="0.25">
      <c r="A726" t="s">
        <v>420</v>
      </c>
      <c r="B726" t="s">
        <v>2505</v>
      </c>
      <c r="C726" t="s">
        <v>2475</v>
      </c>
      <c r="D726">
        <v>2013</v>
      </c>
      <c r="E726">
        <v>8</v>
      </c>
    </row>
    <row r="727" spans="1:5" x14ac:dyDescent="0.25">
      <c r="A727" t="s">
        <v>420</v>
      </c>
      <c r="B727" t="s">
        <v>2505</v>
      </c>
      <c r="C727" t="s">
        <v>2477</v>
      </c>
      <c r="D727">
        <v>2013</v>
      </c>
      <c r="E727">
        <v>8</v>
      </c>
    </row>
    <row r="728" spans="1:5" x14ac:dyDescent="0.25">
      <c r="A728" t="s">
        <v>420</v>
      </c>
      <c r="B728" t="s">
        <v>2505</v>
      </c>
      <c r="C728" t="s">
        <v>2507</v>
      </c>
      <c r="D728">
        <v>2013</v>
      </c>
      <c r="E728">
        <v>2</v>
      </c>
    </row>
    <row r="729" spans="1:5" x14ac:dyDescent="0.25">
      <c r="A729" t="s">
        <v>420</v>
      </c>
      <c r="B729" t="s">
        <v>2505</v>
      </c>
      <c r="C729" t="s">
        <v>2514</v>
      </c>
      <c r="D729">
        <v>2013</v>
      </c>
      <c r="E729">
        <v>2</v>
      </c>
    </row>
    <row r="730" spans="1:5" x14ac:dyDescent="0.25">
      <c r="A730" t="s">
        <v>420</v>
      </c>
      <c r="B730" t="s">
        <v>2505</v>
      </c>
      <c r="C730" t="s">
        <v>2479</v>
      </c>
      <c r="D730">
        <v>2013</v>
      </c>
      <c r="E730">
        <v>3</v>
      </c>
    </row>
    <row r="731" spans="1:5" x14ac:dyDescent="0.25">
      <c r="A731" t="s">
        <v>420</v>
      </c>
      <c r="B731" t="s">
        <v>2505</v>
      </c>
      <c r="C731" t="s">
        <v>1689</v>
      </c>
      <c r="D731">
        <v>2013</v>
      </c>
      <c r="E731">
        <v>10</v>
      </c>
    </row>
    <row r="732" spans="1:5" x14ac:dyDescent="0.25">
      <c r="A732" t="s">
        <v>420</v>
      </c>
      <c r="B732" t="s">
        <v>2505</v>
      </c>
      <c r="C732" t="s">
        <v>2482</v>
      </c>
      <c r="D732">
        <v>2013</v>
      </c>
      <c r="E732">
        <v>5</v>
      </c>
    </row>
    <row r="733" spans="1:5" x14ac:dyDescent="0.25">
      <c r="A733" t="s">
        <v>420</v>
      </c>
      <c r="B733" t="s">
        <v>2505</v>
      </c>
      <c r="C733" t="s">
        <v>1597</v>
      </c>
      <c r="D733">
        <v>2013</v>
      </c>
      <c r="E733">
        <v>12</v>
      </c>
    </row>
    <row r="734" spans="1:5" x14ac:dyDescent="0.25">
      <c r="A734" t="s">
        <v>420</v>
      </c>
      <c r="B734" t="s">
        <v>2505</v>
      </c>
      <c r="C734" t="s">
        <v>1516</v>
      </c>
      <c r="D734">
        <v>2013</v>
      </c>
      <c r="E734">
        <v>1</v>
      </c>
    </row>
    <row r="735" spans="1:5" x14ac:dyDescent="0.25">
      <c r="A735" t="s">
        <v>420</v>
      </c>
      <c r="B735" t="s">
        <v>2505</v>
      </c>
      <c r="C735" t="s">
        <v>2498</v>
      </c>
      <c r="D735">
        <v>2013</v>
      </c>
      <c r="E735">
        <v>12</v>
      </c>
    </row>
    <row r="736" spans="1:5" x14ac:dyDescent="0.25">
      <c r="A736" t="s">
        <v>420</v>
      </c>
      <c r="B736" t="s">
        <v>2505</v>
      </c>
      <c r="C736" t="s">
        <v>1507</v>
      </c>
      <c r="D736">
        <v>2013</v>
      </c>
      <c r="E736">
        <v>18</v>
      </c>
    </row>
    <row r="737" spans="1:5" x14ac:dyDescent="0.25">
      <c r="A737" t="s">
        <v>420</v>
      </c>
      <c r="B737" t="s">
        <v>2505</v>
      </c>
      <c r="C737" t="s">
        <v>1463</v>
      </c>
      <c r="D737">
        <v>2013</v>
      </c>
      <c r="E737">
        <v>54</v>
      </c>
    </row>
    <row r="738" spans="1:5" x14ac:dyDescent="0.25">
      <c r="A738" t="s">
        <v>420</v>
      </c>
      <c r="B738" t="s">
        <v>2505</v>
      </c>
      <c r="C738" t="s">
        <v>1455</v>
      </c>
      <c r="D738">
        <v>2013</v>
      </c>
      <c r="E738">
        <v>24</v>
      </c>
    </row>
    <row r="739" spans="1:5" x14ac:dyDescent="0.25">
      <c r="A739" t="s">
        <v>420</v>
      </c>
      <c r="B739" t="s">
        <v>2505</v>
      </c>
      <c r="C739" t="s">
        <v>1434</v>
      </c>
      <c r="D739">
        <v>2013</v>
      </c>
      <c r="E739">
        <v>11</v>
      </c>
    </row>
    <row r="740" spans="1:5" x14ac:dyDescent="0.25">
      <c r="A740" t="s">
        <v>420</v>
      </c>
      <c r="B740" t="s">
        <v>2505</v>
      </c>
      <c r="C740" t="s">
        <v>2510</v>
      </c>
      <c r="D740">
        <v>2013</v>
      </c>
      <c r="E740">
        <v>46</v>
      </c>
    </row>
    <row r="741" spans="1:5" x14ac:dyDescent="0.25">
      <c r="A741" t="s">
        <v>420</v>
      </c>
      <c r="B741" t="s">
        <v>2505</v>
      </c>
      <c r="C741" t="s">
        <v>1158</v>
      </c>
      <c r="D741">
        <v>2013</v>
      </c>
      <c r="E741">
        <v>22</v>
      </c>
    </row>
    <row r="742" spans="1:5" x14ac:dyDescent="0.25">
      <c r="A742" t="s">
        <v>420</v>
      </c>
      <c r="B742" t="s">
        <v>2505</v>
      </c>
      <c r="C742" t="s">
        <v>1135</v>
      </c>
      <c r="D742">
        <v>2013</v>
      </c>
      <c r="E742">
        <v>13</v>
      </c>
    </row>
    <row r="743" spans="1:5" x14ac:dyDescent="0.25">
      <c r="A743" t="s">
        <v>420</v>
      </c>
      <c r="B743" t="s">
        <v>2505</v>
      </c>
      <c r="C743" t="s">
        <v>2512</v>
      </c>
      <c r="D743">
        <v>2013</v>
      </c>
      <c r="E743">
        <v>1</v>
      </c>
    </row>
    <row r="744" spans="1:5" x14ac:dyDescent="0.25">
      <c r="A744" t="s">
        <v>420</v>
      </c>
      <c r="B744" t="s">
        <v>2505</v>
      </c>
      <c r="C744" t="s">
        <v>2493</v>
      </c>
      <c r="D744">
        <v>2013</v>
      </c>
      <c r="E744">
        <v>1</v>
      </c>
    </row>
    <row r="745" spans="1:5" x14ac:dyDescent="0.25">
      <c r="A745" t="s">
        <v>420</v>
      </c>
      <c r="B745" t="s">
        <v>2505</v>
      </c>
      <c r="C745" t="s">
        <v>459</v>
      </c>
      <c r="D745">
        <v>2013</v>
      </c>
      <c r="E745">
        <v>45</v>
      </c>
    </row>
    <row r="746" spans="1:5" x14ac:dyDescent="0.25">
      <c r="A746" t="s">
        <v>420</v>
      </c>
      <c r="B746" t="s">
        <v>2505</v>
      </c>
      <c r="C746" t="s">
        <v>2513</v>
      </c>
      <c r="D746">
        <v>2012</v>
      </c>
      <c r="E746">
        <v>4</v>
      </c>
    </row>
    <row r="747" spans="1:5" x14ac:dyDescent="0.25">
      <c r="A747" t="s">
        <v>420</v>
      </c>
      <c r="B747" t="s">
        <v>2505</v>
      </c>
      <c r="C747" t="s">
        <v>2515</v>
      </c>
      <c r="D747">
        <v>2012</v>
      </c>
      <c r="E747">
        <v>6</v>
      </c>
    </row>
    <row r="748" spans="1:5" x14ac:dyDescent="0.25">
      <c r="A748" t="s">
        <v>420</v>
      </c>
      <c r="B748" t="s">
        <v>2505</v>
      </c>
      <c r="C748" t="s">
        <v>2390</v>
      </c>
      <c r="D748">
        <v>2012</v>
      </c>
      <c r="E748">
        <v>12</v>
      </c>
    </row>
    <row r="749" spans="1:5" x14ac:dyDescent="0.25">
      <c r="A749" t="s">
        <v>420</v>
      </c>
      <c r="B749" t="s">
        <v>2505</v>
      </c>
      <c r="C749" t="s">
        <v>2465</v>
      </c>
      <c r="D749">
        <v>2012</v>
      </c>
      <c r="E749">
        <v>1</v>
      </c>
    </row>
    <row r="750" spans="1:5" x14ac:dyDescent="0.25">
      <c r="A750" t="s">
        <v>420</v>
      </c>
      <c r="B750" t="s">
        <v>2505</v>
      </c>
      <c r="C750" t="s">
        <v>2466</v>
      </c>
      <c r="D750">
        <v>2012</v>
      </c>
      <c r="E750">
        <v>51</v>
      </c>
    </row>
    <row r="751" spans="1:5" x14ac:dyDescent="0.25">
      <c r="A751" t="s">
        <v>420</v>
      </c>
      <c r="B751" t="s">
        <v>2505</v>
      </c>
      <c r="C751" t="s">
        <v>2475</v>
      </c>
      <c r="D751">
        <v>2012</v>
      </c>
      <c r="E751">
        <v>13</v>
      </c>
    </row>
    <row r="752" spans="1:5" x14ac:dyDescent="0.25">
      <c r="A752" t="s">
        <v>420</v>
      </c>
      <c r="B752" t="s">
        <v>2505</v>
      </c>
      <c r="C752" t="s">
        <v>2477</v>
      </c>
      <c r="D752">
        <v>2012</v>
      </c>
      <c r="E752">
        <v>9</v>
      </c>
    </row>
    <row r="753" spans="1:5" x14ac:dyDescent="0.25">
      <c r="A753" t="s">
        <v>420</v>
      </c>
      <c r="B753" t="s">
        <v>2505</v>
      </c>
      <c r="C753" t="s">
        <v>2514</v>
      </c>
      <c r="D753">
        <v>2012</v>
      </c>
      <c r="E753">
        <v>4</v>
      </c>
    </row>
    <row r="754" spans="1:5" x14ac:dyDescent="0.25">
      <c r="A754" t="s">
        <v>420</v>
      </c>
      <c r="B754" t="s">
        <v>2505</v>
      </c>
      <c r="C754" t="s">
        <v>2479</v>
      </c>
      <c r="D754">
        <v>2012</v>
      </c>
      <c r="E754">
        <v>3</v>
      </c>
    </row>
    <row r="755" spans="1:5" x14ac:dyDescent="0.25">
      <c r="A755" t="s">
        <v>420</v>
      </c>
      <c r="B755" t="s">
        <v>2505</v>
      </c>
      <c r="C755" t="s">
        <v>1689</v>
      </c>
      <c r="D755">
        <v>2012</v>
      </c>
      <c r="E755">
        <v>11</v>
      </c>
    </row>
    <row r="756" spans="1:5" x14ac:dyDescent="0.25">
      <c r="A756" t="s">
        <v>420</v>
      </c>
      <c r="B756" t="s">
        <v>2505</v>
      </c>
      <c r="C756" t="s">
        <v>2482</v>
      </c>
      <c r="D756">
        <v>2012</v>
      </c>
      <c r="E756">
        <v>7</v>
      </c>
    </row>
    <row r="757" spans="1:5" x14ac:dyDescent="0.25">
      <c r="A757" t="s">
        <v>420</v>
      </c>
      <c r="B757" t="s">
        <v>2505</v>
      </c>
      <c r="C757" t="s">
        <v>1597</v>
      </c>
      <c r="D757">
        <v>2012</v>
      </c>
      <c r="E757">
        <v>10</v>
      </c>
    </row>
    <row r="758" spans="1:5" x14ac:dyDescent="0.25">
      <c r="A758" t="s">
        <v>420</v>
      </c>
      <c r="B758" t="s">
        <v>2505</v>
      </c>
      <c r="C758" t="s">
        <v>1516</v>
      </c>
      <c r="D758">
        <v>2012</v>
      </c>
      <c r="E758">
        <v>2</v>
      </c>
    </row>
    <row r="759" spans="1:5" x14ac:dyDescent="0.25">
      <c r="A759" t="s">
        <v>420</v>
      </c>
      <c r="B759" t="s">
        <v>2505</v>
      </c>
      <c r="C759" t="s">
        <v>2498</v>
      </c>
      <c r="D759">
        <v>2012</v>
      </c>
      <c r="E759">
        <v>15</v>
      </c>
    </row>
    <row r="760" spans="1:5" x14ac:dyDescent="0.25">
      <c r="A760" t="s">
        <v>420</v>
      </c>
      <c r="B760" t="s">
        <v>2505</v>
      </c>
      <c r="C760" t="s">
        <v>1507</v>
      </c>
      <c r="D760">
        <v>2012</v>
      </c>
      <c r="E760">
        <v>26</v>
      </c>
    </row>
    <row r="761" spans="1:5" x14ac:dyDescent="0.25">
      <c r="A761" t="s">
        <v>420</v>
      </c>
      <c r="B761" t="s">
        <v>2505</v>
      </c>
      <c r="C761" t="s">
        <v>1463</v>
      </c>
      <c r="D761">
        <v>2012</v>
      </c>
      <c r="E761">
        <v>53</v>
      </c>
    </row>
    <row r="762" spans="1:5" x14ac:dyDescent="0.25">
      <c r="A762" t="s">
        <v>420</v>
      </c>
      <c r="B762" t="s">
        <v>2505</v>
      </c>
      <c r="C762" t="s">
        <v>1455</v>
      </c>
      <c r="D762">
        <v>2012</v>
      </c>
      <c r="E762">
        <v>23</v>
      </c>
    </row>
    <row r="763" spans="1:5" x14ac:dyDescent="0.25">
      <c r="A763" t="s">
        <v>420</v>
      </c>
      <c r="B763" t="s">
        <v>2505</v>
      </c>
      <c r="C763" t="s">
        <v>1434</v>
      </c>
      <c r="D763">
        <v>2012</v>
      </c>
      <c r="E763">
        <v>10</v>
      </c>
    </row>
    <row r="764" spans="1:5" x14ac:dyDescent="0.25">
      <c r="A764" t="s">
        <v>420</v>
      </c>
      <c r="B764" t="s">
        <v>2505</v>
      </c>
      <c r="C764" t="s">
        <v>2510</v>
      </c>
      <c r="D764">
        <v>2012</v>
      </c>
      <c r="E764">
        <v>54</v>
      </c>
    </row>
    <row r="765" spans="1:5" x14ac:dyDescent="0.25">
      <c r="A765" t="s">
        <v>420</v>
      </c>
      <c r="B765" t="s">
        <v>2505</v>
      </c>
      <c r="C765" t="s">
        <v>1158</v>
      </c>
      <c r="D765">
        <v>2012</v>
      </c>
      <c r="E765">
        <v>19</v>
      </c>
    </row>
    <row r="766" spans="1:5" x14ac:dyDescent="0.25">
      <c r="A766" t="s">
        <v>420</v>
      </c>
      <c r="B766" t="s">
        <v>2505</v>
      </c>
      <c r="C766" t="s">
        <v>1135</v>
      </c>
      <c r="D766">
        <v>2012</v>
      </c>
      <c r="E766">
        <v>16</v>
      </c>
    </row>
    <row r="767" spans="1:5" x14ac:dyDescent="0.25">
      <c r="A767" t="s">
        <v>420</v>
      </c>
      <c r="B767" t="s">
        <v>2505</v>
      </c>
      <c r="C767" t="s">
        <v>765</v>
      </c>
      <c r="D767">
        <v>2012</v>
      </c>
      <c r="E767">
        <v>1</v>
      </c>
    </row>
    <row r="768" spans="1:5" x14ac:dyDescent="0.25">
      <c r="A768" t="s">
        <v>420</v>
      </c>
      <c r="B768" t="s">
        <v>2505</v>
      </c>
      <c r="C768" t="s">
        <v>2512</v>
      </c>
      <c r="D768">
        <v>2012</v>
      </c>
      <c r="E768">
        <v>1</v>
      </c>
    </row>
    <row r="769" spans="1:5" x14ac:dyDescent="0.25">
      <c r="A769" t="s">
        <v>420</v>
      </c>
      <c r="B769" t="s">
        <v>2505</v>
      </c>
      <c r="C769" t="s">
        <v>459</v>
      </c>
      <c r="D769">
        <v>2012</v>
      </c>
      <c r="E769">
        <v>45</v>
      </c>
    </row>
    <row r="770" spans="1:5" x14ac:dyDescent="0.25">
      <c r="A770" t="s">
        <v>420</v>
      </c>
      <c r="B770" t="s">
        <v>2505</v>
      </c>
      <c r="C770" t="s">
        <v>2513</v>
      </c>
      <c r="D770">
        <v>2011</v>
      </c>
      <c r="E770">
        <v>1</v>
      </c>
    </row>
    <row r="771" spans="1:5" x14ac:dyDescent="0.25">
      <c r="A771" t="s">
        <v>420</v>
      </c>
      <c r="B771" t="s">
        <v>2505</v>
      </c>
      <c r="C771" t="s">
        <v>2390</v>
      </c>
      <c r="D771">
        <v>2011</v>
      </c>
      <c r="E771">
        <v>16</v>
      </c>
    </row>
    <row r="772" spans="1:5" x14ac:dyDescent="0.25">
      <c r="A772" t="s">
        <v>420</v>
      </c>
      <c r="B772" t="s">
        <v>2505</v>
      </c>
      <c r="C772" t="s">
        <v>2465</v>
      </c>
      <c r="D772">
        <v>2011</v>
      </c>
      <c r="E772">
        <v>1</v>
      </c>
    </row>
    <row r="773" spans="1:5" x14ac:dyDescent="0.25">
      <c r="A773" t="s">
        <v>420</v>
      </c>
      <c r="B773" t="s">
        <v>2505</v>
      </c>
      <c r="C773" t="s">
        <v>2466</v>
      </c>
      <c r="D773">
        <v>2011</v>
      </c>
      <c r="E773">
        <v>57</v>
      </c>
    </row>
    <row r="774" spans="1:5" x14ac:dyDescent="0.25">
      <c r="A774" t="s">
        <v>420</v>
      </c>
      <c r="B774" t="s">
        <v>2505</v>
      </c>
      <c r="C774" t="s">
        <v>2475</v>
      </c>
      <c r="D774">
        <v>2011</v>
      </c>
      <c r="E774">
        <v>15</v>
      </c>
    </row>
    <row r="775" spans="1:5" x14ac:dyDescent="0.25">
      <c r="A775" t="s">
        <v>420</v>
      </c>
      <c r="B775" t="s">
        <v>2505</v>
      </c>
      <c r="C775" t="s">
        <v>2477</v>
      </c>
      <c r="D775">
        <v>2011</v>
      </c>
      <c r="E775">
        <v>9</v>
      </c>
    </row>
    <row r="776" spans="1:5" x14ac:dyDescent="0.25">
      <c r="A776" t="s">
        <v>420</v>
      </c>
      <c r="B776" t="s">
        <v>2505</v>
      </c>
      <c r="C776" t="s">
        <v>2507</v>
      </c>
      <c r="D776">
        <v>2011</v>
      </c>
      <c r="E776">
        <v>3</v>
      </c>
    </row>
    <row r="777" spans="1:5" x14ac:dyDescent="0.25">
      <c r="A777" t="s">
        <v>420</v>
      </c>
      <c r="B777" t="s">
        <v>2505</v>
      </c>
      <c r="C777" t="s">
        <v>2514</v>
      </c>
      <c r="D777">
        <v>2011</v>
      </c>
      <c r="E777">
        <v>6</v>
      </c>
    </row>
    <row r="778" spans="1:5" x14ac:dyDescent="0.25">
      <c r="A778" t="s">
        <v>420</v>
      </c>
      <c r="B778" t="s">
        <v>2505</v>
      </c>
      <c r="C778" t="s">
        <v>2479</v>
      </c>
      <c r="D778">
        <v>2011</v>
      </c>
      <c r="E778">
        <v>3</v>
      </c>
    </row>
    <row r="779" spans="1:5" x14ac:dyDescent="0.25">
      <c r="A779" t="s">
        <v>420</v>
      </c>
      <c r="B779" t="s">
        <v>2505</v>
      </c>
      <c r="C779" t="s">
        <v>1689</v>
      </c>
      <c r="D779">
        <v>2011</v>
      </c>
      <c r="E779">
        <v>6</v>
      </c>
    </row>
    <row r="780" spans="1:5" x14ac:dyDescent="0.25">
      <c r="A780" t="s">
        <v>420</v>
      </c>
      <c r="B780" t="s">
        <v>2505</v>
      </c>
      <c r="C780" t="s">
        <v>2482</v>
      </c>
      <c r="D780">
        <v>2011</v>
      </c>
      <c r="E780">
        <v>9</v>
      </c>
    </row>
    <row r="781" spans="1:5" x14ac:dyDescent="0.25">
      <c r="A781" t="s">
        <v>420</v>
      </c>
      <c r="B781" t="s">
        <v>2505</v>
      </c>
      <c r="C781" t="s">
        <v>2517</v>
      </c>
      <c r="D781">
        <v>2011</v>
      </c>
      <c r="E781">
        <v>2</v>
      </c>
    </row>
    <row r="782" spans="1:5" x14ac:dyDescent="0.25">
      <c r="A782" t="s">
        <v>420</v>
      </c>
      <c r="B782" t="s">
        <v>2505</v>
      </c>
      <c r="C782" t="s">
        <v>1597</v>
      </c>
      <c r="D782">
        <v>2011</v>
      </c>
      <c r="E782">
        <v>11</v>
      </c>
    </row>
    <row r="783" spans="1:5" x14ac:dyDescent="0.25">
      <c r="A783" t="s">
        <v>420</v>
      </c>
      <c r="B783" t="s">
        <v>2505</v>
      </c>
      <c r="C783" t="s">
        <v>1516</v>
      </c>
      <c r="D783">
        <v>2011</v>
      </c>
      <c r="E783">
        <v>1</v>
      </c>
    </row>
    <row r="784" spans="1:5" x14ac:dyDescent="0.25">
      <c r="A784" t="s">
        <v>420</v>
      </c>
      <c r="B784" t="s">
        <v>2505</v>
      </c>
      <c r="C784" t="s">
        <v>2498</v>
      </c>
      <c r="D784">
        <v>2011</v>
      </c>
      <c r="E784">
        <v>20</v>
      </c>
    </row>
    <row r="785" spans="1:5" x14ac:dyDescent="0.25">
      <c r="A785" t="s">
        <v>420</v>
      </c>
      <c r="B785" t="s">
        <v>2505</v>
      </c>
      <c r="C785" t="s">
        <v>1507</v>
      </c>
      <c r="D785">
        <v>2011</v>
      </c>
      <c r="E785">
        <v>28</v>
      </c>
    </row>
    <row r="786" spans="1:5" x14ac:dyDescent="0.25">
      <c r="A786" t="s">
        <v>420</v>
      </c>
      <c r="B786" t="s">
        <v>2505</v>
      </c>
      <c r="C786" t="s">
        <v>1463</v>
      </c>
      <c r="D786">
        <v>2011</v>
      </c>
      <c r="E786">
        <v>58</v>
      </c>
    </row>
    <row r="787" spans="1:5" x14ac:dyDescent="0.25">
      <c r="A787" t="s">
        <v>420</v>
      </c>
      <c r="B787" t="s">
        <v>2505</v>
      </c>
      <c r="C787" t="s">
        <v>1455</v>
      </c>
      <c r="D787">
        <v>2011</v>
      </c>
      <c r="E787">
        <v>27</v>
      </c>
    </row>
    <row r="788" spans="1:5" x14ac:dyDescent="0.25">
      <c r="A788" t="s">
        <v>420</v>
      </c>
      <c r="B788" t="s">
        <v>2505</v>
      </c>
      <c r="C788" t="s">
        <v>1434</v>
      </c>
      <c r="D788">
        <v>2011</v>
      </c>
      <c r="E788">
        <v>10</v>
      </c>
    </row>
    <row r="789" spans="1:5" x14ac:dyDescent="0.25">
      <c r="A789" t="s">
        <v>420</v>
      </c>
      <c r="B789" t="s">
        <v>2505</v>
      </c>
      <c r="C789" t="s">
        <v>2510</v>
      </c>
      <c r="D789">
        <v>2011</v>
      </c>
      <c r="E789">
        <v>51</v>
      </c>
    </row>
    <row r="790" spans="1:5" x14ac:dyDescent="0.25">
      <c r="A790" t="s">
        <v>420</v>
      </c>
      <c r="B790" t="s">
        <v>2505</v>
      </c>
      <c r="C790" t="s">
        <v>1158</v>
      </c>
      <c r="D790">
        <v>2011</v>
      </c>
      <c r="E790">
        <v>17</v>
      </c>
    </row>
    <row r="791" spans="1:5" x14ac:dyDescent="0.25">
      <c r="A791" t="s">
        <v>420</v>
      </c>
      <c r="B791" t="s">
        <v>2505</v>
      </c>
      <c r="C791" t="s">
        <v>1135</v>
      </c>
      <c r="D791">
        <v>2011</v>
      </c>
      <c r="E791">
        <v>16</v>
      </c>
    </row>
    <row r="792" spans="1:5" x14ac:dyDescent="0.25">
      <c r="A792" t="s">
        <v>420</v>
      </c>
      <c r="B792" t="s">
        <v>2505</v>
      </c>
      <c r="C792" t="s">
        <v>765</v>
      </c>
      <c r="D792">
        <v>2011</v>
      </c>
      <c r="E792">
        <v>1</v>
      </c>
    </row>
    <row r="793" spans="1:5" x14ac:dyDescent="0.25">
      <c r="A793" t="s">
        <v>420</v>
      </c>
      <c r="B793" t="s">
        <v>2505</v>
      </c>
      <c r="C793" t="s">
        <v>2512</v>
      </c>
      <c r="D793">
        <v>2011</v>
      </c>
      <c r="E793">
        <v>1</v>
      </c>
    </row>
    <row r="794" spans="1:5" x14ac:dyDescent="0.25">
      <c r="A794" t="s">
        <v>420</v>
      </c>
      <c r="B794" t="s">
        <v>2505</v>
      </c>
      <c r="C794" t="s">
        <v>459</v>
      </c>
      <c r="D794">
        <v>2011</v>
      </c>
      <c r="E794">
        <v>52</v>
      </c>
    </row>
    <row r="795" spans="1:5" x14ac:dyDescent="0.25">
      <c r="A795" t="s">
        <v>420</v>
      </c>
      <c r="B795" t="s">
        <v>2505</v>
      </c>
      <c r="C795" t="s">
        <v>2390</v>
      </c>
      <c r="D795">
        <v>2010</v>
      </c>
      <c r="E795">
        <v>19</v>
      </c>
    </row>
    <row r="796" spans="1:5" x14ac:dyDescent="0.25">
      <c r="A796" t="s">
        <v>420</v>
      </c>
      <c r="B796" t="s">
        <v>2505</v>
      </c>
      <c r="C796" t="s">
        <v>2465</v>
      </c>
      <c r="D796">
        <v>2010</v>
      </c>
      <c r="E796">
        <v>1</v>
      </c>
    </row>
    <row r="797" spans="1:5" x14ac:dyDescent="0.25">
      <c r="A797" t="s">
        <v>420</v>
      </c>
      <c r="B797" t="s">
        <v>2505</v>
      </c>
      <c r="C797" t="s">
        <v>2466</v>
      </c>
      <c r="D797">
        <v>2010</v>
      </c>
      <c r="E797">
        <v>53</v>
      </c>
    </row>
    <row r="798" spans="1:5" x14ac:dyDescent="0.25">
      <c r="A798" t="s">
        <v>420</v>
      </c>
      <c r="B798" t="s">
        <v>2505</v>
      </c>
      <c r="C798" t="s">
        <v>2475</v>
      </c>
      <c r="D798">
        <v>2010</v>
      </c>
      <c r="E798">
        <v>6</v>
      </c>
    </row>
    <row r="799" spans="1:5" x14ac:dyDescent="0.25">
      <c r="A799" t="s">
        <v>420</v>
      </c>
      <c r="B799" t="s">
        <v>2505</v>
      </c>
      <c r="C799" t="s">
        <v>2477</v>
      </c>
      <c r="D799">
        <v>2010</v>
      </c>
      <c r="E799">
        <v>8</v>
      </c>
    </row>
    <row r="800" spans="1:5" x14ac:dyDescent="0.25">
      <c r="A800" t="s">
        <v>420</v>
      </c>
      <c r="B800" t="s">
        <v>2505</v>
      </c>
      <c r="C800" t="s">
        <v>2507</v>
      </c>
      <c r="D800">
        <v>2010</v>
      </c>
      <c r="E800">
        <v>6</v>
      </c>
    </row>
    <row r="801" spans="1:5" x14ac:dyDescent="0.25">
      <c r="A801" t="s">
        <v>420</v>
      </c>
      <c r="B801" t="s">
        <v>2505</v>
      </c>
      <c r="C801" t="s">
        <v>2514</v>
      </c>
      <c r="D801">
        <v>2010</v>
      </c>
      <c r="E801">
        <v>7</v>
      </c>
    </row>
    <row r="802" spans="1:5" x14ac:dyDescent="0.25">
      <c r="A802" t="s">
        <v>420</v>
      </c>
      <c r="B802" t="s">
        <v>2505</v>
      </c>
      <c r="C802" t="s">
        <v>2479</v>
      </c>
      <c r="D802">
        <v>2010</v>
      </c>
      <c r="E802">
        <v>3</v>
      </c>
    </row>
    <row r="803" spans="1:5" x14ac:dyDescent="0.25">
      <c r="A803" t="s">
        <v>420</v>
      </c>
      <c r="B803" t="s">
        <v>2505</v>
      </c>
      <c r="C803" t="s">
        <v>1689</v>
      </c>
      <c r="D803">
        <v>2010</v>
      </c>
      <c r="E803">
        <v>4</v>
      </c>
    </row>
    <row r="804" spans="1:5" x14ac:dyDescent="0.25">
      <c r="A804" t="s">
        <v>420</v>
      </c>
      <c r="B804" t="s">
        <v>2505</v>
      </c>
      <c r="C804" t="s">
        <v>2482</v>
      </c>
      <c r="D804">
        <v>2010</v>
      </c>
      <c r="E804">
        <v>13</v>
      </c>
    </row>
    <row r="805" spans="1:5" x14ac:dyDescent="0.25">
      <c r="A805" t="s">
        <v>420</v>
      </c>
      <c r="B805" t="s">
        <v>2505</v>
      </c>
      <c r="C805" t="s">
        <v>2517</v>
      </c>
      <c r="D805">
        <v>2010</v>
      </c>
      <c r="E805">
        <v>1</v>
      </c>
    </row>
    <row r="806" spans="1:5" x14ac:dyDescent="0.25">
      <c r="A806" t="s">
        <v>420</v>
      </c>
      <c r="B806" t="s">
        <v>2505</v>
      </c>
      <c r="C806" t="s">
        <v>1597</v>
      </c>
      <c r="D806">
        <v>2010</v>
      </c>
      <c r="E806">
        <v>14</v>
      </c>
    </row>
    <row r="807" spans="1:5" x14ac:dyDescent="0.25">
      <c r="A807" t="s">
        <v>420</v>
      </c>
      <c r="B807" t="s">
        <v>2505</v>
      </c>
      <c r="C807" t="s">
        <v>1516</v>
      </c>
      <c r="D807">
        <v>2010</v>
      </c>
      <c r="E807">
        <v>1</v>
      </c>
    </row>
    <row r="808" spans="1:5" x14ac:dyDescent="0.25">
      <c r="A808" t="s">
        <v>420</v>
      </c>
      <c r="B808" t="s">
        <v>2505</v>
      </c>
      <c r="C808" t="s">
        <v>2498</v>
      </c>
      <c r="D808">
        <v>2010</v>
      </c>
      <c r="E808">
        <v>30</v>
      </c>
    </row>
    <row r="809" spans="1:5" x14ac:dyDescent="0.25">
      <c r="A809" t="s">
        <v>420</v>
      </c>
      <c r="B809" t="s">
        <v>2505</v>
      </c>
      <c r="C809" t="s">
        <v>1507</v>
      </c>
      <c r="D809">
        <v>2010</v>
      </c>
      <c r="E809">
        <v>33</v>
      </c>
    </row>
    <row r="810" spans="1:5" x14ac:dyDescent="0.25">
      <c r="A810" t="s">
        <v>420</v>
      </c>
      <c r="B810" t="s">
        <v>2505</v>
      </c>
      <c r="C810" t="s">
        <v>1463</v>
      </c>
      <c r="D810">
        <v>2010</v>
      </c>
      <c r="E810">
        <v>62</v>
      </c>
    </row>
    <row r="811" spans="1:5" x14ac:dyDescent="0.25">
      <c r="A811" t="s">
        <v>420</v>
      </c>
      <c r="B811" t="s">
        <v>2505</v>
      </c>
      <c r="C811" t="s">
        <v>1455</v>
      </c>
      <c r="D811">
        <v>2010</v>
      </c>
      <c r="E811">
        <v>32</v>
      </c>
    </row>
    <row r="812" spans="1:5" x14ac:dyDescent="0.25">
      <c r="A812" t="s">
        <v>420</v>
      </c>
      <c r="B812" t="s">
        <v>2505</v>
      </c>
      <c r="C812" t="s">
        <v>1434</v>
      </c>
      <c r="D812">
        <v>2010</v>
      </c>
      <c r="E812">
        <v>12</v>
      </c>
    </row>
    <row r="813" spans="1:5" x14ac:dyDescent="0.25">
      <c r="A813" t="s">
        <v>420</v>
      </c>
      <c r="B813" t="s">
        <v>2505</v>
      </c>
      <c r="C813" t="s">
        <v>2510</v>
      </c>
      <c r="D813">
        <v>2010</v>
      </c>
      <c r="E813">
        <v>45</v>
      </c>
    </row>
    <row r="814" spans="1:5" x14ac:dyDescent="0.25">
      <c r="A814" t="s">
        <v>420</v>
      </c>
      <c r="B814" t="s">
        <v>2505</v>
      </c>
      <c r="C814" t="s">
        <v>1158</v>
      </c>
      <c r="D814">
        <v>2010</v>
      </c>
      <c r="E814">
        <v>19</v>
      </c>
    </row>
    <row r="815" spans="1:5" x14ac:dyDescent="0.25">
      <c r="A815" t="s">
        <v>420</v>
      </c>
      <c r="B815" t="s">
        <v>2505</v>
      </c>
      <c r="C815" t="s">
        <v>1135</v>
      </c>
      <c r="D815">
        <v>2010</v>
      </c>
      <c r="E815">
        <v>18</v>
      </c>
    </row>
    <row r="816" spans="1:5" x14ac:dyDescent="0.25">
      <c r="A816" t="s">
        <v>420</v>
      </c>
      <c r="B816" t="s">
        <v>2505</v>
      </c>
      <c r="C816" t="s">
        <v>765</v>
      </c>
      <c r="D816">
        <v>2010</v>
      </c>
      <c r="E816">
        <v>1</v>
      </c>
    </row>
    <row r="817" spans="1:5" x14ac:dyDescent="0.25">
      <c r="A817" t="s">
        <v>420</v>
      </c>
      <c r="B817" t="s">
        <v>2505</v>
      </c>
      <c r="C817" t="s">
        <v>2512</v>
      </c>
      <c r="D817">
        <v>2010</v>
      </c>
      <c r="E817">
        <v>1</v>
      </c>
    </row>
    <row r="818" spans="1:5" x14ac:dyDescent="0.25">
      <c r="A818" t="s">
        <v>420</v>
      </c>
      <c r="B818" t="s">
        <v>2505</v>
      </c>
      <c r="C818" t="s">
        <v>459</v>
      </c>
      <c r="D818">
        <v>2010</v>
      </c>
      <c r="E818">
        <v>65</v>
      </c>
    </row>
    <row r="819" spans="1:5" x14ac:dyDescent="0.25">
      <c r="A819" t="s">
        <v>420</v>
      </c>
      <c r="B819" t="s">
        <v>2505</v>
      </c>
      <c r="C819" t="s">
        <v>2390</v>
      </c>
      <c r="D819">
        <v>2009</v>
      </c>
      <c r="E819">
        <v>19</v>
      </c>
    </row>
    <row r="820" spans="1:5" x14ac:dyDescent="0.25">
      <c r="A820" t="s">
        <v>420</v>
      </c>
      <c r="B820" t="s">
        <v>2505</v>
      </c>
      <c r="C820" t="s">
        <v>2466</v>
      </c>
      <c r="D820">
        <v>2009</v>
      </c>
      <c r="E820">
        <v>59</v>
      </c>
    </row>
    <row r="821" spans="1:5" x14ac:dyDescent="0.25">
      <c r="A821" t="s">
        <v>420</v>
      </c>
      <c r="B821" t="s">
        <v>2505</v>
      </c>
      <c r="C821" t="s">
        <v>2475</v>
      </c>
      <c r="D821">
        <v>2009</v>
      </c>
      <c r="E821">
        <v>11</v>
      </c>
    </row>
    <row r="822" spans="1:5" x14ac:dyDescent="0.25">
      <c r="A822" t="s">
        <v>420</v>
      </c>
      <c r="B822" t="s">
        <v>2505</v>
      </c>
      <c r="C822" t="s">
        <v>2477</v>
      </c>
      <c r="D822">
        <v>2009</v>
      </c>
      <c r="E822">
        <v>9</v>
      </c>
    </row>
    <row r="823" spans="1:5" x14ac:dyDescent="0.25">
      <c r="A823" t="s">
        <v>420</v>
      </c>
      <c r="B823" t="s">
        <v>2505</v>
      </c>
      <c r="C823" t="s">
        <v>2507</v>
      </c>
      <c r="D823">
        <v>2009</v>
      </c>
      <c r="E823">
        <v>5</v>
      </c>
    </row>
    <row r="824" spans="1:5" x14ac:dyDescent="0.25">
      <c r="A824" t="s">
        <v>420</v>
      </c>
      <c r="B824" t="s">
        <v>2505</v>
      </c>
      <c r="C824" t="s">
        <v>2514</v>
      </c>
      <c r="D824">
        <v>2009</v>
      </c>
      <c r="E824">
        <v>7</v>
      </c>
    </row>
    <row r="825" spans="1:5" x14ac:dyDescent="0.25">
      <c r="A825" t="s">
        <v>420</v>
      </c>
      <c r="B825" t="s">
        <v>2505</v>
      </c>
      <c r="C825" t="s">
        <v>2479</v>
      </c>
      <c r="D825">
        <v>2009</v>
      </c>
      <c r="E825">
        <v>3</v>
      </c>
    </row>
    <row r="826" spans="1:5" x14ac:dyDescent="0.25">
      <c r="A826" t="s">
        <v>420</v>
      </c>
      <c r="B826" t="s">
        <v>2505</v>
      </c>
      <c r="C826" t="s">
        <v>1689</v>
      </c>
      <c r="D826">
        <v>2009</v>
      </c>
      <c r="E826">
        <v>5</v>
      </c>
    </row>
    <row r="827" spans="1:5" x14ac:dyDescent="0.25">
      <c r="A827" t="s">
        <v>420</v>
      </c>
      <c r="B827" t="s">
        <v>2505</v>
      </c>
      <c r="C827" t="s">
        <v>2482</v>
      </c>
      <c r="D827">
        <v>2009</v>
      </c>
      <c r="E827">
        <v>14</v>
      </c>
    </row>
    <row r="828" spans="1:5" x14ac:dyDescent="0.25">
      <c r="A828" t="s">
        <v>420</v>
      </c>
      <c r="B828" t="s">
        <v>2505</v>
      </c>
      <c r="C828" t="s">
        <v>2517</v>
      </c>
      <c r="D828">
        <v>2009</v>
      </c>
      <c r="E828">
        <v>4</v>
      </c>
    </row>
    <row r="829" spans="1:5" x14ac:dyDescent="0.25">
      <c r="A829" t="s">
        <v>420</v>
      </c>
      <c r="B829" t="s">
        <v>2505</v>
      </c>
      <c r="C829" t="s">
        <v>1597</v>
      </c>
      <c r="D829">
        <v>2009</v>
      </c>
      <c r="E829">
        <v>14</v>
      </c>
    </row>
    <row r="830" spans="1:5" x14ac:dyDescent="0.25">
      <c r="A830" t="s">
        <v>420</v>
      </c>
      <c r="B830" t="s">
        <v>2505</v>
      </c>
      <c r="C830" t="s">
        <v>2498</v>
      </c>
      <c r="D830">
        <v>2009</v>
      </c>
      <c r="E830">
        <v>26</v>
      </c>
    </row>
    <row r="831" spans="1:5" x14ac:dyDescent="0.25">
      <c r="A831" t="s">
        <v>420</v>
      </c>
      <c r="B831" t="s">
        <v>2505</v>
      </c>
      <c r="C831" t="s">
        <v>1507</v>
      </c>
      <c r="D831">
        <v>2009</v>
      </c>
      <c r="E831">
        <v>47</v>
      </c>
    </row>
    <row r="832" spans="1:5" x14ac:dyDescent="0.25">
      <c r="A832" t="s">
        <v>420</v>
      </c>
      <c r="B832" t="s">
        <v>2505</v>
      </c>
      <c r="C832" t="s">
        <v>1463</v>
      </c>
      <c r="D832">
        <v>2009</v>
      </c>
      <c r="E832">
        <v>71</v>
      </c>
    </row>
    <row r="833" spans="1:5" x14ac:dyDescent="0.25">
      <c r="A833" t="s">
        <v>420</v>
      </c>
      <c r="B833" t="s">
        <v>2505</v>
      </c>
      <c r="C833" t="s">
        <v>1455</v>
      </c>
      <c r="D833">
        <v>2009</v>
      </c>
      <c r="E833">
        <v>39</v>
      </c>
    </row>
    <row r="834" spans="1:5" x14ac:dyDescent="0.25">
      <c r="A834" t="s">
        <v>420</v>
      </c>
      <c r="B834" t="s">
        <v>2505</v>
      </c>
      <c r="C834" t="s">
        <v>1434</v>
      </c>
      <c r="D834">
        <v>2009</v>
      </c>
      <c r="E834">
        <v>10</v>
      </c>
    </row>
    <row r="835" spans="1:5" x14ac:dyDescent="0.25">
      <c r="A835" t="s">
        <v>420</v>
      </c>
      <c r="B835" t="s">
        <v>2505</v>
      </c>
      <c r="C835" t="s">
        <v>2510</v>
      </c>
      <c r="D835">
        <v>2009</v>
      </c>
      <c r="E835">
        <v>39</v>
      </c>
    </row>
    <row r="836" spans="1:5" x14ac:dyDescent="0.25">
      <c r="A836" t="s">
        <v>420</v>
      </c>
      <c r="B836" t="s">
        <v>2505</v>
      </c>
      <c r="C836" t="s">
        <v>1158</v>
      </c>
      <c r="D836">
        <v>2009</v>
      </c>
      <c r="E836">
        <v>18</v>
      </c>
    </row>
    <row r="837" spans="1:5" x14ac:dyDescent="0.25">
      <c r="A837" t="s">
        <v>420</v>
      </c>
      <c r="B837" t="s">
        <v>2505</v>
      </c>
      <c r="C837" t="s">
        <v>1135</v>
      </c>
      <c r="D837">
        <v>2009</v>
      </c>
      <c r="E837">
        <v>17</v>
      </c>
    </row>
    <row r="838" spans="1:5" x14ac:dyDescent="0.25">
      <c r="A838" t="s">
        <v>420</v>
      </c>
      <c r="B838" t="s">
        <v>2505</v>
      </c>
      <c r="C838" t="s">
        <v>459</v>
      </c>
      <c r="D838">
        <v>2009</v>
      </c>
      <c r="E838">
        <v>66</v>
      </c>
    </row>
    <row r="839" spans="1:5" x14ac:dyDescent="0.25">
      <c r="A839" t="s">
        <v>420</v>
      </c>
      <c r="B839" t="s">
        <v>2505</v>
      </c>
      <c r="C839" t="s">
        <v>2390</v>
      </c>
      <c r="D839">
        <v>2008</v>
      </c>
      <c r="E839">
        <v>9</v>
      </c>
    </row>
    <row r="840" spans="1:5" x14ac:dyDescent="0.25">
      <c r="A840" t="s">
        <v>420</v>
      </c>
      <c r="B840" t="s">
        <v>2505</v>
      </c>
      <c r="C840" t="s">
        <v>2466</v>
      </c>
      <c r="D840">
        <v>2008</v>
      </c>
      <c r="E840">
        <v>59</v>
      </c>
    </row>
    <row r="841" spans="1:5" x14ac:dyDescent="0.25">
      <c r="A841" t="s">
        <v>420</v>
      </c>
      <c r="B841" t="s">
        <v>2505</v>
      </c>
      <c r="C841" t="s">
        <v>2475</v>
      </c>
      <c r="D841">
        <v>2008</v>
      </c>
      <c r="E841">
        <v>14</v>
      </c>
    </row>
    <row r="842" spans="1:5" x14ac:dyDescent="0.25">
      <c r="A842" t="s">
        <v>420</v>
      </c>
      <c r="B842" t="s">
        <v>2505</v>
      </c>
      <c r="C842" t="s">
        <v>2477</v>
      </c>
      <c r="D842">
        <v>2008</v>
      </c>
      <c r="E842">
        <v>9</v>
      </c>
    </row>
    <row r="843" spans="1:5" x14ac:dyDescent="0.25">
      <c r="A843" t="s">
        <v>420</v>
      </c>
      <c r="B843" t="s">
        <v>2505</v>
      </c>
      <c r="C843" t="s">
        <v>2507</v>
      </c>
      <c r="D843">
        <v>2008</v>
      </c>
      <c r="E843">
        <v>6</v>
      </c>
    </row>
    <row r="844" spans="1:5" x14ac:dyDescent="0.25">
      <c r="A844" t="s">
        <v>420</v>
      </c>
      <c r="B844" t="s">
        <v>2505</v>
      </c>
      <c r="C844" t="s">
        <v>2514</v>
      </c>
      <c r="D844">
        <v>2008</v>
      </c>
      <c r="E844">
        <v>6</v>
      </c>
    </row>
    <row r="845" spans="1:5" x14ac:dyDescent="0.25">
      <c r="A845" t="s">
        <v>420</v>
      </c>
      <c r="B845" t="s">
        <v>2505</v>
      </c>
      <c r="C845" t="s">
        <v>2479</v>
      </c>
      <c r="D845">
        <v>2008</v>
      </c>
      <c r="E845">
        <v>2</v>
      </c>
    </row>
    <row r="846" spans="1:5" x14ac:dyDescent="0.25">
      <c r="A846" t="s">
        <v>420</v>
      </c>
      <c r="B846" t="s">
        <v>2505</v>
      </c>
      <c r="C846" t="s">
        <v>1689</v>
      </c>
      <c r="D846">
        <v>2008</v>
      </c>
      <c r="E846">
        <v>14</v>
      </c>
    </row>
    <row r="847" spans="1:5" x14ac:dyDescent="0.25">
      <c r="A847" t="s">
        <v>420</v>
      </c>
      <c r="B847" t="s">
        <v>2505</v>
      </c>
      <c r="C847" t="s">
        <v>2482</v>
      </c>
      <c r="D847">
        <v>2008</v>
      </c>
      <c r="E847">
        <v>9</v>
      </c>
    </row>
    <row r="848" spans="1:5" x14ac:dyDescent="0.25">
      <c r="A848" t="s">
        <v>420</v>
      </c>
      <c r="B848" t="s">
        <v>2505</v>
      </c>
      <c r="C848" t="s">
        <v>2517</v>
      </c>
      <c r="D848">
        <v>2008</v>
      </c>
      <c r="E848">
        <v>16</v>
      </c>
    </row>
    <row r="849" spans="1:5" x14ac:dyDescent="0.25">
      <c r="A849" t="s">
        <v>420</v>
      </c>
      <c r="B849" t="s">
        <v>2505</v>
      </c>
      <c r="C849" t="s">
        <v>1597</v>
      </c>
      <c r="D849">
        <v>2008</v>
      </c>
      <c r="E849">
        <v>15</v>
      </c>
    </row>
    <row r="850" spans="1:5" x14ac:dyDescent="0.25">
      <c r="A850" t="s">
        <v>420</v>
      </c>
      <c r="B850" t="s">
        <v>2505</v>
      </c>
      <c r="C850" t="s">
        <v>2498</v>
      </c>
      <c r="D850">
        <v>2008</v>
      </c>
      <c r="E850">
        <v>21</v>
      </c>
    </row>
    <row r="851" spans="1:5" x14ac:dyDescent="0.25">
      <c r="A851" t="s">
        <v>420</v>
      </c>
      <c r="B851" t="s">
        <v>2505</v>
      </c>
      <c r="C851" t="s">
        <v>1507</v>
      </c>
      <c r="D851">
        <v>2008</v>
      </c>
      <c r="E851">
        <v>45</v>
      </c>
    </row>
    <row r="852" spans="1:5" x14ac:dyDescent="0.25">
      <c r="A852" t="s">
        <v>420</v>
      </c>
      <c r="B852" t="s">
        <v>2505</v>
      </c>
      <c r="C852" t="s">
        <v>1463</v>
      </c>
      <c r="D852">
        <v>2008</v>
      </c>
      <c r="E852">
        <v>76</v>
      </c>
    </row>
    <row r="853" spans="1:5" x14ac:dyDescent="0.25">
      <c r="A853" t="s">
        <v>420</v>
      </c>
      <c r="B853" t="s">
        <v>2505</v>
      </c>
      <c r="C853" t="s">
        <v>1455</v>
      </c>
      <c r="D853">
        <v>2008</v>
      </c>
      <c r="E853">
        <v>38</v>
      </c>
    </row>
    <row r="854" spans="1:5" x14ac:dyDescent="0.25">
      <c r="A854" t="s">
        <v>420</v>
      </c>
      <c r="B854" t="s">
        <v>2505</v>
      </c>
      <c r="C854" t="s">
        <v>1434</v>
      </c>
      <c r="D854">
        <v>2008</v>
      </c>
      <c r="E854">
        <v>10</v>
      </c>
    </row>
    <row r="855" spans="1:5" x14ac:dyDescent="0.25">
      <c r="A855" t="s">
        <v>420</v>
      </c>
      <c r="B855" t="s">
        <v>2505</v>
      </c>
      <c r="C855" t="s">
        <v>2510</v>
      </c>
      <c r="D855">
        <v>2008</v>
      </c>
      <c r="E855">
        <v>39</v>
      </c>
    </row>
    <row r="856" spans="1:5" x14ac:dyDescent="0.25">
      <c r="A856" t="s">
        <v>420</v>
      </c>
      <c r="B856" t="s">
        <v>2505</v>
      </c>
      <c r="C856" t="s">
        <v>1158</v>
      </c>
      <c r="D856">
        <v>2008</v>
      </c>
      <c r="E856">
        <v>18</v>
      </c>
    </row>
    <row r="857" spans="1:5" x14ac:dyDescent="0.25">
      <c r="A857" t="s">
        <v>420</v>
      </c>
      <c r="B857" t="s">
        <v>2505</v>
      </c>
      <c r="C857" t="s">
        <v>1135</v>
      </c>
      <c r="D857">
        <v>2008</v>
      </c>
      <c r="E857">
        <v>16</v>
      </c>
    </row>
    <row r="858" spans="1:5" x14ac:dyDescent="0.25">
      <c r="A858" t="s">
        <v>420</v>
      </c>
      <c r="B858" t="s">
        <v>2505</v>
      </c>
      <c r="C858" t="s">
        <v>765</v>
      </c>
      <c r="D858">
        <v>2008</v>
      </c>
      <c r="E858">
        <v>2</v>
      </c>
    </row>
    <row r="859" spans="1:5" x14ac:dyDescent="0.25">
      <c r="A859" t="s">
        <v>420</v>
      </c>
      <c r="B859" t="s">
        <v>2505</v>
      </c>
      <c r="C859" t="s">
        <v>588</v>
      </c>
      <c r="D859">
        <v>2008</v>
      </c>
      <c r="E859">
        <v>1</v>
      </c>
    </row>
    <row r="860" spans="1:5" x14ac:dyDescent="0.25">
      <c r="A860" t="s">
        <v>420</v>
      </c>
      <c r="B860" t="s">
        <v>2505</v>
      </c>
      <c r="C860" t="s">
        <v>2493</v>
      </c>
      <c r="D860">
        <v>2008</v>
      </c>
      <c r="E860">
        <v>1</v>
      </c>
    </row>
    <row r="861" spans="1:5" x14ac:dyDescent="0.25">
      <c r="A861" t="s">
        <v>420</v>
      </c>
      <c r="B861" t="s">
        <v>2505</v>
      </c>
      <c r="C861" t="s">
        <v>459</v>
      </c>
      <c r="D861">
        <v>2008</v>
      </c>
      <c r="E861">
        <v>58</v>
      </c>
    </row>
    <row r="862" spans="1:5" x14ac:dyDescent="0.25">
      <c r="A862" t="s">
        <v>420</v>
      </c>
      <c r="B862" t="s">
        <v>2518</v>
      </c>
      <c r="C862" t="s">
        <v>2039</v>
      </c>
      <c r="D862">
        <v>2019</v>
      </c>
      <c r="E862">
        <v>49</v>
      </c>
    </row>
    <row r="863" spans="1:5" x14ac:dyDescent="0.25">
      <c r="A863" t="s">
        <v>420</v>
      </c>
      <c r="B863" t="s">
        <v>2518</v>
      </c>
      <c r="C863" t="s">
        <v>2507</v>
      </c>
      <c r="D863">
        <v>2019</v>
      </c>
      <c r="E863">
        <v>11</v>
      </c>
    </row>
    <row r="864" spans="1:5" x14ac:dyDescent="0.25">
      <c r="A864" t="s">
        <v>420</v>
      </c>
      <c r="B864" t="s">
        <v>2518</v>
      </c>
      <c r="C864" t="s">
        <v>2508</v>
      </c>
      <c r="D864">
        <v>2019</v>
      </c>
      <c r="E864">
        <v>14</v>
      </c>
    </row>
    <row r="865" spans="1:5" x14ac:dyDescent="0.25">
      <c r="A865" t="s">
        <v>420</v>
      </c>
      <c r="B865" t="s">
        <v>2518</v>
      </c>
      <c r="C865" t="s">
        <v>1689</v>
      </c>
      <c r="D865">
        <v>2019</v>
      </c>
      <c r="E865">
        <v>20</v>
      </c>
    </row>
    <row r="866" spans="1:5" x14ac:dyDescent="0.25">
      <c r="A866" t="s">
        <v>420</v>
      </c>
      <c r="B866" t="s">
        <v>2518</v>
      </c>
      <c r="C866" t="s">
        <v>2519</v>
      </c>
      <c r="D866">
        <v>2019</v>
      </c>
      <c r="E866">
        <v>2</v>
      </c>
    </row>
    <row r="867" spans="1:5" x14ac:dyDescent="0.25">
      <c r="A867" t="s">
        <v>420</v>
      </c>
      <c r="B867" t="s">
        <v>2518</v>
      </c>
      <c r="C867" t="s">
        <v>1597</v>
      </c>
      <c r="D867">
        <v>2019</v>
      </c>
      <c r="E867">
        <v>7</v>
      </c>
    </row>
    <row r="868" spans="1:5" x14ac:dyDescent="0.25">
      <c r="A868" t="s">
        <v>420</v>
      </c>
      <c r="B868" t="s">
        <v>2518</v>
      </c>
      <c r="C868" t="s">
        <v>1516</v>
      </c>
      <c r="D868">
        <v>2019</v>
      </c>
      <c r="E868">
        <v>11</v>
      </c>
    </row>
    <row r="869" spans="1:5" x14ac:dyDescent="0.25">
      <c r="A869" t="s">
        <v>420</v>
      </c>
      <c r="B869" t="s">
        <v>2518</v>
      </c>
      <c r="C869" t="s">
        <v>2498</v>
      </c>
      <c r="D869">
        <v>2019</v>
      </c>
      <c r="E869">
        <v>1</v>
      </c>
    </row>
    <row r="870" spans="1:5" x14ac:dyDescent="0.25">
      <c r="A870" t="s">
        <v>420</v>
      </c>
      <c r="B870" t="s">
        <v>2518</v>
      </c>
      <c r="C870" t="s">
        <v>765</v>
      </c>
      <c r="D870">
        <v>2019</v>
      </c>
      <c r="E870">
        <v>16</v>
      </c>
    </row>
    <row r="871" spans="1:5" x14ac:dyDescent="0.25">
      <c r="A871" t="s">
        <v>420</v>
      </c>
      <c r="B871" t="s">
        <v>2518</v>
      </c>
      <c r="C871" t="s">
        <v>2511</v>
      </c>
      <c r="D871">
        <v>2019</v>
      </c>
      <c r="E871">
        <v>15</v>
      </c>
    </row>
    <row r="872" spans="1:5" x14ac:dyDescent="0.25">
      <c r="A872" t="s">
        <v>420</v>
      </c>
      <c r="B872" t="s">
        <v>2518</v>
      </c>
      <c r="C872" t="s">
        <v>2512</v>
      </c>
      <c r="D872">
        <v>2019</v>
      </c>
      <c r="E872">
        <v>8</v>
      </c>
    </row>
    <row r="873" spans="1:5" x14ac:dyDescent="0.25">
      <c r="A873" t="s">
        <v>420</v>
      </c>
      <c r="B873" t="s">
        <v>2518</v>
      </c>
      <c r="C873" t="s">
        <v>459</v>
      </c>
      <c r="D873">
        <v>2019</v>
      </c>
      <c r="E873">
        <v>34</v>
      </c>
    </row>
    <row r="874" spans="1:5" x14ac:dyDescent="0.25">
      <c r="A874" t="s">
        <v>420</v>
      </c>
      <c r="B874" t="s">
        <v>2518</v>
      </c>
      <c r="C874" t="s">
        <v>2039</v>
      </c>
      <c r="D874">
        <v>2018</v>
      </c>
      <c r="E874">
        <v>51</v>
      </c>
    </row>
    <row r="875" spans="1:5" x14ac:dyDescent="0.25">
      <c r="A875" t="s">
        <v>420</v>
      </c>
      <c r="B875" t="s">
        <v>2518</v>
      </c>
      <c r="C875" t="s">
        <v>2507</v>
      </c>
      <c r="D875">
        <v>2018</v>
      </c>
      <c r="E875">
        <v>20</v>
      </c>
    </row>
    <row r="876" spans="1:5" x14ac:dyDescent="0.25">
      <c r="A876" t="s">
        <v>420</v>
      </c>
      <c r="B876" t="s">
        <v>2518</v>
      </c>
      <c r="C876" t="s">
        <v>2508</v>
      </c>
      <c r="D876">
        <v>2018</v>
      </c>
      <c r="E876">
        <v>11</v>
      </c>
    </row>
    <row r="877" spans="1:5" x14ac:dyDescent="0.25">
      <c r="A877" t="s">
        <v>420</v>
      </c>
      <c r="B877" t="s">
        <v>2518</v>
      </c>
      <c r="C877" t="s">
        <v>1689</v>
      </c>
      <c r="D877">
        <v>2018</v>
      </c>
      <c r="E877">
        <v>15</v>
      </c>
    </row>
    <row r="878" spans="1:5" x14ac:dyDescent="0.25">
      <c r="A878" t="s">
        <v>420</v>
      </c>
      <c r="B878" t="s">
        <v>2518</v>
      </c>
      <c r="C878" t="s">
        <v>2519</v>
      </c>
      <c r="D878">
        <v>2018</v>
      </c>
      <c r="E878">
        <v>4</v>
      </c>
    </row>
    <row r="879" spans="1:5" x14ac:dyDescent="0.25">
      <c r="A879" t="s">
        <v>420</v>
      </c>
      <c r="B879" t="s">
        <v>2518</v>
      </c>
      <c r="C879" t="s">
        <v>2520</v>
      </c>
      <c r="D879">
        <v>2018</v>
      </c>
      <c r="E879">
        <v>3</v>
      </c>
    </row>
    <row r="880" spans="1:5" x14ac:dyDescent="0.25">
      <c r="A880" t="s">
        <v>420</v>
      </c>
      <c r="B880" t="s">
        <v>2518</v>
      </c>
      <c r="C880" t="s">
        <v>1597</v>
      </c>
      <c r="D880">
        <v>2018</v>
      </c>
      <c r="E880">
        <v>5</v>
      </c>
    </row>
    <row r="881" spans="1:5" x14ac:dyDescent="0.25">
      <c r="A881" t="s">
        <v>420</v>
      </c>
      <c r="B881" t="s">
        <v>2518</v>
      </c>
      <c r="C881" t="s">
        <v>1516</v>
      </c>
      <c r="D881">
        <v>2018</v>
      </c>
      <c r="E881">
        <v>5</v>
      </c>
    </row>
    <row r="882" spans="1:5" x14ac:dyDescent="0.25">
      <c r="A882" t="s">
        <v>420</v>
      </c>
      <c r="B882" t="s">
        <v>2518</v>
      </c>
      <c r="C882" t="s">
        <v>2498</v>
      </c>
      <c r="D882">
        <v>2018</v>
      </c>
      <c r="E882">
        <v>1</v>
      </c>
    </row>
    <row r="883" spans="1:5" x14ac:dyDescent="0.25">
      <c r="A883" t="s">
        <v>420</v>
      </c>
      <c r="B883" t="s">
        <v>2518</v>
      </c>
      <c r="C883" t="s">
        <v>765</v>
      </c>
      <c r="D883">
        <v>2018</v>
      </c>
      <c r="E883">
        <v>18</v>
      </c>
    </row>
    <row r="884" spans="1:5" x14ac:dyDescent="0.25">
      <c r="A884" t="s">
        <v>420</v>
      </c>
      <c r="B884" t="s">
        <v>2518</v>
      </c>
      <c r="C884" t="s">
        <v>2511</v>
      </c>
      <c r="D884">
        <v>2018</v>
      </c>
      <c r="E884">
        <v>15</v>
      </c>
    </row>
    <row r="885" spans="1:5" x14ac:dyDescent="0.25">
      <c r="A885" t="s">
        <v>420</v>
      </c>
      <c r="B885" t="s">
        <v>2518</v>
      </c>
      <c r="C885" t="s">
        <v>2512</v>
      </c>
      <c r="D885">
        <v>2018</v>
      </c>
      <c r="E885">
        <v>11</v>
      </c>
    </row>
    <row r="886" spans="1:5" x14ac:dyDescent="0.25">
      <c r="A886" t="s">
        <v>420</v>
      </c>
      <c r="B886" t="s">
        <v>2518</v>
      </c>
      <c r="C886" t="s">
        <v>459</v>
      </c>
      <c r="D886">
        <v>2018</v>
      </c>
      <c r="E886">
        <v>28</v>
      </c>
    </row>
    <row r="887" spans="1:5" x14ac:dyDescent="0.25">
      <c r="A887" t="s">
        <v>420</v>
      </c>
      <c r="B887" t="s">
        <v>2518</v>
      </c>
      <c r="C887" t="s">
        <v>2515</v>
      </c>
      <c r="D887">
        <v>2017</v>
      </c>
      <c r="E887">
        <v>1</v>
      </c>
    </row>
    <row r="888" spans="1:5" x14ac:dyDescent="0.25">
      <c r="A888" t="s">
        <v>420</v>
      </c>
      <c r="B888" t="s">
        <v>2518</v>
      </c>
      <c r="C888" t="s">
        <v>2039</v>
      </c>
      <c r="D888">
        <v>2017</v>
      </c>
      <c r="E888">
        <v>51</v>
      </c>
    </row>
    <row r="889" spans="1:5" x14ac:dyDescent="0.25">
      <c r="A889" t="s">
        <v>420</v>
      </c>
      <c r="B889" t="s">
        <v>2518</v>
      </c>
      <c r="C889" t="s">
        <v>2507</v>
      </c>
      <c r="D889">
        <v>2017</v>
      </c>
      <c r="E889">
        <v>23</v>
      </c>
    </row>
    <row r="890" spans="1:5" x14ac:dyDescent="0.25">
      <c r="A890" t="s">
        <v>420</v>
      </c>
      <c r="B890" t="s">
        <v>2518</v>
      </c>
      <c r="C890" t="s">
        <v>2508</v>
      </c>
      <c r="D890">
        <v>2017</v>
      </c>
      <c r="E890">
        <v>4</v>
      </c>
    </row>
    <row r="891" spans="1:5" x14ac:dyDescent="0.25">
      <c r="A891" t="s">
        <v>420</v>
      </c>
      <c r="B891" t="s">
        <v>2518</v>
      </c>
      <c r="C891" t="s">
        <v>1689</v>
      </c>
      <c r="D891">
        <v>2017</v>
      </c>
      <c r="E891">
        <v>13</v>
      </c>
    </row>
    <row r="892" spans="1:5" x14ac:dyDescent="0.25">
      <c r="A892" t="s">
        <v>420</v>
      </c>
      <c r="B892" t="s">
        <v>2518</v>
      </c>
      <c r="C892" t="s">
        <v>2519</v>
      </c>
      <c r="D892">
        <v>2017</v>
      </c>
      <c r="E892">
        <v>3</v>
      </c>
    </row>
    <row r="893" spans="1:5" x14ac:dyDescent="0.25">
      <c r="A893" t="s">
        <v>420</v>
      </c>
      <c r="B893" t="s">
        <v>2518</v>
      </c>
      <c r="C893" t="s">
        <v>2520</v>
      </c>
      <c r="D893">
        <v>2017</v>
      </c>
      <c r="E893">
        <v>4</v>
      </c>
    </row>
    <row r="894" spans="1:5" x14ac:dyDescent="0.25">
      <c r="A894" t="s">
        <v>420</v>
      </c>
      <c r="B894" t="s">
        <v>2518</v>
      </c>
      <c r="C894" t="s">
        <v>1597</v>
      </c>
      <c r="D894">
        <v>2017</v>
      </c>
      <c r="E894">
        <v>11</v>
      </c>
    </row>
    <row r="895" spans="1:5" x14ac:dyDescent="0.25">
      <c r="A895" t="s">
        <v>420</v>
      </c>
      <c r="B895" t="s">
        <v>2518</v>
      </c>
      <c r="C895" t="s">
        <v>1516</v>
      </c>
      <c r="D895">
        <v>2017</v>
      </c>
      <c r="E895">
        <v>8</v>
      </c>
    </row>
    <row r="896" spans="1:5" x14ac:dyDescent="0.25">
      <c r="A896" t="s">
        <v>420</v>
      </c>
      <c r="B896" t="s">
        <v>2518</v>
      </c>
      <c r="C896" t="s">
        <v>2498</v>
      </c>
      <c r="D896">
        <v>2017</v>
      </c>
      <c r="E896">
        <v>1</v>
      </c>
    </row>
    <row r="897" spans="1:5" x14ac:dyDescent="0.25">
      <c r="A897" t="s">
        <v>420</v>
      </c>
      <c r="B897" t="s">
        <v>2518</v>
      </c>
      <c r="C897" t="s">
        <v>765</v>
      </c>
      <c r="D897">
        <v>2017</v>
      </c>
      <c r="E897">
        <v>22</v>
      </c>
    </row>
    <row r="898" spans="1:5" x14ac:dyDescent="0.25">
      <c r="A898" t="s">
        <v>420</v>
      </c>
      <c r="B898" t="s">
        <v>2518</v>
      </c>
      <c r="C898" t="s">
        <v>2511</v>
      </c>
      <c r="D898">
        <v>2017</v>
      </c>
      <c r="E898">
        <v>13</v>
      </c>
    </row>
    <row r="899" spans="1:5" x14ac:dyDescent="0.25">
      <c r="A899" t="s">
        <v>420</v>
      </c>
      <c r="B899" t="s">
        <v>2518</v>
      </c>
      <c r="C899" t="s">
        <v>2512</v>
      </c>
      <c r="D899">
        <v>2017</v>
      </c>
      <c r="E899">
        <v>9</v>
      </c>
    </row>
    <row r="900" spans="1:5" x14ac:dyDescent="0.25">
      <c r="A900" t="s">
        <v>420</v>
      </c>
      <c r="B900" t="s">
        <v>2518</v>
      </c>
      <c r="C900" t="s">
        <v>459</v>
      </c>
      <c r="D900">
        <v>2017</v>
      </c>
      <c r="E900">
        <v>27</v>
      </c>
    </row>
    <row r="901" spans="1:5" x14ac:dyDescent="0.25">
      <c r="A901" t="s">
        <v>420</v>
      </c>
      <c r="B901" t="s">
        <v>2518</v>
      </c>
      <c r="C901" t="s">
        <v>2515</v>
      </c>
      <c r="D901">
        <v>2016</v>
      </c>
      <c r="E901">
        <v>1</v>
      </c>
    </row>
    <row r="902" spans="1:5" x14ac:dyDescent="0.25">
      <c r="A902" t="s">
        <v>420</v>
      </c>
      <c r="B902" t="s">
        <v>2518</v>
      </c>
      <c r="C902" t="s">
        <v>2039</v>
      </c>
      <c r="D902">
        <v>2016</v>
      </c>
      <c r="E902">
        <v>52</v>
      </c>
    </row>
    <row r="903" spans="1:5" x14ac:dyDescent="0.25">
      <c r="A903" t="s">
        <v>420</v>
      </c>
      <c r="B903" t="s">
        <v>2518</v>
      </c>
      <c r="C903" t="s">
        <v>2507</v>
      </c>
      <c r="D903">
        <v>2016</v>
      </c>
      <c r="E903">
        <v>30</v>
      </c>
    </row>
    <row r="904" spans="1:5" x14ac:dyDescent="0.25">
      <c r="A904" t="s">
        <v>420</v>
      </c>
      <c r="B904" t="s">
        <v>2518</v>
      </c>
      <c r="C904" t="s">
        <v>1689</v>
      </c>
      <c r="D904">
        <v>2016</v>
      </c>
      <c r="E904">
        <v>14</v>
      </c>
    </row>
    <row r="905" spans="1:5" x14ac:dyDescent="0.25">
      <c r="A905" t="s">
        <v>420</v>
      </c>
      <c r="B905" t="s">
        <v>2518</v>
      </c>
      <c r="C905" t="s">
        <v>2519</v>
      </c>
      <c r="D905">
        <v>2016</v>
      </c>
      <c r="E905">
        <v>4</v>
      </c>
    </row>
    <row r="906" spans="1:5" x14ac:dyDescent="0.25">
      <c r="A906" t="s">
        <v>420</v>
      </c>
      <c r="B906" t="s">
        <v>2518</v>
      </c>
      <c r="C906" t="s">
        <v>2520</v>
      </c>
      <c r="D906">
        <v>2016</v>
      </c>
      <c r="E906">
        <v>4</v>
      </c>
    </row>
    <row r="907" spans="1:5" x14ac:dyDescent="0.25">
      <c r="A907" t="s">
        <v>420</v>
      </c>
      <c r="B907" t="s">
        <v>2518</v>
      </c>
      <c r="C907" t="s">
        <v>1597</v>
      </c>
      <c r="D907">
        <v>2016</v>
      </c>
      <c r="E907">
        <v>10</v>
      </c>
    </row>
    <row r="908" spans="1:5" x14ac:dyDescent="0.25">
      <c r="A908" t="s">
        <v>420</v>
      </c>
      <c r="B908" t="s">
        <v>2518</v>
      </c>
      <c r="C908" t="s">
        <v>1516</v>
      </c>
      <c r="D908">
        <v>2016</v>
      </c>
      <c r="E908">
        <v>5</v>
      </c>
    </row>
    <row r="909" spans="1:5" x14ac:dyDescent="0.25">
      <c r="A909" t="s">
        <v>420</v>
      </c>
      <c r="B909" t="s">
        <v>2518</v>
      </c>
      <c r="C909" t="s">
        <v>2498</v>
      </c>
      <c r="D909">
        <v>2016</v>
      </c>
      <c r="E909">
        <v>1</v>
      </c>
    </row>
    <row r="910" spans="1:5" x14ac:dyDescent="0.25">
      <c r="A910" t="s">
        <v>420</v>
      </c>
      <c r="B910" t="s">
        <v>2518</v>
      </c>
      <c r="C910" t="s">
        <v>765</v>
      </c>
      <c r="D910">
        <v>2016</v>
      </c>
      <c r="E910">
        <v>20</v>
      </c>
    </row>
    <row r="911" spans="1:5" x14ac:dyDescent="0.25">
      <c r="A911" t="s">
        <v>420</v>
      </c>
      <c r="B911" t="s">
        <v>2518</v>
      </c>
      <c r="C911" t="s">
        <v>2511</v>
      </c>
      <c r="D911">
        <v>2016</v>
      </c>
      <c r="E911">
        <v>8</v>
      </c>
    </row>
    <row r="912" spans="1:5" x14ac:dyDescent="0.25">
      <c r="A912" t="s">
        <v>420</v>
      </c>
      <c r="B912" t="s">
        <v>2518</v>
      </c>
      <c r="C912" t="s">
        <v>2512</v>
      </c>
      <c r="D912">
        <v>2016</v>
      </c>
      <c r="E912">
        <v>8</v>
      </c>
    </row>
    <row r="913" spans="1:5" x14ac:dyDescent="0.25">
      <c r="A913" t="s">
        <v>420</v>
      </c>
      <c r="B913" t="s">
        <v>2518</v>
      </c>
      <c r="C913" t="s">
        <v>459</v>
      </c>
      <c r="D913">
        <v>2016</v>
      </c>
      <c r="E913">
        <v>25</v>
      </c>
    </row>
    <row r="914" spans="1:5" x14ac:dyDescent="0.25">
      <c r="A914" t="s">
        <v>420</v>
      </c>
      <c r="B914" t="s">
        <v>2518</v>
      </c>
      <c r="C914" t="s">
        <v>2515</v>
      </c>
      <c r="D914">
        <v>2015</v>
      </c>
      <c r="E914">
        <v>13</v>
      </c>
    </row>
    <row r="915" spans="1:5" x14ac:dyDescent="0.25">
      <c r="A915" t="s">
        <v>420</v>
      </c>
      <c r="B915" t="s">
        <v>2518</v>
      </c>
      <c r="C915" t="s">
        <v>2039</v>
      </c>
      <c r="D915">
        <v>2015</v>
      </c>
      <c r="E915">
        <v>53</v>
      </c>
    </row>
    <row r="916" spans="1:5" x14ac:dyDescent="0.25">
      <c r="A916" t="s">
        <v>420</v>
      </c>
      <c r="B916" t="s">
        <v>2518</v>
      </c>
      <c r="C916" t="s">
        <v>2507</v>
      </c>
      <c r="D916">
        <v>2015</v>
      </c>
      <c r="E916">
        <v>27</v>
      </c>
    </row>
    <row r="917" spans="1:5" x14ac:dyDescent="0.25">
      <c r="A917" t="s">
        <v>420</v>
      </c>
      <c r="B917" t="s">
        <v>2518</v>
      </c>
      <c r="C917" t="s">
        <v>1689</v>
      </c>
      <c r="D917">
        <v>2015</v>
      </c>
      <c r="E917">
        <v>12</v>
      </c>
    </row>
    <row r="918" spans="1:5" x14ac:dyDescent="0.25">
      <c r="A918" t="s">
        <v>420</v>
      </c>
      <c r="B918" t="s">
        <v>2518</v>
      </c>
      <c r="C918" t="s">
        <v>2519</v>
      </c>
      <c r="D918">
        <v>2015</v>
      </c>
      <c r="E918">
        <v>2</v>
      </c>
    </row>
    <row r="919" spans="1:5" x14ac:dyDescent="0.25">
      <c r="A919" t="s">
        <v>420</v>
      </c>
      <c r="B919" t="s">
        <v>2518</v>
      </c>
      <c r="C919" t="s">
        <v>2520</v>
      </c>
      <c r="D919">
        <v>2015</v>
      </c>
      <c r="E919">
        <v>10</v>
      </c>
    </row>
    <row r="920" spans="1:5" x14ac:dyDescent="0.25">
      <c r="A920" t="s">
        <v>420</v>
      </c>
      <c r="B920" t="s">
        <v>2518</v>
      </c>
      <c r="C920" t="s">
        <v>1597</v>
      </c>
      <c r="D920">
        <v>2015</v>
      </c>
      <c r="E920">
        <v>11</v>
      </c>
    </row>
    <row r="921" spans="1:5" x14ac:dyDescent="0.25">
      <c r="A921" t="s">
        <v>420</v>
      </c>
      <c r="B921" t="s">
        <v>2518</v>
      </c>
      <c r="C921" t="s">
        <v>1516</v>
      </c>
      <c r="D921">
        <v>2015</v>
      </c>
      <c r="E921">
        <v>3</v>
      </c>
    </row>
    <row r="922" spans="1:5" x14ac:dyDescent="0.25">
      <c r="A922" t="s">
        <v>420</v>
      </c>
      <c r="B922" t="s">
        <v>2518</v>
      </c>
      <c r="C922" t="s">
        <v>2498</v>
      </c>
      <c r="D922">
        <v>2015</v>
      </c>
      <c r="E922">
        <v>3</v>
      </c>
    </row>
    <row r="923" spans="1:5" x14ac:dyDescent="0.25">
      <c r="A923" t="s">
        <v>420</v>
      </c>
      <c r="B923" t="s">
        <v>2518</v>
      </c>
      <c r="C923" t="s">
        <v>765</v>
      </c>
      <c r="D923">
        <v>2015</v>
      </c>
      <c r="E923">
        <v>21</v>
      </c>
    </row>
    <row r="924" spans="1:5" x14ac:dyDescent="0.25">
      <c r="A924" t="s">
        <v>420</v>
      </c>
      <c r="B924" t="s">
        <v>2518</v>
      </c>
      <c r="C924" t="s">
        <v>2511</v>
      </c>
      <c r="D924">
        <v>2015</v>
      </c>
      <c r="E924">
        <v>7</v>
      </c>
    </row>
    <row r="925" spans="1:5" x14ac:dyDescent="0.25">
      <c r="A925" t="s">
        <v>420</v>
      </c>
      <c r="B925" t="s">
        <v>2518</v>
      </c>
      <c r="C925" t="s">
        <v>2512</v>
      </c>
      <c r="D925">
        <v>2015</v>
      </c>
      <c r="E925">
        <v>7</v>
      </c>
    </row>
    <row r="926" spans="1:5" x14ac:dyDescent="0.25">
      <c r="A926" t="s">
        <v>420</v>
      </c>
      <c r="B926" t="s">
        <v>2518</v>
      </c>
      <c r="C926" t="s">
        <v>459</v>
      </c>
      <c r="D926">
        <v>2015</v>
      </c>
      <c r="E926">
        <v>27</v>
      </c>
    </row>
    <row r="927" spans="1:5" x14ac:dyDescent="0.25">
      <c r="A927" t="s">
        <v>420</v>
      </c>
      <c r="B927" t="s">
        <v>2518</v>
      </c>
      <c r="C927" t="s">
        <v>2515</v>
      </c>
      <c r="D927">
        <v>2014</v>
      </c>
      <c r="E927">
        <v>13</v>
      </c>
    </row>
    <row r="928" spans="1:5" x14ac:dyDescent="0.25">
      <c r="A928" t="s">
        <v>420</v>
      </c>
      <c r="B928" t="s">
        <v>2518</v>
      </c>
      <c r="C928" t="s">
        <v>2039</v>
      </c>
      <c r="D928">
        <v>2014</v>
      </c>
      <c r="E928">
        <v>58</v>
      </c>
    </row>
    <row r="929" spans="1:5" x14ac:dyDescent="0.25">
      <c r="A929" t="s">
        <v>420</v>
      </c>
      <c r="B929" t="s">
        <v>2518</v>
      </c>
      <c r="C929" t="s">
        <v>2507</v>
      </c>
      <c r="D929">
        <v>2014</v>
      </c>
      <c r="E929">
        <v>22</v>
      </c>
    </row>
    <row r="930" spans="1:5" x14ac:dyDescent="0.25">
      <c r="A930" t="s">
        <v>420</v>
      </c>
      <c r="B930" t="s">
        <v>2518</v>
      </c>
      <c r="C930" t="s">
        <v>1689</v>
      </c>
      <c r="D930">
        <v>2014</v>
      </c>
      <c r="E930">
        <v>16</v>
      </c>
    </row>
    <row r="931" spans="1:5" x14ac:dyDescent="0.25">
      <c r="A931" t="s">
        <v>420</v>
      </c>
      <c r="B931" t="s">
        <v>2518</v>
      </c>
      <c r="C931" t="s">
        <v>2519</v>
      </c>
      <c r="D931">
        <v>2014</v>
      </c>
      <c r="E931">
        <v>1</v>
      </c>
    </row>
    <row r="932" spans="1:5" x14ac:dyDescent="0.25">
      <c r="A932" t="s">
        <v>420</v>
      </c>
      <c r="B932" t="s">
        <v>2518</v>
      </c>
      <c r="C932" t="s">
        <v>2520</v>
      </c>
      <c r="D932">
        <v>2014</v>
      </c>
      <c r="E932">
        <v>13</v>
      </c>
    </row>
    <row r="933" spans="1:5" x14ac:dyDescent="0.25">
      <c r="A933" t="s">
        <v>420</v>
      </c>
      <c r="B933" t="s">
        <v>2518</v>
      </c>
      <c r="C933" t="s">
        <v>1597</v>
      </c>
      <c r="D933">
        <v>2014</v>
      </c>
      <c r="E933">
        <v>11</v>
      </c>
    </row>
    <row r="934" spans="1:5" x14ac:dyDescent="0.25">
      <c r="A934" t="s">
        <v>420</v>
      </c>
      <c r="B934" t="s">
        <v>2518</v>
      </c>
      <c r="C934" t="s">
        <v>1516</v>
      </c>
      <c r="D934">
        <v>2014</v>
      </c>
      <c r="E934">
        <v>5</v>
      </c>
    </row>
    <row r="935" spans="1:5" x14ac:dyDescent="0.25">
      <c r="A935" t="s">
        <v>420</v>
      </c>
      <c r="B935" t="s">
        <v>2518</v>
      </c>
      <c r="C935" t="s">
        <v>2498</v>
      </c>
      <c r="D935">
        <v>2014</v>
      </c>
      <c r="E935">
        <v>6</v>
      </c>
    </row>
    <row r="936" spans="1:5" x14ac:dyDescent="0.25">
      <c r="A936" t="s">
        <v>420</v>
      </c>
      <c r="B936" t="s">
        <v>2518</v>
      </c>
      <c r="C936" t="s">
        <v>765</v>
      </c>
      <c r="D936">
        <v>2014</v>
      </c>
      <c r="E936">
        <v>23</v>
      </c>
    </row>
    <row r="937" spans="1:5" x14ac:dyDescent="0.25">
      <c r="A937" t="s">
        <v>420</v>
      </c>
      <c r="B937" t="s">
        <v>2518</v>
      </c>
      <c r="C937" t="s">
        <v>2511</v>
      </c>
      <c r="D937">
        <v>2014</v>
      </c>
      <c r="E937">
        <v>2</v>
      </c>
    </row>
    <row r="938" spans="1:5" x14ac:dyDescent="0.25">
      <c r="A938" t="s">
        <v>420</v>
      </c>
      <c r="B938" t="s">
        <v>2518</v>
      </c>
      <c r="C938" t="s">
        <v>2512</v>
      </c>
      <c r="D938">
        <v>2014</v>
      </c>
      <c r="E938">
        <v>8</v>
      </c>
    </row>
    <row r="939" spans="1:5" x14ac:dyDescent="0.25">
      <c r="A939" t="s">
        <v>420</v>
      </c>
      <c r="B939" t="s">
        <v>2518</v>
      </c>
      <c r="C939" t="s">
        <v>459</v>
      </c>
      <c r="D939">
        <v>2014</v>
      </c>
      <c r="E939">
        <v>19</v>
      </c>
    </row>
    <row r="940" spans="1:5" x14ac:dyDescent="0.25">
      <c r="A940" t="s">
        <v>420</v>
      </c>
      <c r="B940" t="s">
        <v>2518</v>
      </c>
      <c r="C940" t="s">
        <v>2515</v>
      </c>
      <c r="D940">
        <v>2013</v>
      </c>
      <c r="E940">
        <v>11</v>
      </c>
    </row>
    <row r="941" spans="1:5" x14ac:dyDescent="0.25">
      <c r="A941" t="s">
        <v>420</v>
      </c>
      <c r="B941" t="s">
        <v>2518</v>
      </c>
      <c r="C941" t="s">
        <v>2039</v>
      </c>
      <c r="D941">
        <v>2013</v>
      </c>
      <c r="E941">
        <v>58</v>
      </c>
    </row>
    <row r="942" spans="1:5" x14ac:dyDescent="0.25">
      <c r="A942" t="s">
        <v>420</v>
      </c>
      <c r="B942" t="s">
        <v>2518</v>
      </c>
      <c r="C942" t="s">
        <v>2507</v>
      </c>
      <c r="D942">
        <v>2013</v>
      </c>
      <c r="E942">
        <v>26</v>
      </c>
    </row>
    <row r="943" spans="1:5" x14ac:dyDescent="0.25">
      <c r="A943" t="s">
        <v>420</v>
      </c>
      <c r="B943" t="s">
        <v>2518</v>
      </c>
      <c r="C943" t="s">
        <v>1689</v>
      </c>
      <c r="D943">
        <v>2013</v>
      </c>
      <c r="E943">
        <v>15</v>
      </c>
    </row>
    <row r="944" spans="1:5" x14ac:dyDescent="0.25">
      <c r="A944" t="s">
        <v>420</v>
      </c>
      <c r="B944" t="s">
        <v>2518</v>
      </c>
      <c r="C944" t="s">
        <v>2520</v>
      </c>
      <c r="D944">
        <v>2013</v>
      </c>
      <c r="E944">
        <v>18</v>
      </c>
    </row>
    <row r="945" spans="1:5" x14ac:dyDescent="0.25">
      <c r="A945" t="s">
        <v>420</v>
      </c>
      <c r="B945" t="s">
        <v>2518</v>
      </c>
      <c r="C945" t="s">
        <v>1597</v>
      </c>
      <c r="D945">
        <v>2013</v>
      </c>
      <c r="E945">
        <v>10</v>
      </c>
    </row>
    <row r="946" spans="1:5" x14ac:dyDescent="0.25">
      <c r="A946" t="s">
        <v>420</v>
      </c>
      <c r="B946" t="s">
        <v>2518</v>
      </c>
      <c r="C946" t="s">
        <v>1516</v>
      </c>
      <c r="D946">
        <v>2013</v>
      </c>
      <c r="E946">
        <v>4</v>
      </c>
    </row>
    <row r="947" spans="1:5" x14ac:dyDescent="0.25">
      <c r="A947" t="s">
        <v>420</v>
      </c>
      <c r="B947" t="s">
        <v>2518</v>
      </c>
      <c r="C947" t="s">
        <v>2498</v>
      </c>
      <c r="D947">
        <v>2013</v>
      </c>
      <c r="E947">
        <v>9</v>
      </c>
    </row>
    <row r="948" spans="1:5" x14ac:dyDescent="0.25">
      <c r="A948" t="s">
        <v>420</v>
      </c>
      <c r="B948" t="s">
        <v>2518</v>
      </c>
      <c r="C948" t="s">
        <v>765</v>
      </c>
      <c r="D948">
        <v>2013</v>
      </c>
      <c r="E948">
        <v>26</v>
      </c>
    </row>
    <row r="949" spans="1:5" x14ac:dyDescent="0.25">
      <c r="A949" t="s">
        <v>420</v>
      </c>
      <c r="B949" t="s">
        <v>2518</v>
      </c>
      <c r="C949" t="s">
        <v>2512</v>
      </c>
      <c r="D949">
        <v>2013</v>
      </c>
      <c r="E949">
        <v>5</v>
      </c>
    </row>
    <row r="950" spans="1:5" x14ac:dyDescent="0.25">
      <c r="A950" t="s">
        <v>420</v>
      </c>
      <c r="B950" t="s">
        <v>2518</v>
      </c>
      <c r="C950" t="s">
        <v>459</v>
      </c>
      <c r="D950">
        <v>2013</v>
      </c>
      <c r="E950">
        <v>31</v>
      </c>
    </row>
    <row r="951" spans="1:5" x14ac:dyDescent="0.25">
      <c r="A951" t="s">
        <v>420</v>
      </c>
      <c r="B951" t="s">
        <v>2518</v>
      </c>
      <c r="C951" t="s">
        <v>2515</v>
      </c>
      <c r="D951">
        <v>2012</v>
      </c>
      <c r="E951">
        <v>9</v>
      </c>
    </row>
    <row r="952" spans="1:5" x14ac:dyDescent="0.25">
      <c r="A952" t="s">
        <v>420</v>
      </c>
      <c r="B952" t="s">
        <v>2518</v>
      </c>
      <c r="C952" t="s">
        <v>2039</v>
      </c>
      <c r="D952">
        <v>2012</v>
      </c>
      <c r="E952">
        <v>53</v>
      </c>
    </row>
    <row r="953" spans="1:5" x14ac:dyDescent="0.25">
      <c r="A953" t="s">
        <v>420</v>
      </c>
      <c r="B953" t="s">
        <v>2518</v>
      </c>
      <c r="C953" t="s">
        <v>2507</v>
      </c>
      <c r="D953">
        <v>2012</v>
      </c>
      <c r="E953">
        <v>24</v>
      </c>
    </row>
    <row r="954" spans="1:5" x14ac:dyDescent="0.25">
      <c r="A954" t="s">
        <v>420</v>
      </c>
      <c r="B954" t="s">
        <v>2518</v>
      </c>
      <c r="C954" t="s">
        <v>1689</v>
      </c>
      <c r="D954">
        <v>2012</v>
      </c>
      <c r="E954">
        <v>15</v>
      </c>
    </row>
    <row r="955" spans="1:5" x14ac:dyDescent="0.25">
      <c r="A955" t="s">
        <v>420</v>
      </c>
      <c r="B955" t="s">
        <v>2518</v>
      </c>
      <c r="C955" t="s">
        <v>2520</v>
      </c>
      <c r="D955">
        <v>2012</v>
      </c>
      <c r="E955">
        <v>17</v>
      </c>
    </row>
    <row r="956" spans="1:5" x14ac:dyDescent="0.25">
      <c r="A956" t="s">
        <v>420</v>
      </c>
      <c r="B956" t="s">
        <v>2518</v>
      </c>
      <c r="C956" t="s">
        <v>1597</v>
      </c>
      <c r="D956">
        <v>2012</v>
      </c>
      <c r="E956">
        <v>11</v>
      </c>
    </row>
    <row r="957" spans="1:5" x14ac:dyDescent="0.25">
      <c r="A957" t="s">
        <v>420</v>
      </c>
      <c r="B957" t="s">
        <v>2518</v>
      </c>
      <c r="C957" t="s">
        <v>1516</v>
      </c>
      <c r="D957">
        <v>2012</v>
      </c>
      <c r="E957">
        <v>4</v>
      </c>
    </row>
    <row r="958" spans="1:5" x14ac:dyDescent="0.25">
      <c r="A958" t="s">
        <v>420</v>
      </c>
      <c r="B958" t="s">
        <v>2518</v>
      </c>
      <c r="C958" t="s">
        <v>2498</v>
      </c>
      <c r="D958">
        <v>2012</v>
      </c>
      <c r="E958">
        <v>8</v>
      </c>
    </row>
    <row r="959" spans="1:5" x14ac:dyDescent="0.25">
      <c r="A959" t="s">
        <v>420</v>
      </c>
      <c r="B959" t="s">
        <v>2518</v>
      </c>
      <c r="C959" t="s">
        <v>765</v>
      </c>
      <c r="D959">
        <v>2012</v>
      </c>
      <c r="E959">
        <v>25</v>
      </c>
    </row>
    <row r="960" spans="1:5" x14ac:dyDescent="0.25">
      <c r="A960" t="s">
        <v>420</v>
      </c>
      <c r="B960" t="s">
        <v>2518</v>
      </c>
      <c r="C960" t="s">
        <v>588</v>
      </c>
      <c r="D960">
        <v>2012</v>
      </c>
      <c r="E960">
        <v>1</v>
      </c>
    </row>
    <row r="961" spans="1:5" x14ac:dyDescent="0.25">
      <c r="A961" t="s">
        <v>420</v>
      </c>
      <c r="B961" t="s">
        <v>2518</v>
      </c>
      <c r="C961" t="s">
        <v>2512</v>
      </c>
      <c r="D961">
        <v>2012</v>
      </c>
      <c r="E961">
        <v>3</v>
      </c>
    </row>
    <row r="962" spans="1:5" x14ac:dyDescent="0.25">
      <c r="A962" t="s">
        <v>420</v>
      </c>
      <c r="B962" t="s">
        <v>2518</v>
      </c>
      <c r="C962" t="s">
        <v>459</v>
      </c>
      <c r="D962">
        <v>2012</v>
      </c>
      <c r="E962">
        <v>32</v>
      </c>
    </row>
    <row r="963" spans="1:5" x14ac:dyDescent="0.25">
      <c r="A963" t="s">
        <v>420</v>
      </c>
      <c r="B963" t="s">
        <v>2518</v>
      </c>
      <c r="C963" t="s">
        <v>2039</v>
      </c>
      <c r="D963">
        <v>2011</v>
      </c>
      <c r="E963">
        <v>54</v>
      </c>
    </row>
    <row r="964" spans="1:5" x14ac:dyDescent="0.25">
      <c r="A964" t="s">
        <v>420</v>
      </c>
      <c r="B964" t="s">
        <v>2518</v>
      </c>
      <c r="C964" t="s">
        <v>2507</v>
      </c>
      <c r="D964">
        <v>2011</v>
      </c>
      <c r="E964">
        <v>23</v>
      </c>
    </row>
    <row r="965" spans="1:5" x14ac:dyDescent="0.25">
      <c r="A965" t="s">
        <v>420</v>
      </c>
      <c r="B965" t="s">
        <v>2518</v>
      </c>
      <c r="C965" t="s">
        <v>1689</v>
      </c>
      <c r="D965">
        <v>2011</v>
      </c>
      <c r="E965">
        <v>17</v>
      </c>
    </row>
    <row r="966" spans="1:5" x14ac:dyDescent="0.25">
      <c r="A966" t="s">
        <v>420</v>
      </c>
      <c r="B966" t="s">
        <v>2518</v>
      </c>
      <c r="C966" t="s">
        <v>2520</v>
      </c>
      <c r="D966">
        <v>2011</v>
      </c>
      <c r="E966">
        <v>18</v>
      </c>
    </row>
    <row r="967" spans="1:5" x14ac:dyDescent="0.25">
      <c r="A967" t="s">
        <v>420</v>
      </c>
      <c r="B967" t="s">
        <v>2518</v>
      </c>
      <c r="C967" t="s">
        <v>1597</v>
      </c>
      <c r="D967">
        <v>2011</v>
      </c>
      <c r="E967">
        <v>11</v>
      </c>
    </row>
    <row r="968" spans="1:5" x14ac:dyDescent="0.25">
      <c r="A968" t="s">
        <v>420</v>
      </c>
      <c r="B968" t="s">
        <v>2518</v>
      </c>
      <c r="C968" t="s">
        <v>1516</v>
      </c>
      <c r="D968">
        <v>2011</v>
      </c>
      <c r="E968">
        <v>3</v>
      </c>
    </row>
    <row r="969" spans="1:5" x14ac:dyDescent="0.25">
      <c r="A969" t="s">
        <v>420</v>
      </c>
      <c r="B969" t="s">
        <v>2518</v>
      </c>
      <c r="C969" t="s">
        <v>2498</v>
      </c>
      <c r="D969">
        <v>2011</v>
      </c>
      <c r="E969">
        <v>8</v>
      </c>
    </row>
    <row r="970" spans="1:5" x14ac:dyDescent="0.25">
      <c r="A970" t="s">
        <v>420</v>
      </c>
      <c r="B970" t="s">
        <v>2518</v>
      </c>
      <c r="C970" t="s">
        <v>765</v>
      </c>
      <c r="D970">
        <v>2011</v>
      </c>
      <c r="E970">
        <v>20</v>
      </c>
    </row>
    <row r="971" spans="1:5" x14ac:dyDescent="0.25">
      <c r="A971" t="s">
        <v>420</v>
      </c>
      <c r="B971" t="s">
        <v>2518</v>
      </c>
      <c r="C971" t="s">
        <v>588</v>
      </c>
      <c r="D971">
        <v>2011</v>
      </c>
      <c r="E971">
        <v>1</v>
      </c>
    </row>
    <row r="972" spans="1:5" x14ac:dyDescent="0.25">
      <c r="A972" t="s">
        <v>420</v>
      </c>
      <c r="B972" t="s">
        <v>2518</v>
      </c>
      <c r="C972" t="s">
        <v>2512</v>
      </c>
      <c r="D972">
        <v>2011</v>
      </c>
      <c r="E972">
        <v>3</v>
      </c>
    </row>
    <row r="973" spans="1:5" x14ac:dyDescent="0.25">
      <c r="A973" t="s">
        <v>420</v>
      </c>
      <c r="B973" t="s">
        <v>2518</v>
      </c>
      <c r="C973" t="s">
        <v>459</v>
      </c>
      <c r="D973">
        <v>2011</v>
      </c>
      <c r="E973">
        <v>34</v>
      </c>
    </row>
    <row r="974" spans="1:5" x14ac:dyDescent="0.25">
      <c r="A974" t="s">
        <v>420</v>
      </c>
      <c r="B974" t="s">
        <v>2518</v>
      </c>
      <c r="C974" t="s">
        <v>2039</v>
      </c>
      <c r="D974">
        <v>2010</v>
      </c>
      <c r="E974">
        <v>49</v>
      </c>
    </row>
    <row r="975" spans="1:5" x14ac:dyDescent="0.25">
      <c r="A975" t="s">
        <v>420</v>
      </c>
      <c r="B975" t="s">
        <v>2518</v>
      </c>
      <c r="C975" t="s">
        <v>2507</v>
      </c>
      <c r="D975">
        <v>2010</v>
      </c>
      <c r="E975">
        <v>27</v>
      </c>
    </row>
    <row r="976" spans="1:5" x14ac:dyDescent="0.25">
      <c r="A976" t="s">
        <v>420</v>
      </c>
      <c r="B976" t="s">
        <v>2518</v>
      </c>
      <c r="C976" t="s">
        <v>1689</v>
      </c>
      <c r="D976">
        <v>2010</v>
      </c>
      <c r="E976">
        <v>18</v>
      </c>
    </row>
    <row r="977" spans="1:5" x14ac:dyDescent="0.25">
      <c r="A977" t="s">
        <v>420</v>
      </c>
      <c r="B977" t="s">
        <v>2518</v>
      </c>
      <c r="C977" t="s">
        <v>2520</v>
      </c>
      <c r="D977">
        <v>2010</v>
      </c>
      <c r="E977">
        <v>22</v>
      </c>
    </row>
    <row r="978" spans="1:5" x14ac:dyDescent="0.25">
      <c r="A978" t="s">
        <v>420</v>
      </c>
      <c r="B978" t="s">
        <v>2518</v>
      </c>
      <c r="C978" t="s">
        <v>1597</v>
      </c>
      <c r="D978">
        <v>2010</v>
      </c>
      <c r="E978">
        <v>11</v>
      </c>
    </row>
    <row r="979" spans="1:5" x14ac:dyDescent="0.25">
      <c r="A979" t="s">
        <v>420</v>
      </c>
      <c r="B979" t="s">
        <v>2518</v>
      </c>
      <c r="C979" t="s">
        <v>2498</v>
      </c>
      <c r="D979">
        <v>2010</v>
      </c>
      <c r="E979">
        <v>13</v>
      </c>
    </row>
    <row r="980" spans="1:5" x14ac:dyDescent="0.25">
      <c r="A980" t="s">
        <v>420</v>
      </c>
      <c r="B980" t="s">
        <v>2518</v>
      </c>
      <c r="C980" t="s">
        <v>765</v>
      </c>
      <c r="D980">
        <v>2010</v>
      </c>
      <c r="E980">
        <v>21</v>
      </c>
    </row>
    <row r="981" spans="1:5" x14ac:dyDescent="0.25">
      <c r="A981" t="s">
        <v>420</v>
      </c>
      <c r="B981" t="s">
        <v>2518</v>
      </c>
      <c r="C981" t="s">
        <v>588</v>
      </c>
      <c r="D981">
        <v>2010</v>
      </c>
      <c r="E981">
        <v>4</v>
      </c>
    </row>
    <row r="982" spans="1:5" x14ac:dyDescent="0.25">
      <c r="A982" t="s">
        <v>420</v>
      </c>
      <c r="B982" t="s">
        <v>2518</v>
      </c>
      <c r="C982" t="s">
        <v>2521</v>
      </c>
      <c r="D982">
        <v>2010</v>
      </c>
      <c r="E982">
        <v>1</v>
      </c>
    </row>
    <row r="983" spans="1:5" x14ac:dyDescent="0.25">
      <c r="A983" t="s">
        <v>420</v>
      </c>
      <c r="B983" t="s">
        <v>2518</v>
      </c>
      <c r="C983" t="s">
        <v>2512</v>
      </c>
      <c r="D983">
        <v>2010</v>
      </c>
      <c r="E983">
        <v>2</v>
      </c>
    </row>
    <row r="984" spans="1:5" x14ac:dyDescent="0.25">
      <c r="A984" t="s">
        <v>420</v>
      </c>
      <c r="B984" t="s">
        <v>2518</v>
      </c>
      <c r="C984" t="s">
        <v>459</v>
      </c>
      <c r="D984">
        <v>2010</v>
      </c>
      <c r="E984">
        <v>31</v>
      </c>
    </row>
    <row r="985" spans="1:5" x14ac:dyDescent="0.25">
      <c r="A985" t="s">
        <v>420</v>
      </c>
      <c r="B985" t="s">
        <v>2518</v>
      </c>
      <c r="C985" t="s">
        <v>2039</v>
      </c>
      <c r="D985">
        <v>2009</v>
      </c>
      <c r="E985">
        <v>49</v>
      </c>
    </row>
    <row r="986" spans="1:5" x14ac:dyDescent="0.25">
      <c r="A986" t="s">
        <v>420</v>
      </c>
      <c r="B986" t="s">
        <v>2518</v>
      </c>
      <c r="C986" t="s">
        <v>2507</v>
      </c>
      <c r="D986">
        <v>2009</v>
      </c>
      <c r="E986">
        <v>29</v>
      </c>
    </row>
    <row r="987" spans="1:5" x14ac:dyDescent="0.25">
      <c r="A987" t="s">
        <v>420</v>
      </c>
      <c r="B987" t="s">
        <v>2518</v>
      </c>
      <c r="C987" t="s">
        <v>1689</v>
      </c>
      <c r="D987">
        <v>2009</v>
      </c>
      <c r="E987">
        <v>19</v>
      </c>
    </row>
    <row r="988" spans="1:5" x14ac:dyDescent="0.25">
      <c r="A988" t="s">
        <v>420</v>
      </c>
      <c r="B988" t="s">
        <v>2518</v>
      </c>
      <c r="C988" t="s">
        <v>2520</v>
      </c>
      <c r="D988">
        <v>2009</v>
      </c>
      <c r="E988">
        <v>19</v>
      </c>
    </row>
    <row r="989" spans="1:5" x14ac:dyDescent="0.25">
      <c r="A989" t="s">
        <v>420</v>
      </c>
      <c r="B989" t="s">
        <v>2518</v>
      </c>
      <c r="C989" t="s">
        <v>1597</v>
      </c>
      <c r="D989">
        <v>2009</v>
      </c>
      <c r="E989">
        <v>12</v>
      </c>
    </row>
    <row r="990" spans="1:5" x14ac:dyDescent="0.25">
      <c r="A990" t="s">
        <v>420</v>
      </c>
      <c r="B990" t="s">
        <v>2518</v>
      </c>
      <c r="C990" t="s">
        <v>2498</v>
      </c>
      <c r="D990">
        <v>2009</v>
      </c>
      <c r="E990">
        <v>16</v>
      </c>
    </row>
    <row r="991" spans="1:5" x14ac:dyDescent="0.25">
      <c r="A991" t="s">
        <v>420</v>
      </c>
      <c r="B991" t="s">
        <v>2518</v>
      </c>
      <c r="C991" t="s">
        <v>765</v>
      </c>
      <c r="D991">
        <v>2009</v>
      </c>
      <c r="E991">
        <v>27</v>
      </c>
    </row>
    <row r="992" spans="1:5" x14ac:dyDescent="0.25">
      <c r="A992" t="s">
        <v>420</v>
      </c>
      <c r="B992" t="s">
        <v>2518</v>
      </c>
      <c r="C992" t="s">
        <v>588</v>
      </c>
      <c r="D992">
        <v>2009</v>
      </c>
      <c r="E992">
        <v>4</v>
      </c>
    </row>
    <row r="993" spans="1:5" x14ac:dyDescent="0.25">
      <c r="A993" t="s">
        <v>420</v>
      </c>
      <c r="B993" t="s">
        <v>2518</v>
      </c>
      <c r="C993" t="s">
        <v>2521</v>
      </c>
      <c r="D993">
        <v>2009</v>
      </c>
      <c r="E993">
        <v>2</v>
      </c>
    </row>
    <row r="994" spans="1:5" x14ac:dyDescent="0.25">
      <c r="A994" t="s">
        <v>420</v>
      </c>
      <c r="B994" t="s">
        <v>2518</v>
      </c>
      <c r="C994" t="s">
        <v>459</v>
      </c>
      <c r="D994">
        <v>2009</v>
      </c>
      <c r="E994">
        <v>26</v>
      </c>
    </row>
    <row r="995" spans="1:5" x14ac:dyDescent="0.25">
      <c r="A995" t="s">
        <v>420</v>
      </c>
      <c r="B995" t="s">
        <v>2518</v>
      </c>
      <c r="C995" t="s">
        <v>2039</v>
      </c>
      <c r="D995">
        <v>2008</v>
      </c>
      <c r="E995">
        <v>46</v>
      </c>
    </row>
    <row r="996" spans="1:5" x14ac:dyDescent="0.25">
      <c r="A996" t="s">
        <v>420</v>
      </c>
      <c r="B996" t="s">
        <v>2518</v>
      </c>
      <c r="C996" t="s">
        <v>2507</v>
      </c>
      <c r="D996">
        <v>2008</v>
      </c>
      <c r="E996">
        <v>33</v>
      </c>
    </row>
    <row r="997" spans="1:5" x14ac:dyDescent="0.25">
      <c r="A997" t="s">
        <v>420</v>
      </c>
      <c r="B997" t="s">
        <v>2518</v>
      </c>
      <c r="C997" t="s">
        <v>1689</v>
      </c>
      <c r="D997">
        <v>2008</v>
      </c>
      <c r="E997">
        <v>19</v>
      </c>
    </row>
    <row r="998" spans="1:5" x14ac:dyDescent="0.25">
      <c r="A998" t="s">
        <v>420</v>
      </c>
      <c r="B998" t="s">
        <v>2518</v>
      </c>
      <c r="C998" t="s">
        <v>2520</v>
      </c>
      <c r="D998">
        <v>2008</v>
      </c>
      <c r="E998">
        <v>24</v>
      </c>
    </row>
    <row r="999" spans="1:5" x14ac:dyDescent="0.25">
      <c r="A999" t="s">
        <v>420</v>
      </c>
      <c r="B999" t="s">
        <v>2518</v>
      </c>
      <c r="C999" t="s">
        <v>1597</v>
      </c>
      <c r="D999">
        <v>2008</v>
      </c>
      <c r="E999">
        <v>11</v>
      </c>
    </row>
    <row r="1000" spans="1:5" x14ac:dyDescent="0.25">
      <c r="A1000" t="s">
        <v>420</v>
      </c>
      <c r="B1000" t="s">
        <v>2518</v>
      </c>
      <c r="C1000" t="s">
        <v>2498</v>
      </c>
      <c r="D1000">
        <v>2008</v>
      </c>
      <c r="E1000">
        <v>13</v>
      </c>
    </row>
    <row r="1001" spans="1:5" x14ac:dyDescent="0.25">
      <c r="A1001" t="s">
        <v>420</v>
      </c>
      <c r="B1001" t="s">
        <v>2518</v>
      </c>
      <c r="C1001" t="s">
        <v>765</v>
      </c>
      <c r="D1001">
        <v>2008</v>
      </c>
      <c r="E1001">
        <v>33</v>
      </c>
    </row>
    <row r="1002" spans="1:5" x14ac:dyDescent="0.25">
      <c r="A1002" t="s">
        <v>420</v>
      </c>
      <c r="B1002" t="s">
        <v>2518</v>
      </c>
      <c r="C1002" t="s">
        <v>588</v>
      </c>
      <c r="D1002">
        <v>2008</v>
      </c>
      <c r="E1002">
        <v>3</v>
      </c>
    </row>
    <row r="1003" spans="1:5" x14ac:dyDescent="0.25">
      <c r="A1003" t="s">
        <v>420</v>
      </c>
      <c r="B1003" t="s">
        <v>2518</v>
      </c>
      <c r="C1003" t="s">
        <v>2521</v>
      </c>
      <c r="D1003">
        <v>2008</v>
      </c>
      <c r="E1003">
        <v>2</v>
      </c>
    </row>
    <row r="1004" spans="1:5" x14ac:dyDescent="0.25">
      <c r="A1004" t="s">
        <v>420</v>
      </c>
      <c r="B1004" t="s">
        <v>2518</v>
      </c>
      <c r="C1004" t="s">
        <v>459</v>
      </c>
      <c r="D1004">
        <v>2008</v>
      </c>
      <c r="E1004">
        <v>30</v>
      </c>
    </row>
    <row r="1005" spans="1:5" x14ac:dyDescent="0.25">
      <c r="A1005" t="s">
        <v>87</v>
      </c>
      <c r="B1005" t="s">
        <v>2452</v>
      </c>
      <c r="C1005" t="s">
        <v>2522</v>
      </c>
      <c r="D1005">
        <v>2019</v>
      </c>
      <c r="E1005">
        <v>3</v>
      </c>
    </row>
    <row r="1006" spans="1:5" x14ac:dyDescent="0.25">
      <c r="A1006" t="s">
        <v>87</v>
      </c>
      <c r="B1006" t="s">
        <v>2452</v>
      </c>
      <c r="C1006" t="s">
        <v>2523</v>
      </c>
      <c r="D1006">
        <v>2019</v>
      </c>
      <c r="E1006">
        <v>2</v>
      </c>
    </row>
    <row r="1007" spans="1:5" x14ac:dyDescent="0.25">
      <c r="A1007" t="s">
        <v>87</v>
      </c>
      <c r="B1007" t="s">
        <v>2452</v>
      </c>
      <c r="C1007" t="s">
        <v>2524</v>
      </c>
      <c r="D1007">
        <v>2019</v>
      </c>
      <c r="E1007">
        <v>392</v>
      </c>
    </row>
    <row r="1008" spans="1:5" x14ac:dyDescent="0.25">
      <c r="A1008" t="s">
        <v>87</v>
      </c>
      <c r="B1008" t="s">
        <v>2452</v>
      </c>
      <c r="C1008" t="s">
        <v>2525</v>
      </c>
      <c r="D1008">
        <v>2018</v>
      </c>
      <c r="E1008">
        <v>1</v>
      </c>
    </row>
    <row r="1009" spans="1:5" x14ac:dyDescent="0.25">
      <c r="A1009" t="s">
        <v>87</v>
      </c>
      <c r="B1009" t="s">
        <v>2452</v>
      </c>
      <c r="C1009" t="s">
        <v>2522</v>
      </c>
      <c r="D1009">
        <v>2018</v>
      </c>
      <c r="E1009">
        <v>5</v>
      </c>
    </row>
    <row r="1010" spans="1:5" x14ac:dyDescent="0.25">
      <c r="A1010" t="s">
        <v>87</v>
      </c>
      <c r="B1010" t="s">
        <v>2452</v>
      </c>
      <c r="C1010" t="s">
        <v>2523</v>
      </c>
      <c r="D1010">
        <v>2018</v>
      </c>
      <c r="E1010">
        <v>4</v>
      </c>
    </row>
    <row r="1011" spans="1:5" x14ac:dyDescent="0.25">
      <c r="A1011" t="s">
        <v>87</v>
      </c>
      <c r="B1011" t="s">
        <v>2452</v>
      </c>
      <c r="C1011" t="s">
        <v>2524</v>
      </c>
      <c r="D1011">
        <v>2018</v>
      </c>
      <c r="E1011">
        <v>396</v>
      </c>
    </row>
    <row r="1012" spans="1:5" x14ac:dyDescent="0.25">
      <c r="A1012" t="s">
        <v>87</v>
      </c>
      <c r="B1012" t="s">
        <v>2452</v>
      </c>
      <c r="C1012" t="s">
        <v>2525</v>
      </c>
      <c r="D1012">
        <v>2017</v>
      </c>
      <c r="E1012">
        <v>1</v>
      </c>
    </row>
    <row r="1013" spans="1:5" x14ac:dyDescent="0.25">
      <c r="A1013" t="s">
        <v>87</v>
      </c>
      <c r="B1013" t="s">
        <v>2452</v>
      </c>
      <c r="C1013" t="s">
        <v>2522</v>
      </c>
      <c r="D1013">
        <v>2017</v>
      </c>
      <c r="E1013">
        <v>4</v>
      </c>
    </row>
    <row r="1014" spans="1:5" x14ac:dyDescent="0.25">
      <c r="A1014" t="s">
        <v>87</v>
      </c>
      <c r="B1014" t="s">
        <v>2452</v>
      </c>
      <c r="C1014" t="s">
        <v>2523</v>
      </c>
      <c r="D1014">
        <v>2017</v>
      </c>
      <c r="E1014">
        <v>8</v>
      </c>
    </row>
    <row r="1015" spans="1:5" x14ac:dyDescent="0.25">
      <c r="A1015" t="s">
        <v>87</v>
      </c>
      <c r="B1015" t="s">
        <v>2452</v>
      </c>
      <c r="C1015" t="s">
        <v>2524</v>
      </c>
      <c r="D1015">
        <v>2017</v>
      </c>
      <c r="E1015">
        <v>460</v>
      </c>
    </row>
    <row r="1016" spans="1:5" x14ac:dyDescent="0.25">
      <c r="A1016" t="s">
        <v>87</v>
      </c>
      <c r="B1016" t="s">
        <v>2452</v>
      </c>
      <c r="C1016" t="s">
        <v>2522</v>
      </c>
      <c r="D1016">
        <v>2016</v>
      </c>
      <c r="E1016">
        <v>1</v>
      </c>
    </row>
    <row r="1017" spans="1:5" x14ac:dyDescent="0.25">
      <c r="A1017" t="s">
        <v>87</v>
      </c>
      <c r="B1017" t="s">
        <v>2452</v>
      </c>
      <c r="C1017" t="s">
        <v>2523</v>
      </c>
      <c r="D1017">
        <v>2016</v>
      </c>
      <c r="E1017">
        <v>5</v>
      </c>
    </row>
    <row r="1018" spans="1:5" x14ac:dyDescent="0.25">
      <c r="A1018" t="s">
        <v>87</v>
      </c>
      <c r="B1018" t="s">
        <v>2452</v>
      </c>
      <c r="C1018" t="s">
        <v>2524</v>
      </c>
      <c r="D1018">
        <v>2016</v>
      </c>
      <c r="E1018">
        <v>542</v>
      </c>
    </row>
    <row r="1019" spans="1:5" x14ac:dyDescent="0.25">
      <c r="A1019" t="s">
        <v>87</v>
      </c>
      <c r="B1019" t="s">
        <v>2452</v>
      </c>
      <c r="C1019" t="s">
        <v>2522</v>
      </c>
      <c r="D1019">
        <v>2015</v>
      </c>
      <c r="E1019">
        <v>1</v>
      </c>
    </row>
    <row r="1020" spans="1:5" x14ac:dyDescent="0.25">
      <c r="A1020" t="s">
        <v>87</v>
      </c>
      <c r="B1020" t="s">
        <v>2452</v>
      </c>
      <c r="C1020" t="s">
        <v>2523</v>
      </c>
      <c r="D1020">
        <v>2015</v>
      </c>
      <c r="E1020">
        <v>5</v>
      </c>
    </row>
    <row r="1021" spans="1:5" x14ac:dyDescent="0.25">
      <c r="A1021" t="s">
        <v>87</v>
      </c>
      <c r="B1021" t="s">
        <v>2452</v>
      </c>
      <c r="C1021" t="s">
        <v>2524</v>
      </c>
      <c r="D1021">
        <v>2015</v>
      </c>
      <c r="E1021">
        <v>678</v>
      </c>
    </row>
    <row r="1022" spans="1:5" x14ac:dyDescent="0.25">
      <c r="A1022" t="s">
        <v>87</v>
      </c>
      <c r="B1022" t="s">
        <v>2452</v>
      </c>
      <c r="C1022" t="s">
        <v>2522</v>
      </c>
      <c r="D1022">
        <v>2014</v>
      </c>
      <c r="E1022">
        <v>2</v>
      </c>
    </row>
    <row r="1023" spans="1:5" x14ac:dyDescent="0.25">
      <c r="A1023" t="s">
        <v>87</v>
      </c>
      <c r="B1023" t="s">
        <v>2452</v>
      </c>
      <c r="C1023" t="s">
        <v>2523</v>
      </c>
      <c r="D1023">
        <v>2014</v>
      </c>
      <c r="E1023">
        <v>3</v>
      </c>
    </row>
    <row r="1024" spans="1:5" x14ac:dyDescent="0.25">
      <c r="A1024" t="s">
        <v>87</v>
      </c>
      <c r="B1024" t="s">
        <v>2452</v>
      </c>
      <c r="C1024" t="s">
        <v>2524</v>
      </c>
      <c r="D1024">
        <v>2014</v>
      </c>
      <c r="E1024">
        <v>690</v>
      </c>
    </row>
    <row r="1025" spans="1:5" x14ac:dyDescent="0.25">
      <c r="A1025" t="s">
        <v>87</v>
      </c>
      <c r="B1025" t="s">
        <v>2452</v>
      </c>
      <c r="C1025" t="s">
        <v>2522</v>
      </c>
      <c r="D1025">
        <v>2013</v>
      </c>
      <c r="E1025">
        <v>4</v>
      </c>
    </row>
    <row r="1026" spans="1:5" x14ac:dyDescent="0.25">
      <c r="A1026" t="s">
        <v>87</v>
      </c>
      <c r="B1026" t="s">
        <v>2452</v>
      </c>
      <c r="C1026" t="s">
        <v>2523</v>
      </c>
      <c r="D1026">
        <v>2013</v>
      </c>
      <c r="E1026">
        <v>6</v>
      </c>
    </row>
    <row r="1027" spans="1:5" x14ac:dyDescent="0.25">
      <c r="A1027" t="s">
        <v>87</v>
      </c>
      <c r="B1027" t="s">
        <v>2452</v>
      </c>
      <c r="C1027" t="s">
        <v>2524</v>
      </c>
      <c r="D1027">
        <v>2013</v>
      </c>
      <c r="E1027">
        <v>650</v>
      </c>
    </row>
    <row r="1028" spans="1:5" x14ac:dyDescent="0.25">
      <c r="A1028" t="s">
        <v>87</v>
      </c>
      <c r="B1028" t="s">
        <v>2452</v>
      </c>
      <c r="C1028" t="s">
        <v>2522</v>
      </c>
      <c r="D1028">
        <v>2012</v>
      </c>
      <c r="E1028">
        <v>16</v>
      </c>
    </row>
    <row r="1029" spans="1:5" x14ac:dyDescent="0.25">
      <c r="A1029" t="s">
        <v>87</v>
      </c>
      <c r="B1029" t="s">
        <v>2452</v>
      </c>
      <c r="C1029" t="s">
        <v>2523</v>
      </c>
      <c r="D1029">
        <v>2012</v>
      </c>
      <c r="E1029">
        <v>14</v>
      </c>
    </row>
    <row r="1030" spans="1:5" x14ac:dyDescent="0.25">
      <c r="A1030" t="s">
        <v>87</v>
      </c>
      <c r="B1030" t="s">
        <v>2452</v>
      </c>
      <c r="C1030" t="s">
        <v>2524</v>
      </c>
      <c r="D1030">
        <v>2012</v>
      </c>
      <c r="E1030">
        <v>688</v>
      </c>
    </row>
    <row r="1031" spans="1:5" x14ac:dyDescent="0.25">
      <c r="A1031" t="s">
        <v>87</v>
      </c>
      <c r="B1031" t="s">
        <v>2452</v>
      </c>
      <c r="C1031" t="s">
        <v>2522</v>
      </c>
      <c r="D1031">
        <v>2011</v>
      </c>
      <c r="E1031">
        <v>10</v>
      </c>
    </row>
    <row r="1032" spans="1:5" x14ac:dyDescent="0.25">
      <c r="A1032" t="s">
        <v>87</v>
      </c>
      <c r="B1032" t="s">
        <v>2452</v>
      </c>
      <c r="C1032" t="s">
        <v>2523</v>
      </c>
      <c r="D1032">
        <v>2011</v>
      </c>
      <c r="E1032">
        <v>14</v>
      </c>
    </row>
    <row r="1033" spans="1:5" x14ac:dyDescent="0.25">
      <c r="A1033" t="s">
        <v>87</v>
      </c>
      <c r="B1033" t="s">
        <v>2452</v>
      </c>
      <c r="C1033" t="s">
        <v>2524</v>
      </c>
      <c r="D1033">
        <v>2011</v>
      </c>
      <c r="E1033">
        <v>750</v>
      </c>
    </row>
    <row r="1034" spans="1:5" x14ac:dyDescent="0.25">
      <c r="A1034" t="s">
        <v>87</v>
      </c>
      <c r="B1034" t="s">
        <v>2452</v>
      </c>
      <c r="C1034" t="s">
        <v>2522</v>
      </c>
      <c r="D1034">
        <v>2010</v>
      </c>
      <c r="E1034">
        <v>17</v>
      </c>
    </row>
    <row r="1035" spans="1:5" x14ac:dyDescent="0.25">
      <c r="A1035" t="s">
        <v>87</v>
      </c>
      <c r="B1035" t="s">
        <v>2452</v>
      </c>
      <c r="C1035" t="s">
        <v>2523</v>
      </c>
      <c r="D1035">
        <v>2010</v>
      </c>
      <c r="E1035">
        <v>16</v>
      </c>
    </row>
    <row r="1036" spans="1:5" x14ac:dyDescent="0.25">
      <c r="A1036" t="s">
        <v>87</v>
      </c>
      <c r="B1036" t="s">
        <v>2452</v>
      </c>
      <c r="C1036" t="s">
        <v>2524</v>
      </c>
      <c r="D1036">
        <v>2010</v>
      </c>
      <c r="E1036">
        <v>769</v>
      </c>
    </row>
    <row r="1037" spans="1:5" x14ac:dyDescent="0.25">
      <c r="A1037" t="s">
        <v>87</v>
      </c>
      <c r="B1037" t="s">
        <v>2452</v>
      </c>
      <c r="C1037" t="s">
        <v>2522</v>
      </c>
      <c r="D1037">
        <v>2009</v>
      </c>
      <c r="E1037">
        <v>9</v>
      </c>
    </row>
    <row r="1038" spans="1:5" x14ac:dyDescent="0.25">
      <c r="A1038" t="s">
        <v>87</v>
      </c>
      <c r="B1038" t="s">
        <v>2452</v>
      </c>
      <c r="C1038" t="s">
        <v>2523</v>
      </c>
      <c r="D1038">
        <v>2009</v>
      </c>
      <c r="E1038">
        <v>12</v>
      </c>
    </row>
    <row r="1039" spans="1:5" x14ac:dyDescent="0.25">
      <c r="A1039" t="s">
        <v>87</v>
      </c>
      <c r="B1039" t="s">
        <v>2452</v>
      </c>
      <c r="C1039" t="s">
        <v>2524</v>
      </c>
      <c r="D1039">
        <v>2009</v>
      </c>
      <c r="E1039">
        <v>839</v>
      </c>
    </row>
    <row r="1040" spans="1:5" x14ac:dyDescent="0.25">
      <c r="A1040" t="s">
        <v>87</v>
      </c>
      <c r="B1040" t="s">
        <v>2452</v>
      </c>
      <c r="C1040" t="s">
        <v>2524</v>
      </c>
      <c r="D1040">
        <v>2008</v>
      </c>
      <c r="E1040">
        <v>841</v>
      </c>
    </row>
    <row r="1041" spans="1:5" x14ac:dyDescent="0.25">
      <c r="A1041" t="s">
        <v>87</v>
      </c>
      <c r="B1041" t="s">
        <v>2464</v>
      </c>
      <c r="C1041" t="s">
        <v>2526</v>
      </c>
      <c r="D1041">
        <v>2019</v>
      </c>
      <c r="E1041">
        <v>1</v>
      </c>
    </row>
    <row r="1042" spans="1:5" x14ac:dyDescent="0.25">
      <c r="A1042" t="s">
        <v>87</v>
      </c>
      <c r="B1042" t="s">
        <v>2470</v>
      </c>
      <c r="C1042" t="s">
        <v>2527</v>
      </c>
      <c r="D1042">
        <v>2019</v>
      </c>
      <c r="E1042">
        <v>72</v>
      </c>
    </row>
    <row r="1043" spans="1:5" x14ac:dyDescent="0.25">
      <c r="A1043" t="s">
        <v>87</v>
      </c>
      <c r="B1043" t="s">
        <v>2470</v>
      </c>
      <c r="C1043" t="s">
        <v>2528</v>
      </c>
      <c r="D1043">
        <v>2019</v>
      </c>
      <c r="E1043">
        <v>124</v>
      </c>
    </row>
    <row r="1044" spans="1:5" x14ac:dyDescent="0.25">
      <c r="A1044" t="s">
        <v>87</v>
      </c>
      <c r="B1044" t="s">
        <v>2470</v>
      </c>
      <c r="C1044" t="s">
        <v>2529</v>
      </c>
      <c r="D1044">
        <v>2019</v>
      </c>
      <c r="E1044">
        <v>71</v>
      </c>
    </row>
    <row r="1045" spans="1:5" x14ac:dyDescent="0.25">
      <c r="A1045" t="s">
        <v>87</v>
      </c>
      <c r="B1045" t="s">
        <v>2470</v>
      </c>
      <c r="C1045" t="s">
        <v>108</v>
      </c>
      <c r="D1045">
        <v>2019</v>
      </c>
      <c r="E1045">
        <v>13</v>
      </c>
    </row>
    <row r="1046" spans="1:5" x14ac:dyDescent="0.25">
      <c r="A1046" t="s">
        <v>87</v>
      </c>
      <c r="B1046" t="s">
        <v>2470</v>
      </c>
      <c r="C1046" t="s">
        <v>2530</v>
      </c>
      <c r="D1046">
        <v>2019</v>
      </c>
      <c r="E1046">
        <v>2</v>
      </c>
    </row>
    <row r="1047" spans="1:5" x14ac:dyDescent="0.25">
      <c r="A1047" t="s">
        <v>87</v>
      </c>
      <c r="B1047" t="s">
        <v>2470</v>
      </c>
      <c r="C1047" t="s">
        <v>2531</v>
      </c>
      <c r="D1047">
        <v>2019</v>
      </c>
      <c r="E1047">
        <v>50</v>
      </c>
    </row>
    <row r="1048" spans="1:5" x14ac:dyDescent="0.25">
      <c r="A1048" t="s">
        <v>87</v>
      </c>
      <c r="B1048" t="s">
        <v>2470</v>
      </c>
      <c r="C1048" t="s">
        <v>2532</v>
      </c>
      <c r="D1048">
        <v>2019</v>
      </c>
      <c r="E1048">
        <v>85</v>
      </c>
    </row>
    <row r="1049" spans="1:5" x14ac:dyDescent="0.25">
      <c r="A1049" t="s">
        <v>87</v>
      </c>
      <c r="B1049" t="s">
        <v>2470</v>
      </c>
      <c r="C1049" t="s">
        <v>2527</v>
      </c>
      <c r="D1049">
        <v>2018</v>
      </c>
      <c r="E1049">
        <v>91</v>
      </c>
    </row>
    <row r="1050" spans="1:5" x14ac:dyDescent="0.25">
      <c r="A1050" t="s">
        <v>87</v>
      </c>
      <c r="B1050" t="s">
        <v>2470</v>
      </c>
      <c r="C1050" t="s">
        <v>2528</v>
      </c>
      <c r="D1050">
        <v>2018</v>
      </c>
      <c r="E1050">
        <v>99</v>
      </c>
    </row>
    <row r="1051" spans="1:5" x14ac:dyDescent="0.25">
      <c r="A1051" t="s">
        <v>87</v>
      </c>
      <c r="B1051" t="s">
        <v>2470</v>
      </c>
      <c r="C1051" t="s">
        <v>2529</v>
      </c>
      <c r="D1051">
        <v>2018</v>
      </c>
      <c r="E1051">
        <v>65</v>
      </c>
    </row>
    <row r="1052" spans="1:5" x14ac:dyDescent="0.25">
      <c r="A1052" t="s">
        <v>87</v>
      </c>
      <c r="B1052" t="s">
        <v>2470</v>
      </c>
      <c r="C1052" t="s">
        <v>108</v>
      </c>
      <c r="D1052">
        <v>2018</v>
      </c>
      <c r="E1052">
        <v>63</v>
      </c>
    </row>
    <row r="1053" spans="1:5" x14ac:dyDescent="0.25">
      <c r="A1053" t="s">
        <v>87</v>
      </c>
      <c r="B1053" t="s">
        <v>2470</v>
      </c>
      <c r="C1053" t="s">
        <v>2530</v>
      </c>
      <c r="D1053">
        <v>2018</v>
      </c>
      <c r="E1053">
        <v>1</v>
      </c>
    </row>
    <row r="1054" spans="1:5" x14ac:dyDescent="0.25">
      <c r="A1054" t="s">
        <v>87</v>
      </c>
      <c r="B1054" t="s">
        <v>2470</v>
      </c>
      <c r="C1054" t="s">
        <v>2531</v>
      </c>
      <c r="D1054">
        <v>2018</v>
      </c>
      <c r="E1054">
        <v>73</v>
      </c>
    </row>
    <row r="1055" spans="1:5" x14ac:dyDescent="0.25">
      <c r="A1055" t="s">
        <v>87</v>
      </c>
      <c r="B1055" t="s">
        <v>2470</v>
      </c>
      <c r="C1055" t="s">
        <v>2532</v>
      </c>
      <c r="D1055">
        <v>2018</v>
      </c>
      <c r="E1055">
        <v>89</v>
      </c>
    </row>
    <row r="1056" spans="1:5" x14ac:dyDescent="0.25">
      <c r="A1056" t="s">
        <v>87</v>
      </c>
      <c r="B1056" t="s">
        <v>2470</v>
      </c>
      <c r="C1056" t="s">
        <v>2527</v>
      </c>
      <c r="D1056">
        <v>2017</v>
      </c>
      <c r="E1056">
        <v>101</v>
      </c>
    </row>
    <row r="1057" spans="1:5" x14ac:dyDescent="0.25">
      <c r="A1057" t="s">
        <v>87</v>
      </c>
      <c r="B1057" t="s">
        <v>2470</v>
      </c>
      <c r="C1057" t="s">
        <v>2528</v>
      </c>
      <c r="D1057">
        <v>2017</v>
      </c>
      <c r="E1057">
        <v>104</v>
      </c>
    </row>
    <row r="1058" spans="1:5" x14ac:dyDescent="0.25">
      <c r="A1058" t="s">
        <v>87</v>
      </c>
      <c r="B1058" t="s">
        <v>2470</v>
      </c>
      <c r="C1058" t="s">
        <v>2529</v>
      </c>
      <c r="D1058">
        <v>2017</v>
      </c>
      <c r="E1058">
        <v>8</v>
      </c>
    </row>
    <row r="1059" spans="1:5" x14ac:dyDescent="0.25">
      <c r="A1059" t="s">
        <v>87</v>
      </c>
      <c r="B1059" t="s">
        <v>2470</v>
      </c>
      <c r="C1059" t="s">
        <v>108</v>
      </c>
      <c r="D1059">
        <v>2017</v>
      </c>
      <c r="E1059">
        <v>146</v>
      </c>
    </row>
    <row r="1060" spans="1:5" x14ac:dyDescent="0.25">
      <c r="A1060" t="s">
        <v>87</v>
      </c>
      <c r="B1060" t="s">
        <v>2470</v>
      </c>
      <c r="C1060" t="s">
        <v>2530</v>
      </c>
      <c r="D1060">
        <v>2017</v>
      </c>
      <c r="E1060">
        <v>1</v>
      </c>
    </row>
    <row r="1061" spans="1:5" x14ac:dyDescent="0.25">
      <c r="A1061" t="s">
        <v>87</v>
      </c>
      <c r="B1061" t="s">
        <v>2470</v>
      </c>
      <c r="C1061" t="s">
        <v>2531</v>
      </c>
      <c r="D1061">
        <v>2017</v>
      </c>
      <c r="E1061">
        <v>100</v>
      </c>
    </row>
    <row r="1062" spans="1:5" x14ac:dyDescent="0.25">
      <c r="A1062" t="s">
        <v>87</v>
      </c>
      <c r="B1062" t="s">
        <v>2470</v>
      </c>
      <c r="C1062" t="s">
        <v>2532</v>
      </c>
      <c r="D1062">
        <v>2017</v>
      </c>
      <c r="E1062">
        <v>110</v>
      </c>
    </row>
    <row r="1063" spans="1:5" x14ac:dyDescent="0.25">
      <c r="A1063" t="s">
        <v>87</v>
      </c>
      <c r="B1063" t="s">
        <v>2470</v>
      </c>
      <c r="C1063" t="s">
        <v>2527</v>
      </c>
      <c r="D1063">
        <v>2016</v>
      </c>
      <c r="E1063">
        <v>113</v>
      </c>
    </row>
    <row r="1064" spans="1:5" x14ac:dyDescent="0.25">
      <c r="A1064" t="s">
        <v>87</v>
      </c>
      <c r="B1064" t="s">
        <v>2470</v>
      </c>
      <c r="C1064" t="s">
        <v>2528</v>
      </c>
      <c r="D1064">
        <v>2016</v>
      </c>
      <c r="E1064">
        <v>129</v>
      </c>
    </row>
    <row r="1065" spans="1:5" x14ac:dyDescent="0.25">
      <c r="A1065" t="s">
        <v>87</v>
      </c>
      <c r="B1065" t="s">
        <v>2470</v>
      </c>
      <c r="C1065" t="s">
        <v>108</v>
      </c>
      <c r="D1065">
        <v>2016</v>
      </c>
      <c r="E1065">
        <v>152</v>
      </c>
    </row>
    <row r="1066" spans="1:5" x14ac:dyDescent="0.25">
      <c r="A1066" t="s">
        <v>87</v>
      </c>
      <c r="B1066" t="s">
        <v>2470</v>
      </c>
      <c r="C1066" t="s">
        <v>2531</v>
      </c>
      <c r="D1066">
        <v>2016</v>
      </c>
      <c r="E1066">
        <v>106</v>
      </c>
    </row>
    <row r="1067" spans="1:5" x14ac:dyDescent="0.25">
      <c r="A1067" t="s">
        <v>87</v>
      </c>
      <c r="B1067" t="s">
        <v>2470</v>
      </c>
      <c r="C1067" t="s">
        <v>2524</v>
      </c>
      <c r="D1067">
        <v>2016</v>
      </c>
      <c r="E1067">
        <v>1</v>
      </c>
    </row>
    <row r="1068" spans="1:5" x14ac:dyDescent="0.25">
      <c r="A1068" t="s">
        <v>87</v>
      </c>
      <c r="B1068" t="s">
        <v>2470</v>
      </c>
      <c r="C1068" t="s">
        <v>2532</v>
      </c>
      <c r="D1068">
        <v>2016</v>
      </c>
      <c r="E1068">
        <v>135</v>
      </c>
    </row>
    <row r="1069" spans="1:5" x14ac:dyDescent="0.25">
      <c r="A1069" t="s">
        <v>87</v>
      </c>
      <c r="B1069" t="s">
        <v>2470</v>
      </c>
      <c r="C1069" t="s">
        <v>2527</v>
      </c>
      <c r="D1069">
        <v>2015</v>
      </c>
      <c r="E1069">
        <v>133</v>
      </c>
    </row>
    <row r="1070" spans="1:5" x14ac:dyDescent="0.25">
      <c r="A1070" t="s">
        <v>87</v>
      </c>
      <c r="B1070" t="s">
        <v>2470</v>
      </c>
      <c r="C1070" t="s">
        <v>2528</v>
      </c>
      <c r="D1070">
        <v>2015</v>
      </c>
      <c r="E1070">
        <v>114</v>
      </c>
    </row>
    <row r="1071" spans="1:5" x14ac:dyDescent="0.25">
      <c r="A1071" t="s">
        <v>87</v>
      </c>
      <c r="B1071" t="s">
        <v>2470</v>
      </c>
      <c r="C1071" t="s">
        <v>108</v>
      </c>
      <c r="D1071">
        <v>2015</v>
      </c>
      <c r="E1071">
        <v>138</v>
      </c>
    </row>
    <row r="1072" spans="1:5" x14ac:dyDescent="0.25">
      <c r="A1072" t="s">
        <v>87</v>
      </c>
      <c r="B1072" t="s">
        <v>2470</v>
      </c>
      <c r="C1072" t="s">
        <v>2530</v>
      </c>
      <c r="D1072">
        <v>2015</v>
      </c>
      <c r="E1072">
        <v>2</v>
      </c>
    </row>
    <row r="1073" spans="1:5" x14ac:dyDescent="0.25">
      <c r="A1073" t="s">
        <v>87</v>
      </c>
      <c r="B1073" t="s">
        <v>2470</v>
      </c>
      <c r="C1073" t="s">
        <v>2531</v>
      </c>
      <c r="D1073">
        <v>2015</v>
      </c>
      <c r="E1073">
        <v>80</v>
      </c>
    </row>
    <row r="1074" spans="1:5" x14ac:dyDescent="0.25">
      <c r="A1074" t="s">
        <v>87</v>
      </c>
      <c r="B1074" t="s">
        <v>2470</v>
      </c>
      <c r="C1074" t="s">
        <v>2532</v>
      </c>
      <c r="D1074">
        <v>2015</v>
      </c>
      <c r="E1074">
        <v>134</v>
      </c>
    </row>
    <row r="1075" spans="1:5" x14ac:dyDescent="0.25">
      <c r="A1075" t="s">
        <v>87</v>
      </c>
      <c r="B1075" t="s">
        <v>2470</v>
      </c>
      <c r="C1075" t="s">
        <v>2527</v>
      </c>
      <c r="D1075">
        <v>2014</v>
      </c>
      <c r="E1075">
        <v>135</v>
      </c>
    </row>
    <row r="1076" spans="1:5" x14ac:dyDescent="0.25">
      <c r="A1076" t="s">
        <v>87</v>
      </c>
      <c r="B1076" t="s">
        <v>2470</v>
      </c>
      <c r="C1076" t="s">
        <v>2528</v>
      </c>
      <c r="D1076">
        <v>2014</v>
      </c>
      <c r="E1076">
        <v>118</v>
      </c>
    </row>
    <row r="1077" spans="1:5" x14ac:dyDescent="0.25">
      <c r="A1077" t="s">
        <v>87</v>
      </c>
      <c r="B1077" t="s">
        <v>2470</v>
      </c>
      <c r="C1077" t="s">
        <v>108</v>
      </c>
      <c r="D1077">
        <v>2014</v>
      </c>
      <c r="E1077">
        <v>150</v>
      </c>
    </row>
    <row r="1078" spans="1:5" x14ac:dyDescent="0.25">
      <c r="A1078" t="s">
        <v>87</v>
      </c>
      <c r="B1078" t="s">
        <v>2470</v>
      </c>
      <c r="C1078" t="s">
        <v>2530</v>
      </c>
      <c r="D1078">
        <v>2014</v>
      </c>
      <c r="E1078">
        <v>3</v>
      </c>
    </row>
    <row r="1079" spans="1:5" x14ac:dyDescent="0.25">
      <c r="A1079" t="s">
        <v>87</v>
      </c>
      <c r="B1079" t="s">
        <v>2470</v>
      </c>
      <c r="C1079" t="s">
        <v>2531</v>
      </c>
      <c r="D1079">
        <v>2014</v>
      </c>
      <c r="E1079">
        <v>68</v>
      </c>
    </row>
    <row r="1080" spans="1:5" x14ac:dyDescent="0.25">
      <c r="A1080" t="s">
        <v>87</v>
      </c>
      <c r="B1080" t="s">
        <v>2470</v>
      </c>
      <c r="C1080" t="s">
        <v>2524</v>
      </c>
      <c r="D1080">
        <v>2014</v>
      </c>
      <c r="E1080">
        <v>2</v>
      </c>
    </row>
    <row r="1081" spans="1:5" x14ac:dyDescent="0.25">
      <c r="A1081" t="s">
        <v>87</v>
      </c>
      <c r="B1081" t="s">
        <v>2470</v>
      </c>
      <c r="C1081" t="s">
        <v>2532</v>
      </c>
      <c r="D1081">
        <v>2014</v>
      </c>
      <c r="E1081">
        <v>145</v>
      </c>
    </row>
    <row r="1082" spans="1:5" x14ac:dyDescent="0.25">
      <c r="A1082" t="s">
        <v>87</v>
      </c>
      <c r="B1082" t="s">
        <v>2470</v>
      </c>
      <c r="C1082" t="s">
        <v>2527</v>
      </c>
      <c r="D1082">
        <v>2013</v>
      </c>
      <c r="E1082">
        <v>128</v>
      </c>
    </row>
    <row r="1083" spans="1:5" x14ac:dyDescent="0.25">
      <c r="A1083" t="s">
        <v>87</v>
      </c>
      <c r="B1083" t="s">
        <v>2470</v>
      </c>
      <c r="C1083" t="s">
        <v>2528</v>
      </c>
      <c r="D1083">
        <v>2013</v>
      </c>
      <c r="E1083">
        <v>151</v>
      </c>
    </row>
    <row r="1084" spans="1:5" x14ac:dyDescent="0.25">
      <c r="A1084" t="s">
        <v>87</v>
      </c>
      <c r="B1084" t="s">
        <v>2470</v>
      </c>
      <c r="C1084" t="s">
        <v>108</v>
      </c>
      <c r="D1084">
        <v>2013</v>
      </c>
      <c r="E1084">
        <v>170</v>
      </c>
    </row>
    <row r="1085" spans="1:5" x14ac:dyDescent="0.25">
      <c r="A1085" t="s">
        <v>87</v>
      </c>
      <c r="B1085" t="s">
        <v>2470</v>
      </c>
      <c r="C1085" t="s">
        <v>2530</v>
      </c>
      <c r="D1085">
        <v>2013</v>
      </c>
      <c r="E1085">
        <v>4</v>
      </c>
    </row>
    <row r="1086" spans="1:5" x14ac:dyDescent="0.25">
      <c r="A1086" t="s">
        <v>87</v>
      </c>
      <c r="B1086" t="s">
        <v>2470</v>
      </c>
      <c r="C1086" t="s">
        <v>2531</v>
      </c>
      <c r="D1086">
        <v>2013</v>
      </c>
      <c r="E1086">
        <v>55</v>
      </c>
    </row>
    <row r="1087" spans="1:5" x14ac:dyDescent="0.25">
      <c r="A1087" t="s">
        <v>87</v>
      </c>
      <c r="B1087" t="s">
        <v>2470</v>
      </c>
      <c r="C1087" t="s">
        <v>2524</v>
      </c>
      <c r="D1087">
        <v>2013</v>
      </c>
      <c r="E1087">
        <v>4</v>
      </c>
    </row>
    <row r="1088" spans="1:5" x14ac:dyDescent="0.25">
      <c r="A1088" t="s">
        <v>87</v>
      </c>
      <c r="B1088" t="s">
        <v>2470</v>
      </c>
      <c r="C1088" t="s">
        <v>2532</v>
      </c>
      <c r="D1088">
        <v>2013</v>
      </c>
      <c r="E1088">
        <v>147</v>
      </c>
    </row>
    <row r="1089" spans="1:5" x14ac:dyDescent="0.25">
      <c r="A1089" t="s">
        <v>87</v>
      </c>
      <c r="B1089" t="s">
        <v>2470</v>
      </c>
      <c r="C1089" t="s">
        <v>2527</v>
      </c>
      <c r="D1089">
        <v>2012</v>
      </c>
      <c r="E1089">
        <v>104</v>
      </c>
    </row>
    <row r="1090" spans="1:5" x14ac:dyDescent="0.25">
      <c r="A1090" t="s">
        <v>87</v>
      </c>
      <c r="B1090" t="s">
        <v>2470</v>
      </c>
      <c r="C1090" t="s">
        <v>2528</v>
      </c>
      <c r="D1090">
        <v>2012</v>
      </c>
      <c r="E1090">
        <v>123</v>
      </c>
    </row>
    <row r="1091" spans="1:5" x14ac:dyDescent="0.25">
      <c r="A1091" t="s">
        <v>87</v>
      </c>
      <c r="B1091" t="s">
        <v>2470</v>
      </c>
      <c r="C1091" t="s">
        <v>108</v>
      </c>
      <c r="D1091">
        <v>2012</v>
      </c>
      <c r="E1091">
        <v>171</v>
      </c>
    </row>
    <row r="1092" spans="1:5" x14ac:dyDescent="0.25">
      <c r="A1092" t="s">
        <v>87</v>
      </c>
      <c r="B1092" t="s">
        <v>2470</v>
      </c>
      <c r="C1092" t="s">
        <v>2531</v>
      </c>
      <c r="D1092">
        <v>2012</v>
      </c>
      <c r="E1092">
        <v>67</v>
      </c>
    </row>
    <row r="1093" spans="1:5" x14ac:dyDescent="0.25">
      <c r="A1093" t="s">
        <v>87</v>
      </c>
      <c r="B1093" t="s">
        <v>2470</v>
      </c>
      <c r="C1093" t="s">
        <v>2524</v>
      </c>
      <c r="D1093">
        <v>2012</v>
      </c>
      <c r="E1093">
        <v>2</v>
      </c>
    </row>
    <row r="1094" spans="1:5" x14ac:dyDescent="0.25">
      <c r="A1094" t="s">
        <v>87</v>
      </c>
      <c r="B1094" t="s">
        <v>2470</v>
      </c>
      <c r="C1094" t="s">
        <v>2532</v>
      </c>
      <c r="D1094">
        <v>2012</v>
      </c>
      <c r="E1094">
        <v>176</v>
      </c>
    </row>
    <row r="1095" spans="1:5" x14ac:dyDescent="0.25">
      <c r="A1095" t="s">
        <v>87</v>
      </c>
      <c r="B1095" t="s">
        <v>2470</v>
      </c>
      <c r="C1095" t="s">
        <v>2527</v>
      </c>
      <c r="D1095">
        <v>2011</v>
      </c>
      <c r="E1095">
        <v>158</v>
      </c>
    </row>
    <row r="1096" spans="1:5" x14ac:dyDescent="0.25">
      <c r="A1096" t="s">
        <v>87</v>
      </c>
      <c r="B1096" t="s">
        <v>2470</v>
      </c>
      <c r="C1096" t="s">
        <v>2528</v>
      </c>
      <c r="D1096">
        <v>2011</v>
      </c>
      <c r="E1096">
        <v>139</v>
      </c>
    </row>
    <row r="1097" spans="1:5" x14ac:dyDescent="0.25">
      <c r="A1097" t="s">
        <v>87</v>
      </c>
      <c r="B1097" t="s">
        <v>2470</v>
      </c>
      <c r="C1097" t="s">
        <v>108</v>
      </c>
      <c r="D1097">
        <v>2011</v>
      </c>
      <c r="E1097">
        <v>192</v>
      </c>
    </row>
    <row r="1098" spans="1:5" x14ac:dyDescent="0.25">
      <c r="A1098" t="s">
        <v>87</v>
      </c>
      <c r="B1098" t="s">
        <v>2470</v>
      </c>
      <c r="C1098" t="s">
        <v>2530</v>
      </c>
      <c r="D1098">
        <v>2011</v>
      </c>
      <c r="E1098">
        <v>2</v>
      </c>
    </row>
    <row r="1099" spans="1:5" x14ac:dyDescent="0.25">
      <c r="A1099" t="s">
        <v>87</v>
      </c>
      <c r="B1099" t="s">
        <v>2470</v>
      </c>
      <c r="C1099" t="s">
        <v>2533</v>
      </c>
      <c r="D1099">
        <v>2011</v>
      </c>
      <c r="E1099">
        <v>3</v>
      </c>
    </row>
    <row r="1100" spans="1:5" x14ac:dyDescent="0.25">
      <c r="A1100" t="s">
        <v>87</v>
      </c>
      <c r="B1100" t="s">
        <v>2470</v>
      </c>
      <c r="C1100" t="s">
        <v>2531</v>
      </c>
      <c r="D1100">
        <v>2011</v>
      </c>
      <c r="E1100">
        <v>86</v>
      </c>
    </row>
    <row r="1101" spans="1:5" x14ac:dyDescent="0.25">
      <c r="A1101" t="s">
        <v>87</v>
      </c>
      <c r="B1101" t="s">
        <v>2470</v>
      </c>
      <c r="C1101" t="s">
        <v>2524</v>
      </c>
      <c r="D1101">
        <v>2011</v>
      </c>
      <c r="E1101">
        <v>9</v>
      </c>
    </row>
    <row r="1102" spans="1:5" x14ac:dyDescent="0.25">
      <c r="A1102" t="s">
        <v>87</v>
      </c>
      <c r="B1102" t="s">
        <v>2470</v>
      </c>
      <c r="C1102" t="s">
        <v>2532</v>
      </c>
      <c r="D1102">
        <v>2011</v>
      </c>
      <c r="E1102">
        <v>159</v>
      </c>
    </row>
    <row r="1103" spans="1:5" x14ac:dyDescent="0.25">
      <c r="A1103" t="s">
        <v>87</v>
      </c>
      <c r="B1103" t="s">
        <v>2470</v>
      </c>
      <c r="C1103" t="s">
        <v>2527</v>
      </c>
      <c r="D1103">
        <v>2010</v>
      </c>
      <c r="E1103">
        <v>162</v>
      </c>
    </row>
    <row r="1104" spans="1:5" x14ac:dyDescent="0.25">
      <c r="A1104" t="s">
        <v>87</v>
      </c>
      <c r="B1104" t="s">
        <v>2470</v>
      </c>
      <c r="C1104" t="s">
        <v>2528</v>
      </c>
      <c r="D1104">
        <v>2010</v>
      </c>
      <c r="E1104">
        <v>143</v>
      </c>
    </row>
    <row r="1105" spans="1:5" x14ac:dyDescent="0.25">
      <c r="A1105" t="s">
        <v>87</v>
      </c>
      <c r="B1105" t="s">
        <v>2470</v>
      </c>
      <c r="C1105" t="s">
        <v>108</v>
      </c>
      <c r="D1105">
        <v>2010</v>
      </c>
      <c r="E1105">
        <v>173</v>
      </c>
    </row>
    <row r="1106" spans="1:5" x14ac:dyDescent="0.25">
      <c r="A1106" t="s">
        <v>87</v>
      </c>
      <c r="B1106" t="s">
        <v>2470</v>
      </c>
      <c r="C1106" t="s">
        <v>2530</v>
      </c>
      <c r="D1106">
        <v>2010</v>
      </c>
      <c r="E1106">
        <v>6</v>
      </c>
    </row>
    <row r="1107" spans="1:5" x14ac:dyDescent="0.25">
      <c r="A1107" t="s">
        <v>87</v>
      </c>
      <c r="B1107" t="s">
        <v>2470</v>
      </c>
      <c r="C1107" t="s">
        <v>2533</v>
      </c>
      <c r="D1107">
        <v>2010</v>
      </c>
      <c r="E1107">
        <v>7</v>
      </c>
    </row>
    <row r="1108" spans="1:5" x14ac:dyDescent="0.25">
      <c r="A1108" t="s">
        <v>87</v>
      </c>
      <c r="B1108" t="s">
        <v>2470</v>
      </c>
      <c r="C1108" t="s">
        <v>2531</v>
      </c>
      <c r="D1108">
        <v>2010</v>
      </c>
      <c r="E1108">
        <v>105</v>
      </c>
    </row>
    <row r="1109" spans="1:5" x14ac:dyDescent="0.25">
      <c r="A1109" t="s">
        <v>87</v>
      </c>
      <c r="B1109" t="s">
        <v>2470</v>
      </c>
      <c r="C1109" t="s">
        <v>2524</v>
      </c>
      <c r="D1109">
        <v>2010</v>
      </c>
      <c r="E1109">
        <v>26</v>
      </c>
    </row>
    <row r="1110" spans="1:5" x14ac:dyDescent="0.25">
      <c r="A1110" t="s">
        <v>87</v>
      </c>
      <c r="B1110" t="s">
        <v>2470</v>
      </c>
      <c r="C1110" t="s">
        <v>2532</v>
      </c>
      <c r="D1110">
        <v>2010</v>
      </c>
      <c r="E1110">
        <v>177</v>
      </c>
    </row>
    <row r="1111" spans="1:5" x14ac:dyDescent="0.25">
      <c r="A1111" t="s">
        <v>87</v>
      </c>
      <c r="B1111" t="s">
        <v>2470</v>
      </c>
      <c r="C1111" t="s">
        <v>2527</v>
      </c>
      <c r="D1111">
        <v>2009</v>
      </c>
      <c r="E1111">
        <v>147</v>
      </c>
    </row>
    <row r="1112" spans="1:5" x14ac:dyDescent="0.25">
      <c r="A1112" t="s">
        <v>87</v>
      </c>
      <c r="B1112" t="s">
        <v>2470</v>
      </c>
      <c r="C1112" t="s">
        <v>108</v>
      </c>
      <c r="D1112">
        <v>2009</v>
      </c>
      <c r="E1112">
        <v>183</v>
      </c>
    </row>
    <row r="1113" spans="1:5" x14ac:dyDescent="0.25">
      <c r="A1113" t="s">
        <v>87</v>
      </c>
      <c r="B1113" t="s">
        <v>2470</v>
      </c>
      <c r="C1113" t="s">
        <v>2530</v>
      </c>
      <c r="D1113">
        <v>2009</v>
      </c>
      <c r="E1113">
        <v>17</v>
      </c>
    </row>
    <row r="1114" spans="1:5" x14ac:dyDescent="0.25">
      <c r="A1114" t="s">
        <v>87</v>
      </c>
      <c r="B1114" t="s">
        <v>2470</v>
      </c>
      <c r="C1114" t="s">
        <v>2533</v>
      </c>
      <c r="D1114">
        <v>2009</v>
      </c>
      <c r="E1114">
        <v>137</v>
      </c>
    </row>
    <row r="1115" spans="1:5" x14ac:dyDescent="0.25">
      <c r="A1115" t="s">
        <v>87</v>
      </c>
      <c r="B1115" t="s">
        <v>2470</v>
      </c>
      <c r="C1115" t="s">
        <v>2531</v>
      </c>
      <c r="D1115">
        <v>2009</v>
      </c>
      <c r="E1115">
        <v>113</v>
      </c>
    </row>
    <row r="1116" spans="1:5" x14ac:dyDescent="0.25">
      <c r="A1116" t="s">
        <v>87</v>
      </c>
      <c r="B1116" t="s">
        <v>2470</v>
      </c>
      <c r="C1116" t="s">
        <v>2524</v>
      </c>
      <c r="D1116">
        <v>2009</v>
      </c>
      <c r="E1116">
        <v>67</v>
      </c>
    </row>
    <row r="1117" spans="1:5" x14ac:dyDescent="0.25">
      <c r="A1117" t="s">
        <v>87</v>
      </c>
      <c r="B1117" t="s">
        <v>2470</v>
      </c>
      <c r="C1117" t="s">
        <v>2532</v>
      </c>
      <c r="D1117">
        <v>2009</v>
      </c>
      <c r="E1117">
        <v>175</v>
      </c>
    </row>
    <row r="1118" spans="1:5" x14ac:dyDescent="0.25">
      <c r="A1118" t="s">
        <v>87</v>
      </c>
      <c r="B1118" t="s">
        <v>2470</v>
      </c>
      <c r="C1118" t="s">
        <v>2527</v>
      </c>
      <c r="D1118">
        <v>2008</v>
      </c>
      <c r="E1118">
        <v>118</v>
      </c>
    </row>
    <row r="1119" spans="1:5" x14ac:dyDescent="0.25">
      <c r="A1119" t="s">
        <v>87</v>
      </c>
      <c r="B1119" t="s">
        <v>2470</v>
      </c>
      <c r="C1119" t="s">
        <v>108</v>
      </c>
      <c r="D1119">
        <v>2008</v>
      </c>
      <c r="E1119">
        <v>161</v>
      </c>
    </row>
    <row r="1120" spans="1:5" x14ac:dyDescent="0.25">
      <c r="A1120" t="s">
        <v>87</v>
      </c>
      <c r="B1120" t="s">
        <v>2470</v>
      </c>
      <c r="C1120" t="s">
        <v>2530</v>
      </c>
      <c r="D1120">
        <v>2008</v>
      </c>
      <c r="E1120">
        <v>25</v>
      </c>
    </row>
    <row r="1121" spans="1:5" x14ac:dyDescent="0.25">
      <c r="A1121" t="s">
        <v>87</v>
      </c>
      <c r="B1121" t="s">
        <v>2470</v>
      </c>
      <c r="C1121" t="s">
        <v>2533</v>
      </c>
      <c r="D1121">
        <v>2008</v>
      </c>
      <c r="E1121">
        <v>94</v>
      </c>
    </row>
    <row r="1122" spans="1:5" x14ac:dyDescent="0.25">
      <c r="A1122" t="s">
        <v>87</v>
      </c>
      <c r="B1122" t="s">
        <v>2470</v>
      </c>
      <c r="C1122" t="s">
        <v>2531</v>
      </c>
      <c r="D1122">
        <v>2008</v>
      </c>
      <c r="E1122">
        <v>98</v>
      </c>
    </row>
    <row r="1123" spans="1:5" x14ac:dyDescent="0.25">
      <c r="A1123" t="s">
        <v>87</v>
      </c>
      <c r="B1123" t="s">
        <v>2470</v>
      </c>
      <c r="C1123" t="s">
        <v>2524</v>
      </c>
      <c r="D1123">
        <v>2008</v>
      </c>
      <c r="E1123">
        <v>195</v>
      </c>
    </row>
    <row r="1124" spans="1:5" x14ac:dyDescent="0.25">
      <c r="A1124" t="s">
        <v>87</v>
      </c>
      <c r="B1124" t="s">
        <v>2470</v>
      </c>
      <c r="C1124" t="s">
        <v>2532</v>
      </c>
      <c r="D1124">
        <v>2008</v>
      </c>
      <c r="E1124">
        <v>137</v>
      </c>
    </row>
    <row r="1125" spans="1:5" x14ac:dyDescent="0.25">
      <c r="A1125" t="s">
        <v>87</v>
      </c>
      <c r="B1125" t="s">
        <v>2505</v>
      </c>
      <c r="C1125" t="s">
        <v>2534</v>
      </c>
      <c r="D1125">
        <v>2019</v>
      </c>
      <c r="E1125">
        <v>24</v>
      </c>
    </row>
    <row r="1126" spans="1:5" x14ac:dyDescent="0.25">
      <c r="A1126" t="s">
        <v>87</v>
      </c>
      <c r="B1126" t="s">
        <v>2505</v>
      </c>
      <c r="C1126" t="s">
        <v>2535</v>
      </c>
      <c r="D1126">
        <v>2019</v>
      </c>
      <c r="E1126">
        <v>77</v>
      </c>
    </row>
    <row r="1127" spans="1:5" x14ac:dyDescent="0.25">
      <c r="A1127" t="s">
        <v>87</v>
      </c>
      <c r="B1127" t="s">
        <v>2505</v>
      </c>
      <c r="C1127" t="s">
        <v>2524</v>
      </c>
      <c r="D1127">
        <v>2019</v>
      </c>
      <c r="E1127">
        <v>69</v>
      </c>
    </row>
    <row r="1128" spans="1:5" x14ac:dyDescent="0.25">
      <c r="A1128" t="s">
        <v>87</v>
      </c>
      <c r="B1128" t="s">
        <v>2505</v>
      </c>
      <c r="C1128" t="s">
        <v>2532</v>
      </c>
      <c r="D1128">
        <v>2019</v>
      </c>
      <c r="E1128">
        <v>17</v>
      </c>
    </row>
    <row r="1129" spans="1:5" x14ac:dyDescent="0.25">
      <c r="A1129" t="s">
        <v>87</v>
      </c>
      <c r="B1129" t="s">
        <v>2505</v>
      </c>
      <c r="C1129" t="s">
        <v>2534</v>
      </c>
      <c r="D1129">
        <v>2018</v>
      </c>
      <c r="E1129">
        <v>17</v>
      </c>
    </row>
    <row r="1130" spans="1:5" x14ac:dyDescent="0.25">
      <c r="A1130" t="s">
        <v>87</v>
      </c>
      <c r="B1130" t="s">
        <v>2505</v>
      </c>
      <c r="C1130" t="s">
        <v>2535</v>
      </c>
      <c r="D1130">
        <v>2018</v>
      </c>
      <c r="E1130">
        <v>86</v>
      </c>
    </row>
    <row r="1131" spans="1:5" x14ac:dyDescent="0.25">
      <c r="A1131" t="s">
        <v>87</v>
      </c>
      <c r="B1131" t="s">
        <v>2505</v>
      </c>
      <c r="C1131" t="s">
        <v>2524</v>
      </c>
      <c r="D1131">
        <v>2018</v>
      </c>
      <c r="E1131">
        <v>59</v>
      </c>
    </row>
    <row r="1132" spans="1:5" x14ac:dyDescent="0.25">
      <c r="A1132" t="s">
        <v>87</v>
      </c>
      <c r="B1132" t="s">
        <v>2505</v>
      </c>
      <c r="C1132" t="s">
        <v>2532</v>
      </c>
      <c r="D1132">
        <v>2018</v>
      </c>
      <c r="E1132">
        <v>26</v>
      </c>
    </row>
    <row r="1133" spans="1:5" x14ac:dyDescent="0.25">
      <c r="A1133" t="s">
        <v>87</v>
      </c>
      <c r="B1133" t="s">
        <v>2505</v>
      </c>
      <c r="C1133" t="s">
        <v>2534</v>
      </c>
      <c r="D1133">
        <v>2017</v>
      </c>
      <c r="E1133">
        <v>21</v>
      </c>
    </row>
    <row r="1134" spans="1:5" x14ac:dyDescent="0.25">
      <c r="A1134" t="s">
        <v>87</v>
      </c>
      <c r="B1134" t="s">
        <v>2505</v>
      </c>
      <c r="C1134" t="s">
        <v>2535</v>
      </c>
      <c r="D1134">
        <v>2017</v>
      </c>
      <c r="E1134">
        <v>92</v>
      </c>
    </row>
    <row r="1135" spans="1:5" x14ac:dyDescent="0.25">
      <c r="A1135" t="s">
        <v>87</v>
      </c>
      <c r="B1135" t="s">
        <v>2505</v>
      </c>
      <c r="C1135" t="s">
        <v>2524</v>
      </c>
      <c r="D1135">
        <v>2017</v>
      </c>
      <c r="E1135">
        <v>48</v>
      </c>
    </row>
    <row r="1136" spans="1:5" x14ac:dyDescent="0.25">
      <c r="A1136" t="s">
        <v>87</v>
      </c>
      <c r="B1136" t="s">
        <v>2505</v>
      </c>
      <c r="C1136" t="s">
        <v>2532</v>
      </c>
      <c r="D1136">
        <v>2017</v>
      </c>
      <c r="E1136">
        <v>26</v>
      </c>
    </row>
    <row r="1137" spans="1:5" x14ac:dyDescent="0.25">
      <c r="A1137" t="s">
        <v>87</v>
      </c>
      <c r="B1137" t="s">
        <v>2505</v>
      </c>
      <c r="C1137" t="s">
        <v>2534</v>
      </c>
      <c r="D1137">
        <v>2016</v>
      </c>
      <c r="E1137">
        <v>15</v>
      </c>
    </row>
    <row r="1138" spans="1:5" x14ac:dyDescent="0.25">
      <c r="A1138" t="s">
        <v>87</v>
      </c>
      <c r="B1138" t="s">
        <v>2505</v>
      </c>
      <c r="C1138" t="s">
        <v>2535</v>
      </c>
      <c r="D1138">
        <v>2016</v>
      </c>
      <c r="E1138">
        <v>36</v>
      </c>
    </row>
    <row r="1139" spans="1:5" x14ac:dyDescent="0.25">
      <c r="A1139" t="s">
        <v>87</v>
      </c>
      <c r="B1139" t="s">
        <v>2505</v>
      </c>
      <c r="C1139" t="s">
        <v>2524</v>
      </c>
      <c r="D1139">
        <v>2016</v>
      </c>
      <c r="E1139">
        <v>108</v>
      </c>
    </row>
    <row r="1140" spans="1:5" x14ac:dyDescent="0.25">
      <c r="A1140" t="s">
        <v>87</v>
      </c>
      <c r="B1140" t="s">
        <v>2505</v>
      </c>
      <c r="C1140" t="s">
        <v>2532</v>
      </c>
      <c r="D1140">
        <v>2016</v>
      </c>
      <c r="E1140">
        <v>31</v>
      </c>
    </row>
    <row r="1141" spans="1:5" x14ac:dyDescent="0.25">
      <c r="A1141" t="s">
        <v>87</v>
      </c>
      <c r="B1141" t="s">
        <v>2505</v>
      </c>
      <c r="C1141" t="s">
        <v>2535</v>
      </c>
      <c r="D1141">
        <v>2015</v>
      </c>
      <c r="E1141">
        <v>46</v>
      </c>
    </row>
    <row r="1142" spans="1:5" x14ac:dyDescent="0.25">
      <c r="A1142" t="s">
        <v>87</v>
      </c>
      <c r="B1142" t="s">
        <v>2505</v>
      </c>
      <c r="C1142" t="s">
        <v>2524</v>
      </c>
      <c r="D1142">
        <v>2015</v>
      </c>
      <c r="E1142">
        <v>69</v>
      </c>
    </row>
    <row r="1143" spans="1:5" x14ac:dyDescent="0.25">
      <c r="A1143" t="s">
        <v>87</v>
      </c>
      <c r="B1143" t="s">
        <v>2505</v>
      </c>
      <c r="C1143" t="s">
        <v>2532</v>
      </c>
      <c r="D1143">
        <v>2015</v>
      </c>
      <c r="E1143">
        <v>31</v>
      </c>
    </row>
    <row r="1144" spans="1:5" x14ac:dyDescent="0.25">
      <c r="A1144" t="s">
        <v>87</v>
      </c>
      <c r="B1144" t="s">
        <v>2505</v>
      </c>
      <c r="C1144" t="s">
        <v>2535</v>
      </c>
      <c r="D1144">
        <v>2014</v>
      </c>
      <c r="E1144">
        <v>29</v>
      </c>
    </row>
    <row r="1145" spans="1:5" x14ac:dyDescent="0.25">
      <c r="A1145" t="s">
        <v>87</v>
      </c>
      <c r="B1145" t="s">
        <v>2505</v>
      </c>
      <c r="C1145" t="s">
        <v>2524</v>
      </c>
      <c r="D1145">
        <v>2014</v>
      </c>
      <c r="E1145">
        <v>80</v>
      </c>
    </row>
    <row r="1146" spans="1:5" x14ac:dyDescent="0.25">
      <c r="A1146" t="s">
        <v>87</v>
      </c>
      <c r="B1146" t="s">
        <v>2505</v>
      </c>
      <c r="C1146" t="s">
        <v>2532</v>
      </c>
      <c r="D1146">
        <v>2014</v>
      </c>
      <c r="E1146">
        <v>22</v>
      </c>
    </row>
    <row r="1147" spans="1:5" x14ac:dyDescent="0.25">
      <c r="A1147" t="s">
        <v>87</v>
      </c>
      <c r="B1147" t="s">
        <v>2505</v>
      </c>
      <c r="C1147" t="s">
        <v>2535</v>
      </c>
      <c r="D1147">
        <v>2013</v>
      </c>
      <c r="E1147">
        <v>36</v>
      </c>
    </row>
    <row r="1148" spans="1:5" x14ac:dyDescent="0.25">
      <c r="A1148" t="s">
        <v>87</v>
      </c>
      <c r="B1148" t="s">
        <v>2505</v>
      </c>
      <c r="C1148" t="s">
        <v>2524</v>
      </c>
      <c r="D1148">
        <v>2013</v>
      </c>
      <c r="E1148">
        <v>71</v>
      </c>
    </row>
    <row r="1149" spans="1:5" x14ac:dyDescent="0.25">
      <c r="A1149" t="s">
        <v>87</v>
      </c>
      <c r="B1149" t="s">
        <v>2505</v>
      </c>
      <c r="C1149" t="s">
        <v>2532</v>
      </c>
      <c r="D1149">
        <v>2013</v>
      </c>
      <c r="E1149">
        <v>31</v>
      </c>
    </row>
    <row r="1150" spans="1:5" x14ac:dyDescent="0.25">
      <c r="A1150" t="s">
        <v>87</v>
      </c>
      <c r="B1150" t="s">
        <v>2505</v>
      </c>
      <c r="C1150" t="s">
        <v>2535</v>
      </c>
      <c r="D1150">
        <v>2012</v>
      </c>
      <c r="E1150">
        <v>47</v>
      </c>
    </row>
    <row r="1151" spans="1:5" x14ac:dyDescent="0.25">
      <c r="A1151" t="s">
        <v>87</v>
      </c>
      <c r="B1151" t="s">
        <v>2505</v>
      </c>
      <c r="C1151" t="s">
        <v>2524</v>
      </c>
      <c r="D1151">
        <v>2012</v>
      </c>
      <c r="E1151">
        <v>54</v>
      </c>
    </row>
    <row r="1152" spans="1:5" x14ac:dyDescent="0.25">
      <c r="A1152" t="s">
        <v>87</v>
      </c>
      <c r="B1152" t="s">
        <v>2505</v>
      </c>
      <c r="C1152" t="s">
        <v>2532</v>
      </c>
      <c r="D1152">
        <v>2012</v>
      </c>
      <c r="E1152">
        <v>34</v>
      </c>
    </row>
    <row r="1153" spans="1:5" x14ac:dyDescent="0.25">
      <c r="A1153" t="s">
        <v>87</v>
      </c>
      <c r="B1153" t="s">
        <v>2505</v>
      </c>
      <c r="C1153" t="s">
        <v>2535</v>
      </c>
      <c r="D1153">
        <v>2011</v>
      </c>
      <c r="E1153">
        <v>42</v>
      </c>
    </row>
    <row r="1154" spans="1:5" x14ac:dyDescent="0.25">
      <c r="A1154" t="s">
        <v>87</v>
      </c>
      <c r="B1154" t="s">
        <v>2505</v>
      </c>
      <c r="C1154" t="s">
        <v>2524</v>
      </c>
      <c r="D1154">
        <v>2011</v>
      </c>
      <c r="E1154">
        <v>50</v>
      </c>
    </row>
    <row r="1155" spans="1:5" x14ac:dyDescent="0.25">
      <c r="A1155" t="s">
        <v>87</v>
      </c>
      <c r="B1155" t="s">
        <v>2505</v>
      </c>
      <c r="C1155" t="s">
        <v>2532</v>
      </c>
      <c r="D1155">
        <v>2011</v>
      </c>
      <c r="E1155">
        <v>29</v>
      </c>
    </row>
    <row r="1156" spans="1:5" x14ac:dyDescent="0.25">
      <c r="A1156" t="s">
        <v>87</v>
      </c>
      <c r="B1156" t="s">
        <v>2505</v>
      </c>
      <c r="C1156" t="s">
        <v>2535</v>
      </c>
      <c r="D1156">
        <v>2010</v>
      </c>
      <c r="E1156">
        <v>37</v>
      </c>
    </row>
    <row r="1157" spans="1:5" x14ac:dyDescent="0.25">
      <c r="A1157" t="s">
        <v>87</v>
      </c>
      <c r="B1157" t="s">
        <v>2505</v>
      </c>
      <c r="C1157" t="s">
        <v>2524</v>
      </c>
      <c r="D1157">
        <v>2010</v>
      </c>
      <c r="E1157">
        <v>37</v>
      </c>
    </row>
    <row r="1158" spans="1:5" x14ac:dyDescent="0.25">
      <c r="A1158" t="s">
        <v>87</v>
      </c>
      <c r="B1158" t="s">
        <v>2505</v>
      </c>
      <c r="C1158" t="s">
        <v>2532</v>
      </c>
      <c r="D1158">
        <v>2010</v>
      </c>
      <c r="E1158">
        <v>34</v>
      </c>
    </row>
    <row r="1159" spans="1:5" x14ac:dyDescent="0.25">
      <c r="A1159" t="s">
        <v>87</v>
      </c>
      <c r="B1159" t="s">
        <v>2505</v>
      </c>
      <c r="C1159" t="s">
        <v>2535</v>
      </c>
      <c r="D1159">
        <v>2009</v>
      </c>
      <c r="E1159">
        <v>31</v>
      </c>
    </row>
    <row r="1160" spans="1:5" x14ac:dyDescent="0.25">
      <c r="A1160" t="s">
        <v>87</v>
      </c>
      <c r="B1160" t="s">
        <v>2505</v>
      </c>
      <c r="C1160" t="s">
        <v>2524</v>
      </c>
      <c r="D1160">
        <v>2009</v>
      </c>
      <c r="E1160">
        <v>43</v>
      </c>
    </row>
    <row r="1161" spans="1:5" x14ac:dyDescent="0.25">
      <c r="A1161" t="s">
        <v>87</v>
      </c>
      <c r="B1161" t="s">
        <v>2505</v>
      </c>
      <c r="C1161" t="s">
        <v>2532</v>
      </c>
      <c r="D1161">
        <v>2009</v>
      </c>
      <c r="E1161">
        <v>26</v>
      </c>
    </row>
    <row r="1162" spans="1:5" x14ac:dyDescent="0.25">
      <c r="A1162" t="s">
        <v>87</v>
      </c>
      <c r="B1162" t="s">
        <v>2505</v>
      </c>
      <c r="C1162" t="s">
        <v>2535</v>
      </c>
      <c r="D1162">
        <v>2008</v>
      </c>
      <c r="E1162">
        <v>38</v>
      </c>
    </row>
    <row r="1163" spans="1:5" x14ac:dyDescent="0.25">
      <c r="A1163" t="s">
        <v>87</v>
      </c>
      <c r="B1163" t="s">
        <v>2505</v>
      </c>
      <c r="C1163" t="s">
        <v>2524</v>
      </c>
      <c r="D1163">
        <v>2008</v>
      </c>
      <c r="E1163">
        <v>43</v>
      </c>
    </row>
    <row r="1164" spans="1:5" x14ac:dyDescent="0.25">
      <c r="A1164" t="s">
        <v>87</v>
      </c>
      <c r="B1164" t="s">
        <v>2505</v>
      </c>
      <c r="C1164" t="s">
        <v>2532</v>
      </c>
      <c r="D1164">
        <v>2008</v>
      </c>
      <c r="E1164">
        <v>22</v>
      </c>
    </row>
    <row r="1165" spans="1:5" x14ac:dyDescent="0.25">
      <c r="A1165" t="s">
        <v>75</v>
      </c>
      <c r="B1165" t="s">
        <v>2452</v>
      </c>
      <c r="C1165" t="s">
        <v>2463</v>
      </c>
      <c r="D1165">
        <v>2016</v>
      </c>
      <c r="E1165">
        <v>5</v>
      </c>
    </row>
    <row r="1166" spans="1:5" x14ac:dyDescent="0.25">
      <c r="A1166" t="s">
        <v>75</v>
      </c>
      <c r="B1166" t="s">
        <v>2452</v>
      </c>
      <c r="C1166" t="s">
        <v>2463</v>
      </c>
      <c r="D1166">
        <v>2015</v>
      </c>
      <c r="E1166">
        <v>234</v>
      </c>
    </row>
    <row r="1167" spans="1:5" x14ac:dyDescent="0.25">
      <c r="A1167" t="s">
        <v>75</v>
      </c>
      <c r="B1167" t="s">
        <v>2452</v>
      </c>
      <c r="C1167" t="s">
        <v>2463</v>
      </c>
      <c r="D1167">
        <v>2014</v>
      </c>
      <c r="E1167">
        <v>234</v>
      </c>
    </row>
    <row r="1168" spans="1:5" x14ac:dyDescent="0.25">
      <c r="A1168" t="s">
        <v>75</v>
      </c>
      <c r="B1168" t="s">
        <v>2452</v>
      </c>
      <c r="C1168" t="s">
        <v>2463</v>
      </c>
      <c r="D1168">
        <v>2013</v>
      </c>
      <c r="E1168">
        <v>252</v>
      </c>
    </row>
    <row r="1169" spans="1:5" x14ac:dyDescent="0.25">
      <c r="A1169" t="s">
        <v>75</v>
      </c>
      <c r="B1169" t="s">
        <v>2452</v>
      </c>
      <c r="C1169" t="s">
        <v>2463</v>
      </c>
      <c r="D1169">
        <v>2012</v>
      </c>
      <c r="E1169">
        <v>273</v>
      </c>
    </row>
    <row r="1170" spans="1:5" x14ac:dyDescent="0.25">
      <c r="A1170" t="s">
        <v>75</v>
      </c>
      <c r="B1170" t="s">
        <v>2452</v>
      </c>
      <c r="C1170" t="s">
        <v>2463</v>
      </c>
      <c r="D1170">
        <v>2011</v>
      </c>
      <c r="E1170">
        <v>318</v>
      </c>
    </row>
    <row r="1171" spans="1:5" x14ac:dyDescent="0.25">
      <c r="A1171" t="s">
        <v>75</v>
      </c>
      <c r="B1171" t="s">
        <v>2452</v>
      </c>
      <c r="C1171" t="s">
        <v>2463</v>
      </c>
      <c r="D1171">
        <v>2010</v>
      </c>
      <c r="E1171">
        <v>333</v>
      </c>
    </row>
    <row r="1172" spans="1:5" x14ac:dyDescent="0.25">
      <c r="A1172" t="s">
        <v>75</v>
      </c>
      <c r="B1172" t="s">
        <v>2452</v>
      </c>
      <c r="C1172" t="s">
        <v>2463</v>
      </c>
      <c r="D1172">
        <v>2009</v>
      </c>
      <c r="E1172">
        <v>351</v>
      </c>
    </row>
    <row r="1173" spans="1:5" x14ac:dyDescent="0.25">
      <c r="A1173" t="s">
        <v>75</v>
      </c>
      <c r="B1173" t="s">
        <v>2452</v>
      </c>
      <c r="C1173" t="s">
        <v>2463</v>
      </c>
      <c r="D1173">
        <v>2008</v>
      </c>
      <c r="E1173">
        <v>331</v>
      </c>
    </row>
    <row r="1174" spans="1:5" x14ac:dyDescent="0.25">
      <c r="A1174" t="s">
        <v>75</v>
      </c>
      <c r="B1174" t="s">
        <v>2464</v>
      </c>
      <c r="C1174" t="s">
        <v>2536</v>
      </c>
      <c r="D1174">
        <v>2019</v>
      </c>
      <c r="E1174">
        <v>5</v>
      </c>
    </row>
    <row r="1175" spans="1:5" x14ac:dyDescent="0.25">
      <c r="A1175" t="s">
        <v>75</v>
      </c>
      <c r="B1175" t="s">
        <v>2464</v>
      </c>
      <c r="C1175" t="s">
        <v>2537</v>
      </c>
      <c r="D1175">
        <v>2019</v>
      </c>
      <c r="E1175">
        <v>15</v>
      </c>
    </row>
    <row r="1176" spans="1:5" x14ac:dyDescent="0.25">
      <c r="A1176" t="s">
        <v>75</v>
      </c>
      <c r="B1176" t="s">
        <v>2464</v>
      </c>
      <c r="C1176" t="s">
        <v>2538</v>
      </c>
      <c r="D1176">
        <v>2019</v>
      </c>
      <c r="E1176">
        <v>3</v>
      </c>
    </row>
    <row r="1177" spans="1:5" x14ac:dyDescent="0.25">
      <c r="A1177" t="s">
        <v>75</v>
      </c>
      <c r="B1177" t="s">
        <v>2464</v>
      </c>
      <c r="C1177" t="s">
        <v>2539</v>
      </c>
      <c r="D1177">
        <v>2019</v>
      </c>
      <c r="E1177">
        <v>1</v>
      </c>
    </row>
    <row r="1178" spans="1:5" x14ac:dyDescent="0.25">
      <c r="A1178" t="s">
        <v>75</v>
      </c>
      <c r="B1178" t="s">
        <v>2464</v>
      </c>
      <c r="C1178" t="s">
        <v>2536</v>
      </c>
      <c r="D1178">
        <v>2018</v>
      </c>
      <c r="E1178">
        <v>8</v>
      </c>
    </row>
    <row r="1179" spans="1:5" x14ac:dyDescent="0.25">
      <c r="A1179" t="s">
        <v>75</v>
      </c>
      <c r="B1179" t="s">
        <v>2464</v>
      </c>
      <c r="C1179" t="s">
        <v>2537</v>
      </c>
      <c r="D1179">
        <v>2018</v>
      </c>
      <c r="E1179">
        <v>16</v>
      </c>
    </row>
    <row r="1180" spans="1:5" x14ac:dyDescent="0.25">
      <c r="A1180" t="s">
        <v>75</v>
      </c>
      <c r="B1180" t="s">
        <v>2464</v>
      </c>
      <c r="C1180" t="s">
        <v>2538</v>
      </c>
      <c r="D1180">
        <v>2018</v>
      </c>
      <c r="E1180">
        <v>5</v>
      </c>
    </row>
    <row r="1181" spans="1:5" x14ac:dyDescent="0.25">
      <c r="A1181" t="s">
        <v>75</v>
      </c>
      <c r="B1181" t="s">
        <v>2464</v>
      </c>
      <c r="C1181" t="s">
        <v>2536</v>
      </c>
      <c r="D1181">
        <v>2017</v>
      </c>
      <c r="E1181">
        <v>11</v>
      </c>
    </row>
    <row r="1182" spans="1:5" x14ac:dyDescent="0.25">
      <c r="A1182" t="s">
        <v>75</v>
      </c>
      <c r="B1182" t="s">
        <v>2464</v>
      </c>
      <c r="C1182" t="s">
        <v>2537</v>
      </c>
      <c r="D1182">
        <v>2017</v>
      </c>
      <c r="E1182">
        <v>16</v>
      </c>
    </row>
    <row r="1183" spans="1:5" x14ac:dyDescent="0.25">
      <c r="A1183" t="s">
        <v>75</v>
      </c>
      <c r="B1183" t="s">
        <v>2464</v>
      </c>
      <c r="C1183" t="s">
        <v>2538</v>
      </c>
      <c r="D1183">
        <v>2017</v>
      </c>
      <c r="E1183">
        <v>2</v>
      </c>
    </row>
    <row r="1184" spans="1:5" x14ac:dyDescent="0.25">
      <c r="A1184" t="s">
        <v>75</v>
      </c>
      <c r="B1184" t="s">
        <v>2464</v>
      </c>
      <c r="C1184" t="s">
        <v>2540</v>
      </c>
      <c r="D1184">
        <v>2017</v>
      </c>
      <c r="E1184">
        <v>5</v>
      </c>
    </row>
    <row r="1185" spans="1:5" x14ac:dyDescent="0.25">
      <c r="A1185" t="s">
        <v>75</v>
      </c>
      <c r="B1185" t="s">
        <v>2464</v>
      </c>
      <c r="C1185" t="s">
        <v>2539</v>
      </c>
      <c r="D1185">
        <v>2017</v>
      </c>
      <c r="E1185">
        <v>1</v>
      </c>
    </row>
    <row r="1186" spans="1:5" x14ac:dyDescent="0.25">
      <c r="A1186" t="s">
        <v>75</v>
      </c>
      <c r="B1186" t="s">
        <v>2464</v>
      </c>
      <c r="C1186" t="s">
        <v>2536</v>
      </c>
      <c r="D1186">
        <v>2016</v>
      </c>
      <c r="E1186">
        <v>2</v>
      </c>
    </row>
    <row r="1187" spans="1:5" x14ac:dyDescent="0.25">
      <c r="A1187" t="s">
        <v>75</v>
      </c>
      <c r="B1187" t="s">
        <v>2464</v>
      </c>
      <c r="C1187" t="s">
        <v>2537</v>
      </c>
      <c r="D1187">
        <v>2016</v>
      </c>
      <c r="E1187">
        <v>12</v>
      </c>
    </row>
    <row r="1188" spans="1:5" x14ac:dyDescent="0.25">
      <c r="A1188" t="s">
        <v>75</v>
      </c>
      <c r="B1188" t="s">
        <v>2464</v>
      </c>
      <c r="C1188" t="s">
        <v>2538</v>
      </c>
      <c r="D1188">
        <v>2016</v>
      </c>
      <c r="E1188">
        <v>2</v>
      </c>
    </row>
    <row r="1189" spans="1:5" x14ac:dyDescent="0.25">
      <c r="A1189" t="s">
        <v>75</v>
      </c>
      <c r="B1189" t="s">
        <v>2464</v>
      </c>
      <c r="C1189" t="s">
        <v>2540</v>
      </c>
      <c r="D1189">
        <v>2016</v>
      </c>
      <c r="E1189">
        <v>4</v>
      </c>
    </row>
    <row r="1190" spans="1:5" x14ac:dyDescent="0.25">
      <c r="A1190" t="s">
        <v>75</v>
      </c>
      <c r="B1190" t="s">
        <v>2464</v>
      </c>
      <c r="C1190" t="s">
        <v>2539</v>
      </c>
      <c r="D1190">
        <v>2016</v>
      </c>
      <c r="E1190">
        <v>1</v>
      </c>
    </row>
    <row r="1191" spans="1:5" x14ac:dyDescent="0.25">
      <c r="A1191" t="s">
        <v>75</v>
      </c>
      <c r="B1191" t="s">
        <v>2464</v>
      </c>
      <c r="C1191" t="s">
        <v>2538</v>
      </c>
      <c r="D1191">
        <v>2015</v>
      </c>
      <c r="E1191">
        <v>2</v>
      </c>
    </row>
    <row r="1192" spans="1:5" x14ac:dyDescent="0.25">
      <c r="A1192" t="s">
        <v>75</v>
      </c>
      <c r="B1192" t="s">
        <v>2464</v>
      </c>
      <c r="C1192" t="s">
        <v>2539</v>
      </c>
      <c r="D1192">
        <v>2015</v>
      </c>
      <c r="E1192">
        <v>4</v>
      </c>
    </row>
    <row r="1193" spans="1:5" x14ac:dyDescent="0.25">
      <c r="A1193" t="s">
        <v>75</v>
      </c>
      <c r="B1193" t="s">
        <v>2464</v>
      </c>
      <c r="C1193" t="s">
        <v>2539</v>
      </c>
      <c r="D1193">
        <v>2014</v>
      </c>
      <c r="E1193">
        <v>2</v>
      </c>
    </row>
    <row r="1194" spans="1:5" x14ac:dyDescent="0.25">
      <c r="A1194" t="s">
        <v>75</v>
      </c>
      <c r="B1194" t="s">
        <v>2464</v>
      </c>
      <c r="C1194" t="s">
        <v>2539</v>
      </c>
      <c r="D1194">
        <v>2013</v>
      </c>
      <c r="E1194">
        <v>3</v>
      </c>
    </row>
    <row r="1195" spans="1:5" x14ac:dyDescent="0.25">
      <c r="A1195" t="s">
        <v>75</v>
      </c>
      <c r="B1195" t="s">
        <v>2464</v>
      </c>
      <c r="C1195" t="s">
        <v>2539</v>
      </c>
      <c r="D1195">
        <v>2012</v>
      </c>
      <c r="E1195">
        <v>3</v>
      </c>
    </row>
    <row r="1196" spans="1:5" x14ac:dyDescent="0.25">
      <c r="A1196" t="s">
        <v>75</v>
      </c>
      <c r="B1196" t="s">
        <v>2464</v>
      </c>
      <c r="C1196" t="s">
        <v>2539</v>
      </c>
      <c r="D1196">
        <v>2011</v>
      </c>
      <c r="E1196">
        <v>3</v>
      </c>
    </row>
    <row r="1197" spans="1:5" x14ac:dyDescent="0.25">
      <c r="A1197" t="s">
        <v>75</v>
      </c>
      <c r="B1197" t="s">
        <v>2464</v>
      </c>
      <c r="C1197" t="s">
        <v>2465</v>
      </c>
      <c r="D1197">
        <v>2010</v>
      </c>
      <c r="E1197">
        <v>1</v>
      </c>
    </row>
    <row r="1198" spans="1:5" x14ac:dyDescent="0.25">
      <c r="A1198" t="s">
        <v>75</v>
      </c>
      <c r="B1198" t="s">
        <v>2464</v>
      </c>
      <c r="C1198" t="s">
        <v>2538</v>
      </c>
      <c r="D1198">
        <v>2010</v>
      </c>
      <c r="E1198">
        <v>1</v>
      </c>
    </row>
    <row r="1199" spans="1:5" x14ac:dyDescent="0.25">
      <c r="A1199" t="s">
        <v>75</v>
      </c>
      <c r="B1199" t="s">
        <v>2464</v>
      </c>
      <c r="C1199" t="s">
        <v>2539</v>
      </c>
      <c r="D1199">
        <v>2010</v>
      </c>
      <c r="E1199">
        <v>1</v>
      </c>
    </row>
    <row r="1200" spans="1:5" x14ac:dyDescent="0.25">
      <c r="A1200" t="s">
        <v>75</v>
      </c>
      <c r="B1200" t="s">
        <v>2464</v>
      </c>
      <c r="C1200" t="s">
        <v>2465</v>
      </c>
      <c r="D1200">
        <v>2009</v>
      </c>
      <c r="E1200">
        <v>2</v>
      </c>
    </row>
    <row r="1201" spans="1:5" x14ac:dyDescent="0.25">
      <c r="A1201" t="s">
        <v>75</v>
      </c>
      <c r="B1201" t="s">
        <v>2464</v>
      </c>
      <c r="C1201" t="s">
        <v>2538</v>
      </c>
      <c r="D1201">
        <v>2009</v>
      </c>
      <c r="E1201">
        <v>1</v>
      </c>
    </row>
    <row r="1202" spans="1:5" x14ac:dyDescent="0.25">
      <c r="A1202" t="s">
        <v>75</v>
      </c>
      <c r="B1202" t="s">
        <v>2464</v>
      </c>
      <c r="C1202" t="s">
        <v>2465</v>
      </c>
      <c r="D1202">
        <v>2008</v>
      </c>
      <c r="E1202">
        <v>1</v>
      </c>
    </row>
    <row r="1203" spans="1:5" x14ac:dyDescent="0.25">
      <c r="A1203" t="s">
        <v>75</v>
      </c>
      <c r="B1203" t="s">
        <v>2464</v>
      </c>
      <c r="C1203" t="s">
        <v>2539</v>
      </c>
      <c r="D1203">
        <v>2008</v>
      </c>
      <c r="E1203">
        <v>5</v>
      </c>
    </row>
    <row r="1204" spans="1:5" x14ac:dyDescent="0.25">
      <c r="A1204" t="s">
        <v>75</v>
      </c>
      <c r="B1204" t="s">
        <v>2470</v>
      </c>
      <c r="C1204" t="s">
        <v>2541</v>
      </c>
      <c r="D1204">
        <v>2019</v>
      </c>
      <c r="E1204">
        <v>235</v>
      </c>
    </row>
    <row r="1205" spans="1:5" x14ac:dyDescent="0.25">
      <c r="A1205" t="s">
        <v>75</v>
      </c>
      <c r="B1205" t="s">
        <v>2470</v>
      </c>
      <c r="C1205" t="s">
        <v>76</v>
      </c>
      <c r="D1205">
        <v>2019</v>
      </c>
      <c r="E1205">
        <v>1</v>
      </c>
    </row>
    <row r="1206" spans="1:5" x14ac:dyDescent="0.25">
      <c r="A1206" t="s">
        <v>75</v>
      </c>
      <c r="B1206" t="s">
        <v>2470</v>
      </c>
      <c r="C1206" t="s">
        <v>2540</v>
      </c>
      <c r="D1206">
        <v>2019</v>
      </c>
      <c r="E1206">
        <v>30</v>
      </c>
    </row>
    <row r="1207" spans="1:5" x14ac:dyDescent="0.25">
      <c r="A1207" t="s">
        <v>75</v>
      </c>
      <c r="B1207" t="s">
        <v>2470</v>
      </c>
      <c r="C1207" t="s">
        <v>1571</v>
      </c>
      <c r="D1207">
        <v>2018</v>
      </c>
      <c r="E1207">
        <v>374</v>
      </c>
    </row>
    <row r="1208" spans="1:5" x14ac:dyDescent="0.25">
      <c r="A1208" t="s">
        <v>75</v>
      </c>
      <c r="B1208" t="s">
        <v>2470</v>
      </c>
      <c r="C1208" t="s">
        <v>2541</v>
      </c>
      <c r="D1208">
        <v>2018</v>
      </c>
      <c r="E1208">
        <v>278</v>
      </c>
    </row>
    <row r="1209" spans="1:5" x14ac:dyDescent="0.25">
      <c r="A1209" t="s">
        <v>75</v>
      </c>
      <c r="B1209" t="s">
        <v>2470</v>
      </c>
      <c r="C1209" t="s">
        <v>76</v>
      </c>
      <c r="D1209">
        <v>2018</v>
      </c>
      <c r="E1209">
        <v>8</v>
      </c>
    </row>
    <row r="1210" spans="1:5" x14ac:dyDescent="0.25">
      <c r="A1210" t="s">
        <v>75</v>
      </c>
      <c r="B1210" t="s">
        <v>2470</v>
      </c>
      <c r="C1210" t="s">
        <v>2540</v>
      </c>
      <c r="D1210">
        <v>2018</v>
      </c>
      <c r="E1210">
        <v>29</v>
      </c>
    </row>
    <row r="1211" spans="1:5" x14ac:dyDescent="0.25">
      <c r="A1211" t="s">
        <v>75</v>
      </c>
      <c r="B1211" t="s">
        <v>2470</v>
      </c>
      <c r="C1211" t="s">
        <v>2500</v>
      </c>
      <c r="D1211">
        <v>2018</v>
      </c>
      <c r="E1211">
        <v>82</v>
      </c>
    </row>
    <row r="1212" spans="1:5" x14ac:dyDescent="0.25">
      <c r="A1212" t="s">
        <v>75</v>
      </c>
      <c r="B1212" t="s">
        <v>2470</v>
      </c>
      <c r="C1212" t="s">
        <v>1571</v>
      </c>
      <c r="D1212">
        <v>2017</v>
      </c>
      <c r="E1212">
        <v>476</v>
      </c>
    </row>
    <row r="1213" spans="1:5" x14ac:dyDescent="0.25">
      <c r="A1213" t="s">
        <v>75</v>
      </c>
      <c r="B1213" t="s">
        <v>2470</v>
      </c>
      <c r="C1213" t="s">
        <v>2541</v>
      </c>
      <c r="D1213">
        <v>2017</v>
      </c>
      <c r="E1213">
        <v>243</v>
      </c>
    </row>
    <row r="1214" spans="1:5" x14ac:dyDescent="0.25">
      <c r="A1214" t="s">
        <v>75</v>
      </c>
      <c r="B1214" t="s">
        <v>2470</v>
      </c>
      <c r="C1214" t="s">
        <v>76</v>
      </c>
      <c r="D1214">
        <v>2017</v>
      </c>
      <c r="E1214">
        <v>92</v>
      </c>
    </row>
    <row r="1215" spans="1:5" x14ac:dyDescent="0.25">
      <c r="A1215" t="s">
        <v>75</v>
      </c>
      <c r="B1215" t="s">
        <v>2470</v>
      </c>
      <c r="C1215" t="s">
        <v>2540</v>
      </c>
      <c r="D1215">
        <v>2017</v>
      </c>
      <c r="E1215">
        <v>21</v>
      </c>
    </row>
    <row r="1216" spans="1:5" x14ac:dyDescent="0.25">
      <c r="A1216" t="s">
        <v>75</v>
      </c>
      <c r="B1216" t="s">
        <v>2470</v>
      </c>
      <c r="C1216" t="s">
        <v>2500</v>
      </c>
      <c r="D1216">
        <v>2017</v>
      </c>
      <c r="E1216">
        <v>90</v>
      </c>
    </row>
    <row r="1217" spans="1:5" x14ac:dyDescent="0.25">
      <c r="A1217" t="s">
        <v>75</v>
      </c>
      <c r="B1217" t="s">
        <v>2470</v>
      </c>
      <c r="C1217" t="s">
        <v>1571</v>
      </c>
      <c r="D1217">
        <v>2016</v>
      </c>
      <c r="E1217">
        <v>529</v>
      </c>
    </row>
    <row r="1218" spans="1:5" x14ac:dyDescent="0.25">
      <c r="A1218" t="s">
        <v>75</v>
      </c>
      <c r="B1218" t="s">
        <v>2470</v>
      </c>
      <c r="C1218" t="s">
        <v>2541</v>
      </c>
      <c r="D1218">
        <v>2016</v>
      </c>
      <c r="E1218">
        <v>206</v>
      </c>
    </row>
    <row r="1219" spans="1:5" x14ac:dyDescent="0.25">
      <c r="A1219" t="s">
        <v>75</v>
      </c>
      <c r="B1219" t="s">
        <v>2470</v>
      </c>
      <c r="C1219" t="s">
        <v>76</v>
      </c>
      <c r="D1219">
        <v>2016</v>
      </c>
      <c r="E1219">
        <v>167</v>
      </c>
    </row>
    <row r="1220" spans="1:5" x14ac:dyDescent="0.25">
      <c r="A1220" t="s">
        <v>75</v>
      </c>
      <c r="B1220" t="s">
        <v>2470</v>
      </c>
      <c r="C1220" t="s">
        <v>2500</v>
      </c>
      <c r="D1220">
        <v>2016</v>
      </c>
      <c r="E1220">
        <v>108</v>
      </c>
    </row>
    <row r="1221" spans="1:5" x14ac:dyDescent="0.25">
      <c r="A1221" t="s">
        <v>75</v>
      </c>
      <c r="B1221" t="s">
        <v>2470</v>
      </c>
      <c r="C1221" t="s">
        <v>1571</v>
      </c>
      <c r="D1221">
        <v>2015</v>
      </c>
      <c r="E1221">
        <v>526</v>
      </c>
    </row>
    <row r="1222" spans="1:5" x14ac:dyDescent="0.25">
      <c r="A1222" t="s">
        <v>75</v>
      </c>
      <c r="B1222" t="s">
        <v>2470</v>
      </c>
      <c r="C1222" t="s">
        <v>76</v>
      </c>
      <c r="D1222">
        <v>2015</v>
      </c>
      <c r="E1222">
        <v>151</v>
      </c>
    </row>
    <row r="1223" spans="1:5" x14ac:dyDescent="0.25">
      <c r="A1223" t="s">
        <v>75</v>
      </c>
      <c r="B1223" t="s">
        <v>2470</v>
      </c>
      <c r="C1223" t="s">
        <v>2500</v>
      </c>
      <c r="D1223">
        <v>2015</v>
      </c>
      <c r="E1223">
        <v>105</v>
      </c>
    </row>
    <row r="1224" spans="1:5" x14ac:dyDescent="0.25">
      <c r="A1224" t="s">
        <v>75</v>
      </c>
      <c r="B1224" t="s">
        <v>2470</v>
      </c>
      <c r="C1224" t="s">
        <v>106</v>
      </c>
      <c r="D1224">
        <v>2015</v>
      </c>
      <c r="E1224">
        <v>19</v>
      </c>
    </row>
    <row r="1225" spans="1:5" x14ac:dyDescent="0.25">
      <c r="A1225" t="s">
        <v>75</v>
      </c>
      <c r="B1225" t="s">
        <v>2470</v>
      </c>
      <c r="C1225" t="s">
        <v>1571</v>
      </c>
      <c r="D1225">
        <v>2014</v>
      </c>
      <c r="E1225">
        <v>505</v>
      </c>
    </row>
    <row r="1226" spans="1:5" x14ac:dyDescent="0.25">
      <c r="A1226" t="s">
        <v>75</v>
      </c>
      <c r="B1226" t="s">
        <v>2470</v>
      </c>
      <c r="C1226" t="s">
        <v>76</v>
      </c>
      <c r="D1226">
        <v>2014</v>
      </c>
      <c r="E1226">
        <v>155</v>
      </c>
    </row>
    <row r="1227" spans="1:5" x14ac:dyDescent="0.25">
      <c r="A1227" t="s">
        <v>75</v>
      </c>
      <c r="B1227" t="s">
        <v>2470</v>
      </c>
      <c r="C1227" t="s">
        <v>2500</v>
      </c>
      <c r="D1227">
        <v>2014</v>
      </c>
      <c r="E1227">
        <v>125</v>
      </c>
    </row>
    <row r="1228" spans="1:5" x14ac:dyDescent="0.25">
      <c r="A1228" t="s">
        <v>75</v>
      </c>
      <c r="B1228" t="s">
        <v>2470</v>
      </c>
      <c r="C1228" t="s">
        <v>106</v>
      </c>
      <c r="D1228">
        <v>2014</v>
      </c>
      <c r="E1228">
        <v>54</v>
      </c>
    </row>
    <row r="1229" spans="1:5" x14ac:dyDescent="0.25">
      <c r="A1229" t="s">
        <v>75</v>
      </c>
      <c r="B1229" t="s">
        <v>2470</v>
      </c>
      <c r="C1229" t="s">
        <v>1571</v>
      </c>
      <c r="D1229">
        <v>2013</v>
      </c>
      <c r="E1229">
        <v>454</v>
      </c>
    </row>
    <row r="1230" spans="1:5" x14ac:dyDescent="0.25">
      <c r="A1230" t="s">
        <v>75</v>
      </c>
      <c r="B1230" t="s">
        <v>2470</v>
      </c>
      <c r="C1230" t="s">
        <v>2542</v>
      </c>
      <c r="D1230">
        <v>2013</v>
      </c>
      <c r="E1230">
        <v>1</v>
      </c>
    </row>
    <row r="1231" spans="1:5" x14ac:dyDescent="0.25">
      <c r="A1231" t="s">
        <v>75</v>
      </c>
      <c r="B1231" t="s">
        <v>2470</v>
      </c>
      <c r="C1231" t="s">
        <v>76</v>
      </c>
      <c r="D1231">
        <v>2013</v>
      </c>
      <c r="E1231">
        <v>200</v>
      </c>
    </row>
    <row r="1232" spans="1:5" x14ac:dyDescent="0.25">
      <c r="A1232" t="s">
        <v>75</v>
      </c>
      <c r="B1232" t="s">
        <v>2470</v>
      </c>
      <c r="C1232" t="s">
        <v>2500</v>
      </c>
      <c r="D1232">
        <v>2013</v>
      </c>
      <c r="E1232">
        <v>126</v>
      </c>
    </row>
    <row r="1233" spans="1:5" x14ac:dyDescent="0.25">
      <c r="A1233" t="s">
        <v>75</v>
      </c>
      <c r="B1233" t="s">
        <v>2470</v>
      </c>
      <c r="C1233" t="s">
        <v>106</v>
      </c>
      <c r="D1233">
        <v>2013</v>
      </c>
      <c r="E1233">
        <v>81</v>
      </c>
    </row>
    <row r="1234" spans="1:5" x14ac:dyDescent="0.25">
      <c r="A1234" t="s">
        <v>75</v>
      </c>
      <c r="B1234" t="s">
        <v>2470</v>
      </c>
      <c r="C1234" t="s">
        <v>1571</v>
      </c>
      <c r="D1234">
        <v>2012</v>
      </c>
      <c r="E1234">
        <v>456</v>
      </c>
    </row>
    <row r="1235" spans="1:5" x14ac:dyDescent="0.25">
      <c r="A1235" t="s">
        <v>75</v>
      </c>
      <c r="B1235" t="s">
        <v>2470</v>
      </c>
      <c r="C1235" t="s">
        <v>76</v>
      </c>
      <c r="D1235">
        <v>2012</v>
      </c>
      <c r="E1235">
        <v>215</v>
      </c>
    </row>
    <row r="1236" spans="1:5" x14ac:dyDescent="0.25">
      <c r="A1236" t="s">
        <v>75</v>
      </c>
      <c r="B1236" t="s">
        <v>2470</v>
      </c>
      <c r="C1236" t="s">
        <v>2500</v>
      </c>
      <c r="D1236">
        <v>2012</v>
      </c>
      <c r="E1236">
        <v>118</v>
      </c>
    </row>
    <row r="1237" spans="1:5" x14ac:dyDescent="0.25">
      <c r="A1237" t="s">
        <v>75</v>
      </c>
      <c r="B1237" t="s">
        <v>2470</v>
      </c>
      <c r="C1237" t="s">
        <v>106</v>
      </c>
      <c r="D1237">
        <v>2012</v>
      </c>
      <c r="E1237">
        <v>84</v>
      </c>
    </row>
    <row r="1238" spans="1:5" x14ac:dyDescent="0.25">
      <c r="A1238" t="s">
        <v>75</v>
      </c>
      <c r="B1238" t="s">
        <v>2470</v>
      </c>
      <c r="C1238" t="s">
        <v>1571</v>
      </c>
      <c r="D1238">
        <v>2011</v>
      </c>
      <c r="E1238">
        <v>446</v>
      </c>
    </row>
    <row r="1239" spans="1:5" x14ac:dyDescent="0.25">
      <c r="A1239" t="s">
        <v>75</v>
      </c>
      <c r="B1239" t="s">
        <v>2470</v>
      </c>
      <c r="C1239" t="s">
        <v>76</v>
      </c>
      <c r="D1239">
        <v>2011</v>
      </c>
      <c r="E1239">
        <v>229</v>
      </c>
    </row>
    <row r="1240" spans="1:5" x14ac:dyDescent="0.25">
      <c r="A1240" t="s">
        <v>75</v>
      </c>
      <c r="B1240" t="s">
        <v>2470</v>
      </c>
      <c r="C1240" t="s">
        <v>2500</v>
      </c>
      <c r="D1240">
        <v>2011</v>
      </c>
      <c r="E1240">
        <v>104</v>
      </c>
    </row>
    <row r="1241" spans="1:5" x14ac:dyDescent="0.25">
      <c r="A1241" t="s">
        <v>75</v>
      </c>
      <c r="B1241" t="s">
        <v>2470</v>
      </c>
      <c r="C1241" t="s">
        <v>106</v>
      </c>
      <c r="D1241">
        <v>2011</v>
      </c>
      <c r="E1241">
        <v>93</v>
      </c>
    </row>
    <row r="1242" spans="1:5" x14ac:dyDescent="0.25">
      <c r="A1242" t="s">
        <v>75</v>
      </c>
      <c r="B1242" t="s">
        <v>2470</v>
      </c>
      <c r="C1242" t="s">
        <v>1571</v>
      </c>
      <c r="D1242">
        <v>2010</v>
      </c>
      <c r="E1242">
        <v>491</v>
      </c>
    </row>
    <row r="1243" spans="1:5" x14ac:dyDescent="0.25">
      <c r="A1243" t="s">
        <v>75</v>
      </c>
      <c r="B1243" t="s">
        <v>2470</v>
      </c>
      <c r="C1243" t="s">
        <v>76</v>
      </c>
      <c r="D1243">
        <v>2010</v>
      </c>
      <c r="E1243">
        <v>245</v>
      </c>
    </row>
    <row r="1244" spans="1:5" x14ac:dyDescent="0.25">
      <c r="A1244" t="s">
        <v>75</v>
      </c>
      <c r="B1244" t="s">
        <v>2470</v>
      </c>
      <c r="C1244" t="s">
        <v>2500</v>
      </c>
      <c r="D1244">
        <v>2010</v>
      </c>
      <c r="E1244">
        <v>87</v>
      </c>
    </row>
    <row r="1245" spans="1:5" x14ac:dyDescent="0.25">
      <c r="A1245" t="s">
        <v>75</v>
      </c>
      <c r="B1245" t="s">
        <v>2470</v>
      </c>
      <c r="C1245" t="s">
        <v>106</v>
      </c>
      <c r="D1245">
        <v>2010</v>
      </c>
      <c r="E1245">
        <v>69</v>
      </c>
    </row>
    <row r="1246" spans="1:5" x14ac:dyDescent="0.25">
      <c r="A1246" t="s">
        <v>75</v>
      </c>
      <c r="B1246" t="s">
        <v>2470</v>
      </c>
      <c r="C1246" t="s">
        <v>1571</v>
      </c>
      <c r="D1246">
        <v>2009</v>
      </c>
      <c r="E1246">
        <v>463</v>
      </c>
    </row>
    <row r="1247" spans="1:5" x14ac:dyDescent="0.25">
      <c r="A1247" t="s">
        <v>75</v>
      </c>
      <c r="B1247" t="s">
        <v>2470</v>
      </c>
      <c r="C1247" t="s">
        <v>76</v>
      </c>
      <c r="D1247">
        <v>2009</v>
      </c>
      <c r="E1247">
        <v>218</v>
      </c>
    </row>
    <row r="1248" spans="1:5" x14ac:dyDescent="0.25">
      <c r="A1248" t="s">
        <v>75</v>
      </c>
      <c r="B1248" t="s">
        <v>2470</v>
      </c>
      <c r="C1248" t="s">
        <v>2500</v>
      </c>
      <c r="D1248">
        <v>2009</v>
      </c>
      <c r="E1248">
        <v>75</v>
      </c>
    </row>
    <row r="1249" spans="1:5" x14ac:dyDescent="0.25">
      <c r="A1249" t="s">
        <v>75</v>
      </c>
      <c r="B1249" t="s">
        <v>2470</v>
      </c>
      <c r="C1249" t="s">
        <v>106</v>
      </c>
      <c r="D1249">
        <v>2009</v>
      </c>
      <c r="E1249">
        <v>59</v>
      </c>
    </row>
    <row r="1250" spans="1:5" x14ac:dyDescent="0.25">
      <c r="A1250" t="s">
        <v>75</v>
      </c>
      <c r="B1250" t="s">
        <v>2470</v>
      </c>
      <c r="C1250" t="s">
        <v>1571</v>
      </c>
      <c r="D1250">
        <v>2008</v>
      </c>
      <c r="E1250">
        <v>477</v>
      </c>
    </row>
    <row r="1251" spans="1:5" x14ac:dyDescent="0.25">
      <c r="A1251" t="s">
        <v>75</v>
      </c>
      <c r="B1251" t="s">
        <v>2470</v>
      </c>
      <c r="C1251" t="s">
        <v>76</v>
      </c>
      <c r="D1251">
        <v>2008</v>
      </c>
      <c r="E1251">
        <v>236</v>
      </c>
    </row>
    <row r="1252" spans="1:5" x14ac:dyDescent="0.25">
      <c r="A1252" t="s">
        <v>75</v>
      </c>
      <c r="B1252" t="s">
        <v>2470</v>
      </c>
      <c r="C1252" t="s">
        <v>106</v>
      </c>
      <c r="D1252">
        <v>2008</v>
      </c>
      <c r="E1252">
        <v>15</v>
      </c>
    </row>
    <row r="1253" spans="1:5" x14ac:dyDescent="0.25">
      <c r="A1253" t="s">
        <v>75</v>
      </c>
      <c r="B1253" t="s">
        <v>2505</v>
      </c>
      <c r="C1253" t="s">
        <v>2543</v>
      </c>
      <c r="D1253">
        <v>2019</v>
      </c>
      <c r="E1253">
        <v>11</v>
      </c>
    </row>
    <row r="1254" spans="1:5" x14ac:dyDescent="0.25">
      <c r="A1254" t="s">
        <v>75</v>
      </c>
      <c r="B1254" t="s">
        <v>2505</v>
      </c>
      <c r="C1254" t="s">
        <v>2542</v>
      </c>
      <c r="D1254">
        <v>2019</v>
      </c>
      <c r="E1254">
        <v>1</v>
      </c>
    </row>
    <row r="1255" spans="1:5" x14ac:dyDescent="0.25">
      <c r="A1255" t="s">
        <v>75</v>
      </c>
      <c r="B1255" t="s">
        <v>2505</v>
      </c>
      <c r="C1255" t="s">
        <v>2538</v>
      </c>
      <c r="D1255">
        <v>2019</v>
      </c>
      <c r="E1255">
        <v>44</v>
      </c>
    </row>
    <row r="1256" spans="1:5" x14ac:dyDescent="0.25">
      <c r="A1256" t="s">
        <v>75</v>
      </c>
      <c r="B1256" t="s">
        <v>2505</v>
      </c>
      <c r="C1256" t="s">
        <v>76</v>
      </c>
      <c r="D1256">
        <v>2019</v>
      </c>
      <c r="E1256">
        <v>4</v>
      </c>
    </row>
    <row r="1257" spans="1:5" x14ac:dyDescent="0.25">
      <c r="A1257" t="s">
        <v>75</v>
      </c>
      <c r="B1257" t="s">
        <v>2505</v>
      </c>
      <c r="C1257" t="s">
        <v>2544</v>
      </c>
      <c r="D1257">
        <v>2019</v>
      </c>
      <c r="E1257">
        <v>85</v>
      </c>
    </row>
    <row r="1258" spans="1:5" x14ac:dyDescent="0.25">
      <c r="A1258" t="s">
        <v>75</v>
      </c>
      <c r="B1258" t="s">
        <v>2505</v>
      </c>
      <c r="C1258" t="s">
        <v>2539</v>
      </c>
      <c r="D1258">
        <v>2019</v>
      </c>
      <c r="E1258">
        <v>62</v>
      </c>
    </row>
    <row r="1259" spans="1:5" x14ac:dyDescent="0.25">
      <c r="A1259" t="s">
        <v>75</v>
      </c>
      <c r="B1259" t="s">
        <v>2505</v>
      </c>
      <c r="C1259" t="s">
        <v>2545</v>
      </c>
      <c r="D1259">
        <v>2018</v>
      </c>
      <c r="E1259">
        <v>68</v>
      </c>
    </row>
    <row r="1260" spans="1:5" x14ac:dyDescent="0.25">
      <c r="A1260" t="s">
        <v>75</v>
      </c>
      <c r="B1260" t="s">
        <v>2505</v>
      </c>
      <c r="C1260" t="s">
        <v>2543</v>
      </c>
      <c r="D1260">
        <v>2018</v>
      </c>
      <c r="E1260">
        <v>7</v>
      </c>
    </row>
    <row r="1261" spans="1:5" x14ac:dyDescent="0.25">
      <c r="A1261" t="s">
        <v>75</v>
      </c>
      <c r="B1261" t="s">
        <v>2505</v>
      </c>
      <c r="C1261" t="s">
        <v>2517</v>
      </c>
      <c r="D1261">
        <v>2018</v>
      </c>
      <c r="E1261">
        <v>1</v>
      </c>
    </row>
    <row r="1262" spans="1:5" x14ac:dyDescent="0.25">
      <c r="A1262" t="s">
        <v>75</v>
      </c>
      <c r="B1262" t="s">
        <v>2505</v>
      </c>
      <c r="C1262" t="s">
        <v>1571</v>
      </c>
      <c r="D1262">
        <v>2018</v>
      </c>
      <c r="E1262">
        <v>21</v>
      </c>
    </row>
    <row r="1263" spans="1:5" x14ac:dyDescent="0.25">
      <c r="A1263" t="s">
        <v>75</v>
      </c>
      <c r="B1263" t="s">
        <v>2505</v>
      </c>
      <c r="C1263" t="s">
        <v>2516</v>
      </c>
      <c r="D1263">
        <v>2018</v>
      </c>
      <c r="E1263">
        <v>2</v>
      </c>
    </row>
    <row r="1264" spans="1:5" x14ac:dyDescent="0.25">
      <c r="A1264" t="s">
        <v>75</v>
      </c>
      <c r="B1264" t="s">
        <v>2505</v>
      </c>
      <c r="C1264" t="s">
        <v>2538</v>
      </c>
      <c r="D1264">
        <v>2018</v>
      </c>
      <c r="E1264">
        <v>42</v>
      </c>
    </row>
    <row r="1265" spans="1:5" x14ac:dyDescent="0.25">
      <c r="A1265" t="s">
        <v>75</v>
      </c>
      <c r="B1265" t="s">
        <v>2505</v>
      </c>
      <c r="C1265" t="s">
        <v>76</v>
      </c>
      <c r="D1265">
        <v>2018</v>
      </c>
      <c r="E1265">
        <v>4</v>
      </c>
    </row>
    <row r="1266" spans="1:5" x14ac:dyDescent="0.25">
      <c r="A1266" t="s">
        <v>75</v>
      </c>
      <c r="B1266" t="s">
        <v>2505</v>
      </c>
      <c r="C1266" t="s">
        <v>2544</v>
      </c>
      <c r="D1266">
        <v>2018</v>
      </c>
      <c r="E1266">
        <v>88</v>
      </c>
    </row>
    <row r="1267" spans="1:5" x14ac:dyDescent="0.25">
      <c r="A1267" t="s">
        <v>75</v>
      </c>
      <c r="B1267" t="s">
        <v>2505</v>
      </c>
      <c r="C1267" t="s">
        <v>2539</v>
      </c>
      <c r="D1267">
        <v>2018</v>
      </c>
      <c r="E1267">
        <v>60</v>
      </c>
    </row>
    <row r="1268" spans="1:5" x14ac:dyDescent="0.25">
      <c r="A1268" t="s">
        <v>75</v>
      </c>
      <c r="B1268" t="s">
        <v>2505</v>
      </c>
      <c r="C1268" t="s">
        <v>106</v>
      </c>
      <c r="D1268">
        <v>2018</v>
      </c>
      <c r="E1268">
        <v>28</v>
      </c>
    </row>
    <row r="1269" spans="1:5" x14ac:dyDescent="0.25">
      <c r="A1269" t="s">
        <v>75</v>
      </c>
      <c r="B1269" t="s">
        <v>2505</v>
      </c>
      <c r="C1269" t="s">
        <v>2545</v>
      </c>
      <c r="D1269">
        <v>2017</v>
      </c>
      <c r="E1269">
        <v>63</v>
      </c>
    </row>
    <row r="1270" spans="1:5" x14ac:dyDescent="0.25">
      <c r="A1270" t="s">
        <v>75</v>
      </c>
      <c r="B1270" t="s">
        <v>2505</v>
      </c>
      <c r="C1270" t="s">
        <v>2543</v>
      </c>
      <c r="D1270">
        <v>2017</v>
      </c>
      <c r="E1270">
        <v>6</v>
      </c>
    </row>
    <row r="1271" spans="1:5" x14ac:dyDescent="0.25">
      <c r="A1271" t="s">
        <v>75</v>
      </c>
      <c r="B1271" t="s">
        <v>2505</v>
      </c>
      <c r="C1271" t="s">
        <v>1571</v>
      </c>
      <c r="D1271">
        <v>2017</v>
      </c>
      <c r="E1271">
        <v>27</v>
      </c>
    </row>
    <row r="1272" spans="1:5" x14ac:dyDescent="0.25">
      <c r="A1272" t="s">
        <v>75</v>
      </c>
      <c r="B1272" t="s">
        <v>2505</v>
      </c>
      <c r="C1272" t="s">
        <v>2516</v>
      </c>
      <c r="D1272">
        <v>2017</v>
      </c>
      <c r="E1272">
        <v>9</v>
      </c>
    </row>
    <row r="1273" spans="1:5" x14ac:dyDescent="0.25">
      <c r="A1273" t="s">
        <v>75</v>
      </c>
      <c r="B1273" t="s">
        <v>2505</v>
      </c>
      <c r="C1273" t="s">
        <v>2538</v>
      </c>
      <c r="D1273">
        <v>2017</v>
      </c>
      <c r="E1273">
        <v>44</v>
      </c>
    </row>
    <row r="1274" spans="1:5" x14ac:dyDescent="0.25">
      <c r="A1274" t="s">
        <v>75</v>
      </c>
      <c r="B1274" t="s">
        <v>2505</v>
      </c>
      <c r="C1274" t="s">
        <v>76</v>
      </c>
      <c r="D1274">
        <v>2017</v>
      </c>
      <c r="E1274">
        <v>1</v>
      </c>
    </row>
    <row r="1275" spans="1:5" x14ac:dyDescent="0.25">
      <c r="A1275" t="s">
        <v>75</v>
      </c>
      <c r="B1275" t="s">
        <v>2505</v>
      </c>
      <c r="C1275" t="s">
        <v>2544</v>
      </c>
      <c r="D1275">
        <v>2017</v>
      </c>
      <c r="E1275">
        <v>118</v>
      </c>
    </row>
    <row r="1276" spans="1:5" x14ac:dyDescent="0.25">
      <c r="A1276" t="s">
        <v>75</v>
      </c>
      <c r="B1276" t="s">
        <v>2505</v>
      </c>
      <c r="C1276" t="s">
        <v>2539</v>
      </c>
      <c r="D1276">
        <v>2017</v>
      </c>
      <c r="E1276">
        <v>55</v>
      </c>
    </row>
    <row r="1277" spans="1:5" x14ac:dyDescent="0.25">
      <c r="A1277" t="s">
        <v>75</v>
      </c>
      <c r="B1277" t="s">
        <v>2505</v>
      </c>
      <c r="C1277" t="s">
        <v>106</v>
      </c>
      <c r="D1277">
        <v>2017</v>
      </c>
      <c r="E1277">
        <v>25</v>
      </c>
    </row>
    <row r="1278" spans="1:5" x14ac:dyDescent="0.25">
      <c r="A1278" t="s">
        <v>75</v>
      </c>
      <c r="B1278" t="s">
        <v>2505</v>
      </c>
      <c r="C1278" t="s">
        <v>2545</v>
      </c>
      <c r="D1278">
        <v>2016</v>
      </c>
      <c r="E1278">
        <v>60</v>
      </c>
    </row>
    <row r="1279" spans="1:5" x14ac:dyDescent="0.25">
      <c r="A1279" t="s">
        <v>75</v>
      </c>
      <c r="B1279" t="s">
        <v>2505</v>
      </c>
      <c r="C1279" t="s">
        <v>2543</v>
      </c>
      <c r="D1279">
        <v>2016</v>
      </c>
      <c r="E1279">
        <v>3</v>
      </c>
    </row>
    <row r="1280" spans="1:5" x14ac:dyDescent="0.25">
      <c r="A1280" t="s">
        <v>75</v>
      </c>
      <c r="B1280" t="s">
        <v>2505</v>
      </c>
      <c r="C1280" t="s">
        <v>2517</v>
      </c>
      <c r="D1280">
        <v>2016</v>
      </c>
      <c r="E1280">
        <v>1</v>
      </c>
    </row>
    <row r="1281" spans="1:5" x14ac:dyDescent="0.25">
      <c r="A1281" t="s">
        <v>75</v>
      </c>
      <c r="B1281" t="s">
        <v>2505</v>
      </c>
      <c r="C1281" t="s">
        <v>1571</v>
      </c>
      <c r="D1281">
        <v>2016</v>
      </c>
      <c r="E1281">
        <v>24</v>
      </c>
    </row>
    <row r="1282" spans="1:5" x14ac:dyDescent="0.25">
      <c r="A1282" t="s">
        <v>75</v>
      </c>
      <c r="B1282" t="s">
        <v>2505</v>
      </c>
      <c r="C1282" t="s">
        <v>2516</v>
      </c>
      <c r="D1282">
        <v>2016</v>
      </c>
      <c r="E1282">
        <v>6</v>
      </c>
    </row>
    <row r="1283" spans="1:5" x14ac:dyDescent="0.25">
      <c r="A1283" t="s">
        <v>75</v>
      </c>
      <c r="B1283" t="s">
        <v>2505</v>
      </c>
      <c r="C1283" t="s">
        <v>2538</v>
      </c>
      <c r="D1283">
        <v>2016</v>
      </c>
      <c r="E1283">
        <v>25</v>
      </c>
    </row>
    <row r="1284" spans="1:5" x14ac:dyDescent="0.25">
      <c r="A1284" t="s">
        <v>75</v>
      </c>
      <c r="B1284" t="s">
        <v>2505</v>
      </c>
      <c r="C1284" t="s">
        <v>2544</v>
      </c>
      <c r="D1284">
        <v>2016</v>
      </c>
      <c r="E1284">
        <v>139</v>
      </c>
    </row>
    <row r="1285" spans="1:5" x14ac:dyDescent="0.25">
      <c r="A1285" t="s">
        <v>75</v>
      </c>
      <c r="B1285" t="s">
        <v>2505</v>
      </c>
      <c r="C1285" t="s">
        <v>2539</v>
      </c>
      <c r="D1285">
        <v>2016</v>
      </c>
      <c r="E1285">
        <v>46</v>
      </c>
    </row>
    <row r="1286" spans="1:5" x14ac:dyDescent="0.25">
      <c r="A1286" t="s">
        <v>75</v>
      </c>
      <c r="B1286" t="s">
        <v>2505</v>
      </c>
      <c r="C1286" t="s">
        <v>2500</v>
      </c>
      <c r="D1286">
        <v>2016</v>
      </c>
      <c r="E1286">
        <v>2</v>
      </c>
    </row>
    <row r="1287" spans="1:5" x14ac:dyDescent="0.25">
      <c r="A1287" t="s">
        <v>75</v>
      </c>
      <c r="B1287" t="s">
        <v>2505</v>
      </c>
      <c r="C1287" t="s">
        <v>106</v>
      </c>
      <c r="D1287">
        <v>2016</v>
      </c>
      <c r="E1287">
        <v>19</v>
      </c>
    </row>
    <row r="1288" spans="1:5" x14ac:dyDescent="0.25">
      <c r="A1288" t="s">
        <v>75</v>
      </c>
      <c r="B1288" t="s">
        <v>2505</v>
      </c>
      <c r="C1288" t="s">
        <v>2545</v>
      </c>
      <c r="D1288">
        <v>2015</v>
      </c>
      <c r="E1288">
        <v>62</v>
      </c>
    </row>
    <row r="1289" spans="1:5" x14ac:dyDescent="0.25">
      <c r="A1289" t="s">
        <v>75</v>
      </c>
      <c r="B1289" t="s">
        <v>2505</v>
      </c>
      <c r="C1289" t="s">
        <v>2517</v>
      </c>
      <c r="D1289">
        <v>2015</v>
      </c>
      <c r="E1289">
        <v>4</v>
      </c>
    </row>
    <row r="1290" spans="1:5" x14ac:dyDescent="0.25">
      <c r="A1290" t="s">
        <v>75</v>
      </c>
      <c r="B1290" t="s">
        <v>2505</v>
      </c>
      <c r="C1290" t="s">
        <v>1571</v>
      </c>
      <c r="D1290">
        <v>2015</v>
      </c>
      <c r="E1290">
        <v>25</v>
      </c>
    </row>
    <row r="1291" spans="1:5" x14ac:dyDescent="0.25">
      <c r="A1291" t="s">
        <v>75</v>
      </c>
      <c r="B1291" t="s">
        <v>2505</v>
      </c>
      <c r="C1291" t="s">
        <v>2516</v>
      </c>
      <c r="D1291">
        <v>2015</v>
      </c>
      <c r="E1291">
        <v>8</v>
      </c>
    </row>
    <row r="1292" spans="1:5" x14ac:dyDescent="0.25">
      <c r="A1292" t="s">
        <v>75</v>
      </c>
      <c r="B1292" t="s">
        <v>2505</v>
      </c>
      <c r="C1292" t="s">
        <v>2538</v>
      </c>
      <c r="D1292">
        <v>2015</v>
      </c>
      <c r="E1292">
        <v>23</v>
      </c>
    </row>
    <row r="1293" spans="1:5" x14ac:dyDescent="0.25">
      <c r="A1293" t="s">
        <v>75</v>
      </c>
      <c r="B1293" t="s">
        <v>2505</v>
      </c>
      <c r="C1293" t="s">
        <v>2544</v>
      </c>
      <c r="D1293">
        <v>2015</v>
      </c>
      <c r="E1293">
        <v>117</v>
      </c>
    </row>
    <row r="1294" spans="1:5" x14ac:dyDescent="0.25">
      <c r="A1294" t="s">
        <v>75</v>
      </c>
      <c r="B1294" t="s">
        <v>2505</v>
      </c>
      <c r="C1294" t="s">
        <v>2539</v>
      </c>
      <c r="D1294">
        <v>2015</v>
      </c>
      <c r="E1294">
        <v>41</v>
      </c>
    </row>
    <row r="1295" spans="1:5" x14ac:dyDescent="0.25">
      <c r="A1295" t="s">
        <v>75</v>
      </c>
      <c r="B1295" t="s">
        <v>2505</v>
      </c>
      <c r="C1295" t="s">
        <v>106</v>
      </c>
      <c r="D1295">
        <v>2015</v>
      </c>
      <c r="E1295">
        <v>15</v>
      </c>
    </row>
    <row r="1296" spans="1:5" x14ac:dyDescent="0.25">
      <c r="A1296" t="s">
        <v>75</v>
      </c>
      <c r="B1296" t="s">
        <v>2505</v>
      </c>
      <c r="C1296" t="s">
        <v>2545</v>
      </c>
      <c r="D1296">
        <v>2014</v>
      </c>
      <c r="E1296">
        <v>54</v>
      </c>
    </row>
    <row r="1297" spans="1:5" x14ac:dyDescent="0.25">
      <c r="A1297" t="s">
        <v>75</v>
      </c>
      <c r="B1297" t="s">
        <v>2505</v>
      </c>
      <c r="C1297" t="s">
        <v>2517</v>
      </c>
      <c r="D1297">
        <v>2014</v>
      </c>
      <c r="E1297">
        <v>7</v>
      </c>
    </row>
    <row r="1298" spans="1:5" x14ac:dyDescent="0.25">
      <c r="A1298" t="s">
        <v>75</v>
      </c>
      <c r="B1298" t="s">
        <v>2505</v>
      </c>
      <c r="C1298" t="s">
        <v>1571</v>
      </c>
      <c r="D1298">
        <v>2014</v>
      </c>
      <c r="E1298">
        <v>22</v>
      </c>
    </row>
    <row r="1299" spans="1:5" x14ac:dyDescent="0.25">
      <c r="A1299" t="s">
        <v>75</v>
      </c>
      <c r="B1299" t="s">
        <v>2505</v>
      </c>
      <c r="C1299" t="s">
        <v>2542</v>
      </c>
      <c r="D1299">
        <v>2014</v>
      </c>
      <c r="E1299">
        <v>2</v>
      </c>
    </row>
    <row r="1300" spans="1:5" x14ac:dyDescent="0.25">
      <c r="A1300" t="s">
        <v>75</v>
      </c>
      <c r="B1300" t="s">
        <v>2505</v>
      </c>
      <c r="C1300" t="s">
        <v>2538</v>
      </c>
      <c r="D1300">
        <v>2014</v>
      </c>
      <c r="E1300">
        <v>23</v>
      </c>
    </row>
    <row r="1301" spans="1:5" x14ac:dyDescent="0.25">
      <c r="A1301" t="s">
        <v>75</v>
      </c>
      <c r="B1301" t="s">
        <v>2505</v>
      </c>
      <c r="C1301" t="s">
        <v>2544</v>
      </c>
      <c r="D1301">
        <v>2014</v>
      </c>
      <c r="E1301">
        <v>92</v>
      </c>
    </row>
    <row r="1302" spans="1:5" x14ac:dyDescent="0.25">
      <c r="A1302" t="s">
        <v>75</v>
      </c>
      <c r="B1302" t="s">
        <v>2505</v>
      </c>
      <c r="C1302" t="s">
        <v>2539</v>
      </c>
      <c r="D1302">
        <v>2014</v>
      </c>
      <c r="E1302">
        <v>43</v>
      </c>
    </row>
    <row r="1303" spans="1:5" x14ac:dyDescent="0.25">
      <c r="A1303" t="s">
        <v>75</v>
      </c>
      <c r="B1303" t="s">
        <v>2505</v>
      </c>
      <c r="C1303" t="s">
        <v>106</v>
      </c>
      <c r="D1303">
        <v>2014</v>
      </c>
      <c r="E1303">
        <v>11</v>
      </c>
    </row>
    <row r="1304" spans="1:5" x14ac:dyDescent="0.25">
      <c r="A1304" t="s">
        <v>75</v>
      </c>
      <c r="B1304" t="s">
        <v>2505</v>
      </c>
      <c r="C1304" t="s">
        <v>2545</v>
      </c>
      <c r="D1304">
        <v>2013</v>
      </c>
      <c r="E1304">
        <v>52</v>
      </c>
    </row>
    <row r="1305" spans="1:5" x14ac:dyDescent="0.25">
      <c r="A1305" t="s">
        <v>75</v>
      </c>
      <c r="B1305" t="s">
        <v>2505</v>
      </c>
      <c r="C1305" t="s">
        <v>2501</v>
      </c>
      <c r="D1305">
        <v>2013</v>
      </c>
      <c r="E1305">
        <v>2</v>
      </c>
    </row>
    <row r="1306" spans="1:5" x14ac:dyDescent="0.25">
      <c r="A1306" t="s">
        <v>75</v>
      </c>
      <c r="B1306" t="s">
        <v>2505</v>
      </c>
      <c r="C1306" t="s">
        <v>2517</v>
      </c>
      <c r="D1306">
        <v>2013</v>
      </c>
      <c r="E1306">
        <v>7</v>
      </c>
    </row>
    <row r="1307" spans="1:5" x14ac:dyDescent="0.25">
      <c r="A1307" t="s">
        <v>75</v>
      </c>
      <c r="B1307" t="s">
        <v>2505</v>
      </c>
      <c r="C1307" t="s">
        <v>1571</v>
      </c>
      <c r="D1307">
        <v>2013</v>
      </c>
      <c r="E1307">
        <v>27</v>
      </c>
    </row>
    <row r="1308" spans="1:5" x14ac:dyDescent="0.25">
      <c r="A1308" t="s">
        <v>75</v>
      </c>
      <c r="B1308" t="s">
        <v>2505</v>
      </c>
      <c r="C1308" t="s">
        <v>2542</v>
      </c>
      <c r="D1308">
        <v>2013</v>
      </c>
      <c r="E1308">
        <v>2</v>
      </c>
    </row>
    <row r="1309" spans="1:5" x14ac:dyDescent="0.25">
      <c r="A1309" t="s">
        <v>75</v>
      </c>
      <c r="B1309" t="s">
        <v>2505</v>
      </c>
      <c r="C1309" t="s">
        <v>2538</v>
      </c>
      <c r="D1309">
        <v>2013</v>
      </c>
      <c r="E1309">
        <v>25</v>
      </c>
    </row>
    <row r="1310" spans="1:5" x14ac:dyDescent="0.25">
      <c r="A1310" t="s">
        <v>75</v>
      </c>
      <c r="B1310" t="s">
        <v>2505</v>
      </c>
      <c r="C1310" t="s">
        <v>2544</v>
      </c>
      <c r="D1310">
        <v>2013</v>
      </c>
      <c r="E1310">
        <v>94</v>
      </c>
    </row>
    <row r="1311" spans="1:5" x14ac:dyDescent="0.25">
      <c r="A1311" t="s">
        <v>75</v>
      </c>
      <c r="B1311" t="s">
        <v>2505</v>
      </c>
      <c r="C1311" t="s">
        <v>2539</v>
      </c>
      <c r="D1311">
        <v>2013</v>
      </c>
      <c r="E1311">
        <v>37</v>
      </c>
    </row>
    <row r="1312" spans="1:5" x14ac:dyDescent="0.25">
      <c r="A1312" t="s">
        <v>75</v>
      </c>
      <c r="B1312" t="s">
        <v>2505</v>
      </c>
      <c r="C1312" t="s">
        <v>106</v>
      </c>
      <c r="D1312">
        <v>2013</v>
      </c>
      <c r="E1312">
        <v>4</v>
      </c>
    </row>
    <row r="1313" spans="1:5" x14ac:dyDescent="0.25">
      <c r="A1313" t="s">
        <v>75</v>
      </c>
      <c r="B1313" t="s">
        <v>2505</v>
      </c>
      <c r="C1313" t="s">
        <v>2545</v>
      </c>
      <c r="D1313">
        <v>2012</v>
      </c>
      <c r="E1313">
        <v>58</v>
      </c>
    </row>
    <row r="1314" spans="1:5" x14ac:dyDescent="0.25">
      <c r="A1314" t="s">
        <v>75</v>
      </c>
      <c r="B1314" t="s">
        <v>2505</v>
      </c>
      <c r="C1314" t="s">
        <v>2517</v>
      </c>
      <c r="D1314">
        <v>2012</v>
      </c>
      <c r="E1314">
        <v>12</v>
      </c>
    </row>
    <row r="1315" spans="1:5" x14ac:dyDescent="0.25">
      <c r="A1315" t="s">
        <v>75</v>
      </c>
      <c r="B1315" t="s">
        <v>2505</v>
      </c>
      <c r="C1315" t="s">
        <v>1571</v>
      </c>
      <c r="D1315">
        <v>2012</v>
      </c>
      <c r="E1315">
        <v>29</v>
      </c>
    </row>
    <row r="1316" spans="1:5" x14ac:dyDescent="0.25">
      <c r="A1316" t="s">
        <v>75</v>
      </c>
      <c r="B1316" t="s">
        <v>2505</v>
      </c>
      <c r="C1316" t="s">
        <v>2538</v>
      </c>
      <c r="D1316">
        <v>2012</v>
      </c>
      <c r="E1316">
        <v>39</v>
      </c>
    </row>
    <row r="1317" spans="1:5" x14ac:dyDescent="0.25">
      <c r="A1317" t="s">
        <v>75</v>
      </c>
      <c r="B1317" t="s">
        <v>2505</v>
      </c>
      <c r="C1317" t="s">
        <v>2544</v>
      </c>
      <c r="D1317">
        <v>2012</v>
      </c>
      <c r="E1317">
        <v>102</v>
      </c>
    </row>
    <row r="1318" spans="1:5" x14ac:dyDescent="0.25">
      <c r="A1318" t="s">
        <v>75</v>
      </c>
      <c r="B1318" t="s">
        <v>2505</v>
      </c>
      <c r="C1318" t="s">
        <v>2539</v>
      </c>
      <c r="D1318">
        <v>2012</v>
      </c>
      <c r="E1318">
        <v>32</v>
      </c>
    </row>
    <row r="1319" spans="1:5" x14ac:dyDescent="0.25">
      <c r="A1319" t="s">
        <v>75</v>
      </c>
      <c r="B1319" t="s">
        <v>2505</v>
      </c>
      <c r="C1319" t="s">
        <v>2545</v>
      </c>
      <c r="D1319">
        <v>2011</v>
      </c>
      <c r="E1319">
        <v>54</v>
      </c>
    </row>
    <row r="1320" spans="1:5" x14ac:dyDescent="0.25">
      <c r="A1320" t="s">
        <v>75</v>
      </c>
      <c r="B1320" t="s">
        <v>2505</v>
      </c>
      <c r="C1320" t="s">
        <v>2517</v>
      </c>
      <c r="D1320">
        <v>2011</v>
      </c>
      <c r="E1320">
        <v>15</v>
      </c>
    </row>
    <row r="1321" spans="1:5" x14ac:dyDescent="0.25">
      <c r="A1321" t="s">
        <v>75</v>
      </c>
      <c r="B1321" t="s">
        <v>2505</v>
      </c>
      <c r="C1321" t="s">
        <v>1571</v>
      </c>
      <c r="D1321">
        <v>2011</v>
      </c>
      <c r="E1321">
        <v>23</v>
      </c>
    </row>
    <row r="1322" spans="1:5" x14ac:dyDescent="0.25">
      <c r="A1322" t="s">
        <v>75</v>
      </c>
      <c r="B1322" t="s">
        <v>2505</v>
      </c>
      <c r="C1322" t="s">
        <v>2538</v>
      </c>
      <c r="D1322">
        <v>2011</v>
      </c>
      <c r="E1322">
        <v>29</v>
      </c>
    </row>
    <row r="1323" spans="1:5" x14ac:dyDescent="0.25">
      <c r="A1323" t="s">
        <v>75</v>
      </c>
      <c r="B1323" t="s">
        <v>2505</v>
      </c>
      <c r="C1323" t="s">
        <v>2544</v>
      </c>
      <c r="D1323">
        <v>2011</v>
      </c>
      <c r="E1323">
        <v>126</v>
      </c>
    </row>
    <row r="1324" spans="1:5" x14ac:dyDescent="0.25">
      <c r="A1324" t="s">
        <v>75</v>
      </c>
      <c r="B1324" t="s">
        <v>2505</v>
      </c>
      <c r="C1324" t="s">
        <v>2539</v>
      </c>
      <c r="D1324">
        <v>2011</v>
      </c>
      <c r="E1324">
        <v>34</v>
      </c>
    </row>
    <row r="1325" spans="1:5" x14ac:dyDescent="0.25">
      <c r="A1325" t="s">
        <v>75</v>
      </c>
      <c r="B1325" t="s">
        <v>2505</v>
      </c>
      <c r="C1325" t="s">
        <v>2545</v>
      </c>
      <c r="D1325">
        <v>2010</v>
      </c>
      <c r="E1325">
        <v>50</v>
      </c>
    </row>
    <row r="1326" spans="1:5" x14ac:dyDescent="0.25">
      <c r="A1326" t="s">
        <v>75</v>
      </c>
      <c r="B1326" t="s">
        <v>2505</v>
      </c>
      <c r="C1326" t="s">
        <v>2517</v>
      </c>
      <c r="D1326">
        <v>2010</v>
      </c>
      <c r="E1326">
        <v>9</v>
      </c>
    </row>
    <row r="1327" spans="1:5" x14ac:dyDescent="0.25">
      <c r="A1327" t="s">
        <v>75</v>
      </c>
      <c r="B1327" t="s">
        <v>2505</v>
      </c>
      <c r="C1327" t="s">
        <v>1571</v>
      </c>
      <c r="D1327">
        <v>2010</v>
      </c>
      <c r="E1327">
        <v>21</v>
      </c>
    </row>
    <row r="1328" spans="1:5" x14ac:dyDescent="0.25">
      <c r="A1328" t="s">
        <v>75</v>
      </c>
      <c r="B1328" t="s">
        <v>2505</v>
      </c>
      <c r="C1328" t="s">
        <v>2546</v>
      </c>
      <c r="D1328">
        <v>2010</v>
      </c>
      <c r="E1328">
        <v>2</v>
      </c>
    </row>
    <row r="1329" spans="1:5" x14ac:dyDescent="0.25">
      <c r="A1329" t="s">
        <v>75</v>
      </c>
      <c r="B1329" t="s">
        <v>2505</v>
      </c>
      <c r="C1329" t="s">
        <v>2538</v>
      </c>
      <c r="D1329">
        <v>2010</v>
      </c>
      <c r="E1329">
        <v>36</v>
      </c>
    </row>
    <row r="1330" spans="1:5" x14ac:dyDescent="0.25">
      <c r="A1330" t="s">
        <v>75</v>
      </c>
      <c r="B1330" t="s">
        <v>2505</v>
      </c>
      <c r="C1330" t="s">
        <v>2544</v>
      </c>
      <c r="D1330">
        <v>2010</v>
      </c>
      <c r="E1330">
        <v>131</v>
      </c>
    </row>
    <row r="1331" spans="1:5" x14ac:dyDescent="0.25">
      <c r="A1331" t="s">
        <v>75</v>
      </c>
      <c r="B1331" t="s">
        <v>2505</v>
      </c>
      <c r="C1331" t="s">
        <v>2539</v>
      </c>
      <c r="D1331">
        <v>2010</v>
      </c>
      <c r="E1331">
        <v>31</v>
      </c>
    </row>
    <row r="1332" spans="1:5" x14ac:dyDescent="0.25">
      <c r="A1332" t="s">
        <v>75</v>
      </c>
      <c r="B1332" t="s">
        <v>2505</v>
      </c>
      <c r="C1332" t="s">
        <v>2545</v>
      </c>
      <c r="D1332">
        <v>2009</v>
      </c>
      <c r="E1332">
        <v>37</v>
      </c>
    </row>
    <row r="1333" spans="1:5" x14ac:dyDescent="0.25">
      <c r="A1333" t="s">
        <v>75</v>
      </c>
      <c r="B1333" t="s">
        <v>2505</v>
      </c>
      <c r="C1333" t="s">
        <v>2501</v>
      </c>
      <c r="D1333">
        <v>2009</v>
      </c>
      <c r="E1333">
        <v>1</v>
      </c>
    </row>
    <row r="1334" spans="1:5" x14ac:dyDescent="0.25">
      <c r="A1334" t="s">
        <v>75</v>
      </c>
      <c r="B1334" t="s">
        <v>2505</v>
      </c>
      <c r="C1334" t="s">
        <v>2517</v>
      </c>
      <c r="D1334">
        <v>2009</v>
      </c>
      <c r="E1334">
        <v>14</v>
      </c>
    </row>
    <row r="1335" spans="1:5" x14ac:dyDescent="0.25">
      <c r="A1335" t="s">
        <v>75</v>
      </c>
      <c r="B1335" t="s">
        <v>2505</v>
      </c>
      <c r="C1335" t="s">
        <v>1571</v>
      </c>
      <c r="D1335">
        <v>2009</v>
      </c>
      <c r="E1335">
        <v>19</v>
      </c>
    </row>
    <row r="1336" spans="1:5" x14ac:dyDescent="0.25">
      <c r="A1336" t="s">
        <v>75</v>
      </c>
      <c r="B1336" t="s">
        <v>2505</v>
      </c>
      <c r="C1336" t="s">
        <v>2546</v>
      </c>
      <c r="D1336">
        <v>2009</v>
      </c>
      <c r="E1336">
        <v>2</v>
      </c>
    </row>
    <row r="1337" spans="1:5" x14ac:dyDescent="0.25">
      <c r="A1337" t="s">
        <v>75</v>
      </c>
      <c r="B1337" t="s">
        <v>2505</v>
      </c>
      <c r="C1337" t="s">
        <v>2538</v>
      </c>
      <c r="D1337">
        <v>2009</v>
      </c>
      <c r="E1337">
        <v>48</v>
      </c>
    </row>
    <row r="1338" spans="1:5" x14ac:dyDescent="0.25">
      <c r="A1338" t="s">
        <v>75</v>
      </c>
      <c r="B1338" t="s">
        <v>2505</v>
      </c>
      <c r="C1338" t="s">
        <v>2547</v>
      </c>
      <c r="D1338">
        <v>2009</v>
      </c>
      <c r="E1338">
        <v>1</v>
      </c>
    </row>
    <row r="1339" spans="1:5" x14ac:dyDescent="0.25">
      <c r="A1339" t="s">
        <v>75</v>
      </c>
      <c r="B1339" t="s">
        <v>2505</v>
      </c>
      <c r="C1339" t="s">
        <v>2544</v>
      </c>
      <c r="D1339">
        <v>2009</v>
      </c>
      <c r="E1339">
        <v>135</v>
      </c>
    </row>
    <row r="1340" spans="1:5" x14ac:dyDescent="0.25">
      <c r="A1340" t="s">
        <v>75</v>
      </c>
      <c r="B1340" t="s">
        <v>2505</v>
      </c>
      <c r="C1340" t="s">
        <v>2539</v>
      </c>
      <c r="D1340">
        <v>2009</v>
      </c>
      <c r="E1340">
        <v>30</v>
      </c>
    </row>
    <row r="1341" spans="1:5" x14ac:dyDescent="0.25">
      <c r="A1341" t="s">
        <v>75</v>
      </c>
      <c r="B1341" t="s">
        <v>2505</v>
      </c>
      <c r="C1341" t="s">
        <v>1571</v>
      </c>
      <c r="D1341">
        <v>2008</v>
      </c>
      <c r="E1341">
        <v>19</v>
      </c>
    </row>
    <row r="1342" spans="1:5" x14ac:dyDescent="0.25">
      <c r="A1342" t="s">
        <v>75</v>
      </c>
      <c r="B1342" t="s">
        <v>2505</v>
      </c>
      <c r="C1342" t="s">
        <v>2546</v>
      </c>
      <c r="D1342">
        <v>2008</v>
      </c>
      <c r="E1342">
        <v>1</v>
      </c>
    </row>
    <row r="1343" spans="1:5" x14ac:dyDescent="0.25">
      <c r="A1343" t="s">
        <v>75</v>
      </c>
      <c r="B1343" t="s">
        <v>2505</v>
      </c>
      <c r="C1343" t="s">
        <v>2538</v>
      </c>
      <c r="D1343">
        <v>2008</v>
      </c>
      <c r="E1343">
        <v>47</v>
      </c>
    </row>
    <row r="1344" spans="1:5" x14ac:dyDescent="0.25">
      <c r="A1344" t="s">
        <v>75</v>
      </c>
      <c r="B1344" t="s">
        <v>2505</v>
      </c>
      <c r="C1344" t="s">
        <v>76</v>
      </c>
      <c r="D1344">
        <v>2008</v>
      </c>
      <c r="E1344">
        <v>1</v>
      </c>
    </row>
    <row r="1345" spans="1:5" x14ac:dyDescent="0.25">
      <c r="A1345" t="s">
        <v>75</v>
      </c>
      <c r="B1345" t="s">
        <v>2505</v>
      </c>
      <c r="C1345" t="s">
        <v>2547</v>
      </c>
      <c r="D1345">
        <v>2008</v>
      </c>
      <c r="E1345">
        <v>1</v>
      </c>
    </row>
    <row r="1346" spans="1:5" x14ac:dyDescent="0.25">
      <c r="A1346" t="s">
        <v>75</v>
      </c>
      <c r="B1346" t="s">
        <v>2505</v>
      </c>
      <c r="C1346" t="s">
        <v>2544</v>
      </c>
      <c r="D1346">
        <v>2008</v>
      </c>
      <c r="E1346">
        <v>111</v>
      </c>
    </row>
    <row r="1347" spans="1:5" x14ac:dyDescent="0.25">
      <c r="A1347" t="s">
        <v>75</v>
      </c>
      <c r="B1347" t="s">
        <v>2505</v>
      </c>
      <c r="C1347" t="s">
        <v>2539</v>
      </c>
      <c r="D1347">
        <v>2008</v>
      </c>
      <c r="E1347">
        <v>28</v>
      </c>
    </row>
    <row r="1348" spans="1:5" x14ac:dyDescent="0.25">
      <c r="A1348" t="s">
        <v>75</v>
      </c>
      <c r="B1348" t="s">
        <v>2518</v>
      </c>
      <c r="C1348" t="s">
        <v>2543</v>
      </c>
      <c r="D1348">
        <v>2019</v>
      </c>
      <c r="E1348">
        <v>11</v>
      </c>
    </row>
    <row r="1349" spans="1:5" x14ac:dyDescent="0.25">
      <c r="A1349" t="s">
        <v>75</v>
      </c>
      <c r="B1349" t="s">
        <v>2518</v>
      </c>
      <c r="C1349" t="s">
        <v>2538</v>
      </c>
      <c r="D1349">
        <v>2019</v>
      </c>
      <c r="E1349">
        <v>31</v>
      </c>
    </row>
    <row r="1350" spans="1:5" x14ac:dyDescent="0.25">
      <c r="A1350" t="s">
        <v>75</v>
      </c>
      <c r="B1350" t="s">
        <v>2518</v>
      </c>
      <c r="C1350" t="s">
        <v>2544</v>
      </c>
      <c r="D1350">
        <v>2019</v>
      </c>
      <c r="E1350">
        <v>11</v>
      </c>
    </row>
    <row r="1351" spans="1:5" x14ac:dyDescent="0.25">
      <c r="A1351" t="s">
        <v>75</v>
      </c>
      <c r="B1351" t="s">
        <v>2518</v>
      </c>
      <c r="C1351" t="s">
        <v>2539</v>
      </c>
      <c r="D1351">
        <v>2019</v>
      </c>
      <c r="E1351">
        <v>5</v>
      </c>
    </row>
    <row r="1352" spans="1:5" x14ac:dyDescent="0.25">
      <c r="A1352" t="s">
        <v>75</v>
      </c>
      <c r="B1352" t="s">
        <v>2518</v>
      </c>
      <c r="C1352" t="s">
        <v>2548</v>
      </c>
      <c r="D1352">
        <v>2019</v>
      </c>
      <c r="E1352">
        <v>6</v>
      </c>
    </row>
    <row r="1353" spans="1:5" x14ac:dyDescent="0.25">
      <c r="A1353" t="s">
        <v>75</v>
      </c>
      <c r="B1353" t="s">
        <v>2518</v>
      </c>
      <c r="C1353" t="s">
        <v>2545</v>
      </c>
      <c r="D1353">
        <v>2018</v>
      </c>
      <c r="E1353">
        <v>3</v>
      </c>
    </row>
    <row r="1354" spans="1:5" x14ac:dyDescent="0.25">
      <c r="A1354" t="s">
        <v>75</v>
      </c>
      <c r="B1354" t="s">
        <v>2518</v>
      </c>
      <c r="C1354" t="s">
        <v>2543</v>
      </c>
      <c r="D1354">
        <v>2018</v>
      </c>
      <c r="E1354">
        <v>16</v>
      </c>
    </row>
    <row r="1355" spans="1:5" x14ac:dyDescent="0.25">
      <c r="A1355" t="s">
        <v>75</v>
      </c>
      <c r="B1355" t="s">
        <v>2518</v>
      </c>
      <c r="C1355" t="s">
        <v>2538</v>
      </c>
      <c r="D1355">
        <v>2018</v>
      </c>
      <c r="E1355">
        <v>31</v>
      </c>
    </row>
    <row r="1356" spans="1:5" x14ac:dyDescent="0.25">
      <c r="A1356" t="s">
        <v>75</v>
      </c>
      <c r="B1356" t="s">
        <v>2518</v>
      </c>
      <c r="C1356" t="s">
        <v>2544</v>
      </c>
      <c r="D1356">
        <v>2018</v>
      </c>
      <c r="E1356">
        <v>11</v>
      </c>
    </row>
    <row r="1357" spans="1:5" x14ac:dyDescent="0.25">
      <c r="A1357" t="s">
        <v>75</v>
      </c>
      <c r="B1357" t="s">
        <v>2518</v>
      </c>
      <c r="C1357" t="s">
        <v>2539</v>
      </c>
      <c r="D1357">
        <v>2018</v>
      </c>
      <c r="E1357">
        <v>7</v>
      </c>
    </row>
    <row r="1358" spans="1:5" x14ac:dyDescent="0.25">
      <c r="A1358" t="s">
        <v>75</v>
      </c>
      <c r="B1358" t="s">
        <v>2518</v>
      </c>
      <c r="C1358" t="s">
        <v>2548</v>
      </c>
      <c r="D1358">
        <v>2018</v>
      </c>
      <c r="E1358">
        <v>3</v>
      </c>
    </row>
    <row r="1359" spans="1:5" x14ac:dyDescent="0.25">
      <c r="A1359" t="s">
        <v>75</v>
      </c>
      <c r="B1359" t="s">
        <v>2518</v>
      </c>
      <c r="C1359" t="s">
        <v>2543</v>
      </c>
      <c r="D1359">
        <v>2017</v>
      </c>
      <c r="E1359">
        <v>14</v>
      </c>
    </row>
    <row r="1360" spans="1:5" x14ac:dyDescent="0.25">
      <c r="A1360" t="s">
        <v>75</v>
      </c>
      <c r="B1360" t="s">
        <v>2518</v>
      </c>
      <c r="C1360" t="s">
        <v>2546</v>
      </c>
      <c r="D1360">
        <v>2017</v>
      </c>
      <c r="E1360">
        <v>1</v>
      </c>
    </row>
    <row r="1361" spans="1:5" x14ac:dyDescent="0.25">
      <c r="A1361" t="s">
        <v>75</v>
      </c>
      <c r="B1361" t="s">
        <v>2518</v>
      </c>
      <c r="C1361" t="s">
        <v>2538</v>
      </c>
      <c r="D1361">
        <v>2017</v>
      </c>
      <c r="E1361">
        <v>41</v>
      </c>
    </row>
    <row r="1362" spans="1:5" x14ac:dyDescent="0.25">
      <c r="A1362" t="s">
        <v>75</v>
      </c>
      <c r="B1362" t="s">
        <v>2518</v>
      </c>
      <c r="C1362" t="s">
        <v>2544</v>
      </c>
      <c r="D1362">
        <v>2017</v>
      </c>
      <c r="E1362">
        <v>11</v>
      </c>
    </row>
    <row r="1363" spans="1:5" x14ac:dyDescent="0.25">
      <c r="A1363" t="s">
        <v>75</v>
      </c>
      <c r="B1363" t="s">
        <v>2518</v>
      </c>
      <c r="C1363" t="s">
        <v>2539</v>
      </c>
      <c r="D1363">
        <v>2017</v>
      </c>
      <c r="E1363">
        <v>6</v>
      </c>
    </row>
    <row r="1364" spans="1:5" x14ac:dyDescent="0.25">
      <c r="A1364" t="s">
        <v>75</v>
      </c>
      <c r="B1364" t="s">
        <v>2518</v>
      </c>
      <c r="C1364" t="s">
        <v>2548</v>
      </c>
      <c r="D1364">
        <v>2017</v>
      </c>
      <c r="E1364">
        <v>2</v>
      </c>
    </row>
    <row r="1365" spans="1:5" x14ac:dyDescent="0.25">
      <c r="A1365" t="s">
        <v>75</v>
      </c>
      <c r="B1365" t="s">
        <v>2518</v>
      </c>
      <c r="C1365" t="s">
        <v>2543</v>
      </c>
      <c r="D1365">
        <v>2016</v>
      </c>
      <c r="E1365">
        <v>10</v>
      </c>
    </row>
    <row r="1366" spans="1:5" x14ac:dyDescent="0.25">
      <c r="A1366" t="s">
        <v>75</v>
      </c>
      <c r="B1366" t="s">
        <v>2518</v>
      </c>
      <c r="C1366" t="s">
        <v>2538</v>
      </c>
      <c r="D1366">
        <v>2016</v>
      </c>
      <c r="E1366">
        <v>43</v>
      </c>
    </row>
    <row r="1367" spans="1:5" x14ac:dyDescent="0.25">
      <c r="A1367" t="s">
        <v>75</v>
      </c>
      <c r="B1367" t="s">
        <v>2518</v>
      </c>
      <c r="C1367" t="s">
        <v>2544</v>
      </c>
      <c r="D1367">
        <v>2016</v>
      </c>
      <c r="E1367">
        <v>13</v>
      </c>
    </row>
    <row r="1368" spans="1:5" x14ac:dyDescent="0.25">
      <c r="A1368" t="s">
        <v>75</v>
      </c>
      <c r="B1368" t="s">
        <v>2518</v>
      </c>
      <c r="C1368" t="s">
        <v>2539</v>
      </c>
      <c r="D1368">
        <v>2016</v>
      </c>
      <c r="E1368">
        <v>6</v>
      </c>
    </row>
    <row r="1369" spans="1:5" x14ac:dyDescent="0.25">
      <c r="A1369" t="s">
        <v>75</v>
      </c>
      <c r="B1369" t="s">
        <v>2518</v>
      </c>
      <c r="C1369" t="s">
        <v>2548</v>
      </c>
      <c r="D1369">
        <v>2016</v>
      </c>
      <c r="E1369">
        <v>5</v>
      </c>
    </row>
    <row r="1370" spans="1:5" x14ac:dyDescent="0.25">
      <c r="A1370" t="s">
        <v>75</v>
      </c>
      <c r="B1370" t="s">
        <v>2518</v>
      </c>
      <c r="C1370" t="s">
        <v>2538</v>
      </c>
      <c r="D1370">
        <v>2015</v>
      </c>
      <c r="E1370">
        <v>45</v>
      </c>
    </row>
    <row r="1371" spans="1:5" x14ac:dyDescent="0.25">
      <c r="A1371" t="s">
        <v>75</v>
      </c>
      <c r="B1371" t="s">
        <v>2518</v>
      </c>
      <c r="C1371" t="s">
        <v>2544</v>
      </c>
      <c r="D1371">
        <v>2015</v>
      </c>
      <c r="E1371">
        <v>11</v>
      </c>
    </row>
    <row r="1372" spans="1:5" x14ac:dyDescent="0.25">
      <c r="A1372" t="s">
        <v>75</v>
      </c>
      <c r="B1372" t="s">
        <v>2518</v>
      </c>
      <c r="C1372" t="s">
        <v>2539</v>
      </c>
      <c r="D1372">
        <v>2015</v>
      </c>
      <c r="E1372">
        <v>2</v>
      </c>
    </row>
    <row r="1373" spans="1:5" x14ac:dyDescent="0.25">
      <c r="A1373" t="s">
        <v>75</v>
      </c>
      <c r="B1373" t="s">
        <v>2518</v>
      </c>
      <c r="C1373" t="s">
        <v>2548</v>
      </c>
      <c r="D1373">
        <v>2015</v>
      </c>
      <c r="E1373">
        <v>9</v>
      </c>
    </row>
    <row r="1374" spans="1:5" x14ac:dyDescent="0.25">
      <c r="A1374" t="s">
        <v>75</v>
      </c>
      <c r="B1374" t="s">
        <v>2518</v>
      </c>
      <c r="C1374" t="s">
        <v>2546</v>
      </c>
      <c r="D1374">
        <v>2014</v>
      </c>
      <c r="E1374">
        <v>1</v>
      </c>
    </row>
    <row r="1375" spans="1:5" x14ac:dyDescent="0.25">
      <c r="A1375" t="s">
        <v>75</v>
      </c>
      <c r="B1375" t="s">
        <v>2518</v>
      </c>
      <c r="C1375" t="s">
        <v>2538</v>
      </c>
      <c r="D1375">
        <v>2014</v>
      </c>
      <c r="E1375">
        <v>60</v>
      </c>
    </row>
    <row r="1376" spans="1:5" x14ac:dyDescent="0.25">
      <c r="A1376" t="s">
        <v>75</v>
      </c>
      <c r="B1376" t="s">
        <v>2518</v>
      </c>
      <c r="C1376" t="s">
        <v>2544</v>
      </c>
      <c r="D1376">
        <v>2014</v>
      </c>
      <c r="E1376">
        <v>12</v>
      </c>
    </row>
    <row r="1377" spans="1:5" x14ac:dyDescent="0.25">
      <c r="A1377" t="s">
        <v>75</v>
      </c>
      <c r="B1377" t="s">
        <v>2518</v>
      </c>
      <c r="C1377" t="s">
        <v>2539</v>
      </c>
      <c r="D1377">
        <v>2014</v>
      </c>
      <c r="E1377">
        <v>2</v>
      </c>
    </row>
    <row r="1378" spans="1:5" x14ac:dyDescent="0.25">
      <c r="A1378" t="s">
        <v>75</v>
      </c>
      <c r="B1378" t="s">
        <v>2518</v>
      </c>
      <c r="C1378" t="s">
        <v>2548</v>
      </c>
      <c r="D1378">
        <v>2014</v>
      </c>
      <c r="E1378">
        <v>8</v>
      </c>
    </row>
    <row r="1379" spans="1:5" x14ac:dyDescent="0.25">
      <c r="A1379" t="s">
        <v>75</v>
      </c>
      <c r="B1379" t="s">
        <v>2518</v>
      </c>
      <c r="C1379" t="s">
        <v>2538</v>
      </c>
      <c r="D1379">
        <v>2013</v>
      </c>
      <c r="E1379">
        <v>59</v>
      </c>
    </row>
    <row r="1380" spans="1:5" x14ac:dyDescent="0.25">
      <c r="A1380" t="s">
        <v>75</v>
      </c>
      <c r="B1380" t="s">
        <v>2518</v>
      </c>
      <c r="C1380" t="s">
        <v>2544</v>
      </c>
      <c r="D1380">
        <v>2013</v>
      </c>
      <c r="E1380">
        <v>19</v>
      </c>
    </row>
    <row r="1381" spans="1:5" x14ac:dyDescent="0.25">
      <c r="A1381" t="s">
        <v>75</v>
      </c>
      <c r="B1381" t="s">
        <v>2518</v>
      </c>
      <c r="C1381" t="s">
        <v>2539</v>
      </c>
      <c r="D1381">
        <v>2013</v>
      </c>
      <c r="E1381">
        <v>1</v>
      </c>
    </row>
    <row r="1382" spans="1:5" x14ac:dyDescent="0.25">
      <c r="A1382" t="s">
        <v>75</v>
      </c>
      <c r="B1382" t="s">
        <v>2518</v>
      </c>
      <c r="C1382" t="s">
        <v>2548</v>
      </c>
      <c r="D1382">
        <v>2013</v>
      </c>
      <c r="E1382">
        <v>6</v>
      </c>
    </row>
    <row r="1383" spans="1:5" x14ac:dyDescent="0.25">
      <c r="A1383" t="s">
        <v>75</v>
      </c>
      <c r="B1383" t="s">
        <v>2518</v>
      </c>
      <c r="C1383" t="s">
        <v>2538</v>
      </c>
      <c r="D1383">
        <v>2012</v>
      </c>
      <c r="E1383">
        <v>64</v>
      </c>
    </row>
    <row r="1384" spans="1:5" x14ac:dyDescent="0.25">
      <c r="A1384" t="s">
        <v>75</v>
      </c>
      <c r="B1384" t="s">
        <v>2518</v>
      </c>
      <c r="C1384" t="s">
        <v>2544</v>
      </c>
      <c r="D1384">
        <v>2012</v>
      </c>
      <c r="E1384">
        <v>17</v>
      </c>
    </row>
    <row r="1385" spans="1:5" x14ac:dyDescent="0.25">
      <c r="A1385" t="s">
        <v>75</v>
      </c>
      <c r="B1385" t="s">
        <v>2518</v>
      </c>
      <c r="C1385" t="s">
        <v>2539</v>
      </c>
      <c r="D1385">
        <v>2012</v>
      </c>
      <c r="E1385">
        <v>2</v>
      </c>
    </row>
    <row r="1386" spans="1:5" x14ac:dyDescent="0.25">
      <c r="A1386" t="s">
        <v>75</v>
      </c>
      <c r="B1386" t="s">
        <v>2518</v>
      </c>
      <c r="C1386" t="s">
        <v>2548</v>
      </c>
      <c r="D1386">
        <v>2012</v>
      </c>
      <c r="E1386">
        <v>8</v>
      </c>
    </row>
    <row r="1387" spans="1:5" x14ac:dyDescent="0.25">
      <c r="A1387" t="s">
        <v>75</v>
      </c>
      <c r="B1387" t="s">
        <v>2518</v>
      </c>
      <c r="C1387" t="s">
        <v>2538</v>
      </c>
      <c r="D1387">
        <v>2011</v>
      </c>
      <c r="E1387">
        <v>67</v>
      </c>
    </row>
    <row r="1388" spans="1:5" x14ac:dyDescent="0.25">
      <c r="A1388" t="s">
        <v>75</v>
      </c>
      <c r="B1388" t="s">
        <v>2518</v>
      </c>
      <c r="C1388" t="s">
        <v>2544</v>
      </c>
      <c r="D1388">
        <v>2011</v>
      </c>
      <c r="E1388">
        <v>18</v>
      </c>
    </row>
    <row r="1389" spans="1:5" x14ac:dyDescent="0.25">
      <c r="A1389" t="s">
        <v>75</v>
      </c>
      <c r="B1389" t="s">
        <v>2518</v>
      </c>
      <c r="C1389" t="s">
        <v>2539</v>
      </c>
      <c r="D1389">
        <v>2011</v>
      </c>
      <c r="E1389">
        <v>1</v>
      </c>
    </row>
    <row r="1390" spans="1:5" x14ac:dyDescent="0.25">
      <c r="A1390" t="s">
        <v>75</v>
      </c>
      <c r="B1390" t="s">
        <v>2518</v>
      </c>
      <c r="C1390" t="s">
        <v>2548</v>
      </c>
      <c r="D1390">
        <v>2011</v>
      </c>
      <c r="E1390">
        <v>6</v>
      </c>
    </row>
    <row r="1391" spans="1:5" x14ac:dyDescent="0.25">
      <c r="A1391" t="s">
        <v>75</v>
      </c>
      <c r="B1391" t="s">
        <v>2518</v>
      </c>
      <c r="C1391" t="s">
        <v>2546</v>
      </c>
      <c r="D1391">
        <v>2010</v>
      </c>
      <c r="E1391">
        <v>1</v>
      </c>
    </row>
    <row r="1392" spans="1:5" x14ac:dyDescent="0.25">
      <c r="A1392" t="s">
        <v>75</v>
      </c>
      <c r="B1392" t="s">
        <v>2518</v>
      </c>
      <c r="C1392" t="s">
        <v>2538</v>
      </c>
      <c r="D1392">
        <v>2010</v>
      </c>
      <c r="E1392">
        <v>52</v>
      </c>
    </row>
    <row r="1393" spans="1:5" x14ac:dyDescent="0.25">
      <c r="A1393" t="s">
        <v>75</v>
      </c>
      <c r="B1393" t="s">
        <v>2518</v>
      </c>
      <c r="C1393" t="s">
        <v>2544</v>
      </c>
      <c r="D1393">
        <v>2010</v>
      </c>
      <c r="E1393">
        <v>20</v>
      </c>
    </row>
    <row r="1394" spans="1:5" x14ac:dyDescent="0.25">
      <c r="A1394" t="s">
        <v>75</v>
      </c>
      <c r="B1394" t="s">
        <v>2518</v>
      </c>
      <c r="C1394" t="s">
        <v>2539</v>
      </c>
      <c r="D1394">
        <v>2010</v>
      </c>
      <c r="E1394">
        <v>1</v>
      </c>
    </row>
    <row r="1395" spans="1:5" x14ac:dyDescent="0.25">
      <c r="A1395" t="s">
        <v>75</v>
      </c>
      <c r="B1395" t="s">
        <v>2518</v>
      </c>
      <c r="C1395" t="s">
        <v>2548</v>
      </c>
      <c r="D1395">
        <v>2010</v>
      </c>
      <c r="E1395">
        <v>3</v>
      </c>
    </row>
    <row r="1396" spans="1:5" x14ac:dyDescent="0.25">
      <c r="A1396" t="s">
        <v>75</v>
      </c>
      <c r="B1396" t="s">
        <v>2518</v>
      </c>
      <c r="C1396" t="s">
        <v>2538</v>
      </c>
      <c r="D1396">
        <v>2009</v>
      </c>
      <c r="E1396">
        <v>48</v>
      </c>
    </row>
    <row r="1397" spans="1:5" x14ac:dyDescent="0.25">
      <c r="A1397" t="s">
        <v>75</v>
      </c>
      <c r="B1397" t="s">
        <v>2518</v>
      </c>
      <c r="C1397" t="s">
        <v>2544</v>
      </c>
      <c r="D1397">
        <v>2009</v>
      </c>
      <c r="E1397">
        <v>17</v>
      </c>
    </row>
    <row r="1398" spans="1:5" x14ac:dyDescent="0.25">
      <c r="A1398" t="s">
        <v>75</v>
      </c>
      <c r="B1398" t="s">
        <v>2518</v>
      </c>
      <c r="C1398" t="s">
        <v>2539</v>
      </c>
      <c r="D1398">
        <v>2009</v>
      </c>
      <c r="E1398">
        <v>1</v>
      </c>
    </row>
    <row r="1399" spans="1:5" x14ac:dyDescent="0.25">
      <c r="A1399" t="s">
        <v>75</v>
      </c>
      <c r="B1399" t="s">
        <v>2518</v>
      </c>
      <c r="C1399" t="s">
        <v>2548</v>
      </c>
      <c r="D1399">
        <v>2009</v>
      </c>
      <c r="E1399">
        <v>3</v>
      </c>
    </row>
    <row r="1400" spans="1:5" x14ac:dyDescent="0.25">
      <c r="A1400" t="s">
        <v>75</v>
      </c>
      <c r="B1400" t="s">
        <v>2518</v>
      </c>
      <c r="C1400" t="s">
        <v>2546</v>
      </c>
      <c r="D1400">
        <v>2008</v>
      </c>
      <c r="E1400">
        <v>1</v>
      </c>
    </row>
    <row r="1401" spans="1:5" x14ac:dyDescent="0.25">
      <c r="A1401" t="s">
        <v>75</v>
      </c>
      <c r="B1401" t="s">
        <v>2518</v>
      </c>
      <c r="C1401" t="s">
        <v>2538</v>
      </c>
      <c r="D1401">
        <v>2008</v>
      </c>
      <c r="E1401">
        <v>53</v>
      </c>
    </row>
    <row r="1402" spans="1:5" x14ac:dyDescent="0.25">
      <c r="A1402" t="s">
        <v>75</v>
      </c>
      <c r="B1402" t="s">
        <v>2518</v>
      </c>
      <c r="C1402" t="s">
        <v>2544</v>
      </c>
      <c r="D1402">
        <v>2008</v>
      </c>
      <c r="E1402">
        <v>17</v>
      </c>
    </row>
    <row r="1403" spans="1:5" x14ac:dyDescent="0.25">
      <c r="A1403" t="s">
        <v>75</v>
      </c>
      <c r="B1403" t="s">
        <v>2518</v>
      </c>
      <c r="C1403" t="s">
        <v>2539</v>
      </c>
      <c r="D1403">
        <v>2008</v>
      </c>
      <c r="E1403">
        <v>1</v>
      </c>
    </row>
    <row r="1404" spans="1:5" x14ac:dyDescent="0.25">
      <c r="A1404" t="s">
        <v>75</v>
      </c>
      <c r="B1404" t="s">
        <v>2518</v>
      </c>
      <c r="C1404" t="s">
        <v>2548</v>
      </c>
      <c r="D1404">
        <v>2008</v>
      </c>
      <c r="E1404">
        <v>4</v>
      </c>
    </row>
    <row r="1405" spans="1:5" x14ac:dyDescent="0.25">
      <c r="A1405" t="s">
        <v>421</v>
      </c>
      <c r="B1405" t="s">
        <v>2464</v>
      </c>
      <c r="C1405" t="s">
        <v>2467</v>
      </c>
      <c r="D1405">
        <v>2019</v>
      </c>
      <c r="E1405">
        <v>1</v>
      </c>
    </row>
    <row r="1406" spans="1:5" x14ac:dyDescent="0.25">
      <c r="A1406" t="s">
        <v>421</v>
      </c>
      <c r="B1406" t="s">
        <v>2470</v>
      </c>
      <c r="C1406" t="s">
        <v>369</v>
      </c>
      <c r="D1406">
        <v>2019</v>
      </c>
      <c r="E1406">
        <v>327</v>
      </c>
    </row>
    <row r="1407" spans="1:5" x14ac:dyDescent="0.25">
      <c r="A1407" t="s">
        <v>421</v>
      </c>
      <c r="B1407" t="s">
        <v>2470</v>
      </c>
      <c r="C1407" t="s">
        <v>2549</v>
      </c>
      <c r="D1407">
        <v>2019</v>
      </c>
      <c r="E1407">
        <v>115</v>
      </c>
    </row>
    <row r="1408" spans="1:5" x14ac:dyDescent="0.25">
      <c r="A1408" t="s">
        <v>421</v>
      </c>
      <c r="B1408" t="s">
        <v>2470</v>
      </c>
      <c r="C1408" t="s">
        <v>2550</v>
      </c>
      <c r="D1408">
        <v>2019</v>
      </c>
      <c r="E1408">
        <v>2</v>
      </c>
    </row>
    <row r="1409" spans="1:5" x14ac:dyDescent="0.25">
      <c r="A1409" t="s">
        <v>421</v>
      </c>
      <c r="B1409" t="s">
        <v>2470</v>
      </c>
      <c r="C1409" t="s">
        <v>2551</v>
      </c>
      <c r="D1409">
        <v>2019</v>
      </c>
      <c r="E1409">
        <v>74</v>
      </c>
    </row>
    <row r="1410" spans="1:5" x14ac:dyDescent="0.25">
      <c r="A1410" t="s">
        <v>421</v>
      </c>
      <c r="B1410" t="s">
        <v>2470</v>
      </c>
      <c r="C1410" t="s">
        <v>1507</v>
      </c>
      <c r="D1410">
        <v>2019</v>
      </c>
      <c r="E1410">
        <v>35</v>
      </c>
    </row>
    <row r="1411" spans="1:5" x14ac:dyDescent="0.25">
      <c r="A1411" t="s">
        <v>421</v>
      </c>
      <c r="B1411" t="s">
        <v>2470</v>
      </c>
      <c r="C1411" t="s">
        <v>80</v>
      </c>
      <c r="D1411">
        <v>2019</v>
      </c>
      <c r="E1411">
        <v>112</v>
      </c>
    </row>
    <row r="1412" spans="1:5" x14ac:dyDescent="0.25">
      <c r="A1412" t="s">
        <v>421</v>
      </c>
      <c r="B1412" t="s">
        <v>2470</v>
      </c>
      <c r="C1412" t="s">
        <v>2552</v>
      </c>
      <c r="D1412">
        <v>2019</v>
      </c>
      <c r="E1412">
        <v>41</v>
      </c>
    </row>
    <row r="1413" spans="1:5" x14ac:dyDescent="0.25">
      <c r="A1413" t="s">
        <v>421</v>
      </c>
      <c r="B1413" t="s">
        <v>2470</v>
      </c>
      <c r="C1413" t="s">
        <v>2553</v>
      </c>
      <c r="D1413">
        <v>2019</v>
      </c>
      <c r="E1413">
        <v>2</v>
      </c>
    </row>
    <row r="1414" spans="1:5" x14ac:dyDescent="0.25">
      <c r="A1414" t="s">
        <v>421</v>
      </c>
      <c r="B1414" t="s">
        <v>2470</v>
      </c>
      <c r="C1414" t="s">
        <v>369</v>
      </c>
      <c r="D1414">
        <v>2018</v>
      </c>
      <c r="E1414">
        <v>328</v>
      </c>
    </row>
    <row r="1415" spans="1:5" x14ac:dyDescent="0.25">
      <c r="A1415" t="s">
        <v>421</v>
      </c>
      <c r="B1415" t="s">
        <v>2470</v>
      </c>
      <c r="C1415" t="s">
        <v>2549</v>
      </c>
      <c r="D1415">
        <v>2018</v>
      </c>
      <c r="E1415">
        <v>116</v>
      </c>
    </row>
    <row r="1416" spans="1:5" x14ac:dyDescent="0.25">
      <c r="A1416" t="s">
        <v>421</v>
      </c>
      <c r="B1416" t="s">
        <v>2470</v>
      </c>
      <c r="C1416" t="s">
        <v>2550</v>
      </c>
      <c r="D1416">
        <v>2018</v>
      </c>
      <c r="E1416">
        <v>1</v>
      </c>
    </row>
    <row r="1417" spans="1:5" x14ac:dyDescent="0.25">
      <c r="A1417" t="s">
        <v>421</v>
      </c>
      <c r="B1417" t="s">
        <v>2470</v>
      </c>
      <c r="C1417" t="s">
        <v>2551</v>
      </c>
      <c r="D1417">
        <v>2018</v>
      </c>
      <c r="E1417">
        <v>91</v>
      </c>
    </row>
    <row r="1418" spans="1:5" x14ac:dyDescent="0.25">
      <c r="A1418" t="s">
        <v>421</v>
      </c>
      <c r="B1418" t="s">
        <v>2470</v>
      </c>
      <c r="C1418" t="s">
        <v>80</v>
      </c>
      <c r="D1418">
        <v>2018</v>
      </c>
      <c r="E1418">
        <v>120</v>
      </c>
    </row>
    <row r="1419" spans="1:5" x14ac:dyDescent="0.25">
      <c r="A1419" t="s">
        <v>421</v>
      </c>
      <c r="B1419" t="s">
        <v>2470</v>
      </c>
      <c r="C1419" t="s">
        <v>2552</v>
      </c>
      <c r="D1419">
        <v>2018</v>
      </c>
      <c r="E1419">
        <v>40</v>
      </c>
    </row>
    <row r="1420" spans="1:5" x14ac:dyDescent="0.25">
      <c r="A1420" t="s">
        <v>421</v>
      </c>
      <c r="B1420" t="s">
        <v>2470</v>
      </c>
      <c r="C1420" t="s">
        <v>2553</v>
      </c>
      <c r="D1420">
        <v>2018</v>
      </c>
      <c r="E1420">
        <v>7</v>
      </c>
    </row>
    <row r="1421" spans="1:5" x14ac:dyDescent="0.25">
      <c r="A1421" t="s">
        <v>421</v>
      </c>
      <c r="B1421" t="s">
        <v>2470</v>
      </c>
      <c r="C1421" t="s">
        <v>369</v>
      </c>
      <c r="D1421">
        <v>2017</v>
      </c>
      <c r="E1421">
        <v>337</v>
      </c>
    </row>
    <row r="1422" spans="1:5" x14ac:dyDescent="0.25">
      <c r="A1422" t="s">
        <v>421</v>
      </c>
      <c r="B1422" t="s">
        <v>2470</v>
      </c>
      <c r="C1422" t="s">
        <v>2549</v>
      </c>
      <c r="D1422">
        <v>2017</v>
      </c>
      <c r="E1422">
        <v>121</v>
      </c>
    </row>
    <row r="1423" spans="1:5" x14ac:dyDescent="0.25">
      <c r="A1423" t="s">
        <v>421</v>
      </c>
      <c r="B1423" t="s">
        <v>2470</v>
      </c>
      <c r="C1423" t="s">
        <v>2550</v>
      </c>
      <c r="D1423">
        <v>2017</v>
      </c>
      <c r="E1423">
        <v>2</v>
      </c>
    </row>
    <row r="1424" spans="1:5" x14ac:dyDescent="0.25">
      <c r="A1424" t="s">
        <v>421</v>
      </c>
      <c r="B1424" t="s">
        <v>2470</v>
      </c>
      <c r="C1424" t="s">
        <v>2551</v>
      </c>
      <c r="D1424">
        <v>2017</v>
      </c>
      <c r="E1424">
        <v>97</v>
      </c>
    </row>
    <row r="1425" spans="1:5" x14ac:dyDescent="0.25">
      <c r="A1425" t="s">
        <v>421</v>
      </c>
      <c r="B1425" t="s">
        <v>2470</v>
      </c>
      <c r="C1425" t="s">
        <v>80</v>
      </c>
      <c r="D1425">
        <v>2017</v>
      </c>
      <c r="E1425">
        <v>113</v>
      </c>
    </row>
    <row r="1426" spans="1:5" x14ac:dyDescent="0.25">
      <c r="A1426" t="s">
        <v>421</v>
      </c>
      <c r="B1426" t="s">
        <v>2470</v>
      </c>
      <c r="C1426" t="s">
        <v>2552</v>
      </c>
      <c r="D1426">
        <v>2017</v>
      </c>
      <c r="E1426">
        <v>35</v>
      </c>
    </row>
    <row r="1427" spans="1:5" x14ac:dyDescent="0.25">
      <c r="A1427" t="s">
        <v>421</v>
      </c>
      <c r="B1427" t="s">
        <v>2470</v>
      </c>
      <c r="C1427" t="s">
        <v>2553</v>
      </c>
      <c r="D1427">
        <v>2017</v>
      </c>
      <c r="E1427">
        <v>16</v>
      </c>
    </row>
    <row r="1428" spans="1:5" x14ac:dyDescent="0.25">
      <c r="A1428" t="s">
        <v>421</v>
      </c>
      <c r="B1428" t="s">
        <v>2470</v>
      </c>
      <c r="C1428" t="s">
        <v>369</v>
      </c>
      <c r="D1428">
        <v>2016</v>
      </c>
      <c r="E1428">
        <v>333</v>
      </c>
    </row>
    <row r="1429" spans="1:5" x14ac:dyDescent="0.25">
      <c r="A1429" t="s">
        <v>421</v>
      </c>
      <c r="B1429" t="s">
        <v>2470</v>
      </c>
      <c r="C1429" t="s">
        <v>2549</v>
      </c>
      <c r="D1429">
        <v>2016</v>
      </c>
      <c r="E1429">
        <v>110</v>
      </c>
    </row>
    <row r="1430" spans="1:5" x14ac:dyDescent="0.25">
      <c r="A1430" t="s">
        <v>421</v>
      </c>
      <c r="B1430" t="s">
        <v>2470</v>
      </c>
      <c r="C1430" t="s">
        <v>2550</v>
      </c>
      <c r="D1430">
        <v>2016</v>
      </c>
      <c r="E1430">
        <v>2</v>
      </c>
    </row>
    <row r="1431" spans="1:5" x14ac:dyDescent="0.25">
      <c r="A1431" t="s">
        <v>421</v>
      </c>
      <c r="B1431" t="s">
        <v>2470</v>
      </c>
      <c r="C1431" t="s">
        <v>2551</v>
      </c>
      <c r="D1431">
        <v>2016</v>
      </c>
      <c r="E1431">
        <v>103</v>
      </c>
    </row>
    <row r="1432" spans="1:5" x14ac:dyDescent="0.25">
      <c r="A1432" t="s">
        <v>421</v>
      </c>
      <c r="B1432" t="s">
        <v>2470</v>
      </c>
      <c r="C1432" t="s">
        <v>80</v>
      </c>
      <c r="D1432">
        <v>2016</v>
      </c>
      <c r="E1432">
        <v>129</v>
      </c>
    </row>
    <row r="1433" spans="1:5" x14ac:dyDescent="0.25">
      <c r="A1433" t="s">
        <v>421</v>
      </c>
      <c r="B1433" t="s">
        <v>2470</v>
      </c>
      <c r="C1433" t="s">
        <v>2554</v>
      </c>
      <c r="D1433">
        <v>2016</v>
      </c>
      <c r="E1433">
        <v>17</v>
      </c>
    </row>
    <row r="1434" spans="1:5" x14ac:dyDescent="0.25">
      <c r="A1434" t="s">
        <v>421</v>
      </c>
      <c r="B1434" t="s">
        <v>2470</v>
      </c>
      <c r="C1434" t="s">
        <v>2553</v>
      </c>
      <c r="D1434">
        <v>2016</v>
      </c>
      <c r="E1434">
        <v>31</v>
      </c>
    </row>
    <row r="1435" spans="1:5" x14ac:dyDescent="0.25">
      <c r="A1435" t="s">
        <v>421</v>
      </c>
      <c r="B1435" t="s">
        <v>2470</v>
      </c>
      <c r="C1435" t="s">
        <v>369</v>
      </c>
      <c r="D1435">
        <v>2015</v>
      </c>
      <c r="E1435">
        <v>327</v>
      </c>
    </row>
    <row r="1436" spans="1:5" x14ac:dyDescent="0.25">
      <c r="A1436" t="s">
        <v>421</v>
      </c>
      <c r="B1436" t="s">
        <v>2470</v>
      </c>
      <c r="C1436" t="s">
        <v>2549</v>
      </c>
      <c r="D1436">
        <v>2015</v>
      </c>
      <c r="E1436">
        <v>107</v>
      </c>
    </row>
    <row r="1437" spans="1:5" x14ac:dyDescent="0.25">
      <c r="A1437" t="s">
        <v>421</v>
      </c>
      <c r="B1437" t="s">
        <v>2470</v>
      </c>
      <c r="C1437" t="s">
        <v>2550</v>
      </c>
      <c r="D1437">
        <v>2015</v>
      </c>
      <c r="E1437">
        <v>5</v>
      </c>
    </row>
    <row r="1438" spans="1:5" x14ac:dyDescent="0.25">
      <c r="A1438" t="s">
        <v>421</v>
      </c>
      <c r="B1438" t="s">
        <v>2470</v>
      </c>
      <c r="C1438" t="s">
        <v>2551</v>
      </c>
      <c r="D1438">
        <v>2015</v>
      </c>
      <c r="E1438">
        <v>101</v>
      </c>
    </row>
    <row r="1439" spans="1:5" x14ac:dyDescent="0.25">
      <c r="A1439" t="s">
        <v>421</v>
      </c>
      <c r="B1439" t="s">
        <v>2470</v>
      </c>
      <c r="C1439" t="s">
        <v>80</v>
      </c>
      <c r="D1439">
        <v>2015</v>
      </c>
      <c r="E1439">
        <v>130</v>
      </c>
    </row>
    <row r="1440" spans="1:5" x14ac:dyDescent="0.25">
      <c r="A1440" t="s">
        <v>421</v>
      </c>
      <c r="B1440" t="s">
        <v>2470</v>
      </c>
      <c r="C1440" t="s">
        <v>2553</v>
      </c>
      <c r="D1440">
        <v>2015</v>
      </c>
      <c r="E1440">
        <v>54</v>
      </c>
    </row>
    <row r="1441" spans="1:5" x14ac:dyDescent="0.25">
      <c r="A1441" t="s">
        <v>421</v>
      </c>
      <c r="B1441" t="s">
        <v>2470</v>
      </c>
      <c r="C1441" t="s">
        <v>369</v>
      </c>
      <c r="D1441">
        <v>2014</v>
      </c>
      <c r="E1441">
        <v>315</v>
      </c>
    </row>
    <row r="1442" spans="1:5" x14ac:dyDescent="0.25">
      <c r="A1442" t="s">
        <v>421</v>
      </c>
      <c r="B1442" t="s">
        <v>2470</v>
      </c>
      <c r="C1442" t="s">
        <v>2555</v>
      </c>
      <c r="D1442">
        <v>2014</v>
      </c>
      <c r="E1442">
        <v>46</v>
      </c>
    </row>
    <row r="1443" spans="1:5" x14ac:dyDescent="0.25">
      <c r="A1443" t="s">
        <v>421</v>
      </c>
      <c r="B1443" t="s">
        <v>2470</v>
      </c>
      <c r="C1443" t="s">
        <v>2549</v>
      </c>
      <c r="D1443">
        <v>2014</v>
      </c>
      <c r="E1443">
        <v>102</v>
      </c>
    </row>
    <row r="1444" spans="1:5" x14ac:dyDescent="0.25">
      <c r="A1444" t="s">
        <v>421</v>
      </c>
      <c r="B1444" t="s">
        <v>2470</v>
      </c>
      <c r="C1444" t="s">
        <v>2550</v>
      </c>
      <c r="D1444">
        <v>2014</v>
      </c>
      <c r="E1444">
        <v>8</v>
      </c>
    </row>
    <row r="1445" spans="1:5" x14ac:dyDescent="0.25">
      <c r="A1445" t="s">
        <v>421</v>
      </c>
      <c r="B1445" t="s">
        <v>2470</v>
      </c>
      <c r="C1445" t="s">
        <v>2551</v>
      </c>
      <c r="D1445">
        <v>2014</v>
      </c>
      <c r="E1445">
        <v>106</v>
      </c>
    </row>
    <row r="1446" spans="1:5" x14ac:dyDescent="0.25">
      <c r="A1446" t="s">
        <v>421</v>
      </c>
      <c r="B1446" t="s">
        <v>2470</v>
      </c>
      <c r="C1446" t="s">
        <v>80</v>
      </c>
      <c r="D1446">
        <v>2014</v>
      </c>
      <c r="E1446">
        <v>148</v>
      </c>
    </row>
    <row r="1447" spans="1:5" x14ac:dyDescent="0.25">
      <c r="A1447" t="s">
        <v>421</v>
      </c>
      <c r="B1447" t="s">
        <v>2470</v>
      </c>
      <c r="C1447" t="s">
        <v>2553</v>
      </c>
      <c r="D1447">
        <v>2014</v>
      </c>
      <c r="E1447">
        <v>7</v>
      </c>
    </row>
    <row r="1448" spans="1:5" x14ac:dyDescent="0.25">
      <c r="A1448" t="s">
        <v>421</v>
      </c>
      <c r="B1448" t="s">
        <v>2470</v>
      </c>
      <c r="C1448" t="s">
        <v>369</v>
      </c>
      <c r="D1448">
        <v>2013</v>
      </c>
      <c r="E1448">
        <v>343</v>
      </c>
    </row>
    <row r="1449" spans="1:5" x14ac:dyDescent="0.25">
      <c r="A1449" t="s">
        <v>421</v>
      </c>
      <c r="B1449" t="s">
        <v>2470</v>
      </c>
      <c r="C1449" t="s">
        <v>2555</v>
      </c>
      <c r="D1449">
        <v>2013</v>
      </c>
      <c r="E1449">
        <v>54</v>
      </c>
    </row>
    <row r="1450" spans="1:5" x14ac:dyDescent="0.25">
      <c r="A1450" t="s">
        <v>421</v>
      </c>
      <c r="B1450" t="s">
        <v>2470</v>
      </c>
      <c r="C1450" t="s">
        <v>2549</v>
      </c>
      <c r="D1450">
        <v>2013</v>
      </c>
      <c r="E1450">
        <v>107</v>
      </c>
    </row>
    <row r="1451" spans="1:5" x14ac:dyDescent="0.25">
      <c r="A1451" t="s">
        <v>421</v>
      </c>
      <c r="B1451" t="s">
        <v>2470</v>
      </c>
      <c r="C1451" t="s">
        <v>2550</v>
      </c>
      <c r="D1451">
        <v>2013</v>
      </c>
      <c r="E1451">
        <v>16</v>
      </c>
    </row>
    <row r="1452" spans="1:5" x14ac:dyDescent="0.25">
      <c r="A1452" t="s">
        <v>421</v>
      </c>
      <c r="B1452" t="s">
        <v>2470</v>
      </c>
      <c r="C1452" t="s">
        <v>2551</v>
      </c>
      <c r="D1452">
        <v>2013</v>
      </c>
      <c r="E1452">
        <v>87</v>
      </c>
    </row>
    <row r="1453" spans="1:5" x14ac:dyDescent="0.25">
      <c r="A1453" t="s">
        <v>421</v>
      </c>
      <c r="B1453" t="s">
        <v>2470</v>
      </c>
      <c r="C1453" t="s">
        <v>80</v>
      </c>
      <c r="D1453">
        <v>2013</v>
      </c>
      <c r="E1453">
        <v>137</v>
      </c>
    </row>
    <row r="1454" spans="1:5" x14ac:dyDescent="0.25">
      <c r="A1454" t="s">
        <v>421</v>
      </c>
      <c r="B1454" t="s">
        <v>2470</v>
      </c>
      <c r="C1454" t="s">
        <v>369</v>
      </c>
      <c r="D1454">
        <v>2012</v>
      </c>
      <c r="E1454">
        <v>332</v>
      </c>
    </row>
    <row r="1455" spans="1:5" x14ac:dyDescent="0.25">
      <c r="A1455" t="s">
        <v>421</v>
      </c>
      <c r="B1455" t="s">
        <v>2470</v>
      </c>
      <c r="C1455" t="s">
        <v>2555</v>
      </c>
      <c r="D1455">
        <v>2012</v>
      </c>
      <c r="E1455">
        <v>33</v>
      </c>
    </row>
    <row r="1456" spans="1:5" x14ac:dyDescent="0.25">
      <c r="A1456" t="s">
        <v>421</v>
      </c>
      <c r="B1456" t="s">
        <v>2470</v>
      </c>
      <c r="C1456" t="s">
        <v>2549</v>
      </c>
      <c r="D1456">
        <v>2012</v>
      </c>
      <c r="E1456">
        <v>129</v>
      </c>
    </row>
    <row r="1457" spans="1:5" x14ac:dyDescent="0.25">
      <c r="A1457" t="s">
        <v>421</v>
      </c>
      <c r="B1457" t="s">
        <v>2470</v>
      </c>
      <c r="C1457" t="s">
        <v>2550</v>
      </c>
      <c r="D1457">
        <v>2012</v>
      </c>
      <c r="E1457">
        <v>42</v>
      </c>
    </row>
    <row r="1458" spans="1:5" x14ac:dyDescent="0.25">
      <c r="A1458" t="s">
        <v>421</v>
      </c>
      <c r="B1458" t="s">
        <v>2470</v>
      </c>
      <c r="C1458" t="s">
        <v>2551</v>
      </c>
      <c r="D1458">
        <v>2012</v>
      </c>
      <c r="E1458">
        <v>80</v>
      </c>
    </row>
    <row r="1459" spans="1:5" x14ac:dyDescent="0.25">
      <c r="A1459" t="s">
        <v>421</v>
      </c>
      <c r="B1459" t="s">
        <v>2470</v>
      </c>
      <c r="C1459" t="s">
        <v>80</v>
      </c>
      <c r="D1459">
        <v>2012</v>
      </c>
      <c r="E1459">
        <v>146</v>
      </c>
    </row>
    <row r="1460" spans="1:5" x14ac:dyDescent="0.25">
      <c r="A1460" t="s">
        <v>421</v>
      </c>
      <c r="B1460" t="s">
        <v>2470</v>
      </c>
      <c r="C1460" t="s">
        <v>369</v>
      </c>
      <c r="D1460">
        <v>2011</v>
      </c>
      <c r="E1460">
        <v>352</v>
      </c>
    </row>
    <row r="1461" spans="1:5" x14ac:dyDescent="0.25">
      <c r="A1461" t="s">
        <v>421</v>
      </c>
      <c r="B1461" t="s">
        <v>2470</v>
      </c>
      <c r="C1461" t="s">
        <v>2555</v>
      </c>
      <c r="D1461">
        <v>2011</v>
      </c>
      <c r="E1461">
        <v>31</v>
      </c>
    </row>
    <row r="1462" spans="1:5" x14ac:dyDescent="0.25">
      <c r="A1462" t="s">
        <v>421</v>
      </c>
      <c r="B1462" t="s">
        <v>2470</v>
      </c>
      <c r="C1462" t="s">
        <v>2549</v>
      </c>
      <c r="D1462">
        <v>2011</v>
      </c>
      <c r="E1462">
        <v>115</v>
      </c>
    </row>
    <row r="1463" spans="1:5" x14ac:dyDescent="0.25">
      <c r="A1463" t="s">
        <v>421</v>
      </c>
      <c r="B1463" t="s">
        <v>2470</v>
      </c>
      <c r="C1463" t="s">
        <v>2550</v>
      </c>
      <c r="D1463">
        <v>2011</v>
      </c>
      <c r="E1463">
        <v>72</v>
      </c>
    </row>
    <row r="1464" spans="1:5" x14ac:dyDescent="0.25">
      <c r="A1464" t="s">
        <v>421</v>
      </c>
      <c r="B1464" t="s">
        <v>2470</v>
      </c>
      <c r="C1464" t="s">
        <v>2551</v>
      </c>
      <c r="D1464">
        <v>2011</v>
      </c>
      <c r="E1464">
        <v>39</v>
      </c>
    </row>
    <row r="1465" spans="1:5" x14ac:dyDescent="0.25">
      <c r="A1465" t="s">
        <v>421</v>
      </c>
      <c r="B1465" t="s">
        <v>2470</v>
      </c>
      <c r="C1465" t="s">
        <v>80</v>
      </c>
      <c r="D1465">
        <v>2011</v>
      </c>
      <c r="E1465">
        <v>161</v>
      </c>
    </row>
    <row r="1466" spans="1:5" x14ac:dyDescent="0.25">
      <c r="A1466" t="s">
        <v>421</v>
      </c>
      <c r="B1466" t="s">
        <v>2470</v>
      </c>
      <c r="C1466" t="s">
        <v>369</v>
      </c>
      <c r="D1466">
        <v>2010</v>
      </c>
      <c r="E1466">
        <v>314</v>
      </c>
    </row>
    <row r="1467" spans="1:5" x14ac:dyDescent="0.25">
      <c r="A1467" t="s">
        <v>421</v>
      </c>
      <c r="B1467" t="s">
        <v>2470</v>
      </c>
      <c r="C1467" t="s">
        <v>2555</v>
      </c>
      <c r="D1467">
        <v>2010</v>
      </c>
      <c r="E1467">
        <v>28</v>
      </c>
    </row>
    <row r="1468" spans="1:5" x14ac:dyDescent="0.25">
      <c r="A1468" t="s">
        <v>421</v>
      </c>
      <c r="B1468" t="s">
        <v>2470</v>
      </c>
      <c r="C1468" t="s">
        <v>2549</v>
      </c>
      <c r="D1468">
        <v>2010</v>
      </c>
      <c r="E1468">
        <v>115</v>
      </c>
    </row>
    <row r="1469" spans="1:5" x14ac:dyDescent="0.25">
      <c r="A1469" t="s">
        <v>421</v>
      </c>
      <c r="B1469" t="s">
        <v>2470</v>
      </c>
      <c r="C1469" t="s">
        <v>2550</v>
      </c>
      <c r="D1469">
        <v>2010</v>
      </c>
      <c r="E1469">
        <v>98</v>
      </c>
    </row>
    <row r="1470" spans="1:5" x14ac:dyDescent="0.25">
      <c r="A1470" t="s">
        <v>421</v>
      </c>
      <c r="B1470" t="s">
        <v>2470</v>
      </c>
      <c r="C1470" t="s">
        <v>80</v>
      </c>
      <c r="D1470">
        <v>2010</v>
      </c>
      <c r="E1470">
        <v>164</v>
      </c>
    </row>
    <row r="1471" spans="1:5" x14ac:dyDescent="0.25">
      <c r="A1471" t="s">
        <v>421</v>
      </c>
      <c r="B1471" t="s">
        <v>2470</v>
      </c>
      <c r="C1471" t="s">
        <v>369</v>
      </c>
      <c r="D1471">
        <v>2009</v>
      </c>
      <c r="E1471">
        <v>244</v>
      </c>
    </row>
    <row r="1472" spans="1:5" x14ac:dyDescent="0.25">
      <c r="A1472" t="s">
        <v>421</v>
      </c>
      <c r="B1472" t="s">
        <v>2470</v>
      </c>
      <c r="C1472" t="s">
        <v>2555</v>
      </c>
      <c r="D1472">
        <v>2009</v>
      </c>
      <c r="E1472">
        <v>21</v>
      </c>
    </row>
    <row r="1473" spans="1:5" x14ac:dyDescent="0.25">
      <c r="A1473" t="s">
        <v>421</v>
      </c>
      <c r="B1473" t="s">
        <v>2470</v>
      </c>
      <c r="C1473" t="s">
        <v>2549</v>
      </c>
      <c r="D1473">
        <v>2009</v>
      </c>
      <c r="E1473">
        <v>96</v>
      </c>
    </row>
    <row r="1474" spans="1:5" x14ac:dyDescent="0.25">
      <c r="A1474" t="s">
        <v>421</v>
      </c>
      <c r="B1474" t="s">
        <v>2470</v>
      </c>
      <c r="C1474" t="s">
        <v>2550</v>
      </c>
      <c r="D1474">
        <v>2009</v>
      </c>
      <c r="E1474">
        <v>85</v>
      </c>
    </row>
    <row r="1475" spans="1:5" x14ac:dyDescent="0.25">
      <c r="A1475" t="s">
        <v>421</v>
      </c>
      <c r="B1475" t="s">
        <v>2470</v>
      </c>
      <c r="C1475" t="s">
        <v>80</v>
      </c>
      <c r="D1475">
        <v>2009</v>
      </c>
      <c r="E1475">
        <v>173</v>
      </c>
    </row>
    <row r="1476" spans="1:5" x14ac:dyDescent="0.25">
      <c r="A1476" t="s">
        <v>421</v>
      </c>
      <c r="B1476" t="s">
        <v>2470</v>
      </c>
      <c r="C1476" t="s">
        <v>369</v>
      </c>
      <c r="D1476">
        <v>2008</v>
      </c>
      <c r="E1476">
        <v>223</v>
      </c>
    </row>
    <row r="1477" spans="1:5" x14ac:dyDescent="0.25">
      <c r="A1477" t="s">
        <v>421</v>
      </c>
      <c r="B1477" t="s">
        <v>2470</v>
      </c>
      <c r="C1477" t="s">
        <v>2555</v>
      </c>
      <c r="D1477">
        <v>2008</v>
      </c>
      <c r="E1477">
        <v>16</v>
      </c>
    </row>
    <row r="1478" spans="1:5" x14ac:dyDescent="0.25">
      <c r="A1478" t="s">
        <v>421</v>
      </c>
      <c r="B1478" t="s">
        <v>2470</v>
      </c>
      <c r="C1478" t="s">
        <v>2549</v>
      </c>
      <c r="D1478">
        <v>2008</v>
      </c>
      <c r="E1478">
        <v>99</v>
      </c>
    </row>
    <row r="1479" spans="1:5" x14ac:dyDescent="0.25">
      <c r="A1479" t="s">
        <v>421</v>
      </c>
      <c r="B1479" t="s">
        <v>2470</v>
      </c>
      <c r="C1479" t="s">
        <v>2550</v>
      </c>
      <c r="D1479">
        <v>2008</v>
      </c>
      <c r="E1479">
        <v>82</v>
      </c>
    </row>
    <row r="1480" spans="1:5" x14ac:dyDescent="0.25">
      <c r="A1480" t="s">
        <v>421</v>
      </c>
      <c r="B1480" t="s">
        <v>2470</v>
      </c>
      <c r="C1480" t="s">
        <v>80</v>
      </c>
      <c r="D1480">
        <v>2008</v>
      </c>
      <c r="E1480">
        <v>143</v>
      </c>
    </row>
    <row r="1481" spans="1:5" x14ac:dyDescent="0.25">
      <c r="A1481" t="s">
        <v>421</v>
      </c>
      <c r="B1481" t="s">
        <v>2505</v>
      </c>
      <c r="C1481" t="s">
        <v>369</v>
      </c>
      <c r="D1481">
        <v>2019</v>
      </c>
      <c r="E1481">
        <v>29</v>
      </c>
    </row>
    <row r="1482" spans="1:5" x14ac:dyDescent="0.25">
      <c r="A1482" t="s">
        <v>421</v>
      </c>
      <c r="B1482" t="s">
        <v>2505</v>
      </c>
      <c r="C1482" t="s">
        <v>2515</v>
      </c>
      <c r="D1482">
        <v>2019</v>
      </c>
      <c r="E1482">
        <v>11</v>
      </c>
    </row>
    <row r="1483" spans="1:5" x14ac:dyDescent="0.25">
      <c r="A1483" t="s">
        <v>421</v>
      </c>
      <c r="B1483" t="s">
        <v>2505</v>
      </c>
      <c r="C1483" t="s">
        <v>2549</v>
      </c>
      <c r="D1483">
        <v>2019</v>
      </c>
      <c r="E1483">
        <v>19</v>
      </c>
    </row>
    <row r="1484" spans="1:5" x14ac:dyDescent="0.25">
      <c r="A1484" t="s">
        <v>421</v>
      </c>
      <c r="B1484" t="s">
        <v>2505</v>
      </c>
      <c r="C1484" t="s">
        <v>2556</v>
      </c>
      <c r="D1484">
        <v>2019</v>
      </c>
      <c r="E1484">
        <v>2</v>
      </c>
    </row>
    <row r="1485" spans="1:5" x14ac:dyDescent="0.25">
      <c r="A1485" t="s">
        <v>421</v>
      </c>
      <c r="B1485" t="s">
        <v>2505</v>
      </c>
      <c r="C1485" t="s">
        <v>1507</v>
      </c>
      <c r="D1485">
        <v>2019</v>
      </c>
      <c r="E1485">
        <v>10</v>
      </c>
    </row>
    <row r="1486" spans="1:5" x14ac:dyDescent="0.25">
      <c r="A1486" t="s">
        <v>421</v>
      </c>
      <c r="B1486" t="s">
        <v>2505</v>
      </c>
      <c r="C1486" t="s">
        <v>80</v>
      </c>
      <c r="D1486">
        <v>2019</v>
      </c>
      <c r="E1486">
        <v>11</v>
      </c>
    </row>
    <row r="1487" spans="1:5" x14ac:dyDescent="0.25">
      <c r="A1487" t="s">
        <v>421</v>
      </c>
      <c r="B1487" t="s">
        <v>2505</v>
      </c>
      <c r="C1487" t="s">
        <v>369</v>
      </c>
      <c r="D1487">
        <v>2018</v>
      </c>
      <c r="E1487">
        <v>23</v>
      </c>
    </row>
    <row r="1488" spans="1:5" x14ac:dyDescent="0.25">
      <c r="A1488" t="s">
        <v>421</v>
      </c>
      <c r="B1488" t="s">
        <v>2505</v>
      </c>
      <c r="C1488" t="s">
        <v>2515</v>
      </c>
      <c r="D1488">
        <v>2018</v>
      </c>
      <c r="E1488">
        <v>11</v>
      </c>
    </row>
    <row r="1489" spans="1:5" x14ac:dyDescent="0.25">
      <c r="A1489" t="s">
        <v>421</v>
      </c>
      <c r="B1489" t="s">
        <v>2505</v>
      </c>
      <c r="C1489" t="s">
        <v>2549</v>
      </c>
      <c r="D1489">
        <v>2018</v>
      </c>
      <c r="E1489">
        <v>23</v>
      </c>
    </row>
    <row r="1490" spans="1:5" x14ac:dyDescent="0.25">
      <c r="A1490" t="s">
        <v>421</v>
      </c>
      <c r="B1490" t="s">
        <v>2505</v>
      </c>
      <c r="C1490" t="s">
        <v>2550</v>
      </c>
      <c r="D1490">
        <v>2018</v>
      </c>
      <c r="E1490">
        <v>1</v>
      </c>
    </row>
    <row r="1491" spans="1:5" x14ac:dyDescent="0.25">
      <c r="A1491" t="s">
        <v>421</v>
      </c>
      <c r="B1491" t="s">
        <v>2505</v>
      </c>
      <c r="C1491" t="s">
        <v>2556</v>
      </c>
      <c r="D1491">
        <v>2018</v>
      </c>
      <c r="E1491">
        <v>1</v>
      </c>
    </row>
    <row r="1492" spans="1:5" x14ac:dyDescent="0.25">
      <c r="A1492" t="s">
        <v>421</v>
      </c>
      <c r="B1492" t="s">
        <v>2505</v>
      </c>
      <c r="C1492" t="s">
        <v>80</v>
      </c>
      <c r="D1492">
        <v>2018</v>
      </c>
      <c r="E1492">
        <v>14</v>
      </c>
    </row>
    <row r="1493" spans="1:5" x14ac:dyDescent="0.25">
      <c r="A1493" t="s">
        <v>421</v>
      </c>
      <c r="B1493" t="s">
        <v>2505</v>
      </c>
      <c r="C1493" t="s">
        <v>369</v>
      </c>
      <c r="D1493">
        <v>2017</v>
      </c>
      <c r="E1493">
        <v>22</v>
      </c>
    </row>
    <row r="1494" spans="1:5" x14ac:dyDescent="0.25">
      <c r="A1494" t="s">
        <v>421</v>
      </c>
      <c r="B1494" t="s">
        <v>2505</v>
      </c>
      <c r="C1494" t="s">
        <v>2515</v>
      </c>
      <c r="D1494">
        <v>2017</v>
      </c>
      <c r="E1494">
        <v>9</v>
      </c>
    </row>
    <row r="1495" spans="1:5" x14ac:dyDescent="0.25">
      <c r="A1495" t="s">
        <v>421</v>
      </c>
      <c r="B1495" t="s">
        <v>2505</v>
      </c>
      <c r="C1495" t="s">
        <v>2549</v>
      </c>
      <c r="D1495">
        <v>2017</v>
      </c>
      <c r="E1495">
        <v>22</v>
      </c>
    </row>
    <row r="1496" spans="1:5" x14ac:dyDescent="0.25">
      <c r="A1496" t="s">
        <v>421</v>
      </c>
      <c r="B1496" t="s">
        <v>2505</v>
      </c>
      <c r="C1496" t="s">
        <v>2550</v>
      </c>
      <c r="D1496">
        <v>2017</v>
      </c>
      <c r="E1496">
        <v>4</v>
      </c>
    </row>
    <row r="1497" spans="1:5" x14ac:dyDescent="0.25">
      <c r="A1497" t="s">
        <v>421</v>
      </c>
      <c r="B1497" t="s">
        <v>2505</v>
      </c>
      <c r="C1497" t="s">
        <v>80</v>
      </c>
      <c r="D1497">
        <v>2017</v>
      </c>
      <c r="E1497">
        <v>14</v>
      </c>
    </row>
    <row r="1498" spans="1:5" x14ac:dyDescent="0.25">
      <c r="A1498" t="s">
        <v>421</v>
      </c>
      <c r="B1498" t="s">
        <v>2505</v>
      </c>
      <c r="C1498" t="s">
        <v>369</v>
      </c>
      <c r="D1498">
        <v>2016</v>
      </c>
      <c r="E1498">
        <v>16</v>
      </c>
    </row>
    <row r="1499" spans="1:5" x14ac:dyDescent="0.25">
      <c r="A1499" t="s">
        <v>421</v>
      </c>
      <c r="B1499" t="s">
        <v>2505</v>
      </c>
      <c r="C1499" t="s">
        <v>2515</v>
      </c>
      <c r="D1499">
        <v>2016</v>
      </c>
      <c r="E1499">
        <v>11</v>
      </c>
    </row>
    <row r="1500" spans="1:5" x14ac:dyDescent="0.25">
      <c r="A1500" t="s">
        <v>421</v>
      </c>
      <c r="B1500" t="s">
        <v>2505</v>
      </c>
      <c r="C1500" t="s">
        <v>2549</v>
      </c>
      <c r="D1500">
        <v>2016</v>
      </c>
      <c r="E1500">
        <v>19</v>
      </c>
    </row>
    <row r="1501" spans="1:5" x14ac:dyDescent="0.25">
      <c r="A1501" t="s">
        <v>421</v>
      </c>
      <c r="B1501" t="s">
        <v>2505</v>
      </c>
      <c r="C1501" t="s">
        <v>2550</v>
      </c>
      <c r="D1501">
        <v>2016</v>
      </c>
      <c r="E1501">
        <v>3</v>
      </c>
    </row>
    <row r="1502" spans="1:5" x14ac:dyDescent="0.25">
      <c r="A1502" t="s">
        <v>421</v>
      </c>
      <c r="B1502" t="s">
        <v>2505</v>
      </c>
      <c r="C1502" t="s">
        <v>80</v>
      </c>
      <c r="D1502">
        <v>2016</v>
      </c>
      <c r="E1502">
        <v>14</v>
      </c>
    </row>
    <row r="1503" spans="1:5" x14ac:dyDescent="0.25">
      <c r="A1503" t="s">
        <v>421</v>
      </c>
      <c r="B1503" t="s">
        <v>2505</v>
      </c>
      <c r="C1503" t="s">
        <v>369</v>
      </c>
      <c r="D1503">
        <v>2015</v>
      </c>
      <c r="E1503">
        <v>16</v>
      </c>
    </row>
    <row r="1504" spans="1:5" x14ac:dyDescent="0.25">
      <c r="A1504" t="s">
        <v>421</v>
      </c>
      <c r="B1504" t="s">
        <v>2505</v>
      </c>
      <c r="C1504" t="s">
        <v>2549</v>
      </c>
      <c r="D1504">
        <v>2015</v>
      </c>
      <c r="E1504">
        <v>16</v>
      </c>
    </row>
    <row r="1505" spans="1:5" x14ac:dyDescent="0.25">
      <c r="A1505" t="s">
        <v>421</v>
      </c>
      <c r="B1505" t="s">
        <v>2505</v>
      </c>
      <c r="C1505" t="s">
        <v>2550</v>
      </c>
      <c r="D1505">
        <v>2015</v>
      </c>
      <c r="E1505">
        <v>3</v>
      </c>
    </row>
    <row r="1506" spans="1:5" x14ac:dyDescent="0.25">
      <c r="A1506" t="s">
        <v>421</v>
      </c>
      <c r="B1506" t="s">
        <v>2505</v>
      </c>
      <c r="C1506" t="s">
        <v>80</v>
      </c>
      <c r="D1506">
        <v>2015</v>
      </c>
      <c r="E1506">
        <v>14</v>
      </c>
    </row>
    <row r="1507" spans="1:5" x14ac:dyDescent="0.25">
      <c r="A1507" t="s">
        <v>421</v>
      </c>
      <c r="B1507" t="s">
        <v>2505</v>
      </c>
      <c r="C1507" t="s">
        <v>369</v>
      </c>
      <c r="D1507">
        <v>2014</v>
      </c>
      <c r="E1507">
        <v>15</v>
      </c>
    </row>
    <row r="1508" spans="1:5" x14ac:dyDescent="0.25">
      <c r="A1508" t="s">
        <v>421</v>
      </c>
      <c r="B1508" t="s">
        <v>2505</v>
      </c>
      <c r="C1508" t="s">
        <v>2549</v>
      </c>
      <c r="D1508">
        <v>2014</v>
      </c>
      <c r="E1508">
        <v>13</v>
      </c>
    </row>
    <row r="1509" spans="1:5" x14ac:dyDescent="0.25">
      <c r="A1509" t="s">
        <v>421</v>
      </c>
      <c r="B1509" t="s">
        <v>2505</v>
      </c>
      <c r="C1509" t="s">
        <v>2550</v>
      </c>
      <c r="D1509">
        <v>2014</v>
      </c>
      <c r="E1509">
        <v>2</v>
      </c>
    </row>
    <row r="1510" spans="1:5" x14ac:dyDescent="0.25">
      <c r="A1510" t="s">
        <v>421</v>
      </c>
      <c r="B1510" t="s">
        <v>2505</v>
      </c>
      <c r="C1510" t="s">
        <v>80</v>
      </c>
      <c r="D1510">
        <v>2014</v>
      </c>
      <c r="E1510">
        <v>23</v>
      </c>
    </row>
    <row r="1511" spans="1:5" x14ac:dyDescent="0.25">
      <c r="A1511" t="s">
        <v>421</v>
      </c>
      <c r="B1511" t="s">
        <v>2505</v>
      </c>
      <c r="C1511" t="s">
        <v>369</v>
      </c>
      <c r="D1511">
        <v>2013</v>
      </c>
      <c r="E1511">
        <v>16</v>
      </c>
    </row>
    <row r="1512" spans="1:5" x14ac:dyDescent="0.25">
      <c r="A1512" t="s">
        <v>421</v>
      </c>
      <c r="B1512" t="s">
        <v>2505</v>
      </c>
      <c r="C1512" t="s">
        <v>2549</v>
      </c>
      <c r="D1512">
        <v>2013</v>
      </c>
      <c r="E1512">
        <v>20</v>
      </c>
    </row>
    <row r="1513" spans="1:5" x14ac:dyDescent="0.25">
      <c r="A1513" t="s">
        <v>421</v>
      </c>
      <c r="B1513" t="s">
        <v>2505</v>
      </c>
      <c r="C1513" t="s">
        <v>2550</v>
      </c>
      <c r="D1513">
        <v>2013</v>
      </c>
      <c r="E1513">
        <v>2</v>
      </c>
    </row>
    <row r="1514" spans="1:5" x14ac:dyDescent="0.25">
      <c r="A1514" t="s">
        <v>421</v>
      </c>
      <c r="B1514" t="s">
        <v>2505</v>
      </c>
      <c r="C1514" t="s">
        <v>80</v>
      </c>
      <c r="D1514">
        <v>2013</v>
      </c>
      <c r="E1514">
        <v>25</v>
      </c>
    </row>
    <row r="1515" spans="1:5" x14ac:dyDescent="0.25">
      <c r="A1515" t="s">
        <v>421</v>
      </c>
      <c r="B1515" t="s">
        <v>2505</v>
      </c>
      <c r="C1515" t="s">
        <v>369</v>
      </c>
      <c r="D1515">
        <v>2012</v>
      </c>
      <c r="E1515">
        <v>19</v>
      </c>
    </row>
    <row r="1516" spans="1:5" x14ac:dyDescent="0.25">
      <c r="A1516" t="s">
        <v>421</v>
      </c>
      <c r="B1516" t="s">
        <v>2505</v>
      </c>
      <c r="C1516" t="s">
        <v>2549</v>
      </c>
      <c r="D1516">
        <v>2012</v>
      </c>
      <c r="E1516">
        <v>22</v>
      </c>
    </row>
    <row r="1517" spans="1:5" x14ac:dyDescent="0.25">
      <c r="A1517" t="s">
        <v>421</v>
      </c>
      <c r="B1517" t="s">
        <v>2505</v>
      </c>
      <c r="C1517" t="s">
        <v>2550</v>
      </c>
      <c r="D1517">
        <v>2012</v>
      </c>
      <c r="E1517">
        <v>4</v>
      </c>
    </row>
    <row r="1518" spans="1:5" x14ac:dyDescent="0.25">
      <c r="A1518" t="s">
        <v>421</v>
      </c>
      <c r="B1518" t="s">
        <v>2505</v>
      </c>
      <c r="C1518" t="s">
        <v>80</v>
      </c>
      <c r="D1518">
        <v>2012</v>
      </c>
      <c r="E1518">
        <v>23</v>
      </c>
    </row>
    <row r="1519" spans="1:5" x14ac:dyDescent="0.25">
      <c r="A1519" t="s">
        <v>421</v>
      </c>
      <c r="B1519" t="s">
        <v>2505</v>
      </c>
      <c r="C1519" t="s">
        <v>369</v>
      </c>
      <c r="D1519">
        <v>2011</v>
      </c>
      <c r="E1519">
        <v>27</v>
      </c>
    </row>
    <row r="1520" spans="1:5" x14ac:dyDescent="0.25">
      <c r="A1520" t="s">
        <v>421</v>
      </c>
      <c r="B1520" t="s">
        <v>2505</v>
      </c>
      <c r="C1520" t="s">
        <v>2549</v>
      </c>
      <c r="D1520">
        <v>2011</v>
      </c>
      <c r="E1520">
        <v>31</v>
      </c>
    </row>
    <row r="1521" spans="1:5" x14ac:dyDescent="0.25">
      <c r="A1521" t="s">
        <v>421</v>
      </c>
      <c r="B1521" t="s">
        <v>2505</v>
      </c>
      <c r="C1521" t="s">
        <v>2550</v>
      </c>
      <c r="D1521">
        <v>2011</v>
      </c>
      <c r="E1521">
        <v>7</v>
      </c>
    </row>
    <row r="1522" spans="1:5" x14ac:dyDescent="0.25">
      <c r="A1522" t="s">
        <v>421</v>
      </c>
      <c r="B1522" t="s">
        <v>2505</v>
      </c>
      <c r="C1522" t="s">
        <v>80</v>
      </c>
      <c r="D1522">
        <v>2011</v>
      </c>
      <c r="E1522">
        <v>23</v>
      </c>
    </row>
    <row r="1523" spans="1:5" x14ac:dyDescent="0.25">
      <c r="A1523" t="s">
        <v>421</v>
      </c>
      <c r="B1523" t="s">
        <v>2505</v>
      </c>
      <c r="C1523" t="s">
        <v>369</v>
      </c>
      <c r="D1523">
        <v>2010</v>
      </c>
      <c r="E1523">
        <v>23</v>
      </c>
    </row>
    <row r="1524" spans="1:5" x14ac:dyDescent="0.25">
      <c r="A1524" t="s">
        <v>421</v>
      </c>
      <c r="B1524" t="s">
        <v>2505</v>
      </c>
      <c r="C1524" t="s">
        <v>2549</v>
      </c>
      <c r="D1524">
        <v>2010</v>
      </c>
      <c r="E1524">
        <v>36</v>
      </c>
    </row>
    <row r="1525" spans="1:5" x14ac:dyDescent="0.25">
      <c r="A1525" t="s">
        <v>421</v>
      </c>
      <c r="B1525" t="s">
        <v>2505</v>
      </c>
      <c r="C1525" t="s">
        <v>2550</v>
      </c>
      <c r="D1525">
        <v>2010</v>
      </c>
      <c r="E1525">
        <v>6</v>
      </c>
    </row>
    <row r="1526" spans="1:5" x14ac:dyDescent="0.25">
      <c r="A1526" t="s">
        <v>421</v>
      </c>
      <c r="B1526" t="s">
        <v>2505</v>
      </c>
      <c r="C1526" t="s">
        <v>80</v>
      </c>
      <c r="D1526">
        <v>2010</v>
      </c>
      <c r="E1526">
        <v>21</v>
      </c>
    </row>
    <row r="1527" spans="1:5" x14ac:dyDescent="0.25">
      <c r="A1527" t="s">
        <v>421</v>
      </c>
      <c r="B1527" t="s">
        <v>2505</v>
      </c>
      <c r="C1527" t="s">
        <v>369</v>
      </c>
      <c r="D1527">
        <v>2009</v>
      </c>
      <c r="E1527">
        <v>20</v>
      </c>
    </row>
    <row r="1528" spans="1:5" x14ac:dyDescent="0.25">
      <c r="A1528" t="s">
        <v>421</v>
      </c>
      <c r="B1528" t="s">
        <v>2505</v>
      </c>
      <c r="C1528" t="s">
        <v>2549</v>
      </c>
      <c r="D1528">
        <v>2009</v>
      </c>
      <c r="E1528">
        <v>32</v>
      </c>
    </row>
    <row r="1529" spans="1:5" x14ac:dyDescent="0.25">
      <c r="A1529" t="s">
        <v>421</v>
      </c>
      <c r="B1529" t="s">
        <v>2505</v>
      </c>
      <c r="C1529" t="s">
        <v>2550</v>
      </c>
      <c r="D1529">
        <v>2009</v>
      </c>
      <c r="E1529">
        <v>6</v>
      </c>
    </row>
    <row r="1530" spans="1:5" x14ac:dyDescent="0.25">
      <c r="A1530" t="s">
        <v>421</v>
      </c>
      <c r="B1530" t="s">
        <v>2505</v>
      </c>
      <c r="C1530" t="s">
        <v>80</v>
      </c>
      <c r="D1530">
        <v>2009</v>
      </c>
      <c r="E1530">
        <v>26</v>
      </c>
    </row>
    <row r="1531" spans="1:5" x14ac:dyDescent="0.25">
      <c r="A1531" t="s">
        <v>421</v>
      </c>
      <c r="B1531" t="s">
        <v>2505</v>
      </c>
      <c r="C1531" t="s">
        <v>369</v>
      </c>
      <c r="D1531">
        <v>2008</v>
      </c>
      <c r="E1531">
        <v>21</v>
      </c>
    </row>
    <row r="1532" spans="1:5" x14ac:dyDescent="0.25">
      <c r="A1532" t="s">
        <v>421</v>
      </c>
      <c r="B1532" t="s">
        <v>2505</v>
      </c>
      <c r="C1532" t="s">
        <v>2549</v>
      </c>
      <c r="D1532">
        <v>2008</v>
      </c>
      <c r="E1532">
        <v>25</v>
      </c>
    </row>
    <row r="1533" spans="1:5" x14ac:dyDescent="0.25">
      <c r="A1533" t="s">
        <v>421</v>
      </c>
      <c r="B1533" t="s">
        <v>2505</v>
      </c>
      <c r="C1533" t="s">
        <v>2550</v>
      </c>
      <c r="D1533">
        <v>2008</v>
      </c>
      <c r="E1533">
        <v>4</v>
      </c>
    </row>
    <row r="1534" spans="1:5" x14ac:dyDescent="0.25">
      <c r="A1534" t="s">
        <v>421</v>
      </c>
      <c r="B1534" t="s">
        <v>2505</v>
      </c>
      <c r="C1534" t="s">
        <v>80</v>
      </c>
      <c r="D1534">
        <v>2008</v>
      </c>
      <c r="E1534">
        <v>28</v>
      </c>
    </row>
    <row r="1535" spans="1:5" x14ac:dyDescent="0.25">
      <c r="A1535" t="s">
        <v>421</v>
      </c>
      <c r="B1535" t="s">
        <v>2518</v>
      </c>
      <c r="C1535" t="s">
        <v>369</v>
      </c>
      <c r="D1535">
        <v>2019</v>
      </c>
      <c r="E1535">
        <v>1</v>
      </c>
    </row>
    <row r="1536" spans="1:5" x14ac:dyDescent="0.25">
      <c r="A1536" t="s">
        <v>421</v>
      </c>
      <c r="B1536" t="s">
        <v>2518</v>
      </c>
      <c r="C1536" t="s">
        <v>2515</v>
      </c>
      <c r="D1536">
        <v>2019</v>
      </c>
      <c r="E1536">
        <v>8</v>
      </c>
    </row>
    <row r="1537" spans="1:5" x14ac:dyDescent="0.25">
      <c r="A1537" t="s">
        <v>421</v>
      </c>
      <c r="B1537" t="s">
        <v>2518</v>
      </c>
      <c r="C1537" t="s">
        <v>80</v>
      </c>
      <c r="D1537">
        <v>2019</v>
      </c>
      <c r="E1537">
        <v>1</v>
      </c>
    </row>
    <row r="1538" spans="1:5" x14ac:dyDescent="0.25">
      <c r="A1538" t="s">
        <v>421</v>
      </c>
      <c r="B1538" t="s">
        <v>2518</v>
      </c>
      <c r="C1538" t="s">
        <v>2557</v>
      </c>
      <c r="D1538">
        <v>2019</v>
      </c>
      <c r="E1538">
        <v>14</v>
      </c>
    </row>
    <row r="1539" spans="1:5" x14ac:dyDescent="0.25">
      <c r="A1539" t="s">
        <v>421</v>
      </c>
      <c r="B1539" t="s">
        <v>2518</v>
      </c>
      <c r="C1539" t="s">
        <v>2558</v>
      </c>
      <c r="D1539">
        <v>2019</v>
      </c>
      <c r="E1539">
        <v>37</v>
      </c>
    </row>
    <row r="1540" spans="1:5" x14ac:dyDescent="0.25">
      <c r="A1540" t="s">
        <v>421</v>
      </c>
      <c r="B1540" t="s">
        <v>2518</v>
      </c>
      <c r="C1540" t="s">
        <v>369</v>
      </c>
      <c r="D1540">
        <v>2018</v>
      </c>
      <c r="E1540">
        <v>1</v>
      </c>
    </row>
    <row r="1541" spans="1:5" x14ac:dyDescent="0.25">
      <c r="A1541" t="s">
        <v>421</v>
      </c>
      <c r="B1541" t="s">
        <v>2518</v>
      </c>
      <c r="C1541" t="s">
        <v>2515</v>
      </c>
      <c r="D1541">
        <v>2018</v>
      </c>
      <c r="E1541">
        <v>6</v>
      </c>
    </row>
    <row r="1542" spans="1:5" x14ac:dyDescent="0.25">
      <c r="A1542" t="s">
        <v>421</v>
      </c>
      <c r="B1542" t="s">
        <v>2518</v>
      </c>
      <c r="C1542" t="s">
        <v>80</v>
      </c>
      <c r="D1542">
        <v>2018</v>
      </c>
      <c r="E1542">
        <v>5</v>
      </c>
    </row>
    <row r="1543" spans="1:5" x14ac:dyDescent="0.25">
      <c r="A1543" t="s">
        <v>421</v>
      </c>
      <c r="B1543" t="s">
        <v>2518</v>
      </c>
      <c r="C1543" t="s">
        <v>2557</v>
      </c>
      <c r="D1543">
        <v>2018</v>
      </c>
      <c r="E1543">
        <v>15</v>
      </c>
    </row>
    <row r="1544" spans="1:5" x14ac:dyDescent="0.25">
      <c r="A1544" t="s">
        <v>421</v>
      </c>
      <c r="B1544" t="s">
        <v>2518</v>
      </c>
      <c r="C1544" t="s">
        <v>2558</v>
      </c>
      <c r="D1544">
        <v>2018</v>
      </c>
      <c r="E1544">
        <v>35</v>
      </c>
    </row>
    <row r="1545" spans="1:5" x14ac:dyDescent="0.25">
      <c r="A1545" t="s">
        <v>421</v>
      </c>
      <c r="B1545" t="s">
        <v>2518</v>
      </c>
      <c r="C1545" t="s">
        <v>369</v>
      </c>
      <c r="D1545">
        <v>2017</v>
      </c>
      <c r="E1545">
        <v>1</v>
      </c>
    </row>
    <row r="1546" spans="1:5" x14ac:dyDescent="0.25">
      <c r="A1546" t="s">
        <v>421</v>
      </c>
      <c r="B1546" t="s">
        <v>2518</v>
      </c>
      <c r="C1546" t="s">
        <v>2515</v>
      </c>
      <c r="D1546">
        <v>2017</v>
      </c>
      <c r="E1546">
        <v>8</v>
      </c>
    </row>
    <row r="1547" spans="1:5" x14ac:dyDescent="0.25">
      <c r="A1547" t="s">
        <v>421</v>
      </c>
      <c r="B1547" t="s">
        <v>2518</v>
      </c>
      <c r="C1547" t="s">
        <v>80</v>
      </c>
      <c r="D1547">
        <v>2017</v>
      </c>
      <c r="E1547">
        <v>8</v>
      </c>
    </row>
    <row r="1548" spans="1:5" x14ac:dyDescent="0.25">
      <c r="A1548" t="s">
        <v>421</v>
      </c>
      <c r="B1548" t="s">
        <v>2518</v>
      </c>
      <c r="C1548" t="s">
        <v>2557</v>
      </c>
      <c r="D1548">
        <v>2017</v>
      </c>
      <c r="E1548">
        <v>12</v>
      </c>
    </row>
    <row r="1549" spans="1:5" x14ac:dyDescent="0.25">
      <c r="A1549" t="s">
        <v>421</v>
      </c>
      <c r="B1549" t="s">
        <v>2518</v>
      </c>
      <c r="C1549" t="s">
        <v>2558</v>
      </c>
      <c r="D1549">
        <v>2017</v>
      </c>
      <c r="E1549">
        <v>32</v>
      </c>
    </row>
    <row r="1550" spans="1:5" x14ac:dyDescent="0.25">
      <c r="A1550" t="s">
        <v>421</v>
      </c>
      <c r="B1550" t="s">
        <v>2518</v>
      </c>
      <c r="C1550" t="s">
        <v>2515</v>
      </c>
      <c r="D1550">
        <v>2016</v>
      </c>
      <c r="E1550">
        <v>9</v>
      </c>
    </row>
    <row r="1551" spans="1:5" x14ac:dyDescent="0.25">
      <c r="A1551" t="s">
        <v>421</v>
      </c>
      <c r="B1551" t="s">
        <v>2518</v>
      </c>
      <c r="C1551" t="s">
        <v>80</v>
      </c>
      <c r="D1551">
        <v>2016</v>
      </c>
      <c r="E1551">
        <v>15</v>
      </c>
    </row>
    <row r="1552" spans="1:5" x14ac:dyDescent="0.25">
      <c r="A1552" t="s">
        <v>421</v>
      </c>
      <c r="B1552" t="s">
        <v>2518</v>
      </c>
      <c r="C1552" t="s">
        <v>2557</v>
      </c>
      <c r="D1552">
        <v>2016</v>
      </c>
      <c r="E1552">
        <v>12</v>
      </c>
    </row>
    <row r="1553" spans="1:5" x14ac:dyDescent="0.25">
      <c r="A1553" t="s">
        <v>421</v>
      </c>
      <c r="B1553" t="s">
        <v>2518</v>
      </c>
      <c r="C1553" t="s">
        <v>2558</v>
      </c>
      <c r="D1553">
        <v>2016</v>
      </c>
      <c r="E1553">
        <v>30</v>
      </c>
    </row>
    <row r="1554" spans="1:5" x14ac:dyDescent="0.25">
      <c r="A1554" t="s">
        <v>421</v>
      </c>
      <c r="B1554" t="s">
        <v>2518</v>
      </c>
      <c r="C1554" t="s">
        <v>80</v>
      </c>
      <c r="D1554">
        <v>2015</v>
      </c>
      <c r="E1554">
        <v>20</v>
      </c>
    </row>
    <row r="1555" spans="1:5" x14ac:dyDescent="0.25">
      <c r="A1555" t="s">
        <v>421</v>
      </c>
      <c r="B1555" t="s">
        <v>2518</v>
      </c>
      <c r="C1555" t="s">
        <v>2557</v>
      </c>
      <c r="D1555">
        <v>2015</v>
      </c>
      <c r="E1555">
        <v>10</v>
      </c>
    </row>
    <row r="1556" spans="1:5" x14ac:dyDescent="0.25">
      <c r="A1556" t="s">
        <v>421</v>
      </c>
      <c r="B1556" t="s">
        <v>2518</v>
      </c>
      <c r="C1556" t="s">
        <v>2558</v>
      </c>
      <c r="D1556">
        <v>2015</v>
      </c>
      <c r="E1556">
        <v>26</v>
      </c>
    </row>
    <row r="1557" spans="1:5" x14ac:dyDescent="0.25">
      <c r="A1557" t="s">
        <v>421</v>
      </c>
      <c r="B1557" t="s">
        <v>2518</v>
      </c>
      <c r="C1557" t="s">
        <v>80</v>
      </c>
      <c r="D1557">
        <v>2014</v>
      </c>
      <c r="E1557">
        <v>32</v>
      </c>
    </row>
    <row r="1558" spans="1:5" x14ac:dyDescent="0.25">
      <c r="A1558" t="s">
        <v>421</v>
      </c>
      <c r="B1558" t="s">
        <v>2518</v>
      </c>
      <c r="C1558" t="s">
        <v>2558</v>
      </c>
      <c r="D1558">
        <v>2014</v>
      </c>
      <c r="E1558">
        <v>26</v>
      </c>
    </row>
    <row r="1559" spans="1:5" x14ac:dyDescent="0.25">
      <c r="A1559" t="s">
        <v>421</v>
      </c>
      <c r="B1559" t="s">
        <v>2518</v>
      </c>
      <c r="C1559" t="s">
        <v>80</v>
      </c>
      <c r="D1559">
        <v>2013</v>
      </c>
      <c r="E1559">
        <v>31</v>
      </c>
    </row>
    <row r="1560" spans="1:5" x14ac:dyDescent="0.25">
      <c r="A1560" t="s">
        <v>421</v>
      </c>
      <c r="B1560" t="s">
        <v>2518</v>
      </c>
      <c r="C1560" t="s">
        <v>2558</v>
      </c>
      <c r="D1560">
        <v>2013</v>
      </c>
      <c r="E1560">
        <v>24</v>
      </c>
    </row>
    <row r="1561" spans="1:5" x14ac:dyDescent="0.25">
      <c r="A1561" t="s">
        <v>421</v>
      </c>
      <c r="B1561" t="s">
        <v>2518</v>
      </c>
      <c r="C1561" t="s">
        <v>80</v>
      </c>
      <c r="D1561">
        <v>2012</v>
      </c>
      <c r="E1561">
        <v>34</v>
      </c>
    </row>
    <row r="1562" spans="1:5" x14ac:dyDescent="0.25">
      <c r="A1562" t="s">
        <v>421</v>
      </c>
      <c r="B1562" t="s">
        <v>2518</v>
      </c>
      <c r="C1562" t="s">
        <v>2558</v>
      </c>
      <c r="D1562">
        <v>2012</v>
      </c>
      <c r="E1562">
        <v>29</v>
      </c>
    </row>
    <row r="1563" spans="1:5" x14ac:dyDescent="0.25">
      <c r="A1563" t="s">
        <v>421</v>
      </c>
      <c r="B1563" t="s">
        <v>2518</v>
      </c>
      <c r="C1563" t="s">
        <v>80</v>
      </c>
      <c r="D1563">
        <v>2011</v>
      </c>
      <c r="E1563">
        <v>35</v>
      </c>
    </row>
    <row r="1564" spans="1:5" x14ac:dyDescent="0.25">
      <c r="A1564" t="s">
        <v>421</v>
      </c>
      <c r="B1564" t="s">
        <v>2518</v>
      </c>
      <c r="C1564" t="s">
        <v>2558</v>
      </c>
      <c r="D1564">
        <v>2011</v>
      </c>
      <c r="E1564">
        <v>27</v>
      </c>
    </row>
    <row r="1565" spans="1:5" x14ac:dyDescent="0.25">
      <c r="A1565" t="s">
        <v>421</v>
      </c>
      <c r="B1565" t="s">
        <v>2518</v>
      </c>
      <c r="C1565" t="s">
        <v>80</v>
      </c>
      <c r="D1565">
        <v>2010</v>
      </c>
      <c r="E1565">
        <v>36</v>
      </c>
    </row>
    <row r="1566" spans="1:5" x14ac:dyDescent="0.25">
      <c r="A1566" t="s">
        <v>421</v>
      </c>
      <c r="B1566" t="s">
        <v>2518</v>
      </c>
      <c r="C1566" t="s">
        <v>2558</v>
      </c>
      <c r="D1566">
        <v>2010</v>
      </c>
      <c r="E1566">
        <v>20</v>
      </c>
    </row>
    <row r="1567" spans="1:5" x14ac:dyDescent="0.25">
      <c r="A1567" t="s">
        <v>421</v>
      </c>
      <c r="B1567" t="s">
        <v>2518</v>
      </c>
      <c r="C1567" t="s">
        <v>80</v>
      </c>
      <c r="D1567">
        <v>2009</v>
      </c>
      <c r="E1567">
        <v>34</v>
      </c>
    </row>
    <row r="1568" spans="1:5" x14ac:dyDescent="0.25">
      <c r="A1568" t="s">
        <v>421</v>
      </c>
      <c r="B1568" t="s">
        <v>2518</v>
      </c>
      <c r="C1568" t="s">
        <v>2558</v>
      </c>
      <c r="D1568">
        <v>2009</v>
      </c>
      <c r="E1568">
        <v>22</v>
      </c>
    </row>
    <row r="1569" spans="1:5" x14ac:dyDescent="0.25">
      <c r="A1569" t="s">
        <v>421</v>
      </c>
      <c r="B1569" t="s">
        <v>2518</v>
      </c>
      <c r="C1569" t="s">
        <v>80</v>
      </c>
      <c r="D1569">
        <v>2008</v>
      </c>
      <c r="E1569">
        <v>30</v>
      </c>
    </row>
    <row r="1570" spans="1:5" x14ac:dyDescent="0.25">
      <c r="A1570" t="s">
        <v>421</v>
      </c>
      <c r="B1570" t="s">
        <v>2518</v>
      </c>
      <c r="C1570" t="s">
        <v>2558</v>
      </c>
      <c r="D1570">
        <v>2008</v>
      </c>
      <c r="E1570">
        <v>28</v>
      </c>
    </row>
    <row r="1571" spans="1:5" x14ac:dyDescent="0.25">
      <c r="A1571" t="s">
        <v>422</v>
      </c>
      <c r="B1571" t="s">
        <v>2452</v>
      </c>
      <c r="C1571" t="s">
        <v>2559</v>
      </c>
      <c r="D1571">
        <v>2019</v>
      </c>
      <c r="E1571">
        <v>70</v>
      </c>
    </row>
    <row r="1572" spans="1:5" x14ac:dyDescent="0.25">
      <c r="A1572" t="s">
        <v>422</v>
      </c>
      <c r="B1572" t="s">
        <v>2452</v>
      </c>
      <c r="C1572" t="s">
        <v>2560</v>
      </c>
      <c r="D1572">
        <v>2018</v>
      </c>
      <c r="E1572">
        <v>1</v>
      </c>
    </row>
    <row r="1573" spans="1:5" x14ac:dyDescent="0.25">
      <c r="A1573" t="s">
        <v>422</v>
      </c>
      <c r="B1573" t="s">
        <v>2452</v>
      </c>
      <c r="C1573" t="s">
        <v>2559</v>
      </c>
      <c r="D1573">
        <v>2018</v>
      </c>
      <c r="E1573">
        <v>93</v>
      </c>
    </row>
    <row r="1574" spans="1:5" x14ac:dyDescent="0.25">
      <c r="A1574" t="s">
        <v>422</v>
      </c>
      <c r="B1574" t="s">
        <v>2452</v>
      </c>
      <c r="C1574" t="s">
        <v>2560</v>
      </c>
      <c r="D1574">
        <v>2017</v>
      </c>
      <c r="E1574">
        <v>4</v>
      </c>
    </row>
    <row r="1575" spans="1:5" x14ac:dyDescent="0.25">
      <c r="A1575" t="s">
        <v>422</v>
      </c>
      <c r="B1575" t="s">
        <v>2452</v>
      </c>
      <c r="C1575" t="s">
        <v>2559</v>
      </c>
      <c r="D1575">
        <v>2017</v>
      </c>
      <c r="E1575">
        <v>97</v>
      </c>
    </row>
    <row r="1576" spans="1:5" x14ac:dyDescent="0.25">
      <c r="A1576" t="s">
        <v>422</v>
      </c>
      <c r="B1576" t="s">
        <v>2452</v>
      </c>
      <c r="C1576" t="s">
        <v>2560</v>
      </c>
      <c r="D1576">
        <v>2016</v>
      </c>
      <c r="E1576">
        <v>3</v>
      </c>
    </row>
    <row r="1577" spans="1:5" x14ac:dyDescent="0.25">
      <c r="A1577" t="s">
        <v>422</v>
      </c>
      <c r="B1577" t="s">
        <v>2452</v>
      </c>
      <c r="C1577" t="s">
        <v>2559</v>
      </c>
      <c r="D1577">
        <v>2016</v>
      </c>
      <c r="E1577">
        <v>107</v>
      </c>
    </row>
    <row r="1578" spans="1:5" x14ac:dyDescent="0.25">
      <c r="A1578" t="s">
        <v>422</v>
      </c>
      <c r="B1578" t="s">
        <v>2452</v>
      </c>
      <c r="C1578" t="s">
        <v>2560</v>
      </c>
      <c r="D1578">
        <v>2015</v>
      </c>
      <c r="E1578">
        <v>3</v>
      </c>
    </row>
    <row r="1579" spans="1:5" x14ac:dyDescent="0.25">
      <c r="A1579" t="s">
        <v>422</v>
      </c>
      <c r="B1579" t="s">
        <v>2452</v>
      </c>
      <c r="C1579" t="s">
        <v>2559</v>
      </c>
      <c r="D1579">
        <v>2015</v>
      </c>
      <c r="E1579">
        <v>116</v>
      </c>
    </row>
    <row r="1580" spans="1:5" x14ac:dyDescent="0.25">
      <c r="A1580" t="s">
        <v>422</v>
      </c>
      <c r="B1580" t="s">
        <v>2452</v>
      </c>
      <c r="C1580" t="s">
        <v>2560</v>
      </c>
      <c r="D1580">
        <v>2014</v>
      </c>
      <c r="E1580">
        <v>7</v>
      </c>
    </row>
    <row r="1581" spans="1:5" x14ac:dyDescent="0.25">
      <c r="A1581" t="s">
        <v>422</v>
      </c>
      <c r="B1581" t="s">
        <v>2452</v>
      </c>
      <c r="C1581" t="s">
        <v>2559</v>
      </c>
      <c r="D1581">
        <v>2014</v>
      </c>
      <c r="E1581">
        <v>125</v>
      </c>
    </row>
    <row r="1582" spans="1:5" x14ac:dyDescent="0.25">
      <c r="A1582" t="s">
        <v>422</v>
      </c>
      <c r="B1582" t="s">
        <v>2452</v>
      </c>
      <c r="C1582" t="s">
        <v>2560</v>
      </c>
      <c r="D1582">
        <v>2013</v>
      </c>
      <c r="E1582">
        <v>14</v>
      </c>
    </row>
    <row r="1583" spans="1:5" x14ac:dyDescent="0.25">
      <c r="A1583" t="s">
        <v>422</v>
      </c>
      <c r="B1583" t="s">
        <v>2452</v>
      </c>
      <c r="C1583" t="s">
        <v>2559</v>
      </c>
      <c r="D1583">
        <v>2013</v>
      </c>
      <c r="E1583">
        <v>185</v>
      </c>
    </row>
    <row r="1584" spans="1:5" x14ac:dyDescent="0.25">
      <c r="A1584" t="s">
        <v>422</v>
      </c>
      <c r="B1584" t="s">
        <v>2452</v>
      </c>
      <c r="C1584" t="s">
        <v>2560</v>
      </c>
      <c r="D1584">
        <v>2012</v>
      </c>
      <c r="E1584">
        <v>6</v>
      </c>
    </row>
    <row r="1585" spans="1:5" x14ac:dyDescent="0.25">
      <c r="A1585" t="s">
        <v>422</v>
      </c>
      <c r="B1585" t="s">
        <v>2452</v>
      </c>
      <c r="C1585" t="s">
        <v>2559</v>
      </c>
      <c r="D1585">
        <v>2012</v>
      </c>
      <c r="E1585">
        <v>217</v>
      </c>
    </row>
    <row r="1586" spans="1:5" x14ac:dyDescent="0.25">
      <c r="A1586" t="s">
        <v>422</v>
      </c>
      <c r="B1586" t="s">
        <v>2452</v>
      </c>
      <c r="C1586" t="s">
        <v>2560</v>
      </c>
      <c r="D1586">
        <v>2011</v>
      </c>
      <c r="E1586">
        <v>15</v>
      </c>
    </row>
    <row r="1587" spans="1:5" x14ac:dyDescent="0.25">
      <c r="A1587" t="s">
        <v>422</v>
      </c>
      <c r="B1587" t="s">
        <v>2452</v>
      </c>
      <c r="C1587" t="s">
        <v>2559</v>
      </c>
      <c r="D1587">
        <v>2011</v>
      </c>
      <c r="E1587">
        <v>225</v>
      </c>
    </row>
    <row r="1588" spans="1:5" x14ac:dyDescent="0.25">
      <c r="A1588" t="s">
        <v>422</v>
      </c>
      <c r="B1588" t="s">
        <v>2452</v>
      </c>
      <c r="C1588" t="s">
        <v>2560</v>
      </c>
      <c r="D1588">
        <v>2010</v>
      </c>
      <c r="E1588">
        <v>9</v>
      </c>
    </row>
    <row r="1589" spans="1:5" x14ac:dyDescent="0.25">
      <c r="A1589" t="s">
        <v>422</v>
      </c>
      <c r="B1589" t="s">
        <v>2452</v>
      </c>
      <c r="C1589" t="s">
        <v>2559</v>
      </c>
      <c r="D1589">
        <v>2010</v>
      </c>
      <c r="E1589">
        <v>220</v>
      </c>
    </row>
    <row r="1590" spans="1:5" x14ac:dyDescent="0.25">
      <c r="A1590" t="s">
        <v>422</v>
      </c>
      <c r="B1590" t="s">
        <v>2452</v>
      </c>
      <c r="C1590" t="s">
        <v>2560</v>
      </c>
      <c r="D1590">
        <v>2009</v>
      </c>
      <c r="E1590">
        <v>16</v>
      </c>
    </row>
    <row r="1591" spans="1:5" x14ac:dyDescent="0.25">
      <c r="A1591" t="s">
        <v>422</v>
      </c>
      <c r="B1591" t="s">
        <v>2452</v>
      </c>
      <c r="C1591" t="s">
        <v>2559</v>
      </c>
      <c r="D1591">
        <v>2009</v>
      </c>
      <c r="E1591">
        <v>198</v>
      </c>
    </row>
    <row r="1592" spans="1:5" x14ac:dyDescent="0.25">
      <c r="A1592" t="s">
        <v>422</v>
      </c>
      <c r="B1592" t="s">
        <v>2452</v>
      </c>
      <c r="C1592" t="s">
        <v>2560</v>
      </c>
      <c r="D1592">
        <v>2008</v>
      </c>
      <c r="E1592">
        <v>21</v>
      </c>
    </row>
    <row r="1593" spans="1:5" x14ac:dyDescent="0.25">
      <c r="A1593" t="s">
        <v>422</v>
      </c>
      <c r="B1593" t="s">
        <v>2452</v>
      </c>
      <c r="C1593" t="s">
        <v>2559</v>
      </c>
      <c r="D1593">
        <v>2008</v>
      </c>
      <c r="E1593">
        <v>181</v>
      </c>
    </row>
    <row r="1594" spans="1:5" x14ac:dyDescent="0.25">
      <c r="A1594" t="s">
        <v>422</v>
      </c>
      <c r="B1594" t="s">
        <v>2464</v>
      </c>
      <c r="C1594" t="s">
        <v>2561</v>
      </c>
      <c r="D1594">
        <v>2019</v>
      </c>
      <c r="E1594">
        <v>2</v>
      </c>
    </row>
    <row r="1595" spans="1:5" x14ac:dyDescent="0.25">
      <c r="A1595" t="s">
        <v>422</v>
      </c>
      <c r="B1595" t="s">
        <v>2464</v>
      </c>
      <c r="C1595" t="s">
        <v>2562</v>
      </c>
      <c r="D1595">
        <v>2019</v>
      </c>
      <c r="E1595">
        <v>2</v>
      </c>
    </row>
    <row r="1596" spans="1:5" x14ac:dyDescent="0.25">
      <c r="A1596" t="s">
        <v>422</v>
      </c>
      <c r="B1596" t="s">
        <v>2464</v>
      </c>
      <c r="C1596" t="s">
        <v>103</v>
      </c>
      <c r="D1596">
        <v>2019</v>
      </c>
      <c r="E1596">
        <v>15</v>
      </c>
    </row>
    <row r="1597" spans="1:5" x14ac:dyDescent="0.25">
      <c r="A1597" t="s">
        <v>422</v>
      </c>
      <c r="B1597" t="s">
        <v>2464</v>
      </c>
      <c r="C1597" t="s">
        <v>2563</v>
      </c>
      <c r="D1597">
        <v>2019</v>
      </c>
      <c r="E1597">
        <v>2</v>
      </c>
    </row>
    <row r="1598" spans="1:5" x14ac:dyDescent="0.25">
      <c r="A1598" t="s">
        <v>422</v>
      </c>
      <c r="B1598" t="s">
        <v>2464</v>
      </c>
      <c r="C1598" t="s">
        <v>2564</v>
      </c>
      <c r="D1598">
        <v>2019</v>
      </c>
      <c r="E1598">
        <v>2</v>
      </c>
    </row>
    <row r="1599" spans="1:5" x14ac:dyDescent="0.25">
      <c r="A1599" t="s">
        <v>422</v>
      </c>
      <c r="B1599" t="s">
        <v>2464</v>
      </c>
      <c r="C1599" t="s">
        <v>2565</v>
      </c>
      <c r="D1599">
        <v>2019</v>
      </c>
      <c r="E1599">
        <v>2</v>
      </c>
    </row>
    <row r="1600" spans="1:5" x14ac:dyDescent="0.25">
      <c r="A1600" t="s">
        <v>422</v>
      </c>
      <c r="B1600" t="s">
        <v>2464</v>
      </c>
      <c r="C1600" t="s">
        <v>2561</v>
      </c>
      <c r="D1600">
        <v>2018</v>
      </c>
      <c r="E1600">
        <v>3</v>
      </c>
    </row>
    <row r="1601" spans="1:5" x14ac:dyDescent="0.25">
      <c r="A1601" t="s">
        <v>422</v>
      </c>
      <c r="B1601" t="s">
        <v>2464</v>
      </c>
      <c r="C1601" t="s">
        <v>103</v>
      </c>
      <c r="D1601">
        <v>2018</v>
      </c>
      <c r="E1601">
        <v>28</v>
      </c>
    </row>
    <row r="1602" spans="1:5" x14ac:dyDescent="0.25">
      <c r="A1602" t="s">
        <v>422</v>
      </c>
      <c r="B1602" t="s">
        <v>2464</v>
      </c>
      <c r="C1602" t="s">
        <v>2566</v>
      </c>
      <c r="D1602">
        <v>2018</v>
      </c>
      <c r="E1602">
        <v>6</v>
      </c>
    </row>
    <row r="1603" spans="1:5" x14ac:dyDescent="0.25">
      <c r="A1603" t="s">
        <v>422</v>
      </c>
      <c r="B1603" t="s">
        <v>2464</v>
      </c>
      <c r="C1603" t="s">
        <v>2564</v>
      </c>
      <c r="D1603">
        <v>2018</v>
      </c>
      <c r="E1603">
        <v>1</v>
      </c>
    </row>
    <row r="1604" spans="1:5" x14ac:dyDescent="0.25">
      <c r="A1604" t="s">
        <v>422</v>
      </c>
      <c r="B1604" t="s">
        <v>2464</v>
      </c>
      <c r="C1604" t="s">
        <v>2561</v>
      </c>
      <c r="D1604">
        <v>2017</v>
      </c>
      <c r="E1604">
        <v>3</v>
      </c>
    </row>
    <row r="1605" spans="1:5" x14ac:dyDescent="0.25">
      <c r="A1605" t="s">
        <v>422</v>
      </c>
      <c r="B1605" t="s">
        <v>2464</v>
      </c>
      <c r="C1605" t="s">
        <v>103</v>
      </c>
      <c r="D1605">
        <v>2017</v>
      </c>
      <c r="E1605">
        <v>49</v>
      </c>
    </row>
    <row r="1606" spans="1:5" x14ac:dyDescent="0.25">
      <c r="A1606" t="s">
        <v>422</v>
      </c>
      <c r="B1606" t="s">
        <v>2464</v>
      </c>
      <c r="C1606" t="s">
        <v>2567</v>
      </c>
      <c r="D1606">
        <v>2017</v>
      </c>
      <c r="E1606">
        <v>2</v>
      </c>
    </row>
    <row r="1607" spans="1:5" x14ac:dyDescent="0.25">
      <c r="A1607" t="s">
        <v>422</v>
      </c>
      <c r="B1607" t="s">
        <v>2464</v>
      </c>
      <c r="C1607" t="s">
        <v>2568</v>
      </c>
      <c r="D1607">
        <v>2017</v>
      </c>
      <c r="E1607">
        <v>13</v>
      </c>
    </row>
    <row r="1608" spans="1:5" x14ac:dyDescent="0.25">
      <c r="A1608" t="s">
        <v>422</v>
      </c>
      <c r="B1608" t="s">
        <v>2464</v>
      </c>
      <c r="C1608" t="s">
        <v>2569</v>
      </c>
      <c r="D1608">
        <v>2017</v>
      </c>
      <c r="E1608">
        <v>5</v>
      </c>
    </row>
    <row r="1609" spans="1:5" x14ac:dyDescent="0.25">
      <c r="A1609" t="s">
        <v>422</v>
      </c>
      <c r="B1609" t="s">
        <v>2464</v>
      </c>
      <c r="C1609" t="s">
        <v>103</v>
      </c>
      <c r="D1609">
        <v>2016</v>
      </c>
      <c r="E1609">
        <v>6</v>
      </c>
    </row>
    <row r="1610" spans="1:5" x14ac:dyDescent="0.25">
      <c r="A1610" t="s">
        <v>422</v>
      </c>
      <c r="B1610" t="s">
        <v>2464</v>
      </c>
      <c r="C1610" t="s">
        <v>2568</v>
      </c>
      <c r="D1610">
        <v>2016</v>
      </c>
      <c r="E1610">
        <v>4</v>
      </c>
    </row>
    <row r="1611" spans="1:5" x14ac:dyDescent="0.25">
      <c r="A1611" t="s">
        <v>422</v>
      </c>
      <c r="B1611" t="s">
        <v>2464</v>
      </c>
      <c r="C1611" t="s">
        <v>2569</v>
      </c>
      <c r="D1611">
        <v>2016</v>
      </c>
      <c r="E1611">
        <v>3</v>
      </c>
    </row>
    <row r="1612" spans="1:5" x14ac:dyDescent="0.25">
      <c r="A1612" t="s">
        <v>422</v>
      </c>
      <c r="B1612" t="s">
        <v>2464</v>
      </c>
      <c r="C1612" t="s">
        <v>103</v>
      </c>
      <c r="D1612">
        <v>2015</v>
      </c>
      <c r="E1612">
        <v>12</v>
      </c>
    </row>
    <row r="1613" spans="1:5" x14ac:dyDescent="0.25">
      <c r="A1613" t="s">
        <v>422</v>
      </c>
      <c r="B1613" t="s">
        <v>2464</v>
      </c>
      <c r="C1613" t="s">
        <v>2569</v>
      </c>
      <c r="D1613">
        <v>2015</v>
      </c>
      <c r="E1613">
        <v>12</v>
      </c>
    </row>
    <row r="1614" spans="1:5" x14ac:dyDescent="0.25">
      <c r="A1614" t="s">
        <v>422</v>
      </c>
      <c r="B1614" t="s">
        <v>2464</v>
      </c>
      <c r="C1614" t="s">
        <v>103</v>
      </c>
      <c r="D1614">
        <v>2014</v>
      </c>
      <c r="E1614">
        <v>11</v>
      </c>
    </row>
    <row r="1615" spans="1:5" x14ac:dyDescent="0.25">
      <c r="A1615" t="s">
        <v>422</v>
      </c>
      <c r="B1615" t="s">
        <v>2464</v>
      </c>
      <c r="C1615" t="s">
        <v>103</v>
      </c>
      <c r="D1615">
        <v>2013</v>
      </c>
      <c r="E1615">
        <v>12</v>
      </c>
    </row>
    <row r="1616" spans="1:5" x14ac:dyDescent="0.25">
      <c r="A1616" t="s">
        <v>422</v>
      </c>
      <c r="B1616" t="s">
        <v>2464</v>
      </c>
      <c r="C1616" t="s">
        <v>103</v>
      </c>
      <c r="D1616">
        <v>2012</v>
      </c>
      <c r="E1616">
        <v>8</v>
      </c>
    </row>
    <row r="1617" spans="1:5" x14ac:dyDescent="0.25">
      <c r="A1617" t="s">
        <v>422</v>
      </c>
      <c r="B1617" t="s">
        <v>2464</v>
      </c>
      <c r="C1617" t="s">
        <v>103</v>
      </c>
      <c r="D1617">
        <v>2011</v>
      </c>
      <c r="E1617">
        <v>5</v>
      </c>
    </row>
    <row r="1618" spans="1:5" x14ac:dyDescent="0.25">
      <c r="A1618" t="s">
        <v>422</v>
      </c>
      <c r="B1618" t="s">
        <v>2464</v>
      </c>
      <c r="C1618" t="s">
        <v>103</v>
      </c>
      <c r="D1618">
        <v>2010</v>
      </c>
      <c r="E1618">
        <v>4</v>
      </c>
    </row>
    <row r="1619" spans="1:5" x14ac:dyDescent="0.25">
      <c r="A1619" t="s">
        <v>422</v>
      </c>
      <c r="B1619" t="s">
        <v>2464</v>
      </c>
      <c r="C1619" t="s">
        <v>103</v>
      </c>
      <c r="D1619">
        <v>2009</v>
      </c>
      <c r="E1619">
        <v>3</v>
      </c>
    </row>
    <row r="1620" spans="1:5" x14ac:dyDescent="0.25">
      <c r="A1620" t="s">
        <v>422</v>
      </c>
      <c r="B1620" t="s">
        <v>2464</v>
      </c>
      <c r="C1620" t="s">
        <v>103</v>
      </c>
      <c r="D1620">
        <v>2008</v>
      </c>
      <c r="E1620">
        <v>3</v>
      </c>
    </row>
    <row r="1621" spans="1:5" x14ac:dyDescent="0.25">
      <c r="A1621" t="s">
        <v>422</v>
      </c>
      <c r="B1621" t="s">
        <v>2470</v>
      </c>
      <c r="C1621" t="s">
        <v>117</v>
      </c>
      <c r="D1621">
        <v>2019</v>
      </c>
      <c r="E1621">
        <v>147</v>
      </c>
    </row>
    <row r="1622" spans="1:5" x14ac:dyDescent="0.25">
      <c r="A1622" t="s">
        <v>422</v>
      </c>
      <c r="B1622" t="s">
        <v>2470</v>
      </c>
      <c r="C1622" t="s">
        <v>1571</v>
      </c>
      <c r="D1622">
        <v>2019</v>
      </c>
      <c r="E1622">
        <v>330</v>
      </c>
    </row>
    <row r="1623" spans="1:5" x14ac:dyDescent="0.25">
      <c r="A1623" t="s">
        <v>422</v>
      </c>
      <c r="B1623" t="s">
        <v>2470</v>
      </c>
      <c r="C1623" t="s">
        <v>2500</v>
      </c>
      <c r="D1623">
        <v>2019</v>
      </c>
      <c r="E1623">
        <v>74</v>
      </c>
    </row>
    <row r="1624" spans="1:5" x14ac:dyDescent="0.25">
      <c r="A1624" t="s">
        <v>422</v>
      </c>
      <c r="B1624" t="s">
        <v>2470</v>
      </c>
      <c r="C1624" t="s">
        <v>117</v>
      </c>
      <c r="D1624">
        <v>2018</v>
      </c>
      <c r="E1624">
        <v>165</v>
      </c>
    </row>
    <row r="1625" spans="1:5" x14ac:dyDescent="0.25">
      <c r="A1625" t="s">
        <v>422</v>
      </c>
      <c r="B1625" t="s">
        <v>2470</v>
      </c>
      <c r="C1625" t="s">
        <v>117</v>
      </c>
      <c r="D1625">
        <v>2017</v>
      </c>
      <c r="E1625">
        <v>189</v>
      </c>
    </row>
    <row r="1626" spans="1:5" x14ac:dyDescent="0.25">
      <c r="A1626" t="s">
        <v>422</v>
      </c>
      <c r="B1626" t="s">
        <v>2470</v>
      </c>
      <c r="C1626" t="s">
        <v>117</v>
      </c>
      <c r="D1626">
        <v>2016</v>
      </c>
      <c r="E1626">
        <v>192</v>
      </c>
    </row>
    <row r="1627" spans="1:5" x14ac:dyDescent="0.25">
      <c r="A1627" t="s">
        <v>422</v>
      </c>
      <c r="B1627" t="s">
        <v>2470</v>
      </c>
      <c r="C1627" t="s">
        <v>117</v>
      </c>
      <c r="D1627">
        <v>2015</v>
      </c>
      <c r="E1627">
        <v>196</v>
      </c>
    </row>
    <row r="1628" spans="1:5" x14ac:dyDescent="0.25">
      <c r="A1628" t="s">
        <v>422</v>
      </c>
      <c r="B1628" t="s">
        <v>2470</v>
      </c>
      <c r="C1628" t="s">
        <v>117</v>
      </c>
      <c r="D1628">
        <v>2014</v>
      </c>
      <c r="E1628">
        <v>217</v>
      </c>
    </row>
    <row r="1629" spans="1:5" x14ac:dyDescent="0.25">
      <c r="A1629" t="s">
        <v>422</v>
      </c>
      <c r="B1629" t="s">
        <v>2470</v>
      </c>
      <c r="C1629" t="s">
        <v>117</v>
      </c>
      <c r="D1629">
        <v>2013</v>
      </c>
      <c r="E1629">
        <v>237</v>
      </c>
    </row>
    <row r="1630" spans="1:5" x14ac:dyDescent="0.25">
      <c r="A1630" t="s">
        <v>422</v>
      </c>
      <c r="B1630" t="s">
        <v>2470</v>
      </c>
      <c r="C1630" t="s">
        <v>117</v>
      </c>
      <c r="D1630">
        <v>2012</v>
      </c>
      <c r="E1630">
        <v>248</v>
      </c>
    </row>
    <row r="1631" spans="1:5" x14ac:dyDescent="0.25">
      <c r="A1631" t="s">
        <v>422</v>
      </c>
      <c r="B1631" t="s">
        <v>2470</v>
      </c>
      <c r="C1631" t="s">
        <v>117</v>
      </c>
      <c r="D1631">
        <v>2011</v>
      </c>
      <c r="E1631">
        <v>236</v>
      </c>
    </row>
    <row r="1632" spans="1:5" x14ac:dyDescent="0.25">
      <c r="A1632" t="s">
        <v>422</v>
      </c>
      <c r="B1632" t="s">
        <v>2470</v>
      </c>
      <c r="C1632" t="s">
        <v>117</v>
      </c>
      <c r="D1632">
        <v>2010</v>
      </c>
      <c r="E1632">
        <v>215</v>
      </c>
    </row>
    <row r="1633" spans="1:5" x14ac:dyDescent="0.25">
      <c r="A1633" t="s">
        <v>422</v>
      </c>
      <c r="B1633" t="s">
        <v>2470</v>
      </c>
      <c r="C1633" t="s">
        <v>117</v>
      </c>
      <c r="D1633">
        <v>2009</v>
      </c>
      <c r="E1633">
        <v>192</v>
      </c>
    </row>
    <row r="1634" spans="1:5" x14ac:dyDescent="0.25">
      <c r="A1634" t="s">
        <v>422</v>
      </c>
      <c r="B1634" t="s">
        <v>2470</v>
      </c>
      <c r="C1634" t="s">
        <v>115</v>
      </c>
      <c r="D1634">
        <v>2009</v>
      </c>
      <c r="E1634">
        <v>1</v>
      </c>
    </row>
    <row r="1635" spans="1:5" x14ac:dyDescent="0.25">
      <c r="A1635" t="s">
        <v>422</v>
      </c>
      <c r="B1635" t="s">
        <v>2470</v>
      </c>
      <c r="C1635" t="s">
        <v>117</v>
      </c>
      <c r="D1635">
        <v>2008</v>
      </c>
      <c r="E1635">
        <v>167</v>
      </c>
    </row>
    <row r="1636" spans="1:5" x14ac:dyDescent="0.25">
      <c r="A1636" t="s">
        <v>422</v>
      </c>
      <c r="B1636" t="s">
        <v>2505</v>
      </c>
      <c r="C1636" t="s">
        <v>2545</v>
      </c>
      <c r="D1636">
        <v>2019</v>
      </c>
      <c r="E1636">
        <v>69</v>
      </c>
    </row>
    <row r="1637" spans="1:5" x14ac:dyDescent="0.25">
      <c r="A1637" t="s">
        <v>422</v>
      </c>
      <c r="B1637" t="s">
        <v>2505</v>
      </c>
      <c r="C1637" t="s">
        <v>117</v>
      </c>
      <c r="D1637">
        <v>2019</v>
      </c>
      <c r="E1637">
        <v>61</v>
      </c>
    </row>
    <row r="1638" spans="1:5" x14ac:dyDescent="0.25">
      <c r="A1638" t="s">
        <v>422</v>
      </c>
      <c r="B1638" t="s">
        <v>2505</v>
      </c>
      <c r="C1638" t="s">
        <v>103</v>
      </c>
      <c r="D1638">
        <v>2019</v>
      </c>
      <c r="E1638">
        <v>54</v>
      </c>
    </row>
    <row r="1639" spans="1:5" x14ac:dyDescent="0.25">
      <c r="A1639" t="s">
        <v>422</v>
      </c>
      <c r="B1639" t="s">
        <v>2505</v>
      </c>
      <c r="C1639" t="s">
        <v>2570</v>
      </c>
      <c r="D1639">
        <v>2019</v>
      </c>
      <c r="E1639">
        <v>1</v>
      </c>
    </row>
    <row r="1640" spans="1:5" x14ac:dyDescent="0.25">
      <c r="A1640" t="s">
        <v>422</v>
      </c>
      <c r="B1640" t="s">
        <v>2505</v>
      </c>
      <c r="C1640" t="s">
        <v>1571</v>
      </c>
      <c r="D1640">
        <v>2019</v>
      </c>
      <c r="E1640">
        <v>18</v>
      </c>
    </row>
    <row r="1641" spans="1:5" x14ac:dyDescent="0.25">
      <c r="A1641" t="s">
        <v>422</v>
      </c>
      <c r="B1641" t="s">
        <v>2505</v>
      </c>
      <c r="C1641" t="s">
        <v>106</v>
      </c>
      <c r="D1641">
        <v>2019</v>
      </c>
      <c r="E1641">
        <v>20</v>
      </c>
    </row>
    <row r="1642" spans="1:5" x14ac:dyDescent="0.25">
      <c r="A1642" t="s">
        <v>422</v>
      </c>
      <c r="B1642" t="s">
        <v>2505</v>
      </c>
      <c r="C1642" t="s">
        <v>117</v>
      </c>
      <c r="D1642">
        <v>2018</v>
      </c>
      <c r="E1642">
        <v>62</v>
      </c>
    </row>
    <row r="1643" spans="1:5" x14ac:dyDescent="0.25">
      <c r="A1643" t="s">
        <v>422</v>
      </c>
      <c r="B1643" t="s">
        <v>2505</v>
      </c>
      <c r="C1643" t="s">
        <v>103</v>
      </c>
      <c r="D1643">
        <v>2018</v>
      </c>
      <c r="E1643">
        <v>55</v>
      </c>
    </row>
    <row r="1644" spans="1:5" x14ac:dyDescent="0.25">
      <c r="A1644" t="s">
        <v>422</v>
      </c>
      <c r="B1644" t="s">
        <v>2505</v>
      </c>
      <c r="C1644" t="s">
        <v>2570</v>
      </c>
      <c r="D1644">
        <v>2018</v>
      </c>
      <c r="E1644">
        <v>4</v>
      </c>
    </row>
    <row r="1645" spans="1:5" x14ac:dyDescent="0.25">
      <c r="A1645" t="s">
        <v>422</v>
      </c>
      <c r="B1645" t="s">
        <v>2505</v>
      </c>
      <c r="C1645" t="s">
        <v>117</v>
      </c>
      <c r="D1645">
        <v>2017</v>
      </c>
      <c r="E1645">
        <v>68</v>
      </c>
    </row>
    <row r="1646" spans="1:5" x14ac:dyDescent="0.25">
      <c r="A1646" t="s">
        <v>422</v>
      </c>
      <c r="B1646" t="s">
        <v>2505</v>
      </c>
      <c r="C1646" t="s">
        <v>103</v>
      </c>
      <c r="D1646">
        <v>2017</v>
      </c>
      <c r="E1646">
        <v>26</v>
      </c>
    </row>
    <row r="1647" spans="1:5" x14ac:dyDescent="0.25">
      <c r="A1647" t="s">
        <v>422</v>
      </c>
      <c r="B1647" t="s">
        <v>2505</v>
      </c>
      <c r="C1647" t="s">
        <v>2571</v>
      </c>
      <c r="D1647">
        <v>2017</v>
      </c>
      <c r="E1647">
        <v>1</v>
      </c>
    </row>
    <row r="1648" spans="1:5" x14ac:dyDescent="0.25">
      <c r="A1648" t="s">
        <v>422</v>
      </c>
      <c r="B1648" t="s">
        <v>2505</v>
      </c>
      <c r="C1648" t="s">
        <v>2570</v>
      </c>
      <c r="D1648">
        <v>2017</v>
      </c>
      <c r="E1648">
        <v>3</v>
      </c>
    </row>
    <row r="1649" spans="1:5" x14ac:dyDescent="0.25">
      <c r="A1649" t="s">
        <v>422</v>
      </c>
      <c r="B1649" t="s">
        <v>2505</v>
      </c>
      <c r="C1649" t="s">
        <v>117</v>
      </c>
      <c r="D1649">
        <v>2016</v>
      </c>
      <c r="E1649">
        <v>69</v>
      </c>
    </row>
    <row r="1650" spans="1:5" x14ac:dyDescent="0.25">
      <c r="A1650" t="s">
        <v>422</v>
      </c>
      <c r="B1650" t="s">
        <v>2505</v>
      </c>
      <c r="C1650" t="s">
        <v>103</v>
      </c>
      <c r="D1650">
        <v>2016</v>
      </c>
      <c r="E1650">
        <v>31</v>
      </c>
    </row>
    <row r="1651" spans="1:5" x14ac:dyDescent="0.25">
      <c r="A1651" t="s">
        <v>422</v>
      </c>
      <c r="B1651" t="s">
        <v>2505</v>
      </c>
      <c r="C1651" t="s">
        <v>2571</v>
      </c>
      <c r="D1651">
        <v>2016</v>
      </c>
      <c r="E1651">
        <v>1</v>
      </c>
    </row>
    <row r="1652" spans="1:5" x14ac:dyDescent="0.25">
      <c r="A1652" t="s">
        <v>422</v>
      </c>
      <c r="B1652" t="s">
        <v>2505</v>
      </c>
      <c r="C1652" t="s">
        <v>117</v>
      </c>
      <c r="D1652">
        <v>2015</v>
      </c>
      <c r="E1652">
        <v>66</v>
      </c>
    </row>
    <row r="1653" spans="1:5" x14ac:dyDescent="0.25">
      <c r="A1653" t="s">
        <v>422</v>
      </c>
      <c r="B1653" t="s">
        <v>2505</v>
      </c>
      <c r="C1653" t="s">
        <v>103</v>
      </c>
      <c r="D1653">
        <v>2015</v>
      </c>
      <c r="E1653">
        <v>27</v>
      </c>
    </row>
    <row r="1654" spans="1:5" x14ac:dyDescent="0.25">
      <c r="A1654" t="s">
        <v>422</v>
      </c>
      <c r="B1654" t="s">
        <v>2505</v>
      </c>
      <c r="C1654" t="s">
        <v>2571</v>
      </c>
      <c r="D1654">
        <v>2015</v>
      </c>
      <c r="E1654">
        <v>1</v>
      </c>
    </row>
    <row r="1655" spans="1:5" x14ac:dyDescent="0.25">
      <c r="A1655" t="s">
        <v>422</v>
      </c>
      <c r="B1655" t="s">
        <v>2505</v>
      </c>
      <c r="C1655" t="s">
        <v>2572</v>
      </c>
      <c r="D1655">
        <v>2015</v>
      </c>
      <c r="E1655">
        <v>1</v>
      </c>
    </row>
    <row r="1656" spans="1:5" x14ac:dyDescent="0.25">
      <c r="A1656" t="s">
        <v>422</v>
      </c>
      <c r="B1656" t="s">
        <v>2505</v>
      </c>
      <c r="C1656" t="s">
        <v>117</v>
      </c>
      <c r="D1656">
        <v>2014</v>
      </c>
      <c r="E1656">
        <v>61</v>
      </c>
    </row>
    <row r="1657" spans="1:5" x14ac:dyDescent="0.25">
      <c r="A1657" t="s">
        <v>422</v>
      </c>
      <c r="B1657" t="s">
        <v>2505</v>
      </c>
      <c r="C1657" t="s">
        <v>103</v>
      </c>
      <c r="D1657">
        <v>2014</v>
      </c>
      <c r="E1657">
        <v>29</v>
      </c>
    </row>
    <row r="1658" spans="1:5" x14ac:dyDescent="0.25">
      <c r="A1658" t="s">
        <v>422</v>
      </c>
      <c r="B1658" t="s">
        <v>2505</v>
      </c>
      <c r="C1658" t="s">
        <v>2571</v>
      </c>
      <c r="D1658">
        <v>2014</v>
      </c>
      <c r="E1658">
        <v>1</v>
      </c>
    </row>
    <row r="1659" spans="1:5" x14ac:dyDescent="0.25">
      <c r="A1659" t="s">
        <v>422</v>
      </c>
      <c r="B1659" t="s">
        <v>2505</v>
      </c>
      <c r="C1659" t="s">
        <v>117</v>
      </c>
      <c r="D1659">
        <v>2013</v>
      </c>
      <c r="E1659">
        <v>58</v>
      </c>
    </row>
    <row r="1660" spans="1:5" x14ac:dyDescent="0.25">
      <c r="A1660" t="s">
        <v>422</v>
      </c>
      <c r="B1660" t="s">
        <v>2505</v>
      </c>
      <c r="C1660" t="s">
        <v>103</v>
      </c>
      <c r="D1660">
        <v>2013</v>
      </c>
      <c r="E1660">
        <v>29</v>
      </c>
    </row>
    <row r="1661" spans="1:5" x14ac:dyDescent="0.25">
      <c r="A1661" t="s">
        <v>422</v>
      </c>
      <c r="B1661" t="s">
        <v>2505</v>
      </c>
      <c r="C1661" t="s">
        <v>2478</v>
      </c>
      <c r="D1661">
        <v>2013</v>
      </c>
      <c r="E1661">
        <v>1</v>
      </c>
    </row>
    <row r="1662" spans="1:5" x14ac:dyDescent="0.25">
      <c r="A1662" t="s">
        <v>422</v>
      </c>
      <c r="B1662" t="s">
        <v>2505</v>
      </c>
      <c r="C1662" t="s">
        <v>2573</v>
      </c>
      <c r="D1662">
        <v>2012</v>
      </c>
      <c r="E1662">
        <v>1</v>
      </c>
    </row>
    <row r="1663" spans="1:5" x14ac:dyDescent="0.25">
      <c r="A1663" t="s">
        <v>422</v>
      </c>
      <c r="B1663" t="s">
        <v>2505</v>
      </c>
      <c r="C1663" t="s">
        <v>117</v>
      </c>
      <c r="D1663">
        <v>2012</v>
      </c>
      <c r="E1663">
        <v>65</v>
      </c>
    </row>
    <row r="1664" spans="1:5" x14ac:dyDescent="0.25">
      <c r="A1664" t="s">
        <v>422</v>
      </c>
      <c r="B1664" t="s">
        <v>2505</v>
      </c>
      <c r="C1664" t="s">
        <v>103</v>
      </c>
      <c r="D1664">
        <v>2012</v>
      </c>
      <c r="E1664">
        <v>28</v>
      </c>
    </row>
    <row r="1665" spans="1:5" x14ac:dyDescent="0.25">
      <c r="A1665" t="s">
        <v>422</v>
      </c>
      <c r="B1665" t="s">
        <v>2505</v>
      </c>
      <c r="C1665" t="s">
        <v>2571</v>
      </c>
      <c r="D1665">
        <v>2012</v>
      </c>
      <c r="E1665">
        <v>1</v>
      </c>
    </row>
    <row r="1666" spans="1:5" x14ac:dyDescent="0.25">
      <c r="A1666" t="s">
        <v>422</v>
      </c>
      <c r="B1666" t="s">
        <v>2505</v>
      </c>
      <c r="C1666" t="s">
        <v>2478</v>
      </c>
      <c r="D1666">
        <v>2012</v>
      </c>
      <c r="E1666">
        <v>1</v>
      </c>
    </row>
    <row r="1667" spans="1:5" x14ac:dyDescent="0.25">
      <c r="A1667" t="s">
        <v>422</v>
      </c>
      <c r="B1667" t="s">
        <v>2505</v>
      </c>
      <c r="C1667" t="s">
        <v>2573</v>
      </c>
      <c r="D1667">
        <v>2011</v>
      </c>
      <c r="E1667">
        <v>1</v>
      </c>
    </row>
    <row r="1668" spans="1:5" x14ac:dyDescent="0.25">
      <c r="A1668" t="s">
        <v>422</v>
      </c>
      <c r="B1668" t="s">
        <v>2505</v>
      </c>
      <c r="C1668" t="s">
        <v>117</v>
      </c>
      <c r="D1668">
        <v>2011</v>
      </c>
      <c r="E1668">
        <v>66</v>
      </c>
    </row>
    <row r="1669" spans="1:5" x14ac:dyDescent="0.25">
      <c r="A1669" t="s">
        <v>422</v>
      </c>
      <c r="B1669" t="s">
        <v>2505</v>
      </c>
      <c r="C1669" t="s">
        <v>103</v>
      </c>
      <c r="D1669">
        <v>2011</v>
      </c>
      <c r="E1669">
        <v>29</v>
      </c>
    </row>
    <row r="1670" spans="1:5" x14ac:dyDescent="0.25">
      <c r="A1670" t="s">
        <v>422</v>
      </c>
      <c r="B1670" t="s">
        <v>2505</v>
      </c>
      <c r="C1670" t="s">
        <v>2571</v>
      </c>
      <c r="D1670">
        <v>2011</v>
      </c>
      <c r="E1670">
        <v>1</v>
      </c>
    </row>
    <row r="1671" spans="1:5" x14ac:dyDescent="0.25">
      <c r="A1671" t="s">
        <v>422</v>
      </c>
      <c r="B1671" t="s">
        <v>2505</v>
      </c>
      <c r="C1671" t="s">
        <v>2478</v>
      </c>
      <c r="D1671">
        <v>2011</v>
      </c>
      <c r="E1671">
        <v>1</v>
      </c>
    </row>
    <row r="1672" spans="1:5" x14ac:dyDescent="0.25">
      <c r="A1672" t="s">
        <v>422</v>
      </c>
      <c r="B1672" t="s">
        <v>2505</v>
      </c>
      <c r="C1672" t="s">
        <v>2573</v>
      </c>
      <c r="D1672">
        <v>2010</v>
      </c>
      <c r="E1672">
        <v>1</v>
      </c>
    </row>
    <row r="1673" spans="1:5" x14ac:dyDescent="0.25">
      <c r="A1673" t="s">
        <v>422</v>
      </c>
      <c r="B1673" t="s">
        <v>2505</v>
      </c>
      <c r="C1673" t="s">
        <v>117</v>
      </c>
      <c r="D1673">
        <v>2010</v>
      </c>
      <c r="E1673">
        <v>64</v>
      </c>
    </row>
    <row r="1674" spans="1:5" x14ac:dyDescent="0.25">
      <c r="A1674" t="s">
        <v>422</v>
      </c>
      <c r="B1674" t="s">
        <v>2505</v>
      </c>
      <c r="C1674" t="s">
        <v>103</v>
      </c>
      <c r="D1674">
        <v>2010</v>
      </c>
      <c r="E1674">
        <v>29</v>
      </c>
    </row>
    <row r="1675" spans="1:5" x14ac:dyDescent="0.25">
      <c r="A1675" t="s">
        <v>422</v>
      </c>
      <c r="B1675" t="s">
        <v>2505</v>
      </c>
      <c r="C1675" t="s">
        <v>2572</v>
      </c>
      <c r="D1675">
        <v>2010</v>
      </c>
      <c r="E1675">
        <v>1</v>
      </c>
    </row>
    <row r="1676" spans="1:5" x14ac:dyDescent="0.25">
      <c r="A1676" t="s">
        <v>422</v>
      </c>
      <c r="B1676" t="s">
        <v>2505</v>
      </c>
      <c r="C1676" t="s">
        <v>117</v>
      </c>
      <c r="D1676">
        <v>2009</v>
      </c>
      <c r="E1676">
        <v>52</v>
      </c>
    </row>
    <row r="1677" spans="1:5" x14ac:dyDescent="0.25">
      <c r="A1677" t="s">
        <v>422</v>
      </c>
      <c r="B1677" t="s">
        <v>2505</v>
      </c>
      <c r="C1677" t="s">
        <v>103</v>
      </c>
      <c r="D1677">
        <v>2009</v>
      </c>
      <c r="E1677">
        <v>30</v>
      </c>
    </row>
    <row r="1678" spans="1:5" x14ac:dyDescent="0.25">
      <c r="A1678" t="s">
        <v>422</v>
      </c>
      <c r="B1678" t="s">
        <v>2505</v>
      </c>
      <c r="C1678" t="s">
        <v>117</v>
      </c>
      <c r="D1678">
        <v>2008</v>
      </c>
      <c r="E1678">
        <v>61</v>
      </c>
    </row>
    <row r="1679" spans="1:5" x14ac:dyDescent="0.25">
      <c r="A1679" t="s">
        <v>422</v>
      </c>
      <c r="B1679" t="s">
        <v>2505</v>
      </c>
      <c r="C1679" t="s">
        <v>103</v>
      </c>
      <c r="D1679">
        <v>2008</v>
      </c>
      <c r="E1679">
        <v>24</v>
      </c>
    </row>
    <row r="1680" spans="1:5" x14ac:dyDescent="0.25">
      <c r="A1680" t="s">
        <v>422</v>
      </c>
      <c r="B1680" t="s">
        <v>2518</v>
      </c>
      <c r="C1680" t="s">
        <v>2573</v>
      </c>
      <c r="D1680">
        <v>2019</v>
      </c>
      <c r="E1680">
        <v>5</v>
      </c>
    </row>
    <row r="1681" spans="1:5" x14ac:dyDescent="0.25">
      <c r="A1681" t="s">
        <v>422</v>
      </c>
      <c r="B1681" t="s">
        <v>2518</v>
      </c>
      <c r="C1681" t="s">
        <v>2574</v>
      </c>
      <c r="D1681">
        <v>2019</v>
      </c>
      <c r="E1681">
        <v>164</v>
      </c>
    </row>
    <row r="1682" spans="1:5" x14ac:dyDescent="0.25">
      <c r="A1682" t="s">
        <v>422</v>
      </c>
      <c r="B1682" t="s">
        <v>2518</v>
      </c>
      <c r="C1682" t="s">
        <v>2575</v>
      </c>
      <c r="D1682">
        <v>2019</v>
      </c>
      <c r="E1682">
        <v>619</v>
      </c>
    </row>
    <row r="1683" spans="1:5" x14ac:dyDescent="0.25">
      <c r="A1683" t="s">
        <v>422</v>
      </c>
      <c r="B1683" t="s">
        <v>2518</v>
      </c>
      <c r="C1683" t="s">
        <v>2576</v>
      </c>
      <c r="D1683">
        <v>2019</v>
      </c>
      <c r="E1683">
        <v>2</v>
      </c>
    </row>
    <row r="1684" spans="1:5" x14ac:dyDescent="0.25">
      <c r="A1684" t="s">
        <v>422</v>
      </c>
      <c r="B1684" t="s">
        <v>2518</v>
      </c>
      <c r="C1684" t="s">
        <v>103</v>
      </c>
      <c r="D1684">
        <v>2019</v>
      </c>
      <c r="E1684">
        <v>12</v>
      </c>
    </row>
    <row r="1685" spans="1:5" x14ac:dyDescent="0.25">
      <c r="A1685" t="s">
        <v>422</v>
      </c>
      <c r="B1685" t="s">
        <v>2518</v>
      </c>
      <c r="C1685" t="s">
        <v>115</v>
      </c>
      <c r="D1685">
        <v>2019</v>
      </c>
      <c r="E1685">
        <v>104</v>
      </c>
    </row>
    <row r="1686" spans="1:5" x14ac:dyDescent="0.25">
      <c r="A1686" t="s">
        <v>422</v>
      </c>
      <c r="B1686" t="s">
        <v>2518</v>
      </c>
      <c r="C1686" t="s">
        <v>110</v>
      </c>
      <c r="D1686">
        <v>2019</v>
      </c>
      <c r="E1686">
        <v>227</v>
      </c>
    </row>
    <row r="1687" spans="1:5" x14ac:dyDescent="0.25">
      <c r="A1687" t="s">
        <v>422</v>
      </c>
      <c r="B1687" t="s">
        <v>2518</v>
      </c>
      <c r="C1687" t="s">
        <v>2570</v>
      </c>
      <c r="D1687">
        <v>2019</v>
      </c>
      <c r="E1687">
        <v>5</v>
      </c>
    </row>
    <row r="1688" spans="1:5" x14ac:dyDescent="0.25">
      <c r="A1688" t="s">
        <v>422</v>
      </c>
      <c r="B1688" t="s">
        <v>2518</v>
      </c>
      <c r="C1688" t="s">
        <v>2478</v>
      </c>
      <c r="D1688">
        <v>2019</v>
      </c>
      <c r="E1688">
        <v>2</v>
      </c>
    </row>
    <row r="1689" spans="1:5" x14ac:dyDescent="0.25">
      <c r="A1689" t="s">
        <v>422</v>
      </c>
      <c r="B1689" t="s">
        <v>2518</v>
      </c>
      <c r="C1689" t="s">
        <v>2572</v>
      </c>
      <c r="D1689">
        <v>2019</v>
      </c>
      <c r="E1689">
        <v>3</v>
      </c>
    </row>
    <row r="1690" spans="1:5" x14ac:dyDescent="0.25">
      <c r="A1690" t="s">
        <v>422</v>
      </c>
      <c r="B1690" t="s">
        <v>2518</v>
      </c>
      <c r="C1690" t="s">
        <v>2577</v>
      </c>
      <c r="D1690">
        <v>2019</v>
      </c>
      <c r="E1690">
        <v>4</v>
      </c>
    </row>
    <row r="1691" spans="1:5" x14ac:dyDescent="0.25">
      <c r="A1691" t="s">
        <v>422</v>
      </c>
      <c r="B1691" t="s">
        <v>2518</v>
      </c>
      <c r="C1691" t="s">
        <v>2573</v>
      </c>
      <c r="D1691">
        <v>2018</v>
      </c>
      <c r="E1691">
        <v>7</v>
      </c>
    </row>
    <row r="1692" spans="1:5" x14ac:dyDescent="0.25">
      <c r="A1692" t="s">
        <v>422</v>
      </c>
      <c r="B1692" t="s">
        <v>2518</v>
      </c>
      <c r="C1692" t="s">
        <v>2574</v>
      </c>
      <c r="D1692">
        <v>2018</v>
      </c>
      <c r="E1692">
        <v>129</v>
      </c>
    </row>
    <row r="1693" spans="1:5" x14ac:dyDescent="0.25">
      <c r="A1693" t="s">
        <v>422</v>
      </c>
      <c r="B1693" t="s">
        <v>2518</v>
      </c>
      <c r="C1693" t="s">
        <v>2575</v>
      </c>
      <c r="D1693">
        <v>2018</v>
      </c>
      <c r="E1693">
        <v>502</v>
      </c>
    </row>
    <row r="1694" spans="1:5" x14ac:dyDescent="0.25">
      <c r="A1694" t="s">
        <v>422</v>
      </c>
      <c r="B1694" t="s">
        <v>2518</v>
      </c>
      <c r="C1694" t="s">
        <v>103</v>
      </c>
      <c r="D1694">
        <v>2018</v>
      </c>
      <c r="E1694">
        <v>9</v>
      </c>
    </row>
    <row r="1695" spans="1:5" x14ac:dyDescent="0.25">
      <c r="A1695" t="s">
        <v>422</v>
      </c>
      <c r="B1695" t="s">
        <v>2518</v>
      </c>
      <c r="C1695" t="s">
        <v>115</v>
      </c>
      <c r="D1695">
        <v>2018</v>
      </c>
      <c r="E1695">
        <v>105</v>
      </c>
    </row>
    <row r="1696" spans="1:5" x14ac:dyDescent="0.25">
      <c r="A1696" t="s">
        <v>422</v>
      </c>
      <c r="B1696" t="s">
        <v>2518</v>
      </c>
      <c r="C1696" t="s">
        <v>110</v>
      </c>
      <c r="D1696">
        <v>2018</v>
      </c>
      <c r="E1696">
        <v>239</v>
      </c>
    </row>
    <row r="1697" spans="1:5" x14ac:dyDescent="0.25">
      <c r="A1697" t="s">
        <v>422</v>
      </c>
      <c r="B1697" t="s">
        <v>2518</v>
      </c>
      <c r="C1697" t="s">
        <v>2570</v>
      </c>
      <c r="D1697">
        <v>2018</v>
      </c>
      <c r="E1697">
        <v>1</v>
      </c>
    </row>
    <row r="1698" spans="1:5" x14ac:dyDescent="0.25">
      <c r="A1698" t="s">
        <v>422</v>
      </c>
      <c r="B1698" t="s">
        <v>2518</v>
      </c>
      <c r="C1698" t="s">
        <v>2478</v>
      </c>
      <c r="D1698">
        <v>2018</v>
      </c>
      <c r="E1698">
        <v>4</v>
      </c>
    </row>
    <row r="1699" spans="1:5" x14ac:dyDescent="0.25">
      <c r="A1699" t="s">
        <v>422</v>
      </c>
      <c r="B1699" t="s">
        <v>2518</v>
      </c>
      <c r="C1699" t="s">
        <v>2572</v>
      </c>
      <c r="D1699">
        <v>2018</v>
      </c>
      <c r="E1699">
        <v>2</v>
      </c>
    </row>
    <row r="1700" spans="1:5" x14ac:dyDescent="0.25">
      <c r="A1700" t="s">
        <v>422</v>
      </c>
      <c r="B1700" t="s">
        <v>2518</v>
      </c>
      <c r="C1700" t="s">
        <v>2577</v>
      </c>
      <c r="D1700">
        <v>2018</v>
      </c>
      <c r="E1700">
        <v>5</v>
      </c>
    </row>
    <row r="1701" spans="1:5" x14ac:dyDescent="0.25">
      <c r="A1701" t="s">
        <v>422</v>
      </c>
      <c r="B1701" t="s">
        <v>2518</v>
      </c>
      <c r="C1701" t="s">
        <v>2573</v>
      </c>
      <c r="D1701">
        <v>2017</v>
      </c>
      <c r="E1701">
        <v>7</v>
      </c>
    </row>
    <row r="1702" spans="1:5" x14ac:dyDescent="0.25">
      <c r="A1702" t="s">
        <v>422</v>
      </c>
      <c r="B1702" t="s">
        <v>2518</v>
      </c>
      <c r="C1702" t="s">
        <v>2574</v>
      </c>
      <c r="D1702">
        <v>2017</v>
      </c>
      <c r="E1702">
        <v>100</v>
      </c>
    </row>
    <row r="1703" spans="1:5" x14ac:dyDescent="0.25">
      <c r="A1703" t="s">
        <v>422</v>
      </c>
      <c r="B1703" t="s">
        <v>2518</v>
      </c>
      <c r="C1703" t="s">
        <v>2575</v>
      </c>
      <c r="D1703">
        <v>2017</v>
      </c>
      <c r="E1703">
        <v>351</v>
      </c>
    </row>
    <row r="1704" spans="1:5" x14ac:dyDescent="0.25">
      <c r="A1704" t="s">
        <v>422</v>
      </c>
      <c r="B1704" t="s">
        <v>2518</v>
      </c>
      <c r="C1704" t="s">
        <v>103</v>
      </c>
      <c r="D1704">
        <v>2017</v>
      </c>
      <c r="E1704">
        <v>7</v>
      </c>
    </row>
    <row r="1705" spans="1:5" x14ac:dyDescent="0.25">
      <c r="A1705" t="s">
        <v>422</v>
      </c>
      <c r="B1705" t="s">
        <v>2518</v>
      </c>
      <c r="C1705" t="s">
        <v>115</v>
      </c>
      <c r="D1705">
        <v>2017</v>
      </c>
      <c r="E1705">
        <v>106</v>
      </c>
    </row>
    <row r="1706" spans="1:5" x14ac:dyDescent="0.25">
      <c r="A1706" t="s">
        <v>422</v>
      </c>
      <c r="B1706" t="s">
        <v>2518</v>
      </c>
      <c r="C1706" t="s">
        <v>110</v>
      </c>
      <c r="D1706">
        <v>2017</v>
      </c>
      <c r="E1706">
        <v>237</v>
      </c>
    </row>
    <row r="1707" spans="1:5" x14ac:dyDescent="0.25">
      <c r="A1707" t="s">
        <v>422</v>
      </c>
      <c r="B1707" t="s">
        <v>2518</v>
      </c>
      <c r="C1707" t="s">
        <v>2478</v>
      </c>
      <c r="D1707">
        <v>2017</v>
      </c>
      <c r="E1707">
        <v>5</v>
      </c>
    </row>
    <row r="1708" spans="1:5" x14ac:dyDescent="0.25">
      <c r="A1708" t="s">
        <v>422</v>
      </c>
      <c r="B1708" t="s">
        <v>2518</v>
      </c>
      <c r="C1708" t="s">
        <v>2572</v>
      </c>
      <c r="D1708">
        <v>2017</v>
      </c>
      <c r="E1708">
        <v>2</v>
      </c>
    </row>
    <row r="1709" spans="1:5" x14ac:dyDescent="0.25">
      <c r="A1709" t="s">
        <v>422</v>
      </c>
      <c r="B1709" t="s">
        <v>2518</v>
      </c>
      <c r="C1709" t="s">
        <v>2577</v>
      </c>
      <c r="D1709">
        <v>2017</v>
      </c>
      <c r="E1709">
        <v>6</v>
      </c>
    </row>
    <row r="1710" spans="1:5" x14ac:dyDescent="0.25">
      <c r="A1710" t="s">
        <v>422</v>
      </c>
      <c r="B1710" t="s">
        <v>2518</v>
      </c>
      <c r="C1710" t="s">
        <v>2573</v>
      </c>
      <c r="D1710">
        <v>2016</v>
      </c>
      <c r="E1710">
        <v>8</v>
      </c>
    </row>
    <row r="1711" spans="1:5" x14ac:dyDescent="0.25">
      <c r="A1711" t="s">
        <v>422</v>
      </c>
      <c r="B1711" t="s">
        <v>2518</v>
      </c>
      <c r="C1711" t="s">
        <v>2574</v>
      </c>
      <c r="D1711">
        <v>2016</v>
      </c>
      <c r="E1711">
        <v>83</v>
      </c>
    </row>
    <row r="1712" spans="1:5" x14ac:dyDescent="0.25">
      <c r="A1712" t="s">
        <v>422</v>
      </c>
      <c r="B1712" t="s">
        <v>2518</v>
      </c>
      <c r="C1712" t="s">
        <v>2575</v>
      </c>
      <c r="D1712">
        <v>2016</v>
      </c>
      <c r="E1712">
        <v>331</v>
      </c>
    </row>
    <row r="1713" spans="1:5" x14ac:dyDescent="0.25">
      <c r="A1713" t="s">
        <v>422</v>
      </c>
      <c r="B1713" t="s">
        <v>2518</v>
      </c>
      <c r="C1713" t="s">
        <v>115</v>
      </c>
      <c r="D1713">
        <v>2016</v>
      </c>
      <c r="E1713">
        <v>104</v>
      </c>
    </row>
    <row r="1714" spans="1:5" x14ac:dyDescent="0.25">
      <c r="A1714" t="s">
        <v>422</v>
      </c>
      <c r="B1714" t="s">
        <v>2518</v>
      </c>
      <c r="C1714" t="s">
        <v>110</v>
      </c>
      <c r="D1714">
        <v>2016</v>
      </c>
      <c r="E1714">
        <v>248</v>
      </c>
    </row>
    <row r="1715" spans="1:5" x14ac:dyDescent="0.25">
      <c r="A1715" t="s">
        <v>422</v>
      </c>
      <c r="B1715" t="s">
        <v>2518</v>
      </c>
      <c r="C1715" t="s">
        <v>2478</v>
      </c>
      <c r="D1715">
        <v>2016</v>
      </c>
      <c r="E1715">
        <v>5</v>
      </c>
    </row>
    <row r="1716" spans="1:5" x14ac:dyDescent="0.25">
      <c r="A1716" t="s">
        <v>422</v>
      </c>
      <c r="B1716" t="s">
        <v>2518</v>
      </c>
      <c r="C1716" t="s">
        <v>2572</v>
      </c>
      <c r="D1716">
        <v>2016</v>
      </c>
      <c r="E1716">
        <v>3</v>
      </c>
    </row>
    <row r="1717" spans="1:5" x14ac:dyDescent="0.25">
      <c r="A1717" t="s">
        <v>422</v>
      </c>
      <c r="B1717" t="s">
        <v>2518</v>
      </c>
      <c r="C1717" t="s">
        <v>2577</v>
      </c>
      <c r="D1717">
        <v>2016</v>
      </c>
      <c r="E1717">
        <v>7</v>
      </c>
    </row>
    <row r="1718" spans="1:5" x14ac:dyDescent="0.25">
      <c r="A1718" t="s">
        <v>422</v>
      </c>
      <c r="B1718" t="s">
        <v>2518</v>
      </c>
      <c r="C1718" t="s">
        <v>2573</v>
      </c>
      <c r="D1718">
        <v>2015</v>
      </c>
      <c r="E1718">
        <v>6</v>
      </c>
    </row>
    <row r="1719" spans="1:5" x14ac:dyDescent="0.25">
      <c r="A1719" t="s">
        <v>422</v>
      </c>
      <c r="B1719" t="s">
        <v>2518</v>
      </c>
      <c r="C1719" t="s">
        <v>2574</v>
      </c>
      <c r="D1719">
        <v>2015</v>
      </c>
      <c r="E1719">
        <v>64</v>
      </c>
    </row>
    <row r="1720" spans="1:5" x14ac:dyDescent="0.25">
      <c r="A1720" t="s">
        <v>422</v>
      </c>
      <c r="B1720" t="s">
        <v>2518</v>
      </c>
      <c r="C1720" t="s">
        <v>2575</v>
      </c>
      <c r="D1720">
        <v>2015</v>
      </c>
      <c r="E1720">
        <v>316</v>
      </c>
    </row>
    <row r="1721" spans="1:5" x14ac:dyDescent="0.25">
      <c r="A1721" t="s">
        <v>422</v>
      </c>
      <c r="B1721" t="s">
        <v>2518</v>
      </c>
      <c r="C1721" t="s">
        <v>115</v>
      </c>
      <c r="D1721">
        <v>2015</v>
      </c>
      <c r="E1721">
        <v>104</v>
      </c>
    </row>
    <row r="1722" spans="1:5" x14ac:dyDescent="0.25">
      <c r="A1722" t="s">
        <v>422</v>
      </c>
      <c r="B1722" t="s">
        <v>2518</v>
      </c>
      <c r="C1722" t="s">
        <v>110</v>
      </c>
      <c r="D1722">
        <v>2015</v>
      </c>
      <c r="E1722">
        <v>254</v>
      </c>
    </row>
    <row r="1723" spans="1:5" x14ac:dyDescent="0.25">
      <c r="A1723" t="s">
        <v>422</v>
      </c>
      <c r="B1723" t="s">
        <v>2518</v>
      </c>
      <c r="C1723" t="s">
        <v>2478</v>
      </c>
      <c r="D1723">
        <v>2015</v>
      </c>
      <c r="E1723">
        <v>5</v>
      </c>
    </row>
    <row r="1724" spans="1:5" x14ac:dyDescent="0.25">
      <c r="A1724" t="s">
        <v>422</v>
      </c>
      <c r="B1724" t="s">
        <v>2518</v>
      </c>
      <c r="C1724" t="s">
        <v>2572</v>
      </c>
      <c r="D1724">
        <v>2015</v>
      </c>
      <c r="E1724">
        <v>2</v>
      </c>
    </row>
    <row r="1725" spans="1:5" x14ac:dyDescent="0.25">
      <c r="A1725" t="s">
        <v>422</v>
      </c>
      <c r="B1725" t="s">
        <v>2518</v>
      </c>
      <c r="C1725" t="s">
        <v>2577</v>
      </c>
      <c r="D1725">
        <v>2015</v>
      </c>
      <c r="E1725">
        <v>7</v>
      </c>
    </row>
    <row r="1726" spans="1:5" x14ac:dyDescent="0.25">
      <c r="A1726" t="s">
        <v>422</v>
      </c>
      <c r="B1726" t="s">
        <v>2518</v>
      </c>
      <c r="C1726" t="s">
        <v>2573</v>
      </c>
      <c r="D1726">
        <v>2014</v>
      </c>
      <c r="E1726">
        <v>10</v>
      </c>
    </row>
    <row r="1727" spans="1:5" x14ac:dyDescent="0.25">
      <c r="A1727" t="s">
        <v>422</v>
      </c>
      <c r="B1727" t="s">
        <v>2518</v>
      </c>
      <c r="C1727" t="s">
        <v>2574</v>
      </c>
      <c r="D1727">
        <v>2014</v>
      </c>
      <c r="E1727">
        <v>71</v>
      </c>
    </row>
    <row r="1728" spans="1:5" x14ac:dyDescent="0.25">
      <c r="A1728" t="s">
        <v>422</v>
      </c>
      <c r="B1728" t="s">
        <v>2518</v>
      </c>
      <c r="C1728" t="s">
        <v>2575</v>
      </c>
      <c r="D1728">
        <v>2014</v>
      </c>
      <c r="E1728">
        <v>295</v>
      </c>
    </row>
    <row r="1729" spans="1:5" x14ac:dyDescent="0.25">
      <c r="A1729" t="s">
        <v>422</v>
      </c>
      <c r="B1729" t="s">
        <v>2518</v>
      </c>
      <c r="C1729" t="s">
        <v>115</v>
      </c>
      <c r="D1729">
        <v>2014</v>
      </c>
      <c r="E1729">
        <v>101</v>
      </c>
    </row>
    <row r="1730" spans="1:5" x14ac:dyDescent="0.25">
      <c r="A1730" t="s">
        <v>422</v>
      </c>
      <c r="B1730" t="s">
        <v>2518</v>
      </c>
      <c r="C1730" t="s">
        <v>110</v>
      </c>
      <c r="D1730">
        <v>2014</v>
      </c>
      <c r="E1730">
        <v>252</v>
      </c>
    </row>
    <row r="1731" spans="1:5" x14ac:dyDescent="0.25">
      <c r="A1731" t="s">
        <v>422</v>
      </c>
      <c r="B1731" t="s">
        <v>2518</v>
      </c>
      <c r="C1731" t="s">
        <v>2478</v>
      </c>
      <c r="D1731">
        <v>2014</v>
      </c>
      <c r="E1731">
        <v>9</v>
      </c>
    </row>
    <row r="1732" spans="1:5" x14ac:dyDescent="0.25">
      <c r="A1732" t="s">
        <v>422</v>
      </c>
      <c r="B1732" t="s">
        <v>2518</v>
      </c>
      <c r="C1732" t="s">
        <v>2572</v>
      </c>
      <c r="D1732">
        <v>2014</v>
      </c>
      <c r="E1732">
        <v>4</v>
      </c>
    </row>
    <row r="1733" spans="1:5" x14ac:dyDescent="0.25">
      <c r="A1733" t="s">
        <v>422</v>
      </c>
      <c r="B1733" t="s">
        <v>2518</v>
      </c>
      <c r="C1733" t="s">
        <v>2577</v>
      </c>
      <c r="D1733">
        <v>2014</v>
      </c>
      <c r="E1733">
        <v>4</v>
      </c>
    </row>
    <row r="1734" spans="1:5" x14ac:dyDescent="0.25">
      <c r="A1734" t="s">
        <v>422</v>
      </c>
      <c r="B1734" t="s">
        <v>2518</v>
      </c>
      <c r="C1734" t="s">
        <v>2573</v>
      </c>
      <c r="D1734">
        <v>2013</v>
      </c>
      <c r="E1734">
        <v>8</v>
      </c>
    </row>
    <row r="1735" spans="1:5" x14ac:dyDescent="0.25">
      <c r="A1735" t="s">
        <v>422</v>
      </c>
      <c r="B1735" t="s">
        <v>2518</v>
      </c>
      <c r="C1735" t="s">
        <v>2574</v>
      </c>
      <c r="D1735">
        <v>2013</v>
      </c>
      <c r="E1735">
        <v>145</v>
      </c>
    </row>
    <row r="1736" spans="1:5" x14ac:dyDescent="0.25">
      <c r="A1736" t="s">
        <v>422</v>
      </c>
      <c r="B1736" t="s">
        <v>2518</v>
      </c>
      <c r="C1736" t="s">
        <v>2575</v>
      </c>
      <c r="D1736">
        <v>2013</v>
      </c>
      <c r="E1736">
        <v>223</v>
      </c>
    </row>
    <row r="1737" spans="1:5" x14ac:dyDescent="0.25">
      <c r="A1737" t="s">
        <v>422</v>
      </c>
      <c r="B1737" t="s">
        <v>2518</v>
      </c>
      <c r="C1737" t="s">
        <v>115</v>
      </c>
      <c r="D1737">
        <v>2013</v>
      </c>
      <c r="E1737">
        <v>101</v>
      </c>
    </row>
    <row r="1738" spans="1:5" x14ac:dyDescent="0.25">
      <c r="A1738" t="s">
        <v>422</v>
      </c>
      <c r="B1738" t="s">
        <v>2518</v>
      </c>
      <c r="C1738" t="s">
        <v>110</v>
      </c>
      <c r="D1738">
        <v>2013</v>
      </c>
      <c r="E1738">
        <v>253</v>
      </c>
    </row>
    <row r="1739" spans="1:5" x14ac:dyDescent="0.25">
      <c r="A1739" t="s">
        <v>422</v>
      </c>
      <c r="B1739" t="s">
        <v>2518</v>
      </c>
      <c r="C1739" t="s">
        <v>2478</v>
      </c>
      <c r="D1739">
        <v>2013</v>
      </c>
      <c r="E1739">
        <v>11</v>
      </c>
    </row>
    <row r="1740" spans="1:5" x14ac:dyDescent="0.25">
      <c r="A1740" t="s">
        <v>422</v>
      </c>
      <c r="B1740" t="s">
        <v>2518</v>
      </c>
      <c r="C1740" t="s">
        <v>2572</v>
      </c>
      <c r="D1740">
        <v>2013</v>
      </c>
      <c r="E1740">
        <v>4</v>
      </c>
    </row>
    <row r="1741" spans="1:5" x14ac:dyDescent="0.25">
      <c r="A1741" t="s">
        <v>422</v>
      </c>
      <c r="B1741" t="s">
        <v>2518</v>
      </c>
      <c r="C1741" t="s">
        <v>2577</v>
      </c>
      <c r="D1741">
        <v>2013</v>
      </c>
      <c r="E1741">
        <v>6</v>
      </c>
    </row>
    <row r="1742" spans="1:5" x14ac:dyDescent="0.25">
      <c r="A1742" t="s">
        <v>422</v>
      </c>
      <c r="B1742" t="s">
        <v>2518</v>
      </c>
      <c r="C1742" t="s">
        <v>2573</v>
      </c>
      <c r="D1742">
        <v>2012</v>
      </c>
      <c r="E1742">
        <v>12</v>
      </c>
    </row>
    <row r="1743" spans="1:5" x14ac:dyDescent="0.25">
      <c r="A1743" t="s">
        <v>422</v>
      </c>
      <c r="B1743" t="s">
        <v>2518</v>
      </c>
      <c r="C1743" t="s">
        <v>2574</v>
      </c>
      <c r="D1743">
        <v>2012</v>
      </c>
      <c r="E1743">
        <v>136</v>
      </c>
    </row>
    <row r="1744" spans="1:5" x14ac:dyDescent="0.25">
      <c r="A1744" t="s">
        <v>422</v>
      </c>
      <c r="B1744" t="s">
        <v>2518</v>
      </c>
      <c r="C1744" t="s">
        <v>2575</v>
      </c>
      <c r="D1744">
        <v>2012</v>
      </c>
      <c r="E1744">
        <v>168</v>
      </c>
    </row>
    <row r="1745" spans="1:5" x14ac:dyDescent="0.25">
      <c r="A1745" t="s">
        <v>422</v>
      </c>
      <c r="B1745" t="s">
        <v>2518</v>
      </c>
      <c r="C1745" t="s">
        <v>115</v>
      </c>
      <c r="D1745">
        <v>2012</v>
      </c>
      <c r="E1745">
        <v>101</v>
      </c>
    </row>
    <row r="1746" spans="1:5" x14ac:dyDescent="0.25">
      <c r="A1746" t="s">
        <v>422</v>
      </c>
      <c r="B1746" t="s">
        <v>2518</v>
      </c>
      <c r="C1746" t="s">
        <v>110</v>
      </c>
      <c r="D1746">
        <v>2012</v>
      </c>
      <c r="E1746">
        <v>254</v>
      </c>
    </row>
    <row r="1747" spans="1:5" x14ac:dyDescent="0.25">
      <c r="A1747" t="s">
        <v>422</v>
      </c>
      <c r="B1747" t="s">
        <v>2518</v>
      </c>
      <c r="C1747" t="s">
        <v>2478</v>
      </c>
      <c r="D1747">
        <v>2012</v>
      </c>
      <c r="E1747">
        <v>9</v>
      </c>
    </row>
    <row r="1748" spans="1:5" x14ac:dyDescent="0.25">
      <c r="A1748" t="s">
        <v>422</v>
      </c>
      <c r="B1748" t="s">
        <v>2518</v>
      </c>
      <c r="C1748" t="s">
        <v>2572</v>
      </c>
      <c r="D1748">
        <v>2012</v>
      </c>
      <c r="E1748">
        <v>4</v>
      </c>
    </row>
    <row r="1749" spans="1:5" x14ac:dyDescent="0.25">
      <c r="A1749" t="s">
        <v>422</v>
      </c>
      <c r="B1749" t="s">
        <v>2518</v>
      </c>
      <c r="C1749" t="s">
        <v>2577</v>
      </c>
      <c r="D1749">
        <v>2012</v>
      </c>
      <c r="E1749">
        <v>6</v>
      </c>
    </row>
    <row r="1750" spans="1:5" x14ac:dyDescent="0.25">
      <c r="A1750" t="s">
        <v>422</v>
      </c>
      <c r="B1750" t="s">
        <v>2518</v>
      </c>
      <c r="C1750" t="s">
        <v>2573</v>
      </c>
      <c r="D1750">
        <v>2011</v>
      </c>
      <c r="E1750">
        <v>14</v>
      </c>
    </row>
    <row r="1751" spans="1:5" x14ac:dyDescent="0.25">
      <c r="A1751" t="s">
        <v>422</v>
      </c>
      <c r="B1751" t="s">
        <v>2518</v>
      </c>
      <c r="C1751" t="s">
        <v>2574</v>
      </c>
      <c r="D1751">
        <v>2011</v>
      </c>
      <c r="E1751">
        <v>103</v>
      </c>
    </row>
    <row r="1752" spans="1:5" x14ac:dyDescent="0.25">
      <c r="A1752" t="s">
        <v>422</v>
      </c>
      <c r="B1752" t="s">
        <v>2518</v>
      </c>
      <c r="C1752" t="s">
        <v>2575</v>
      </c>
      <c r="D1752">
        <v>2011</v>
      </c>
      <c r="E1752">
        <v>130</v>
      </c>
    </row>
    <row r="1753" spans="1:5" x14ac:dyDescent="0.25">
      <c r="A1753" t="s">
        <v>422</v>
      </c>
      <c r="B1753" t="s">
        <v>2518</v>
      </c>
      <c r="C1753" t="s">
        <v>115</v>
      </c>
      <c r="D1753">
        <v>2011</v>
      </c>
      <c r="E1753">
        <v>102</v>
      </c>
    </row>
    <row r="1754" spans="1:5" x14ac:dyDescent="0.25">
      <c r="A1754" t="s">
        <v>422</v>
      </c>
      <c r="B1754" t="s">
        <v>2518</v>
      </c>
      <c r="C1754" t="s">
        <v>110</v>
      </c>
      <c r="D1754">
        <v>2011</v>
      </c>
      <c r="E1754">
        <v>257</v>
      </c>
    </row>
    <row r="1755" spans="1:5" x14ac:dyDescent="0.25">
      <c r="A1755" t="s">
        <v>422</v>
      </c>
      <c r="B1755" t="s">
        <v>2518</v>
      </c>
      <c r="C1755" t="s">
        <v>2478</v>
      </c>
      <c r="D1755">
        <v>2011</v>
      </c>
      <c r="E1755">
        <v>11</v>
      </c>
    </row>
    <row r="1756" spans="1:5" x14ac:dyDescent="0.25">
      <c r="A1756" t="s">
        <v>422</v>
      </c>
      <c r="B1756" t="s">
        <v>2518</v>
      </c>
      <c r="C1756" t="s">
        <v>2572</v>
      </c>
      <c r="D1756">
        <v>2011</v>
      </c>
      <c r="E1756">
        <v>4</v>
      </c>
    </row>
    <row r="1757" spans="1:5" x14ac:dyDescent="0.25">
      <c r="A1757" t="s">
        <v>422</v>
      </c>
      <c r="B1757" t="s">
        <v>2518</v>
      </c>
      <c r="C1757" t="s">
        <v>2577</v>
      </c>
      <c r="D1757">
        <v>2011</v>
      </c>
      <c r="E1757">
        <v>6</v>
      </c>
    </row>
    <row r="1758" spans="1:5" x14ac:dyDescent="0.25">
      <c r="A1758" t="s">
        <v>422</v>
      </c>
      <c r="B1758" t="s">
        <v>2518</v>
      </c>
      <c r="C1758" t="s">
        <v>2573</v>
      </c>
      <c r="D1758">
        <v>2010</v>
      </c>
      <c r="E1758">
        <v>9</v>
      </c>
    </row>
    <row r="1759" spans="1:5" x14ac:dyDescent="0.25">
      <c r="A1759" t="s">
        <v>422</v>
      </c>
      <c r="B1759" t="s">
        <v>2518</v>
      </c>
      <c r="C1759" t="s">
        <v>2574</v>
      </c>
      <c r="D1759">
        <v>2010</v>
      </c>
      <c r="E1759">
        <v>123</v>
      </c>
    </row>
    <row r="1760" spans="1:5" x14ac:dyDescent="0.25">
      <c r="A1760" t="s">
        <v>422</v>
      </c>
      <c r="B1760" t="s">
        <v>2518</v>
      </c>
      <c r="C1760" t="s">
        <v>2575</v>
      </c>
      <c r="D1760">
        <v>2010</v>
      </c>
      <c r="E1760">
        <v>74</v>
      </c>
    </row>
    <row r="1761" spans="1:5" x14ac:dyDescent="0.25">
      <c r="A1761" t="s">
        <v>422</v>
      </c>
      <c r="B1761" t="s">
        <v>2518</v>
      </c>
      <c r="C1761" t="s">
        <v>115</v>
      </c>
      <c r="D1761">
        <v>2010</v>
      </c>
      <c r="E1761">
        <v>98</v>
      </c>
    </row>
    <row r="1762" spans="1:5" x14ac:dyDescent="0.25">
      <c r="A1762" t="s">
        <v>422</v>
      </c>
      <c r="B1762" t="s">
        <v>2518</v>
      </c>
      <c r="C1762" t="s">
        <v>110</v>
      </c>
      <c r="D1762">
        <v>2010</v>
      </c>
      <c r="E1762">
        <v>262</v>
      </c>
    </row>
    <row r="1763" spans="1:5" x14ac:dyDescent="0.25">
      <c r="A1763" t="s">
        <v>422</v>
      </c>
      <c r="B1763" t="s">
        <v>2518</v>
      </c>
      <c r="C1763" t="s">
        <v>2578</v>
      </c>
      <c r="D1763">
        <v>2010</v>
      </c>
      <c r="E1763">
        <v>1</v>
      </c>
    </row>
    <row r="1764" spans="1:5" x14ac:dyDescent="0.25">
      <c r="A1764" t="s">
        <v>422</v>
      </c>
      <c r="B1764" t="s">
        <v>2518</v>
      </c>
      <c r="C1764" t="s">
        <v>2478</v>
      </c>
      <c r="D1764">
        <v>2010</v>
      </c>
      <c r="E1764">
        <v>9</v>
      </c>
    </row>
    <row r="1765" spans="1:5" x14ac:dyDescent="0.25">
      <c r="A1765" t="s">
        <v>422</v>
      </c>
      <c r="B1765" t="s">
        <v>2518</v>
      </c>
      <c r="C1765" t="s">
        <v>2572</v>
      </c>
      <c r="D1765">
        <v>2010</v>
      </c>
      <c r="E1765">
        <v>2</v>
      </c>
    </row>
    <row r="1766" spans="1:5" x14ac:dyDescent="0.25">
      <c r="A1766" t="s">
        <v>422</v>
      </c>
      <c r="B1766" t="s">
        <v>2518</v>
      </c>
      <c r="C1766" t="s">
        <v>2577</v>
      </c>
      <c r="D1766">
        <v>2010</v>
      </c>
      <c r="E1766">
        <v>5</v>
      </c>
    </row>
    <row r="1767" spans="1:5" x14ac:dyDescent="0.25">
      <c r="A1767" t="s">
        <v>422</v>
      </c>
      <c r="B1767" t="s">
        <v>2518</v>
      </c>
      <c r="C1767" t="s">
        <v>2573</v>
      </c>
      <c r="D1767">
        <v>2009</v>
      </c>
      <c r="E1767">
        <v>10</v>
      </c>
    </row>
    <row r="1768" spans="1:5" x14ac:dyDescent="0.25">
      <c r="A1768" t="s">
        <v>422</v>
      </c>
      <c r="B1768" t="s">
        <v>2518</v>
      </c>
      <c r="C1768" t="s">
        <v>2574</v>
      </c>
      <c r="D1768">
        <v>2009</v>
      </c>
      <c r="E1768">
        <v>101</v>
      </c>
    </row>
    <row r="1769" spans="1:5" x14ac:dyDescent="0.25">
      <c r="A1769" t="s">
        <v>422</v>
      </c>
      <c r="B1769" t="s">
        <v>2518</v>
      </c>
      <c r="C1769" t="s">
        <v>2575</v>
      </c>
      <c r="D1769">
        <v>2009</v>
      </c>
      <c r="E1769">
        <v>19</v>
      </c>
    </row>
    <row r="1770" spans="1:5" x14ac:dyDescent="0.25">
      <c r="A1770" t="s">
        <v>422</v>
      </c>
      <c r="B1770" t="s">
        <v>2518</v>
      </c>
      <c r="C1770" t="s">
        <v>115</v>
      </c>
      <c r="D1770">
        <v>2009</v>
      </c>
      <c r="E1770">
        <v>102</v>
      </c>
    </row>
    <row r="1771" spans="1:5" x14ac:dyDescent="0.25">
      <c r="A1771" t="s">
        <v>422</v>
      </c>
      <c r="B1771" t="s">
        <v>2518</v>
      </c>
      <c r="C1771" t="s">
        <v>110</v>
      </c>
      <c r="D1771">
        <v>2009</v>
      </c>
      <c r="E1771">
        <v>263</v>
      </c>
    </row>
    <row r="1772" spans="1:5" x14ac:dyDescent="0.25">
      <c r="A1772" t="s">
        <v>422</v>
      </c>
      <c r="B1772" t="s">
        <v>2518</v>
      </c>
      <c r="C1772" t="s">
        <v>2578</v>
      </c>
      <c r="D1772">
        <v>2009</v>
      </c>
      <c r="E1772">
        <v>2</v>
      </c>
    </row>
    <row r="1773" spans="1:5" x14ac:dyDescent="0.25">
      <c r="A1773" t="s">
        <v>422</v>
      </c>
      <c r="B1773" t="s">
        <v>2518</v>
      </c>
      <c r="C1773" t="s">
        <v>2478</v>
      </c>
      <c r="D1773">
        <v>2009</v>
      </c>
      <c r="E1773">
        <v>9</v>
      </c>
    </row>
    <row r="1774" spans="1:5" x14ac:dyDescent="0.25">
      <c r="A1774" t="s">
        <v>422</v>
      </c>
      <c r="B1774" t="s">
        <v>2518</v>
      </c>
      <c r="C1774" t="s">
        <v>2577</v>
      </c>
      <c r="D1774">
        <v>2009</v>
      </c>
      <c r="E1774">
        <v>5</v>
      </c>
    </row>
    <row r="1775" spans="1:5" x14ac:dyDescent="0.25">
      <c r="A1775" t="s">
        <v>422</v>
      </c>
      <c r="B1775" t="s">
        <v>2518</v>
      </c>
      <c r="C1775" t="s">
        <v>2573</v>
      </c>
      <c r="D1775">
        <v>2008</v>
      </c>
      <c r="E1775">
        <v>9</v>
      </c>
    </row>
    <row r="1776" spans="1:5" x14ac:dyDescent="0.25">
      <c r="A1776" t="s">
        <v>422</v>
      </c>
      <c r="B1776" t="s">
        <v>2518</v>
      </c>
      <c r="C1776" t="s">
        <v>2574</v>
      </c>
      <c r="D1776">
        <v>2008</v>
      </c>
      <c r="E1776">
        <v>38</v>
      </c>
    </row>
    <row r="1777" spans="1:5" x14ac:dyDescent="0.25">
      <c r="A1777" t="s">
        <v>422</v>
      </c>
      <c r="B1777" t="s">
        <v>2518</v>
      </c>
      <c r="C1777" t="s">
        <v>115</v>
      </c>
      <c r="D1777">
        <v>2008</v>
      </c>
      <c r="E1777">
        <v>98</v>
      </c>
    </row>
    <row r="1778" spans="1:5" x14ac:dyDescent="0.25">
      <c r="A1778" t="s">
        <v>422</v>
      </c>
      <c r="B1778" t="s">
        <v>2518</v>
      </c>
      <c r="C1778" t="s">
        <v>2579</v>
      </c>
      <c r="D1778">
        <v>2008</v>
      </c>
      <c r="E1778">
        <v>1</v>
      </c>
    </row>
    <row r="1779" spans="1:5" x14ac:dyDescent="0.25">
      <c r="A1779" t="s">
        <v>422</v>
      </c>
      <c r="B1779" t="s">
        <v>2518</v>
      </c>
      <c r="C1779" t="s">
        <v>110</v>
      </c>
      <c r="D1779">
        <v>2008</v>
      </c>
      <c r="E1779">
        <v>262</v>
      </c>
    </row>
    <row r="1780" spans="1:5" x14ac:dyDescent="0.25">
      <c r="A1780" t="s">
        <v>422</v>
      </c>
      <c r="B1780" t="s">
        <v>2518</v>
      </c>
      <c r="C1780" t="s">
        <v>2578</v>
      </c>
      <c r="D1780">
        <v>2008</v>
      </c>
      <c r="E1780">
        <v>4</v>
      </c>
    </row>
    <row r="1781" spans="1:5" x14ac:dyDescent="0.25">
      <c r="A1781" t="s">
        <v>422</v>
      </c>
      <c r="B1781" t="s">
        <v>2518</v>
      </c>
      <c r="C1781" t="s">
        <v>2478</v>
      </c>
      <c r="D1781">
        <v>2008</v>
      </c>
      <c r="E1781">
        <v>9</v>
      </c>
    </row>
    <row r="1782" spans="1:5" x14ac:dyDescent="0.25">
      <c r="A1782" t="s">
        <v>422</v>
      </c>
      <c r="B1782" t="s">
        <v>2518</v>
      </c>
      <c r="C1782" t="s">
        <v>2577</v>
      </c>
      <c r="D1782">
        <v>2008</v>
      </c>
      <c r="E1782">
        <v>4</v>
      </c>
    </row>
    <row r="1783" spans="1:5" x14ac:dyDescent="0.25">
      <c r="A1783" t="s">
        <v>422</v>
      </c>
      <c r="B1783" t="s">
        <v>2580</v>
      </c>
      <c r="C1783" t="s">
        <v>2571</v>
      </c>
      <c r="D1783">
        <v>2019</v>
      </c>
      <c r="E1783">
        <v>1</v>
      </c>
    </row>
    <row r="1784" spans="1:5" x14ac:dyDescent="0.25">
      <c r="A1784" t="s">
        <v>422</v>
      </c>
      <c r="B1784" t="s">
        <v>2580</v>
      </c>
      <c r="C1784" t="s">
        <v>2571</v>
      </c>
      <c r="D1784">
        <v>2018</v>
      </c>
      <c r="E1784">
        <v>2</v>
      </c>
    </row>
    <row r="1785" spans="1:5" x14ac:dyDescent="0.25">
      <c r="A1785" t="s">
        <v>424</v>
      </c>
      <c r="B1785" t="s">
        <v>2452</v>
      </c>
      <c r="C1785" t="s">
        <v>2581</v>
      </c>
      <c r="D1785">
        <v>2018</v>
      </c>
      <c r="E1785">
        <v>79</v>
      </c>
    </row>
    <row r="1786" spans="1:5" x14ac:dyDescent="0.25">
      <c r="A1786" t="s">
        <v>424</v>
      </c>
      <c r="B1786" t="s">
        <v>2452</v>
      </c>
      <c r="C1786" t="s">
        <v>2581</v>
      </c>
      <c r="D1786">
        <v>2017</v>
      </c>
      <c r="E1786">
        <v>95</v>
      </c>
    </row>
    <row r="1787" spans="1:5" x14ac:dyDescent="0.25">
      <c r="A1787" t="s">
        <v>424</v>
      </c>
      <c r="B1787" t="s">
        <v>2452</v>
      </c>
      <c r="C1787" t="s">
        <v>2582</v>
      </c>
      <c r="D1787">
        <v>2016</v>
      </c>
      <c r="E1787">
        <v>3</v>
      </c>
    </row>
    <row r="1788" spans="1:5" x14ac:dyDescent="0.25">
      <c r="A1788" t="s">
        <v>424</v>
      </c>
      <c r="B1788" t="s">
        <v>2452</v>
      </c>
      <c r="C1788" t="s">
        <v>2581</v>
      </c>
      <c r="D1788">
        <v>2016</v>
      </c>
      <c r="E1788">
        <v>118</v>
      </c>
    </row>
    <row r="1789" spans="1:5" x14ac:dyDescent="0.25">
      <c r="A1789" t="s">
        <v>424</v>
      </c>
      <c r="B1789" t="s">
        <v>2452</v>
      </c>
      <c r="C1789" t="s">
        <v>2582</v>
      </c>
      <c r="D1789">
        <v>2015</v>
      </c>
      <c r="E1789">
        <v>11</v>
      </c>
    </row>
    <row r="1790" spans="1:5" x14ac:dyDescent="0.25">
      <c r="A1790" t="s">
        <v>424</v>
      </c>
      <c r="B1790" t="s">
        <v>2452</v>
      </c>
      <c r="C1790" t="s">
        <v>2581</v>
      </c>
      <c r="D1790">
        <v>2015</v>
      </c>
      <c r="E1790">
        <v>138</v>
      </c>
    </row>
    <row r="1791" spans="1:5" x14ac:dyDescent="0.25">
      <c r="A1791" t="s">
        <v>424</v>
      </c>
      <c r="B1791" t="s">
        <v>2452</v>
      </c>
      <c r="C1791" t="s">
        <v>2582</v>
      </c>
      <c r="D1791">
        <v>2014</v>
      </c>
      <c r="E1791">
        <v>15</v>
      </c>
    </row>
    <row r="1792" spans="1:5" x14ac:dyDescent="0.25">
      <c r="A1792" t="s">
        <v>424</v>
      </c>
      <c r="B1792" t="s">
        <v>2452</v>
      </c>
      <c r="C1792" t="s">
        <v>2581</v>
      </c>
      <c r="D1792">
        <v>2014</v>
      </c>
      <c r="E1792">
        <v>155</v>
      </c>
    </row>
    <row r="1793" spans="1:5" x14ac:dyDescent="0.25">
      <c r="A1793" t="s">
        <v>424</v>
      </c>
      <c r="B1793" t="s">
        <v>2452</v>
      </c>
      <c r="C1793" t="s">
        <v>2582</v>
      </c>
      <c r="D1793">
        <v>2013</v>
      </c>
      <c r="E1793">
        <v>7</v>
      </c>
    </row>
    <row r="1794" spans="1:5" x14ac:dyDescent="0.25">
      <c r="A1794" t="s">
        <v>424</v>
      </c>
      <c r="B1794" t="s">
        <v>2452</v>
      </c>
      <c r="C1794" t="s">
        <v>2583</v>
      </c>
      <c r="D1794">
        <v>2013</v>
      </c>
      <c r="E1794">
        <v>74</v>
      </c>
    </row>
    <row r="1795" spans="1:5" x14ac:dyDescent="0.25">
      <c r="A1795" t="s">
        <v>424</v>
      </c>
      <c r="B1795" t="s">
        <v>2452</v>
      </c>
      <c r="C1795" t="s">
        <v>2581</v>
      </c>
      <c r="D1795">
        <v>2013</v>
      </c>
      <c r="E1795">
        <v>155</v>
      </c>
    </row>
    <row r="1796" spans="1:5" x14ac:dyDescent="0.25">
      <c r="A1796" t="s">
        <v>424</v>
      </c>
      <c r="B1796" t="s">
        <v>2452</v>
      </c>
      <c r="C1796" t="s">
        <v>2582</v>
      </c>
      <c r="D1796">
        <v>2012</v>
      </c>
      <c r="E1796">
        <v>9</v>
      </c>
    </row>
    <row r="1797" spans="1:5" x14ac:dyDescent="0.25">
      <c r="A1797" t="s">
        <v>424</v>
      </c>
      <c r="B1797" t="s">
        <v>2452</v>
      </c>
      <c r="C1797" t="s">
        <v>2583</v>
      </c>
      <c r="D1797">
        <v>2012</v>
      </c>
      <c r="E1797">
        <v>79</v>
      </c>
    </row>
    <row r="1798" spans="1:5" x14ac:dyDescent="0.25">
      <c r="A1798" t="s">
        <v>424</v>
      </c>
      <c r="B1798" t="s">
        <v>2452</v>
      </c>
      <c r="C1798" t="s">
        <v>2581</v>
      </c>
      <c r="D1798">
        <v>2012</v>
      </c>
      <c r="E1798">
        <v>174</v>
      </c>
    </row>
    <row r="1799" spans="1:5" x14ac:dyDescent="0.25">
      <c r="A1799" t="s">
        <v>424</v>
      </c>
      <c r="B1799" t="s">
        <v>2452</v>
      </c>
      <c r="C1799" t="s">
        <v>2582</v>
      </c>
      <c r="D1799">
        <v>2011</v>
      </c>
      <c r="E1799">
        <v>15</v>
      </c>
    </row>
    <row r="1800" spans="1:5" x14ac:dyDescent="0.25">
      <c r="A1800" t="s">
        <v>424</v>
      </c>
      <c r="B1800" t="s">
        <v>2452</v>
      </c>
      <c r="C1800" t="s">
        <v>2583</v>
      </c>
      <c r="D1800">
        <v>2011</v>
      </c>
      <c r="E1800">
        <v>65</v>
      </c>
    </row>
    <row r="1801" spans="1:5" x14ac:dyDescent="0.25">
      <c r="A1801" t="s">
        <v>424</v>
      </c>
      <c r="B1801" t="s">
        <v>2452</v>
      </c>
      <c r="C1801" t="s">
        <v>2581</v>
      </c>
      <c r="D1801">
        <v>2011</v>
      </c>
      <c r="E1801">
        <v>196</v>
      </c>
    </row>
    <row r="1802" spans="1:5" x14ac:dyDescent="0.25">
      <c r="A1802" t="s">
        <v>424</v>
      </c>
      <c r="B1802" t="s">
        <v>2452</v>
      </c>
      <c r="C1802" t="s">
        <v>2582</v>
      </c>
      <c r="D1802">
        <v>2010</v>
      </c>
      <c r="E1802">
        <v>12</v>
      </c>
    </row>
    <row r="1803" spans="1:5" x14ac:dyDescent="0.25">
      <c r="A1803" t="s">
        <v>424</v>
      </c>
      <c r="B1803" t="s">
        <v>2452</v>
      </c>
      <c r="C1803" t="s">
        <v>2581</v>
      </c>
      <c r="D1803">
        <v>2010</v>
      </c>
      <c r="E1803">
        <v>193</v>
      </c>
    </row>
    <row r="1804" spans="1:5" x14ac:dyDescent="0.25">
      <c r="A1804" t="s">
        <v>424</v>
      </c>
      <c r="B1804" t="s">
        <v>2452</v>
      </c>
      <c r="C1804" t="s">
        <v>2582</v>
      </c>
      <c r="D1804">
        <v>2009</v>
      </c>
      <c r="E1804">
        <v>11</v>
      </c>
    </row>
    <row r="1805" spans="1:5" x14ac:dyDescent="0.25">
      <c r="A1805" t="s">
        <v>424</v>
      </c>
      <c r="B1805" t="s">
        <v>2452</v>
      </c>
      <c r="C1805" t="s">
        <v>2581</v>
      </c>
      <c r="D1805">
        <v>2009</v>
      </c>
      <c r="E1805">
        <v>240</v>
      </c>
    </row>
    <row r="1806" spans="1:5" x14ac:dyDescent="0.25">
      <c r="A1806" t="s">
        <v>424</v>
      </c>
      <c r="B1806" t="s">
        <v>2452</v>
      </c>
      <c r="C1806" t="s">
        <v>2582</v>
      </c>
      <c r="D1806">
        <v>2008</v>
      </c>
      <c r="E1806">
        <v>9</v>
      </c>
    </row>
    <row r="1807" spans="1:5" x14ac:dyDescent="0.25">
      <c r="A1807" t="s">
        <v>424</v>
      </c>
      <c r="B1807" t="s">
        <v>2452</v>
      </c>
      <c r="C1807" t="s">
        <v>2581</v>
      </c>
      <c r="D1807">
        <v>2008</v>
      </c>
      <c r="E1807">
        <v>281</v>
      </c>
    </row>
    <row r="1808" spans="1:5" x14ac:dyDescent="0.25">
      <c r="A1808" t="s">
        <v>424</v>
      </c>
      <c r="B1808" t="s">
        <v>2470</v>
      </c>
      <c r="C1808" t="s">
        <v>2584</v>
      </c>
      <c r="D1808">
        <v>2019</v>
      </c>
      <c r="E1808">
        <v>111</v>
      </c>
    </row>
    <row r="1809" spans="1:5" x14ac:dyDescent="0.25">
      <c r="A1809" t="s">
        <v>424</v>
      </c>
      <c r="B1809" t="s">
        <v>2470</v>
      </c>
      <c r="C1809" t="s">
        <v>2585</v>
      </c>
      <c r="D1809">
        <v>2019</v>
      </c>
      <c r="E1809">
        <v>153</v>
      </c>
    </row>
    <row r="1810" spans="1:5" x14ac:dyDescent="0.25">
      <c r="A1810" t="s">
        <v>424</v>
      </c>
      <c r="B1810" t="s">
        <v>2470</v>
      </c>
      <c r="C1810" t="s">
        <v>2586</v>
      </c>
      <c r="D1810">
        <v>2019</v>
      </c>
      <c r="E1810">
        <v>174</v>
      </c>
    </row>
    <row r="1811" spans="1:5" x14ac:dyDescent="0.25">
      <c r="A1811" t="s">
        <v>424</v>
      </c>
      <c r="B1811" t="s">
        <v>2470</v>
      </c>
      <c r="C1811" t="s">
        <v>2587</v>
      </c>
      <c r="D1811">
        <v>2019</v>
      </c>
      <c r="E1811">
        <v>138</v>
      </c>
    </row>
    <row r="1812" spans="1:5" x14ac:dyDescent="0.25">
      <c r="A1812" t="s">
        <v>424</v>
      </c>
      <c r="B1812" t="s">
        <v>2470</v>
      </c>
      <c r="C1812" t="s">
        <v>2588</v>
      </c>
      <c r="D1812">
        <v>2019</v>
      </c>
      <c r="E1812">
        <v>25</v>
      </c>
    </row>
    <row r="1813" spans="1:5" x14ac:dyDescent="0.25">
      <c r="A1813" t="s">
        <v>424</v>
      </c>
      <c r="B1813" t="s">
        <v>2470</v>
      </c>
      <c r="C1813" t="s">
        <v>2589</v>
      </c>
      <c r="D1813">
        <v>2019</v>
      </c>
      <c r="E1813">
        <v>133</v>
      </c>
    </row>
    <row r="1814" spans="1:5" x14ac:dyDescent="0.25">
      <c r="A1814" t="s">
        <v>424</v>
      </c>
      <c r="B1814" t="s">
        <v>2470</v>
      </c>
      <c r="C1814" t="s">
        <v>2584</v>
      </c>
      <c r="D1814">
        <v>2018</v>
      </c>
      <c r="E1814">
        <v>120</v>
      </c>
    </row>
    <row r="1815" spans="1:5" x14ac:dyDescent="0.25">
      <c r="A1815" t="s">
        <v>424</v>
      </c>
      <c r="B1815" t="s">
        <v>2470</v>
      </c>
      <c r="C1815" t="s">
        <v>2590</v>
      </c>
      <c r="D1815">
        <v>2018</v>
      </c>
      <c r="E1815">
        <v>1</v>
      </c>
    </row>
    <row r="1816" spans="1:5" x14ac:dyDescent="0.25">
      <c r="A1816" t="s">
        <v>424</v>
      </c>
      <c r="B1816" t="s">
        <v>2470</v>
      </c>
      <c r="C1816" t="s">
        <v>2585</v>
      </c>
      <c r="D1816">
        <v>2018</v>
      </c>
      <c r="E1816">
        <v>152</v>
      </c>
    </row>
    <row r="1817" spans="1:5" x14ac:dyDescent="0.25">
      <c r="A1817" t="s">
        <v>424</v>
      </c>
      <c r="B1817" t="s">
        <v>2470</v>
      </c>
      <c r="C1817" t="s">
        <v>2586</v>
      </c>
      <c r="D1817">
        <v>2018</v>
      </c>
      <c r="E1817">
        <v>213</v>
      </c>
    </row>
    <row r="1818" spans="1:5" x14ac:dyDescent="0.25">
      <c r="A1818" t="s">
        <v>424</v>
      </c>
      <c r="B1818" t="s">
        <v>2470</v>
      </c>
      <c r="C1818" t="s">
        <v>2587</v>
      </c>
      <c r="D1818">
        <v>2018</v>
      </c>
      <c r="E1818">
        <v>98</v>
      </c>
    </row>
    <row r="1819" spans="1:5" x14ac:dyDescent="0.25">
      <c r="A1819" t="s">
        <v>424</v>
      </c>
      <c r="B1819" t="s">
        <v>2470</v>
      </c>
      <c r="C1819" t="s">
        <v>2588</v>
      </c>
      <c r="D1819">
        <v>2018</v>
      </c>
      <c r="E1819">
        <v>19</v>
      </c>
    </row>
    <row r="1820" spans="1:5" x14ac:dyDescent="0.25">
      <c r="A1820" t="s">
        <v>424</v>
      </c>
      <c r="B1820" t="s">
        <v>2470</v>
      </c>
      <c r="C1820" t="s">
        <v>2589</v>
      </c>
      <c r="D1820">
        <v>2018</v>
      </c>
      <c r="E1820">
        <v>152</v>
      </c>
    </row>
    <row r="1821" spans="1:5" x14ac:dyDescent="0.25">
      <c r="A1821" t="s">
        <v>424</v>
      </c>
      <c r="B1821" t="s">
        <v>2470</v>
      </c>
      <c r="C1821" t="s">
        <v>2584</v>
      </c>
      <c r="D1821">
        <v>2017</v>
      </c>
      <c r="E1821">
        <v>103</v>
      </c>
    </row>
    <row r="1822" spans="1:5" x14ac:dyDescent="0.25">
      <c r="A1822" t="s">
        <v>424</v>
      </c>
      <c r="B1822" t="s">
        <v>2470</v>
      </c>
      <c r="C1822" t="s">
        <v>2590</v>
      </c>
      <c r="D1822">
        <v>2017</v>
      </c>
      <c r="E1822">
        <v>4</v>
      </c>
    </row>
    <row r="1823" spans="1:5" x14ac:dyDescent="0.25">
      <c r="A1823" t="s">
        <v>424</v>
      </c>
      <c r="B1823" t="s">
        <v>2470</v>
      </c>
      <c r="C1823" t="s">
        <v>2585</v>
      </c>
      <c r="D1823">
        <v>2017</v>
      </c>
      <c r="E1823">
        <v>147</v>
      </c>
    </row>
    <row r="1824" spans="1:5" x14ac:dyDescent="0.25">
      <c r="A1824" t="s">
        <v>424</v>
      </c>
      <c r="B1824" t="s">
        <v>2470</v>
      </c>
      <c r="C1824" t="s">
        <v>2586</v>
      </c>
      <c r="D1824">
        <v>2017</v>
      </c>
      <c r="E1824">
        <v>205</v>
      </c>
    </row>
    <row r="1825" spans="1:5" x14ac:dyDescent="0.25">
      <c r="A1825" t="s">
        <v>424</v>
      </c>
      <c r="B1825" t="s">
        <v>2470</v>
      </c>
      <c r="C1825" t="s">
        <v>2587</v>
      </c>
      <c r="D1825">
        <v>2017</v>
      </c>
      <c r="E1825">
        <v>105</v>
      </c>
    </row>
    <row r="1826" spans="1:5" x14ac:dyDescent="0.25">
      <c r="A1826" t="s">
        <v>424</v>
      </c>
      <c r="B1826" t="s">
        <v>2470</v>
      </c>
      <c r="C1826" t="s">
        <v>2588</v>
      </c>
      <c r="D1826">
        <v>2017</v>
      </c>
      <c r="E1826">
        <v>19</v>
      </c>
    </row>
    <row r="1827" spans="1:5" x14ac:dyDescent="0.25">
      <c r="A1827" t="s">
        <v>424</v>
      </c>
      <c r="B1827" t="s">
        <v>2470</v>
      </c>
      <c r="C1827" t="s">
        <v>2589</v>
      </c>
      <c r="D1827">
        <v>2017</v>
      </c>
      <c r="E1827">
        <v>152</v>
      </c>
    </row>
    <row r="1828" spans="1:5" x14ac:dyDescent="0.25">
      <c r="A1828" t="s">
        <v>424</v>
      </c>
      <c r="B1828" t="s">
        <v>2470</v>
      </c>
      <c r="C1828" t="s">
        <v>2584</v>
      </c>
      <c r="D1828">
        <v>2016</v>
      </c>
      <c r="E1828">
        <v>104</v>
      </c>
    </row>
    <row r="1829" spans="1:5" x14ac:dyDescent="0.25">
      <c r="A1829" t="s">
        <v>424</v>
      </c>
      <c r="B1829" t="s">
        <v>2470</v>
      </c>
      <c r="C1829" t="s">
        <v>2590</v>
      </c>
      <c r="D1829">
        <v>2016</v>
      </c>
      <c r="E1829">
        <v>6</v>
      </c>
    </row>
    <row r="1830" spans="1:5" x14ac:dyDescent="0.25">
      <c r="A1830" t="s">
        <v>424</v>
      </c>
      <c r="B1830" t="s">
        <v>2470</v>
      </c>
      <c r="C1830" t="s">
        <v>2585</v>
      </c>
      <c r="D1830">
        <v>2016</v>
      </c>
      <c r="E1830">
        <v>145</v>
      </c>
    </row>
    <row r="1831" spans="1:5" x14ac:dyDescent="0.25">
      <c r="A1831" t="s">
        <v>424</v>
      </c>
      <c r="B1831" t="s">
        <v>2470</v>
      </c>
      <c r="C1831" t="s">
        <v>2586</v>
      </c>
      <c r="D1831">
        <v>2016</v>
      </c>
      <c r="E1831">
        <v>219</v>
      </c>
    </row>
    <row r="1832" spans="1:5" x14ac:dyDescent="0.25">
      <c r="A1832" t="s">
        <v>424</v>
      </c>
      <c r="B1832" t="s">
        <v>2470</v>
      </c>
      <c r="C1832" t="s">
        <v>2587</v>
      </c>
      <c r="D1832">
        <v>2016</v>
      </c>
      <c r="E1832">
        <v>90</v>
      </c>
    </row>
    <row r="1833" spans="1:5" x14ac:dyDescent="0.25">
      <c r="A1833" t="s">
        <v>424</v>
      </c>
      <c r="B1833" t="s">
        <v>2470</v>
      </c>
      <c r="C1833" t="s">
        <v>2588</v>
      </c>
      <c r="D1833">
        <v>2016</v>
      </c>
      <c r="E1833">
        <v>16</v>
      </c>
    </row>
    <row r="1834" spans="1:5" x14ac:dyDescent="0.25">
      <c r="A1834" t="s">
        <v>424</v>
      </c>
      <c r="B1834" t="s">
        <v>2470</v>
      </c>
      <c r="C1834" t="s">
        <v>2589</v>
      </c>
      <c r="D1834">
        <v>2016</v>
      </c>
      <c r="E1834">
        <v>153</v>
      </c>
    </row>
    <row r="1835" spans="1:5" x14ac:dyDescent="0.25">
      <c r="A1835" t="s">
        <v>424</v>
      </c>
      <c r="B1835" t="s">
        <v>2470</v>
      </c>
      <c r="C1835" t="s">
        <v>2584</v>
      </c>
      <c r="D1835">
        <v>2015</v>
      </c>
      <c r="E1835">
        <v>108</v>
      </c>
    </row>
    <row r="1836" spans="1:5" x14ac:dyDescent="0.25">
      <c r="A1836" t="s">
        <v>424</v>
      </c>
      <c r="B1836" t="s">
        <v>2470</v>
      </c>
      <c r="C1836" t="s">
        <v>2590</v>
      </c>
      <c r="D1836">
        <v>2015</v>
      </c>
      <c r="E1836">
        <v>7</v>
      </c>
    </row>
    <row r="1837" spans="1:5" x14ac:dyDescent="0.25">
      <c r="A1837" t="s">
        <v>424</v>
      </c>
      <c r="B1837" t="s">
        <v>2470</v>
      </c>
      <c r="C1837" t="s">
        <v>2585</v>
      </c>
      <c r="D1837">
        <v>2015</v>
      </c>
      <c r="E1837">
        <v>162</v>
      </c>
    </row>
    <row r="1838" spans="1:5" x14ac:dyDescent="0.25">
      <c r="A1838" t="s">
        <v>424</v>
      </c>
      <c r="B1838" t="s">
        <v>2470</v>
      </c>
      <c r="C1838" t="s">
        <v>2586</v>
      </c>
      <c r="D1838">
        <v>2015</v>
      </c>
      <c r="E1838">
        <v>238</v>
      </c>
    </row>
    <row r="1839" spans="1:5" x14ac:dyDescent="0.25">
      <c r="A1839" t="s">
        <v>424</v>
      </c>
      <c r="B1839" t="s">
        <v>2470</v>
      </c>
      <c r="C1839" t="s">
        <v>2587</v>
      </c>
      <c r="D1839">
        <v>2015</v>
      </c>
      <c r="E1839">
        <v>99</v>
      </c>
    </row>
    <row r="1840" spans="1:5" x14ac:dyDescent="0.25">
      <c r="A1840" t="s">
        <v>424</v>
      </c>
      <c r="B1840" t="s">
        <v>2470</v>
      </c>
      <c r="C1840" t="s">
        <v>2591</v>
      </c>
      <c r="D1840">
        <v>2015</v>
      </c>
      <c r="E1840">
        <v>2</v>
      </c>
    </row>
    <row r="1841" spans="1:5" x14ac:dyDescent="0.25">
      <c r="A1841" t="s">
        <v>424</v>
      </c>
      <c r="B1841" t="s">
        <v>2470</v>
      </c>
      <c r="C1841" t="s">
        <v>2592</v>
      </c>
      <c r="D1841">
        <v>2015</v>
      </c>
      <c r="E1841">
        <v>1</v>
      </c>
    </row>
    <row r="1842" spans="1:5" x14ac:dyDescent="0.25">
      <c r="A1842" t="s">
        <v>424</v>
      </c>
      <c r="B1842" t="s">
        <v>2470</v>
      </c>
      <c r="C1842" t="s">
        <v>2588</v>
      </c>
      <c r="D1842">
        <v>2015</v>
      </c>
      <c r="E1842">
        <v>13</v>
      </c>
    </row>
    <row r="1843" spans="1:5" x14ac:dyDescent="0.25">
      <c r="A1843" t="s">
        <v>424</v>
      </c>
      <c r="B1843" t="s">
        <v>2470</v>
      </c>
      <c r="C1843" t="s">
        <v>2589</v>
      </c>
      <c r="D1843">
        <v>2015</v>
      </c>
      <c r="E1843">
        <v>169</v>
      </c>
    </row>
    <row r="1844" spans="1:5" x14ac:dyDescent="0.25">
      <c r="A1844" t="s">
        <v>424</v>
      </c>
      <c r="B1844" t="s">
        <v>2470</v>
      </c>
      <c r="C1844" t="s">
        <v>2584</v>
      </c>
      <c r="D1844">
        <v>2014</v>
      </c>
      <c r="E1844">
        <v>120</v>
      </c>
    </row>
    <row r="1845" spans="1:5" x14ac:dyDescent="0.25">
      <c r="A1845" t="s">
        <v>424</v>
      </c>
      <c r="B1845" t="s">
        <v>2470</v>
      </c>
      <c r="C1845" t="s">
        <v>2590</v>
      </c>
      <c r="D1845">
        <v>2014</v>
      </c>
      <c r="E1845">
        <v>4</v>
      </c>
    </row>
    <row r="1846" spans="1:5" x14ac:dyDescent="0.25">
      <c r="A1846" t="s">
        <v>424</v>
      </c>
      <c r="B1846" t="s">
        <v>2470</v>
      </c>
      <c r="C1846" t="s">
        <v>2585</v>
      </c>
      <c r="D1846">
        <v>2014</v>
      </c>
      <c r="E1846">
        <v>161</v>
      </c>
    </row>
    <row r="1847" spans="1:5" x14ac:dyDescent="0.25">
      <c r="A1847" t="s">
        <v>424</v>
      </c>
      <c r="B1847" t="s">
        <v>2470</v>
      </c>
      <c r="C1847" t="s">
        <v>2586</v>
      </c>
      <c r="D1847">
        <v>2014</v>
      </c>
      <c r="E1847">
        <v>231</v>
      </c>
    </row>
    <row r="1848" spans="1:5" x14ac:dyDescent="0.25">
      <c r="A1848" t="s">
        <v>424</v>
      </c>
      <c r="B1848" t="s">
        <v>2470</v>
      </c>
      <c r="C1848" t="s">
        <v>2587</v>
      </c>
      <c r="D1848">
        <v>2014</v>
      </c>
      <c r="E1848">
        <v>123</v>
      </c>
    </row>
    <row r="1849" spans="1:5" x14ac:dyDescent="0.25">
      <c r="A1849" t="s">
        <v>424</v>
      </c>
      <c r="B1849" t="s">
        <v>2470</v>
      </c>
      <c r="C1849" t="s">
        <v>2591</v>
      </c>
      <c r="D1849">
        <v>2014</v>
      </c>
      <c r="E1849">
        <v>2</v>
      </c>
    </row>
    <row r="1850" spans="1:5" x14ac:dyDescent="0.25">
      <c r="A1850" t="s">
        <v>424</v>
      </c>
      <c r="B1850" t="s">
        <v>2470</v>
      </c>
      <c r="C1850" t="s">
        <v>2592</v>
      </c>
      <c r="D1850">
        <v>2014</v>
      </c>
      <c r="E1850">
        <v>1</v>
      </c>
    </row>
    <row r="1851" spans="1:5" x14ac:dyDescent="0.25">
      <c r="A1851" t="s">
        <v>424</v>
      </c>
      <c r="B1851" t="s">
        <v>2470</v>
      </c>
      <c r="C1851" t="s">
        <v>2588</v>
      </c>
      <c r="D1851">
        <v>2014</v>
      </c>
      <c r="E1851">
        <v>19</v>
      </c>
    </row>
    <row r="1852" spans="1:5" x14ac:dyDescent="0.25">
      <c r="A1852" t="s">
        <v>424</v>
      </c>
      <c r="B1852" t="s">
        <v>2470</v>
      </c>
      <c r="C1852" t="s">
        <v>2589</v>
      </c>
      <c r="D1852">
        <v>2014</v>
      </c>
      <c r="E1852">
        <v>187</v>
      </c>
    </row>
    <row r="1853" spans="1:5" x14ac:dyDescent="0.25">
      <c r="A1853" t="s">
        <v>424</v>
      </c>
      <c r="B1853" t="s">
        <v>2470</v>
      </c>
      <c r="C1853" t="s">
        <v>2584</v>
      </c>
      <c r="D1853">
        <v>2013</v>
      </c>
      <c r="E1853">
        <v>113</v>
      </c>
    </row>
    <row r="1854" spans="1:5" x14ac:dyDescent="0.25">
      <c r="A1854" t="s">
        <v>424</v>
      </c>
      <c r="B1854" t="s">
        <v>2470</v>
      </c>
      <c r="C1854" t="s">
        <v>2590</v>
      </c>
      <c r="D1854">
        <v>2013</v>
      </c>
      <c r="E1854">
        <v>13</v>
      </c>
    </row>
    <row r="1855" spans="1:5" x14ac:dyDescent="0.25">
      <c r="A1855" t="s">
        <v>424</v>
      </c>
      <c r="B1855" t="s">
        <v>2470</v>
      </c>
      <c r="C1855" t="s">
        <v>2585</v>
      </c>
      <c r="D1855">
        <v>2013</v>
      </c>
      <c r="E1855">
        <v>185</v>
      </c>
    </row>
    <row r="1856" spans="1:5" x14ac:dyDescent="0.25">
      <c r="A1856" t="s">
        <v>424</v>
      </c>
      <c r="B1856" t="s">
        <v>2470</v>
      </c>
      <c r="C1856" t="s">
        <v>2586</v>
      </c>
      <c r="D1856">
        <v>2013</v>
      </c>
      <c r="E1856">
        <v>135</v>
      </c>
    </row>
    <row r="1857" spans="1:5" x14ac:dyDescent="0.25">
      <c r="A1857" t="s">
        <v>424</v>
      </c>
      <c r="B1857" t="s">
        <v>2470</v>
      </c>
      <c r="C1857" t="s">
        <v>2587</v>
      </c>
      <c r="D1857">
        <v>2013</v>
      </c>
      <c r="E1857">
        <v>137</v>
      </c>
    </row>
    <row r="1858" spans="1:5" x14ac:dyDescent="0.25">
      <c r="A1858" t="s">
        <v>424</v>
      </c>
      <c r="B1858" t="s">
        <v>2470</v>
      </c>
      <c r="C1858" t="s">
        <v>2591</v>
      </c>
      <c r="D1858">
        <v>2013</v>
      </c>
      <c r="E1858">
        <v>3</v>
      </c>
    </row>
    <row r="1859" spans="1:5" x14ac:dyDescent="0.25">
      <c r="A1859" t="s">
        <v>424</v>
      </c>
      <c r="B1859" t="s">
        <v>2470</v>
      </c>
      <c r="C1859" t="s">
        <v>2592</v>
      </c>
      <c r="D1859">
        <v>2013</v>
      </c>
      <c r="E1859">
        <v>12</v>
      </c>
    </row>
    <row r="1860" spans="1:5" x14ac:dyDescent="0.25">
      <c r="A1860" t="s">
        <v>424</v>
      </c>
      <c r="B1860" t="s">
        <v>2470</v>
      </c>
      <c r="C1860" t="s">
        <v>2588</v>
      </c>
      <c r="D1860">
        <v>2013</v>
      </c>
      <c r="E1860">
        <v>24</v>
      </c>
    </row>
    <row r="1861" spans="1:5" x14ac:dyDescent="0.25">
      <c r="A1861" t="s">
        <v>424</v>
      </c>
      <c r="B1861" t="s">
        <v>2470</v>
      </c>
      <c r="C1861" t="s">
        <v>2589</v>
      </c>
      <c r="D1861">
        <v>2013</v>
      </c>
      <c r="E1861">
        <v>207</v>
      </c>
    </row>
    <row r="1862" spans="1:5" x14ac:dyDescent="0.25">
      <c r="A1862" t="s">
        <v>424</v>
      </c>
      <c r="B1862" t="s">
        <v>2470</v>
      </c>
      <c r="C1862" t="s">
        <v>2584</v>
      </c>
      <c r="D1862">
        <v>2012</v>
      </c>
      <c r="E1862">
        <v>113</v>
      </c>
    </row>
    <row r="1863" spans="1:5" x14ac:dyDescent="0.25">
      <c r="A1863" t="s">
        <v>424</v>
      </c>
      <c r="B1863" t="s">
        <v>2470</v>
      </c>
      <c r="C1863" t="s">
        <v>2590</v>
      </c>
      <c r="D1863">
        <v>2012</v>
      </c>
      <c r="E1863">
        <v>48</v>
      </c>
    </row>
    <row r="1864" spans="1:5" x14ac:dyDescent="0.25">
      <c r="A1864" t="s">
        <v>424</v>
      </c>
      <c r="B1864" t="s">
        <v>2470</v>
      </c>
      <c r="C1864" t="s">
        <v>2585</v>
      </c>
      <c r="D1864">
        <v>2012</v>
      </c>
      <c r="E1864">
        <v>180</v>
      </c>
    </row>
    <row r="1865" spans="1:5" x14ac:dyDescent="0.25">
      <c r="A1865" t="s">
        <v>424</v>
      </c>
      <c r="B1865" t="s">
        <v>2470</v>
      </c>
      <c r="C1865" t="s">
        <v>2586</v>
      </c>
      <c r="D1865">
        <v>2012</v>
      </c>
      <c r="E1865">
        <v>128</v>
      </c>
    </row>
    <row r="1866" spans="1:5" x14ac:dyDescent="0.25">
      <c r="A1866" t="s">
        <v>424</v>
      </c>
      <c r="B1866" t="s">
        <v>2470</v>
      </c>
      <c r="C1866" t="s">
        <v>2587</v>
      </c>
      <c r="D1866">
        <v>2012</v>
      </c>
      <c r="E1866">
        <v>82</v>
      </c>
    </row>
    <row r="1867" spans="1:5" x14ac:dyDescent="0.25">
      <c r="A1867" t="s">
        <v>424</v>
      </c>
      <c r="B1867" t="s">
        <v>2470</v>
      </c>
      <c r="C1867" t="s">
        <v>2591</v>
      </c>
      <c r="D1867">
        <v>2012</v>
      </c>
      <c r="E1867">
        <v>4</v>
      </c>
    </row>
    <row r="1868" spans="1:5" x14ac:dyDescent="0.25">
      <c r="A1868" t="s">
        <v>424</v>
      </c>
      <c r="B1868" t="s">
        <v>2470</v>
      </c>
      <c r="C1868" t="s">
        <v>2592</v>
      </c>
      <c r="D1868">
        <v>2012</v>
      </c>
      <c r="E1868">
        <v>18</v>
      </c>
    </row>
    <row r="1869" spans="1:5" x14ac:dyDescent="0.25">
      <c r="A1869" t="s">
        <v>424</v>
      </c>
      <c r="B1869" t="s">
        <v>2470</v>
      </c>
      <c r="C1869" t="s">
        <v>2588</v>
      </c>
      <c r="D1869">
        <v>2012</v>
      </c>
      <c r="E1869">
        <v>23</v>
      </c>
    </row>
    <row r="1870" spans="1:5" x14ac:dyDescent="0.25">
      <c r="A1870" t="s">
        <v>424</v>
      </c>
      <c r="B1870" t="s">
        <v>2470</v>
      </c>
      <c r="C1870" t="s">
        <v>2589</v>
      </c>
      <c r="D1870">
        <v>2012</v>
      </c>
      <c r="E1870">
        <v>221</v>
      </c>
    </row>
    <row r="1871" spans="1:5" x14ac:dyDescent="0.25">
      <c r="A1871" t="s">
        <v>424</v>
      </c>
      <c r="B1871" t="s">
        <v>2470</v>
      </c>
      <c r="C1871" t="s">
        <v>2584</v>
      </c>
      <c r="D1871">
        <v>2011</v>
      </c>
      <c r="E1871">
        <v>107</v>
      </c>
    </row>
    <row r="1872" spans="1:5" x14ac:dyDescent="0.25">
      <c r="A1872" t="s">
        <v>424</v>
      </c>
      <c r="B1872" t="s">
        <v>2470</v>
      </c>
      <c r="C1872" t="s">
        <v>2590</v>
      </c>
      <c r="D1872">
        <v>2011</v>
      </c>
      <c r="E1872">
        <v>13</v>
      </c>
    </row>
    <row r="1873" spans="1:5" x14ac:dyDescent="0.25">
      <c r="A1873" t="s">
        <v>424</v>
      </c>
      <c r="B1873" t="s">
        <v>2470</v>
      </c>
      <c r="C1873" t="s">
        <v>2593</v>
      </c>
      <c r="D1873">
        <v>2011</v>
      </c>
      <c r="E1873">
        <v>6</v>
      </c>
    </row>
    <row r="1874" spans="1:5" x14ac:dyDescent="0.25">
      <c r="A1874" t="s">
        <v>424</v>
      </c>
      <c r="B1874" t="s">
        <v>2470</v>
      </c>
      <c r="C1874" t="s">
        <v>2585</v>
      </c>
      <c r="D1874">
        <v>2011</v>
      </c>
      <c r="E1874">
        <v>177</v>
      </c>
    </row>
    <row r="1875" spans="1:5" x14ac:dyDescent="0.25">
      <c r="A1875" t="s">
        <v>424</v>
      </c>
      <c r="B1875" t="s">
        <v>2470</v>
      </c>
      <c r="C1875" t="s">
        <v>2586</v>
      </c>
      <c r="D1875">
        <v>2011</v>
      </c>
      <c r="E1875">
        <v>130</v>
      </c>
    </row>
    <row r="1876" spans="1:5" x14ac:dyDescent="0.25">
      <c r="A1876" t="s">
        <v>424</v>
      </c>
      <c r="B1876" t="s">
        <v>2470</v>
      </c>
      <c r="C1876" t="s">
        <v>2587</v>
      </c>
      <c r="D1876">
        <v>2011</v>
      </c>
      <c r="E1876">
        <v>126</v>
      </c>
    </row>
    <row r="1877" spans="1:5" x14ac:dyDescent="0.25">
      <c r="A1877" t="s">
        <v>424</v>
      </c>
      <c r="B1877" t="s">
        <v>2470</v>
      </c>
      <c r="C1877" t="s">
        <v>2591</v>
      </c>
      <c r="D1877">
        <v>2011</v>
      </c>
      <c r="E1877">
        <v>10</v>
      </c>
    </row>
    <row r="1878" spans="1:5" x14ac:dyDescent="0.25">
      <c r="A1878" t="s">
        <v>424</v>
      </c>
      <c r="B1878" t="s">
        <v>2470</v>
      </c>
      <c r="C1878" t="s">
        <v>2592</v>
      </c>
      <c r="D1878">
        <v>2011</v>
      </c>
      <c r="E1878">
        <v>39</v>
      </c>
    </row>
    <row r="1879" spans="1:5" x14ac:dyDescent="0.25">
      <c r="A1879" t="s">
        <v>424</v>
      </c>
      <c r="B1879" t="s">
        <v>2470</v>
      </c>
      <c r="C1879" t="s">
        <v>2588</v>
      </c>
      <c r="D1879">
        <v>2011</v>
      </c>
      <c r="E1879">
        <v>27</v>
      </c>
    </row>
    <row r="1880" spans="1:5" x14ac:dyDescent="0.25">
      <c r="A1880" t="s">
        <v>424</v>
      </c>
      <c r="B1880" t="s">
        <v>2470</v>
      </c>
      <c r="C1880" t="s">
        <v>2594</v>
      </c>
      <c r="D1880">
        <v>2011</v>
      </c>
      <c r="E1880">
        <v>1</v>
      </c>
    </row>
    <row r="1881" spans="1:5" x14ac:dyDescent="0.25">
      <c r="A1881" t="s">
        <v>424</v>
      </c>
      <c r="B1881" t="s">
        <v>2470</v>
      </c>
      <c r="C1881" t="s">
        <v>2589</v>
      </c>
      <c r="D1881">
        <v>2011</v>
      </c>
      <c r="E1881">
        <v>270</v>
      </c>
    </row>
    <row r="1882" spans="1:5" x14ac:dyDescent="0.25">
      <c r="A1882" t="s">
        <v>424</v>
      </c>
      <c r="B1882" t="s">
        <v>2470</v>
      </c>
      <c r="C1882" t="s">
        <v>2584</v>
      </c>
      <c r="D1882">
        <v>2010</v>
      </c>
      <c r="E1882">
        <v>54</v>
      </c>
    </row>
    <row r="1883" spans="1:5" x14ac:dyDescent="0.25">
      <c r="A1883" t="s">
        <v>424</v>
      </c>
      <c r="B1883" t="s">
        <v>2470</v>
      </c>
      <c r="C1883" t="s">
        <v>2590</v>
      </c>
      <c r="D1883">
        <v>2010</v>
      </c>
      <c r="E1883">
        <v>21</v>
      </c>
    </row>
    <row r="1884" spans="1:5" x14ac:dyDescent="0.25">
      <c r="A1884" t="s">
        <v>424</v>
      </c>
      <c r="B1884" t="s">
        <v>2470</v>
      </c>
      <c r="C1884" t="s">
        <v>2593</v>
      </c>
      <c r="D1884">
        <v>2010</v>
      </c>
      <c r="E1884">
        <v>10</v>
      </c>
    </row>
    <row r="1885" spans="1:5" x14ac:dyDescent="0.25">
      <c r="A1885" t="s">
        <v>424</v>
      </c>
      <c r="B1885" t="s">
        <v>2470</v>
      </c>
      <c r="C1885" t="s">
        <v>2585</v>
      </c>
      <c r="D1885">
        <v>2010</v>
      </c>
      <c r="E1885">
        <v>178</v>
      </c>
    </row>
    <row r="1886" spans="1:5" x14ac:dyDescent="0.25">
      <c r="A1886" t="s">
        <v>424</v>
      </c>
      <c r="B1886" t="s">
        <v>2470</v>
      </c>
      <c r="C1886" t="s">
        <v>2586</v>
      </c>
      <c r="D1886">
        <v>2010</v>
      </c>
      <c r="E1886">
        <v>110</v>
      </c>
    </row>
    <row r="1887" spans="1:5" x14ac:dyDescent="0.25">
      <c r="A1887" t="s">
        <v>424</v>
      </c>
      <c r="B1887" t="s">
        <v>2470</v>
      </c>
      <c r="C1887" t="s">
        <v>2587</v>
      </c>
      <c r="D1887">
        <v>2010</v>
      </c>
      <c r="E1887">
        <v>154</v>
      </c>
    </row>
    <row r="1888" spans="1:5" x14ac:dyDescent="0.25">
      <c r="A1888" t="s">
        <v>424</v>
      </c>
      <c r="B1888" t="s">
        <v>2470</v>
      </c>
      <c r="C1888" t="s">
        <v>2591</v>
      </c>
      <c r="D1888">
        <v>2010</v>
      </c>
      <c r="E1888">
        <v>26</v>
      </c>
    </row>
    <row r="1889" spans="1:5" x14ac:dyDescent="0.25">
      <c r="A1889" t="s">
        <v>424</v>
      </c>
      <c r="B1889" t="s">
        <v>2470</v>
      </c>
      <c r="C1889" t="s">
        <v>2592</v>
      </c>
      <c r="D1889">
        <v>2010</v>
      </c>
      <c r="E1889">
        <v>87</v>
      </c>
    </row>
    <row r="1890" spans="1:5" x14ac:dyDescent="0.25">
      <c r="A1890" t="s">
        <v>424</v>
      </c>
      <c r="B1890" t="s">
        <v>2470</v>
      </c>
      <c r="C1890" t="s">
        <v>2588</v>
      </c>
      <c r="D1890">
        <v>2010</v>
      </c>
      <c r="E1890">
        <v>28</v>
      </c>
    </row>
    <row r="1891" spans="1:5" x14ac:dyDescent="0.25">
      <c r="A1891" t="s">
        <v>424</v>
      </c>
      <c r="B1891" t="s">
        <v>2470</v>
      </c>
      <c r="C1891" t="s">
        <v>2594</v>
      </c>
      <c r="D1891">
        <v>2010</v>
      </c>
      <c r="E1891">
        <v>2</v>
      </c>
    </row>
    <row r="1892" spans="1:5" x14ac:dyDescent="0.25">
      <c r="A1892" t="s">
        <v>424</v>
      </c>
      <c r="B1892" t="s">
        <v>2470</v>
      </c>
      <c r="C1892" t="s">
        <v>2589</v>
      </c>
      <c r="D1892">
        <v>2010</v>
      </c>
      <c r="E1892">
        <v>299</v>
      </c>
    </row>
    <row r="1893" spans="1:5" x14ac:dyDescent="0.25">
      <c r="A1893" t="s">
        <v>424</v>
      </c>
      <c r="B1893" t="s">
        <v>2470</v>
      </c>
      <c r="C1893" t="s">
        <v>2590</v>
      </c>
      <c r="D1893">
        <v>2009</v>
      </c>
      <c r="E1893">
        <v>29</v>
      </c>
    </row>
    <row r="1894" spans="1:5" x14ac:dyDescent="0.25">
      <c r="A1894" t="s">
        <v>424</v>
      </c>
      <c r="B1894" t="s">
        <v>2470</v>
      </c>
      <c r="C1894" t="s">
        <v>2593</v>
      </c>
      <c r="D1894">
        <v>2009</v>
      </c>
      <c r="E1894">
        <v>18</v>
      </c>
    </row>
    <row r="1895" spans="1:5" x14ac:dyDescent="0.25">
      <c r="A1895" t="s">
        <v>424</v>
      </c>
      <c r="B1895" t="s">
        <v>2470</v>
      </c>
      <c r="C1895" t="s">
        <v>2585</v>
      </c>
      <c r="D1895">
        <v>2009</v>
      </c>
      <c r="E1895">
        <v>165</v>
      </c>
    </row>
    <row r="1896" spans="1:5" x14ac:dyDescent="0.25">
      <c r="A1896" t="s">
        <v>424</v>
      </c>
      <c r="B1896" t="s">
        <v>2470</v>
      </c>
      <c r="C1896" t="s">
        <v>2586</v>
      </c>
      <c r="D1896">
        <v>2009</v>
      </c>
      <c r="E1896">
        <v>91</v>
      </c>
    </row>
    <row r="1897" spans="1:5" x14ac:dyDescent="0.25">
      <c r="A1897" t="s">
        <v>424</v>
      </c>
      <c r="B1897" t="s">
        <v>2470</v>
      </c>
      <c r="C1897" t="s">
        <v>2587</v>
      </c>
      <c r="D1897">
        <v>2009</v>
      </c>
      <c r="E1897">
        <v>154</v>
      </c>
    </row>
    <row r="1898" spans="1:5" x14ac:dyDescent="0.25">
      <c r="A1898" t="s">
        <v>424</v>
      </c>
      <c r="B1898" t="s">
        <v>2470</v>
      </c>
      <c r="C1898" t="s">
        <v>2591</v>
      </c>
      <c r="D1898">
        <v>2009</v>
      </c>
      <c r="E1898">
        <v>69</v>
      </c>
    </row>
    <row r="1899" spans="1:5" x14ac:dyDescent="0.25">
      <c r="A1899" t="s">
        <v>424</v>
      </c>
      <c r="B1899" t="s">
        <v>2470</v>
      </c>
      <c r="C1899" t="s">
        <v>2592</v>
      </c>
      <c r="D1899">
        <v>2009</v>
      </c>
      <c r="E1899">
        <v>127</v>
      </c>
    </row>
    <row r="1900" spans="1:5" x14ac:dyDescent="0.25">
      <c r="A1900" t="s">
        <v>424</v>
      </c>
      <c r="B1900" t="s">
        <v>2470</v>
      </c>
      <c r="C1900" t="s">
        <v>2588</v>
      </c>
      <c r="D1900">
        <v>2009</v>
      </c>
      <c r="E1900">
        <v>24</v>
      </c>
    </row>
    <row r="1901" spans="1:5" x14ac:dyDescent="0.25">
      <c r="A1901" t="s">
        <v>424</v>
      </c>
      <c r="B1901" t="s">
        <v>2470</v>
      </c>
      <c r="C1901" t="s">
        <v>2594</v>
      </c>
      <c r="D1901">
        <v>2009</v>
      </c>
      <c r="E1901">
        <v>5</v>
      </c>
    </row>
    <row r="1902" spans="1:5" x14ac:dyDescent="0.25">
      <c r="A1902" t="s">
        <v>424</v>
      </c>
      <c r="B1902" t="s">
        <v>2470</v>
      </c>
      <c r="C1902" t="s">
        <v>2589</v>
      </c>
      <c r="D1902">
        <v>2009</v>
      </c>
      <c r="E1902">
        <v>289</v>
      </c>
    </row>
    <row r="1903" spans="1:5" x14ac:dyDescent="0.25">
      <c r="A1903" t="s">
        <v>424</v>
      </c>
      <c r="B1903" t="s">
        <v>2470</v>
      </c>
      <c r="C1903" t="s">
        <v>2590</v>
      </c>
      <c r="D1903">
        <v>2008</v>
      </c>
      <c r="E1903">
        <v>35</v>
      </c>
    </row>
    <row r="1904" spans="1:5" x14ac:dyDescent="0.25">
      <c r="A1904" t="s">
        <v>424</v>
      </c>
      <c r="B1904" t="s">
        <v>2470</v>
      </c>
      <c r="C1904" t="s">
        <v>2593</v>
      </c>
      <c r="D1904">
        <v>2008</v>
      </c>
      <c r="E1904">
        <v>29</v>
      </c>
    </row>
    <row r="1905" spans="1:5" x14ac:dyDescent="0.25">
      <c r="A1905" t="s">
        <v>424</v>
      </c>
      <c r="B1905" t="s">
        <v>2470</v>
      </c>
      <c r="C1905" t="s">
        <v>2585</v>
      </c>
      <c r="D1905">
        <v>2008</v>
      </c>
      <c r="E1905">
        <v>138</v>
      </c>
    </row>
    <row r="1906" spans="1:5" x14ac:dyDescent="0.25">
      <c r="A1906" t="s">
        <v>424</v>
      </c>
      <c r="B1906" t="s">
        <v>2470</v>
      </c>
      <c r="C1906" t="s">
        <v>2586</v>
      </c>
      <c r="D1906">
        <v>2008</v>
      </c>
      <c r="E1906">
        <v>63</v>
      </c>
    </row>
    <row r="1907" spans="1:5" x14ac:dyDescent="0.25">
      <c r="A1907" t="s">
        <v>424</v>
      </c>
      <c r="B1907" t="s">
        <v>2470</v>
      </c>
      <c r="C1907" t="s">
        <v>2587</v>
      </c>
      <c r="D1907">
        <v>2008</v>
      </c>
      <c r="E1907">
        <v>160</v>
      </c>
    </row>
    <row r="1908" spans="1:5" x14ac:dyDescent="0.25">
      <c r="A1908" t="s">
        <v>424</v>
      </c>
      <c r="B1908" t="s">
        <v>2470</v>
      </c>
      <c r="C1908" t="s">
        <v>2591</v>
      </c>
      <c r="D1908">
        <v>2008</v>
      </c>
      <c r="E1908">
        <v>210</v>
      </c>
    </row>
    <row r="1909" spans="1:5" x14ac:dyDescent="0.25">
      <c r="A1909" t="s">
        <v>424</v>
      </c>
      <c r="B1909" t="s">
        <v>2470</v>
      </c>
      <c r="C1909" t="s">
        <v>2592</v>
      </c>
      <c r="D1909">
        <v>2008</v>
      </c>
      <c r="E1909">
        <v>107</v>
      </c>
    </row>
    <row r="1910" spans="1:5" x14ac:dyDescent="0.25">
      <c r="A1910" t="s">
        <v>424</v>
      </c>
      <c r="B1910" t="s">
        <v>2470</v>
      </c>
      <c r="C1910" t="s">
        <v>2588</v>
      </c>
      <c r="D1910">
        <v>2008</v>
      </c>
      <c r="E1910">
        <v>19</v>
      </c>
    </row>
    <row r="1911" spans="1:5" x14ac:dyDescent="0.25">
      <c r="A1911" t="s">
        <v>424</v>
      </c>
      <c r="B1911" t="s">
        <v>2470</v>
      </c>
      <c r="C1911" t="s">
        <v>2594</v>
      </c>
      <c r="D1911">
        <v>2008</v>
      </c>
      <c r="E1911">
        <v>13</v>
      </c>
    </row>
    <row r="1912" spans="1:5" x14ac:dyDescent="0.25">
      <c r="A1912" t="s">
        <v>424</v>
      </c>
      <c r="B1912" t="s">
        <v>2470</v>
      </c>
      <c r="C1912" t="s">
        <v>2589</v>
      </c>
      <c r="D1912">
        <v>2008</v>
      </c>
      <c r="E1912">
        <v>147</v>
      </c>
    </row>
    <row r="1913" spans="1:5" x14ac:dyDescent="0.25">
      <c r="A1913" t="s">
        <v>424</v>
      </c>
      <c r="B1913" t="s">
        <v>2505</v>
      </c>
      <c r="C1913" t="s">
        <v>2584</v>
      </c>
      <c r="D1913">
        <v>2019</v>
      </c>
      <c r="E1913">
        <v>13</v>
      </c>
    </row>
    <row r="1914" spans="1:5" x14ac:dyDescent="0.25">
      <c r="A1914" t="s">
        <v>424</v>
      </c>
      <c r="B1914" t="s">
        <v>2505</v>
      </c>
      <c r="C1914" t="s">
        <v>2585</v>
      </c>
      <c r="D1914">
        <v>2019</v>
      </c>
      <c r="E1914">
        <v>14</v>
      </c>
    </row>
    <row r="1915" spans="1:5" x14ac:dyDescent="0.25">
      <c r="A1915" t="s">
        <v>424</v>
      </c>
      <c r="B1915" t="s">
        <v>2505</v>
      </c>
      <c r="C1915" t="s">
        <v>2586</v>
      </c>
      <c r="D1915">
        <v>2019</v>
      </c>
      <c r="E1915">
        <v>13</v>
      </c>
    </row>
    <row r="1916" spans="1:5" x14ac:dyDescent="0.25">
      <c r="A1916" t="s">
        <v>424</v>
      </c>
      <c r="B1916" t="s">
        <v>2505</v>
      </c>
      <c r="C1916" t="s">
        <v>2591</v>
      </c>
      <c r="D1916">
        <v>2019</v>
      </c>
      <c r="E1916">
        <v>4</v>
      </c>
    </row>
    <row r="1917" spans="1:5" x14ac:dyDescent="0.25">
      <c r="A1917" t="s">
        <v>424</v>
      </c>
      <c r="B1917" t="s">
        <v>2505</v>
      </c>
      <c r="C1917" t="s">
        <v>2595</v>
      </c>
      <c r="D1917">
        <v>2019</v>
      </c>
      <c r="E1917">
        <v>22</v>
      </c>
    </row>
    <row r="1918" spans="1:5" x14ac:dyDescent="0.25">
      <c r="A1918" t="s">
        <v>424</v>
      </c>
      <c r="B1918" t="s">
        <v>2505</v>
      </c>
      <c r="C1918" t="s">
        <v>2589</v>
      </c>
      <c r="D1918">
        <v>2019</v>
      </c>
      <c r="E1918">
        <v>14</v>
      </c>
    </row>
    <row r="1919" spans="1:5" x14ac:dyDescent="0.25">
      <c r="A1919" t="s">
        <v>424</v>
      </c>
      <c r="B1919" t="s">
        <v>2505</v>
      </c>
      <c r="C1919" t="s">
        <v>2584</v>
      </c>
      <c r="D1919">
        <v>2018</v>
      </c>
      <c r="E1919">
        <v>11</v>
      </c>
    </row>
    <row r="1920" spans="1:5" x14ac:dyDescent="0.25">
      <c r="A1920" t="s">
        <v>424</v>
      </c>
      <c r="B1920" t="s">
        <v>2505</v>
      </c>
      <c r="C1920" t="s">
        <v>2585</v>
      </c>
      <c r="D1920">
        <v>2018</v>
      </c>
      <c r="E1920">
        <v>13</v>
      </c>
    </row>
    <row r="1921" spans="1:5" x14ac:dyDescent="0.25">
      <c r="A1921" t="s">
        <v>424</v>
      </c>
      <c r="B1921" t="s">
        <v>2505</v>
      </c>
      <c r="C1921" t="s">
        <v>2586</v>
      </c>
      <c r="D1921">
        <v>2018</v>
      </c>
      <c r="E1921">
        <v>13</v>
      </c>
    </row>
    <row r="1922" spans="1:5" x14ac:dyDescent="0.25">
      <c r="A1922" t="s">
        <v>424</v>
      </c>
      <c r="B1922" t="s">
        <v>2505</v>
      </c>
      <c r="C1922" t="s">
        <v>2587</v>
      </c>
      <c r="D1922">
        <v>2018</v>
      </c>
      <c r="E1922">
        <v>15</v>
      </c>
    </row>
    <row r="1923" spans="1:5" x14ac:dyDescent="0.25">
      <c r="A1923" t="s">
        <v>424</v>
      </c>
      <c r="B1923" t="s">
        <v>2505</v>
      </c>
      <c r="C1923" t="s">
        <v>2591</v>
      </c>
      <c r="D1923">
        <v>2018</v>
      </c>
      <c r="E1923">
        <v>3</v>
      </c>
    </row>
    <row r="1924" spans="1:5" x14ac:dyDescent="0.25">
      <c r="A1924" t="s">
        <v>424</v>
      </c>
      <c r="B1924" t="s">
        <v>2505</v>
      </c>
      <c r="C1924" t="s">
        <v>2595</v>
      </c>
      <c r="D1924">
        <v>2018</v>
      </c>
      <c r="E1924">
        <v>1</v>
      </c>
    </row>
    <row r="1925" spans="1:5" x14ac:dyDescent="0.25">
      <c r="A1925" t="s">
        <v>424</v>
      </c>
      <c r="B1925" t="s">
        <v>2505</v>
      </c>
      <c r="C1925" t="s">
        <v>2589</v>
      </c>
      <c r="D1925">
        <v>2018</v>
      </c>
      <c r="E1925">
        <v>14</v>
      </c>
    </row>
    <row r="1926" spans="1:5" x14ac:dyDescent="0.25">
      <c r="A1926" t="s">
        <v>424</v>
      </c>
      <c r="B1926" t="s">
        <v>2505</v>
      </c>
      <c r="C1926" t="s">
        <v>2584</v>
      </c>
      <c r="D1926">
        <v>2017</v>
      </c>
      <c r="E1926">
        <v>10</v>
      </c>
    </row>
    <row r="1927" spans="1:5" x14ac:dyDescent="0.25">
      <c r="A1927" t="s">
        <v>424</v>
      </c>
      <c r="B1927" t="s">
        <v>2505</v>
      </c>
      <c r="C1927" t="s">
        <v>2585</v>
      </c>
      <c r="D1927">
        <v>2017</v>
      </c>
      <c r="E1927">
        <v>15</v>
      </c>
    </row>
    <row r="1928" spans="1:5" x14ac:dyDescent="0.25">
      <c r="A1928" t="s">
        <v>424</v>
      </c>
      <c r="B1928" t="s">
        <v>2505</v>
      </c>
      <c r="C1928" t="s">
        <v>2586</v>
      </c>
      <c r="D1928">
        <v>2017</v>
      </c>
      <c r="E1928">
        <v>15</v>
      </c>
    </row>
    <row r="1929" spans="1:5" x14ac:dyDescent="0.25">
      <c r="A1929" t="s">
        <v>424</v>
      </c>
      <c r="B1929" t="s">
        <v>2505</v>
      </c>
      <c r="C1929" t="s">
        <v>2587</v>
      </c>
      <c r="D1929">
        <v>2017</v>
      </c>
      <c r="E1929">
        <v>20</v>
      </c>
    </row>
    <row r="1930" spans="1:5" x14ac:dyDescent="0.25">
      <c r="A1930" t="s">
        <v>424</v>
      </c>
      <c r="B1930" t="s">
        <v>2505</v>
      </c>
      <c r="C1930" t="s">
        <v>2589</v>
      </c>
      <c r="D1930">
        <v>2017</v>
      </c>
      <c r="E1930">
        <v>16</v>
      </c>
    </row>
    <row r="1931" spans="1:5" x14ac:dyDescent="0.25">
      <c r="A1931" t="s">
        <v>424</v>
      </c>
      <c r="B1931" t="s">
        <v>2505</v>
      </c>
      <c r="C1931" t="s">
        <v>2584</v>
      </c>
      <c r="D1931">
        <v>2016</v>
      </c>
      <c r="E1931">
        <v>12</v>
      </c>
    </row>
    <row r="1932" spans="1:5" x14ac:dyDescent="0.25">
      <c r="A1932" t="s">
        <v>424</v>
      </c>
      <c r="B1932" t="s">
        <v>2505</v>
      </c>
      <c r="C1932" t="s">
        <v>2585</v>
      </c>
      <c r="D1932">
        <v>2016</v>
      </c>
      <c r="E1932">
        <v>20</v>
      </c>
    </row>
    <row r="1933" spans="1:5" x14ac:dyDescent="0.25">
      <c r="A1933" t="s">
        <v>424</v>
      </c>
      <c r="B1933" t="s">
        <v>2505</v>
      </c>
      <c r="C1933" t="s">
        <v>2586</v>
      </c>
      <c r="D1933">
        <v>2016</v>
      </c>
      <c r="E1933">
        <v>14</v>
      </c>
    </row>
    <row r="1934" spans="1:5" x14ac:dyDescent="0.25">
      <c r="A1934" t="s">
        <v>424</v>
      </c>
      <c r="B1934" t="s">
        <v>2505</v>
      </c>
      <c r="C1934" t="s">
        <v>2587</v>
      </c>
      <c r="D1934">
        <v>2016</v>
      </c>
      <c r="E1934">
        <v>23</v>
      </c>
    </row>
    <row r="1935" spans="1:5" x14ac:dyDescent="0.25">
      <c r="A1935" t="s">
        <v>424</v>
      </c>
      <c r="B1935" t="s">
        <v>2505</v>
      </c>
      <c r="C1935" t="s">
        <v>2589</v>
      </c>
      <c r="D1935">
        <v>2016</v>
      </c>
      <c r="E1935">
        <v>19</v>
      </c>
    </row>
    <row r="1936" spans="1:5" x14ac:dyDescent="0.25">
      <c r="A1936" t="s">
        <v>424</v>
      </c>
      <c r="B1936" t="s">
        <v>2505</v>
      </c>
      <c r="C1936" t="s">
        <v>2584</v>
      </c>
      <c r="D1936">
        <v>2015</v>
      </c>
      <c r="E1936">
        <v>14</v>
      </c>
    </row>
    <row r="1937" spans="1:5" x14ac:dyDescent="0.25">
      <c r="A1937" t="s">
        <v>424</v>
      </c>
      <c r="B1937" t="s">
        <v>2505</v>
      </c>
      <c r="C1937" t="s">
        <v>2585</v>
      </c>
      <c r="D1937">
        <v>2015</v>
      </c>
      <c r="E1937">
        <v>19</v>
      </c>
    </row>
    <row r="1938" spans="1:5" x14ac:dyDescent="0.25">
      <c r="A1938" t="s">
        <v>424</v>
      </c>
      <c r="B1938" t="s">
        <v>2505</v>
      </c>
      <c r="C1938" t="s">
        <v>2586</v>
      </c>
      <c r="D1938">
        <v>2015</v>
      </c>
      <c r="E1938">
        <v>17</v>
      </c>
    </row>
    <row r="1939" spans="1:5" x14ac:dyDescent="0.25">
      <c r="A1939" t="s">
        <v>424</v>
      </c>
      <c r="B1939" t="s">
        <v>2505</v>
      </c>
      <c r="C1939" t="s">
        <v>2587</v>
      </c>
      <c r="D1939">
        <v>2015</v>
      </c>
      <c r="E1939">
        <v>22</v>
      </c>
    </row>
    <row r="1940" spans="1:5" x14ac:dyDescent="0.25">
      <c r="A1940" t="s">
        <v>424</v>
      </c>
      <c r="B1940" t="s">
        <v>2505</v>
      </c>
      <c r="C1940" t="s">
        <v>2591</v>
      </c>
      <c r="D1940">
        <v>2015</v>
      </c>
      <c r="E1940">
        <v>3</v>
      </c>
    </row>
    <row r="1941" spans="1:5" x14ac:dyDescent="0.25">
      <c r="A1941" t="s">
        <v>424</v>
      </c>
      <c r="B1941" t="s">
        <v>2505</v>
      </c>
      <c r="C1941" t="s">
        <v>2589</v>
      </c>
      <c r="D1941">
        <v>2015</v>
      </c>
      <c r="E1941">
        <v>16</v>
      </c>
    </row>
    <row r="1942" spans="1:5" x14ac:dyDescent="0.25">
      <c r="A1942" t="s">
        <v>424</v>
      </c>
      <c r="B1942" t="s">
        <v>2505</v>
      </c>
      <c r="C1942" t="s">
        <v>2584</v>
      </c>
      <c r="D1942">
        <v>2014</v>
      </c>
      <c r="E1942">
        <v>14</v>
      </c>
    </row>
    <row r="1943" spans="1:5" x14ac:dyDescent="0.25">
      <c r="A1943" t="s">
        <v>424</v>
      </c>
      <c r="B1943" t="s">
        <v>2505</v>
      </c>
      <c r="C1943" t="s">
        <v>2585</v>
      </c>
      <c r="D1943">
        <v>2014</v>
      </c>
      <c r="E1943">
        <v>17</v>
      </c>
    </row>
    <row r="1944" spans="1:5" x14ac:dyDescent="0.25">
      <c r="A1944" t="s">
        <v>424</v>
      </c>
      <c r="B1944" t="s">
        <v>2505</v>
      </c>
      <c r="C1944" t="s">
        <v>2586</v>
      </c>
      <c r="D1944">
        <v>2014</v>
      </c>
      <c r="E1944">
        <v>18</v>
      </c>
    </row>
    <row r="1945" spans="1:5" x14ac:dyDescent="0.25">
      <c r="A1945" t="s">
        <v>424</v>
      </c>
      <c r="B1945" t="s">
        <v>2505</v>
      </c>
      <c r="C1945" t="s">
        <v>2587</v>
      </c>
      <c r="D1945">
        <v>2014</v>
      </c>
      <c r="E1945">
        <v>17</v>
      </c>
    </row>
    <row r="1946" spans="1:5" x14ac:dyDescent="0.25">
      <c r="A1946" t="s">
        <v>424</v>
      </c>
      <c r="B1946" t="s">
        <v>2505</v>
      </c>
      <c r="C1946" t="s">
        <v>2591</v>
      </c>
      <c r="D1946">
        <v>2014</v>
      </c>
      <c r="E1946">
        <v>3</v>
      </c>
    </row>
    <row r="1947" spans="1:5" x14ac:dyDescent="0.25">
      <c r="A1947" t="s">
        <v>424</v>
      </c>
      <c r="B1947" t="s">
        <v>2505</v>
      </c>
      <c r="C1947" t="s">
        <v>2589</v>
      </c>
      <c r="D1947">
        <v>2014</v>
      </c>
      <c r="E1947">
        <v>15</v>
      </c>
    </row>
    <row r="1948" spans="1:5" x14ac:dyDescent="0.25">
      <c r="A1948" t="s">
        <v>424</v>
      </c>
      <c r="B1948" t="s">
        <v>2505</v>
      </c>
      <c r="C1948" t="s">
        <v>2584</v>
      </c>
      <c r="D1948">
        <v>2013</v>
      </c>
      <c r="E1948">
        <v>14</v>
      </c>
    </row>
    <row r="1949" spans="1:5" x14ac:dyDescent="0.25">
      <c r="A1949" t="s">
        <v>424</v>
      </c>
      <c r="B1949" t="s">
        <v>2505</v>
      </c>
      <c r="C1949" t="s">
        <v>2585</v>
      </c>
      <c r="D1949">
        <v>2013</v>
      </c>
      <c r="E1949">
        <v>22</v>
      </c>
    </row>
    <row r="1950" spans="1:5" x14ac:dyDescent="0.25">
      <c r="A1950" t="s">
        <v>424</v>
      </c>
      <c r="B1950" t="s">
        <v>2505</v>
      </c>
      <c r="C1950" t="s">
        <v>2586</v>
      </c>
      <c r="D1950">
        <v>2013</v>
      </c>
      <c r="E1950">
        <v>15</v>
      </c>
    </row>
    <row r="1951" spans="1:5" x14ac:dyDescent="0.25">
      <c r="A1951" t="s">
        <v>424</v>
      </c>
      <c r="B1951" t="s">
        <v>2505</v>
      </c>
      <c r="C1951" t="s">
        <v>2587</v>
      </c>
      <c r="D1951">
        <v>2013</v>
      </c>
      <c r="E1951">
        <v>16</v>
      </c>
    </row>
    <row r="1952" spans="1:5" x14ac:dyDescent="0.25">
      <c r="A1952" t="s">
        <v>424</v>
      </c>
      <c r="B1952" t="s">
        <v>2505</v>
      </c>
      <c r="C1952" t="s">
        <v>2591</v>
      </c>
      <c r="D1952">
        <v>2013</v>
      </c>
      <c r="E1952">
        <v>5</v>
      </c>
    </row>
    <row r="1953" spans="1:5" x14ac:dyDescent="0.25">
      <c r="A1953" t="s">
        <v>424</v>
      </c>
      <c r="B1953" t="s">
        <v>2505</v>
      </c>
      <c r="C1953" t="s">
        <v>2589</v>
      </c>
      <c r="D1953">
        <v>2013</v>
      </c>
      <c r="E1953">
        <v>14</v>
      </c>
    </row>
    <row r="1954" spans="1:5" x14ac:dyDescent="0.25">
      <c r="A1954" t="s">
        <v>424</v>
      </c>
      <c r="B1954" t="s">
        <v>2505</v>
      </c>
      <c r="C1954" t="s">
        <v>2584</v>
      </c>
      <c r="D1954">
        <v>2012</v>
      </c>
      <c r="E1954">
        <v>14</v>
      </c>
    </row>
    <row r="1955" spans="1:5" x14ac:dyDescent="0.25">
      <c r="A1955" t="s">
        <v>424</v>
      </c>
      <c r="B1955" t="s">
        <v>2505</v>
      </c>
      <c r="C1955" t="s">
        <v>2585</v>
      </c>
      <c r="D1955">
        <v>2012</v>
      </c>
      <c r="E1955">
        <v>17</v>
      </c>
    </row>
    <row r="1956" spans="1:5" x14ac:dyDescent="0.25">
      <c r="A1956" t="s">
        <v>424</v>
      </c>
      <c r="B1956" t="s">
        <v>2505</v>
      </c>
      <c r="C1956" t="s">
        <v>2586</v>
      </c>
      <c r="D1956">
        <v>2012</v>
      </c>
      <c r="E1956">
        <v>22</v>
      </c>
    </row>
    <row r="1957" spans="1:5" x14ac:dyDescent="0.25">
      <c r="A1957" t="s">
        <v>424</v>
      </c>
      <c r="B1957" t="s">
        <v>2505</v>
      </c>
      <c r="C1957" t="s">
        <v>2587</v>
      </c>
      <c r="D1957">
        <v>2012</v>
      </c>
      <c r="E1957">
        <v>16</v>
      </c>
    </row>
    <row r="1958" spans="1:5" x14ac:dyDescent="0.25">
      <c r="A1958" t="s">
        <v>424</v>
      </c>
      <c r="B1958" t="s">
        <v>2505</v>
      </c>
      <c r="C1958" t="s">
        <v>2591</v>
      </c>
      <c r="D1958">
        <v>2012</v>
      </c>
      <c r="E1958">
        <v>5</v>
      </c>
    </row>
    <row r="1959" spans="1:5" x14ac:dyDescent="0.25">
      <c r="A1959" t="s">
        <v>424</v>
      </c>
      <c r="B1959" t="s">
        <v>2505</v>
      </c>
      <c r="C1959" t="s">
        <v>2589</v>
      </c>
      <c r="D1959">
        <v>2012</v>
      </c>
      <c r="E1959">
        <v>15</v>
      </c>
    </row>
    <row r="1960" spans="1:5" x14ac:dyDescent="0.25">
      <c r="A1960" t="s">
        <v>424</v>
      </c>
      <c r="B1960" t="s">
        <v>2505</v>
      </c>
      <c r="C1960" t="s">
        <v>2584</v>
      </c>
      <c r="D1960">
        <v>2011</v>
      </c>
      <c r="E1960">
        <v>7</v>
      </c>
    </row>
    <row r="1961" spans="1:5" x14ac:dyDescent="0.25">
      <c r="A1961" t="s">
        <v>424</v>
      </c>
      <c r="B1961" t="s">
        <v>2505</v>
      </c>
      <c r="C1961" t="s">
        <v>2585</v>
      </c>
      <c r="D1961">
        <v>2011</v>
      </c>
      <c r="E1961">
        <v>26</v>
      </c>
    </row>
    <row r="1962" spans="1:5" x14ac:dyDescent="0.25">
      <c r="A1962" t="s">
        <v>424</v>
      </c>
      <c r="B1962" t="s">
        <v>2505</v>
      </c>
      <c r="C1962" t="s">
        <v>2586</v>
      </c>
      <c r="D1962">
        <v>2011</v>
      </c>
      <c r="E1962">
        <v>22</v>
      </c>
    </row>
    <row r="1963" spans="1:5" x14ac:dyDescent="0.25">
      <c r="A1963" t="s">
        <v>424</v>
      </c>
      <c r="B1963" t="s">
        <v>2505</v>
      </c>
      <c r="C1963" t="s">
        <v>2587</v>
      </c>
      <c r="D1963">
        <v>2011</v>
      </c>
      <c r="E1963">
        <v>16</v>
      </c>
    </row>
    <row r="1964" spans="1:5" x14ac:dyDescent="0.25">
      <c r="A1964" t="s">
        <v>424</v>
      </c>
      <c r="B1964" t="s">
        <v>2505</v>
      </c>
      <c r="C1964" t="s">
        <v>2591</v>
      </c>
      <c r="D1964">
        <v>2011</v>
      </c>
      <c r="E1964">
        <v>4</v>
      </c>
    </row>
    <row r="1965" spans="1:5" x14ac:dyDescent="0.25">
      <c r="A1965" t="s">
        <v>424</v>
      </c>
      <c r="B1965" t="s">
        <v>2505</v>
      </c>
      <c r="C1965" t="s">
        <v>2592</v>
      </c>
      <c r="D1965">
        <v>2011</v>
      </c>
      <c r="E1965">
        <v>10</v>
      </c>
    </row>
    <row r="1966" spans="1:5" x14ac:dyDescent="0.25">
      <c r="A1966" t="s">
        <v>424</v>
      </c>
      <c r="B1966" t="s">
        <v>2505</v>
      </c>
      <c r="C1966" t="s">
        <v>2589</v>
      </c>
      <c r="D1966">
        <v>2011</v>
      </c>
      <c r="E1966">
        <v>21</v>
      </c>
    </row>
    <row r="1967" spans="1:5" x14ac:dyDescent="0.25">
      <c r="A1967" t="s">
        <v>424</v>
      </c>
      <c r="B1967" t="s">
        <v>2505</v>
      </c>
      <c r="C1967" t="s">
        <v>2584</v>
      </c>
      <c r="D1967">
        <v>2010</v>
      </c>
      <c r="E1967">
        <v>2</v>
      </c>
    </row>
    <row r="1968" spans="1:5" x14ac:dyDescent="0.25">
      <c r="A1968" t="s">
        <v>424</v>
      </c>
      <c r="B1968" t="s">
        <v>2505</v>
      </c>
      <c r="C1968" t="s">
        <v>2585</v>
      </c>
      <c r="D1968">
        <v>2010</v>
      </c>
      <c r="E1968">
        <v>31</v>
      </c>
    </row>
    <row r="1969" spans="1:5" x14ac:dyDescent="0.25">
      <c r="A1969" t="s">
        <v>424</v>
      </c>
      <c r="B1969" t="s">
        <v>2505</v>
      </c>
      <c r="C1969" t="s">
        <v>2586</v>
      </c>
      <c r="D1969">
        <v>2010</v>
      </c>
      <c r="E1969">
        <v>1</v>
      </c>
    </row>
    <row r="1970" spans="1:5" x14ac:dyDescent="0.25">
      <c r="A1970" t="s">
        <v>424</v>
      </c>
      <c r="B1970" t="s">
        <v>2505</v>
      </c>
      <c r="C1970" t="s">
        <v>2587</v>
      </c>
      <c r="D1970">
        <v>2010</v>
      </c>
      <c r="E1970">
        <v>16</v>
      </c>
    </row>
    <row r="1971" spans="1:5" x14ac:dyDescent="0.25">
      <c r="A1971" t="s">
        <v>424</v>
      </c>
      <c r="B1971" t="s">
        <v>2505</v>
      </c>
      <c r="C1971" t="s">
        <v>2591</v>
      </c>
      <c r="D1971">
        <v>2010</v>
      </c>
      <c r="E1971">
        <v>45</v>
      </c>
    </row>
    <row r="1972" spans="1:5" x14ac:dyDescent="0.25">
      <c r="A1972" t="s">
        <v>424</v>
      </c>
      <c r="B1972" t="s">
        <v>2505</v>
      </c>
      <c r="C1972" t="s">
        <v>2592</v>
      </c>
      <c r="D1972">
        <v>2010</v>
      </c>
      <c r="E1972">
        <v>12</v>
      </c>
    </row>
    <row r="1973" spans="1:5" x14ac:dyDescent="0.25">
      <c r="A1973" t="s">
        <v>424</v>
      </c>
      <c r="B1973" t="s">
        <v>2505</v>
      </c>
      <c r="C1973" t="s">
        <v>2585</v>
      </c>
      <c r="D1973">
        <v>2009</v>
      </c>
      <c r="E1973">
        <v>23</v>
      </c>
    </row>
    <row r="1974" spans="1:5" x14ac:dyDescent="0.25">
      <c r="A1974" t="s">
        <v>424</v>
      </c>
      <c r="B1974" t="s">
        <v>2505</v>
      </c>
      <c r="C1974" t="s">
        <v>2587</v>
      </c>
      <c r="D1974">
        <v>2009</v>
      </c>
      <c r="E1974">
        <v>21</v>
      </c>
    </row>
    <row r="1975" spans="1:5" x14ac:dyDescent="0.25">
      <c r="A1975" t="s">
        <v>424</v>
      </c>
      <c r="B1975" t="s">
        <v>2505</v>
      </c>
      <c r="C1975" t="s">
        <v>2591</v>
      </c>
      <c r="D1975">
        <v>2009</v>
      </c>
      <c r="E1975">
        <v>34</v>
      </c>
    </row>
    <row r="1976" spans="1:5" x14ac:dyDescent="0.25">
      <c r="A1976" t="s">
        <v>424</v>
      </c>
      <c r="B1976" t="s">
        <v>2505</v>
      </c>
      <c r="C1976" t="s">
        <v>2592</v>
      </c>
      <c r="D1976">
        <v>2009</v>
      </c>
      <c r="E1976">
        <v>12</v>
      </c>
    </row>
    <row r="1977" spans="1:5" x14ac:dyDescent="0.25">
      <c r="A1977" t="s">
        <v>424</v>
      </c>
      <c r="B1977" t="s">
        <v>2505</v>
      </c>
      <c r="C1977" t="s">
        <v>2585</v>
      </c>
      <c r="D1977">
        <v>2008</v>
      </c>
      <c r="E1977">
        <v>20</v>
      </c>
    </row>
    <row r="1978" spans="1:5" x14ac:dyDescent="0.25">
      <c r="A1978" t="s">
        <v>424</v>
      </c>
      <c r="B1978" t="s">
        <v>2505</v>
      </c>
      <c r="C1978" t="s">
        <v>2587</v>
      </c>
      <c r="D1978">
        <v>2008</v>
      </c>
      <c r="E1978">
        <v>26</v>
      </c>
    </row>
    <row r="1979" spans="1:5" x14ac:dyDescent="0.25">
      <c r="A1979" t="s">
        <v>424</v>
      </c>
      <c r="B1979" t="s">
        <v>2505</v>
      </c>
      <c r="C1979" t="s">
        <v>2591</v>
      </c>
      <c r="D1979">
        <v>2008</v>
      </c>
      <c r="E1979">
        <v>33</v>
      </c>
    </row>
    <row r="1980" spans="1:5" x14ac:dyDescent="0.25">
      <c r="A1980" t="s">
        <v>424</v>
      </c>
      <c r="B1980" t="s">
        <v>2505</v>
      </c>
      <c r="C1980" t="s">
        <v>2592</v>
      </c>
      <c r="D1980">
        <v>2008</v>
      </c>
      <c r="E1980">
        <v>1</v>
      </c>
    </row>
    <row r="1981" spans="1:5" x14ac:dyDescent="0.25">
      <c r="A1981" t="s">
        <v>194</v>
      </c>
      <c r="B1981" t="s">
        <v>2505</v>
      </c>
      <c r="C1981" t="s">
        <v>2596</v>
      </c>
      <c r="D1981">
        <v>2019</v>
      </c>
      <c r="E1981">
        <v>5</v>
      </c>
    </row>
    <row r="1982" spans="1:5" x14ac:dyDescent="0.25">
      <c r="A1982" t="s">
        <v>194</v>
      </c>
      <c r="B1982" t="s">
        <v>2505</v>
      </c>
      <c r="C1982" t="s">
        <v>2596</v>
      </c>
      <c r="D1982">
        <v>2018</v>
      </c>
      <c r="E1982">
        <v>4</v>
      </c>
    </row>
    <row r="1983" spans="1:5" x14ac:dyDescent="0.25">
      <c r="A1983" t="s">
        <v>194</v>
      </c>
      <c r="B1983" t="s">
        <v>2505</v>
      </c>
      <c r="C1983" t="s">
        <v>2596</v>
      </c>
      <c r="D1983">
        <v>2017</v>
      </c>
      <c r="E1983">
        <v>6</v>
      </c>
    </row>
    <row r="1984" spans="1:5" x14ac:dyDescent="0.25">
      <c r="A1984" t="s">
        <v>194</v>
      </c>
      <c r="B1984" t="s">
        <v>2505</v>
      </c>
      <c r="C1984" t="s">
        <v>2596</v>
      </c>
      <c r="D1984">
        <v>2016</v>
      </c>
      <c r="E1984">
        <v>7</v>
      </c>
    </row>
    <row r="1985" spans="1:5" x14ac:dyDescent="0.25">
      <c r="A1985" t="s">
        <v>194</v>
      </c>
      <c r="B1985" t="s">
        <v>2505</v>
      </c>
      <c r="C1985" t="s">
        <v>2596</v>
      </c>
      <c r="D1985">
        <v>2015</v>
      </c>
      <c r="E1985">
        <v>10</v>
      </c>
    </row>
    <row r="1986" spans="1:5" x14ac:dyDescent="0.25">
      <c r="A1986" t="s">
        <v>194</v>
      </c>
      <c r="B1986" t="s">
        <v>2505</v>
      </c>
      <c r="C1986" t="s">
        <v>2596</v>
      </c>
      <c r="D1986">
        <v>2014</v>
      </c>
      <c r="E1986">
        <v>11</v>
      </c>
    </row>
    <row r="1987" spans="1:5" x14ac:dyDescent="0.25">
      <c r="A1987" t="s">
        <v>194</v>
      </c>
      <c r="B1987" t="s">
        <v>2505</v>
      </c>
      <c r="C1987" t="s">
        <v>2596</v>
      </c>
      <c r="D1987">
        <v>2013</v>
      </c>
      <c r="E1987">
        <v>12</v>
      </c>
    </row>
    <row r="1988" spans="1:5" x14ac:dyDescent="0.25">
      <c r="A1988" t="s">
        <v>194</v>
      </c>
      <c r="B1988" t="s">
        <v>2505</v>
      </c>
      <c r="C1988" t="s">
        <v>2596</v>
      </c>
      <c r="D1988">
        <v>2012</v>
      </c>
      <c r="E1988">
        <v>15</v>
      </c>
    </row>
    <row r="1989" spans="1:5" x14ac:dyDescent="0.25">
      <c r="A1989" t="s">
        <v>194</v>
      </c>
      <c r="B1989" t="s">
        <v>2505</v>
      </c>
      <c r="C1989" t="s">
        <v>2596</v>
      </c>
      <c r="D1989">
        <v>2011</v>
      </c>
      <c r="E1989">
        <v>16</v>
      </c>
    </row>
    <row r="1990" spans="1:5" x14ac:dyDescent="0.25">
      <c r="A1990" t="s">
        <v>194</v>
      </c>
      <c r="B1990" t="s">
        <v>2505</v>
      </c>
      <c r="C1990" t="s">
        <v>2596</v>
      </c>
      <c r="D1990">
        <v>2010</v>
      </c>
      <c r="E1990">
        <v>17</v>
      </c>
    </row>
    <row r="1991" spans="1:5" x14ac:dyDescent="0.25">
      <c r="A1991" t="s">
        <v>194</v>
      </c>
      <c r="B1991" t="s">
        <v>2505</v>
      </c>
      <c r="C1991" t="s">
        <v>2596</v>
      </c>
      <c r="D1991">
        <v>2009</v>
      </c>
      <c r="E1991">
        <v>15</v>
      </c>
    </row>
    <row r="1992" spans="1:5" x14ac:dyDescent="0.25">
      <c r="A1992" t="s">
        <v>194</v>
      </c>
      <c r="B1992" t="s">
        <v>2505</v>
      </c>
      <c r="C1992" t="s">
        <v>2596</v>
      </c>
      <c r="D1992">
        <v>2008</v>
      </c>
      <c r="E1992">
        <v>11</v>
      </c>
    </row>
    <row r="1993" spans="1:5" x14ac:dyDescent="0.25">
      <c r="A1993" t="s">
        <v>194</v>
      </c>
      <c r="B1993" t="s">
        <v>2518</v>
      </c>
      <c r="C1993" t="s">
        <v>2596</v>
      </c>
      <c r="D1993">
        <v>2019</v>
      </c>
      <c r="E1993">
        <v>9</v>
      </c>
    </row>
    <row r="1994" spans="1:5" x14ac:dyDescent="0.25">
      <c r="A1994" t="s">
        <v>194</v>
      </c>
      <c r="B1994" t="s">
        <v>2518</v>
      </c>
      <c r="C1994" t="s">
        <v>2597</v>
      </c>
      <c r="D1994">
        <v>2019</v>
      </c>
      <c r="E1994">
        <v>2</v>
      </c>
    </row>
    <row r="1995" spans="1:5" x14ac:dyDescent="0.25">
      <c r="A1995" t="s">
        <v>194</v>
      </c>
      <c r="B1995" t="s">
        <v>2518</v>
      </c>
      <c r="C1995" t="s">
        <v>2596</v>
      </c>
      <c r="D1995">
        <v>2018</v>
      </c>
      <c r="E1995">
        <v>6</v>
      </c>
    </row>
    <row r="1996" spans="1:5" x14ac:dyDescent="0.25">
      <c r="A1996" t="s">
        <v>194</v>
      </c>
      <c r="B1996" t="s">
        <v>2518</v>
      </c>
      <c r="C1996" t="s">
        <v>2597</v>
      </c>
      <c r="D1996">
        <v>2018</v>
      </c>
      <c r="E1996">
        <v>3</v>
      </c>
    </row>
    <row r="1997" spans="1:5" x14ac:dyDescent="0.25">
      <c r="A1997" t="s">
        <v>194</v>
      </c>
      <c r="B1997" t="s">
        <v>2518</v>
      </c>
      <c r="C1997" t="s">
        <v>2596</v>
      </c>
      <c r="D1997">
        <v>2017</v>
      </c>
      <c r="E1997">
        <v>5</v>
      </c>
    </row>
    <row r="1998" spans="1:5" x14ac:dyDescent="0.25">
      <c r="A1998" t="s">
        <v>194</v>
      </c>
      <c r="B1998" t="s">
        <v>2518</v>
      </c>
      <c r="C1998" t="s">
        <v>2597</v>
      </c>
      <c r="D1998">
        <v>2017</v>
      </c>
      <c r="E1998">
        <v>4</v>
      </c>
    </row>
    <row r="1999" spans="1:5" x14ac:dyDescent="0.25">
      <c r="A1999" t="s">
        <v>194</v>
      </c>
      <c r="B1999" t="s">
        <v>2518</v>
      </c>
      <c r="C1999" t="s">
        <v>2597</v>
      </c>
      <c r="D1999">
        <v>2016</v>
      </c>
      <c r="E1999">
        <v>4</v>
      </c>
    </row>
    <row r="2000" spans="1:5" x14ac:dyDescent="0.25">
      <c r="A2000" t="s">
        <v>194</v>
      </c>
      <c r="B2000" t="s">
        <v>2518</v>
      </c>
      <c r="C2000" t="s">
        <v>2597</v>
      </c>
      <c r="D2000">
        <v>2015</v>
      </c>
      <c r="E2000">
        <v>7</v>
      </c>
    </row>
    <row r="2001" spans="1:5" x14ac:dyDescent="0.25">
      <c r="A2001" t="s">
        <v>194</v>
      </c>
      <c r="B2001" t="s">
        <v>2518</v>
      </c>
      <c r="C2001" t="s">
        <v>2597</v>
      </c>
      <c r="D2001">
        <v>2014</v>
      </c>
      <c r="E2001">
        <v>11</v>
      </c>
    </row>
    <row r="2002" spans="1:5" x14ac:dyDescent="0.25">
      <c r="A2002" t="s">
        <v>194</v>
      </c>
      <c r="B2002" t="s">
        <v>2518</v>
      </c>
      <c r="C2002" t="s">
        <v>2597</v>
      </c>
      <c r="D2002">
        <v>2013</v>
      </c>
      <c r="E2002">
        <v>8</v>
      </c>
    </row>
    <row r="2003" spans="1:5" x14ac:dyDescent="0.25">
      <c r="A2003" t="s">
        <v>194</v>
      </c>
      <c r="B2003" t="s">
        <v>2518</v>
      </c>
      <c r="C2003" t="s">
        <v>2597</v>
      </c>
      <c r="D2003">
        <v>2012</v>
      </c>
      <c r="E2003">
        <v>8</v>
      </c>
    </row>
    <row r="2004" spans="1:5" x14ac:dyDescent="0.25">
      <c r="A2004" t="s">
        <v>194</v>
      </c>
      <c r="B2004" t="s">
        <v>2518</v>
      </c>
      <c r="C2004" t="s">
        <v>2597</v>
      </c>
      <c r="D2004">
        <v>2011</v>
      </c>
      <c r="E2004">
        <v>11</v>
      </c>
    </row>
    <row r="2005" spans="1:5" x14ac:dyDescent="0.25">
      <c r="A2005" t="s">
        <v>194</v>
      </c>
      <c r="B2005" t="s">
        <v>2518</v>
      </c>
      <c r="C2005" t="s">
        <v>2597</v>
      </c>
      <c r="D2005">
        <v>2010</v>
      </c>
      <c r="E2005">
        <v>14</v>
      </c>
    </row>
    <row r="2006" spans="1:5" x14ac:dyDescent="0.25">
      <c r="A2006" t="s">
        <v>194</v>
      </c>
      <c r="B2006" t="s">
        <v>2518</v>
      </c>
      <c r="C2006" t="s">
        <v>2597</v>
      </c>
      <c r="D2006">
        <v>2009</v>
      </c>
      <c r="E2006">
        <v>14</v>
      </c>
    </row>
    <row r="2007" spans="1:5" x14ac:dyDescent="0.25">
      <c r="A2007" t="s">
        <v>194</v>
      </c>
      <c r="B2007" t="s">
        <v>2518</v>
      </c>
      <c r="C2007" t="s">
        <v>2597</v>
      </c>
      <c r="D2007">
        <v>2008</v>
      </c>
      <c r="E2007">
        <v>9</v>
      </c>
    </row>
    <row r="2008" spans="1:5" x14ac:dyDescent="0.25">
      <c r="A2008" t="s">
        <v>91</v>
      </c>
      <c r="B2008" t="s">
        <v>2452</v>
      </c>
      <c r="C2008" t="s">
        <v>2598</v>
      </c>
      <c r="D2008">
        <v>2019</v>
      </c>
      <c r="E2008">
        <v>26</v>
      </c>
    </row>
    <row r="2009" spans="1:5" x14ac:dyDescent="0.25">
      <c r="A2009" t="s">
        <v>91</v>
      </c>
      <c r="B2009" t="s">
        <v>2452</v>
      </c>
      <c r="C2009" t="s">
        <v>2599</v>
      </c>
      <c r="D2009">
        <v>2019</v>
      </c>
      <c r="E2009">
        <v>9</v>
      </c>
    </row>
    <row r="2010" spans="1:5" x14ac:dyDescent="0.25">
      <c r="A2010" t="s">
        <v>91</v>
      </c>
      <c r="B2010" t="s">
        <v>2452</v>
      </c>
      <c r="C2010" t="s">
        <v>2600</v>
      </c>
      <c r="D2010">
        <v>2019</v>
      </c>
      <c r="E2010">
        <v>47</v>
      </c>
    </row>
    <row r="2011" spans="1:5" x14ac:dyDescent="0.25">
      <c r="A2011" t="s">
        <v>91</v>
      </c>
      <c r="B2011" t="s">
        <v>2452</v>
      </c>
      <c r="C2011" t="s">
        <v>2601</v>
      </c>
      <c r="D2011">
        <v>2019</v>
      </c>
      <c r="E2011">
        <v>8</v>
      </c>
    </row>
    <row r="2012" spans="1:5" x14ac:dyDescent="0.25">
      <c r="A2012" t="s">
        <v>91</v>
      </c>
      <c r="B2012" t="s">
        <v>2452</v>
      </c>
      <c r="C2012" t="s">
        <v>2602</v>
      </c>
      <c r="D2012">
        <v>2019</v>
      </c>
      <c r="E2012">
        <v>141</v>
      </c>
    </row>
    <row r="2013" spans="1:5" x14ac:dyDescent="0.25">
      <c r="A2013" t="s">
        <v>91</v>
      </c>
      <c r="B2013" t="s">
        <v>2452</v>
      </c>
      <c r="C2013" t="s">
        <v>2603</v>
      </c>
      <c r="D2013">
        <v>2019</v>
      </c>
      <c r="E2013">
        <v>1</v>
      </c>
    </row>
    <row r="2014" spans="1:5" x14ac:dyDescent="0.25">
      <c r="A2014" t="s">
        <v>91</v>
      </c>
      <c r="B2014" t="s">
        <v>2452</v>
      </c>
      <c r="C2014" t="s">
        <v>2604</v>
      </c>
      <c r="D2014">
        <v>2019</v>
      </c>
      <c r="E2014">
        <v>159</v>
      </c>
    </row>
    <row r="2015" spans="1:5" x14ac:dyDescent="0.25">
      <c r="A2015" t="s">
        <v>91</v>
      </c>
      <c r="B2015" t="s">
        <v>2452</v>
      </c>
      <c r="C2015" t="s">
        <v>2605</v>
      </c>
      <c r="D2015">
        <v>2018</v>
      </c>
      <c r="E2015">
        <v>3</v>
      </c>
    </row>
    <row r="2016" spans="1:5" x14ac:dyDescent="0.25">
      <c r="A2016" t="s">
        <v>91</v>
      </c>
      <c r="B2016" t="s">
        <v>2452</v>
      </c>
      <c r="C2016" t="s">
        <v>2598</v>
      </c>
      <c r="D2016">
        <v>2018</v>
      </c>
      <c r="E2016">
        <v>20</v>
      </c>
    </row>
    <row r="2017" spans="1:5" x14ac:dyDescent="0.25">
      <c r="A2017" t="s">
        <v>91</v>
      </c>
      <c r="B2017" t="s">
        <v>2452</v>
      </c>
      <c r="C2017" t="s">
        <v>2599</v>
      </c>
      <c r="D2017">
        <v>2018</v>
      </c>
      <c r="E2017">
        <v>9</v>
      </c>
    </row>
    <row r="2018" spans="1:5" x14ac:dyDescent="0.25">
      <c r="A2018" t="s">
        <v>91</v>
      </c>
      <c r="B2018" t="s">
        <v>2452</v>
      </c>
      <c r="C2018" t="s">
        <v>2600</v>
      </c>
      <c r="D2018">
        <v>2018</v>
      </c>
      <c r="E2018">
        <v>59</v>
      </c>
    </row>
    <row r="2019" spans="1:5" x14ac:dyDescent="0.25">
      <c r="A2019" t="s">
        <v>91</v>
      </c>
      <c r="B2019" t="s">
        <v>2452</v>
      </c>
      <c r="C2019" t="s">
        <v>2602</v>
      </c>
      <c r="D2019">
        <v>2018</v>
      </c>
      <c r="E2019">
        <v>176</v>
      </c>
    </row>
    <row r="2020" spans="1:5" x14ac:dyDescent="0.25">
      <c r="A2020" t="s">
        <v>91</v>
      </c>
      <c r="B2020" t="s">
        <v>2452</v>
      </c>
      <c r="C2020" t="s">
        <v>2606</v>
      </c>
      <c r="D2020">
        <v>2018</v>
      </c>
      <c r="E2020">
        <v>1</v>
      </c>
    </row>
    <row r="2021" spans="1:5" x14ac:dyDescent="0.25">
      <c r="A2021" t="s">
        <v>91</v>
      </c>
      <c r="B2021" t="s">
        <v>2452</v>
      </c>
      <c r="C2021" t="s">
        <v>2604</v>
      </c>
      <c r="D2021">
        <v>2018</v>
      </c>
      <c r="E2021">
        <v>107</v>
      </c>
    </row>
    <row r="2022" spans="1:5" x14ac:dyDescent="0.25">
      <c r="A2022" t="s">
        <v>91</v>
      </c>
      <c r="B2022" t="s">
        <v>2452</v>
      </c>
      <c r="C2022" t="s">
        <v>2605</v>
      </c>
      <c r="D2022">
        <v>2017</v>
      </c>
      <c r="E2022">
        <v>14</v>
      </c>
    </row>
    <row r="2023" spans="1:5" x14ac:dyDescent="0.25">
      <c r="A2023" t="s">
        <v>91</v>
      </c>
      <c r="B2023" t="s">
        <v>2452</v>
      </c>
      <c r="C2023" t="s">
        <v>2598</v>
      </c>
      <c r="D2023">
        <v>2017</v>
      </c>
      <c r="E2023">
        <v>21</v>
      </c>
    </row>
    <row r="2024" spans="1:5" x14ac:dyDescent="0.25">
      <c r="A2024" t="s">
        <v>91</v>
      </c>
      <c r="B2024" t="s">
        <v>2452</v>
      </c>
      <c r="C2024" t="s">
        <v>2599</v>
      </c>
      <c r="D2024">
        <v>2017</v>
      </c>
      <c r="E2024">
        <v>12</v>
      </c>
    </row>
    <row r="2025" spans="1:5" x14ac:dyDescent="0.25">
      <c r="A2025" t="s">
        <v>91</v>
      </c>
      <c r="B2025" t="s">
        <v>2452</v>
      </c>
      <c r="C2025" t="s">
        <v>2600</v>
      </c>
      <c r="D2025">
        <v>2017</v>
      </c>
      <c r="E2025">
        <v>65</v>
      </c>
    </row>
    <row r="2026" spans="1:5" x14ac:dyDescent="0.25">
      <c r="A2026" t="s">
        <v>91</v>
      </c>
      <c r="B2026" t="s">
        <v>2452</v>
      </c>
      <c r="C2026" t="s">
        <v>2602</v>
      </c>
      <c r="D2026">
        <v>2017</v>
      </c>
      <c r="E2026">
        <v>188</v>
      </c>
    </row>
    <row r="2027" spans="1:5" x14ac:dyDescent="0.25">
      <c r="A2027" t="s">
        <v>91</v>
      </c>
      <c r="B2027" t="s">
        <v>2452</v>
      </c>
      <c r="C2027" t="s">
        <v>2607</v>
      </c>
      <c r="D2027">
        <v>2017</v>
      </c>
      <c r="E2027">
        <v>1</v>
      </c>
    </row>
    <row r="2028" spans="1:5" x14ac:dyDescent="0.25">
      <c r="A2028" t="s">
        <v>91</v>
      </c>
      <c r="B2028" t="s">
        <v>2452</v>
      </c>
      <c r="C2028" t="s">
        <v>2604</v>
      </c>
      <c r="D2028">
        <v>2017</v>
      </c>
      <c r="E2028">
        <v>272</v>
      </c>
    </row>
    <row r="2029" spans="1:5" x14ac:dyDescent="0.25">
      <c r="A2029" t="s">
        <v>91</v>
      </c>
      <c r="B2029" t="s">
        <v>2452</v>
      </c>
      <c r="C2029" t="s">
        <v>2608</v>
      </c>
      <c r="D2029">
        <v>2017</v>
      </c>
      <c r="E2029">
        <v>1</v>
      </c>
    </row>
    <row r="2030" spans="1:5" x14ac:dyDescent="0.25">
      <c r="A2030" t="s">
        <v>91</v>
      </c>
      <c r="B2030" t="s">
        <v>2452</v>
      </c>
      <c r="C2030" t="s">
        <v>2605</v>
      </c>
      <c r="D2030">
        <v>2016</v>
      </c>
      <c r="E2030">
        <v>5</v>
      </c>
    </row>
    <row r="2031" spans="1:5" x14ac:dyDescent="0.25">
      <c r="A2031" t="s">
        <v>91</v>
      </c>
      <c r="B2031" t="s">
        <v>2452</v>
      </c>
      <c r="C2031" t="s">
        <v>2598</v>
      </c>
      <c r="D2031">
        <v>2016</v>
      </c>
      <c r="E2031">
        <v>31</v>
      </c>
    </row>
    <row r="2032" spans="1:5" x14ac:dyDescent="0.25">
      <c r="A2032" t="s">
        <v>91</v>
      </c>
      <c r="B2032" t="s">
        <v>2452</v>
      </c>
      <c r="C2032" t="s">
        <v>2599</v>
      </c>
      <c r="D2032">
        <v>2016</v>
      </c>
      <c r="E2032">
        <v>14</v>
      </c>
    </row>
    <row r="2033" spans="1:5" x14ac:dyDescent="0.25">
      <c r="A2033" t="s">
        <v>91</v>
      </c>
      <c r="B2033" t="s">
        <v>2452</v>
      </c>
      <c r="C2033" t="s">
        <v>2600</v>
      </c>
      <c r="D2033">
        <v>2016</v>
      </c>
      <c r="E2033">
        <v>80</v>
      </c>
    </row>
    <row r="2034" spans="1:5" x14ac:dyDescent="0.25">
      <c r="A2034" t="s">
        <v>91</v>
      </c>
      <c r="B2034" t="s">
        <v>2452</v>
      </c>
      <c r="C2034" t="s">
        <v>2609</v>
      </c>
      <c r="D2034">
        <v>2016</v>
      </c>
      <c r="E2034">
        <v>2</v>
      </c>
    </row>
    <row r="2035" spans="1:5" x14ac:dyDescent="0.25">
      <c r="A2035" t="s">
        <v>91</v>
      </c>
      <c r="B2035" t="s">
        <v>2452</v>
      </c>
      <c r="C2035" t="s">
        <v>2610</v>
      </c>
      <c r="D2035">
        <v>2016</v>
      </c>
      <c r="E2035">
        <v>1</v>
      </c>
    </row>
    <row r="2036" spans="1:5" x14ac:dyDescent="0.25">
      <c r="A2036" t="s">
        <v>91</v>
      </c>
      <c r="B2036" t="s">
        <v>2452</v>
      </c>
      <c r="C2036" t="s">
        <v>2611</v>
      </c>
      <c r="D2036">
        <v>2016</v>
      </c>
      <c r="E2036">
        <v>165</v>
      </c>
    </row>
    <row r="2037" spans="1:5" x14ac:dyDescent="0.25">
      <c r="A2037" t="s">
        <v>91</v>
      </c>
      <c r="B2037" t="s">
        <v>2452</v>
      </c>
      <c r="C2037" t="s">
        <v>2607</v>
      </c>
      <c r="D2037">
        <v>2016</v>
      </c>
      <c r="E2037">
        <v>6</v>
      </c>
    </row>
    <row r="2038" spans="1:5" x14ac:dyDescent="0.25">
      <c r="A2038" t="s">
        <v>91</v>
      </c>
      <c r="B2038" t="s">
        <v>2452</v>
      </c>
      <c r="C2038" t="s">
        <v>2604</v>
      </c>
      <c r="D2038">
        <v>2016</v>
      </c>
      <c r="E2038">
        <v>479</v>
      </c>
    </row>
    <row r="2039" spans="1:5" x14ac:dyDescent="0.25">
      <c r="A2039" t="s">
        <v>91</v>
      </c>
      <c r="B2039" t="s">
        <v>2452</v>
      </c>
      <c r="C2039" t="s">
        <v>2608</v>
      </c>
      <c r="D2039">
        <v>2016</v>
      </c>
      <c r="E2039">
        <v>1</v>
      </c>
    </row>
    <row r="2040" spans="1:5" x14ac:dyDescent="0.25">
      <c r="A2040" t="s">
        <v>91</v>
      </c>
      <c r="B2040" t="s">
        <v>2452</v>
      </c>
      <c r="C2040" t="s">
        <v>2605</v>
      </c>
      <c r="D2040">
        <v>2015</v>
      </c>
      <c r="E2040">
        <v>1</v>
      </c>
    </row>
    <row r="2041" spans="1:5" x14ac:dyDescent="0.25">
      <c r="A2041" t="s">
        <v>91</v>
      </c>
      <c r="B2041" t="s">
        <v>2452</v>
      </c>
      <c r="C2041" t="s">
        <v>2598</v>
      </c>
      <c r="D2041">
        <v>2015</v>
      </c>
      <c r="E2041">
        <v>27</v>
      </c>
    </row>
    <row r="2042" spans="1:5" x14ac:dyDescent="0.25">
      <c r="A2042" t="s">
        <v>91</v>
      </c>
      <c r="B2042" t="s">
        <v>2452</v>
      </c>
      <c r="C2042" t="s">
        <v>2599</v>
      </c>
      <c r="D2042">
        <v>2015</v>
      </c>
      <c r="E2042">
        <v>13</v>
      </c>
    </row>
    <row r="2043" spans="1:5" x14ac:dyDescent="0.25">
      <c r="A2043" t="s">
        <v>91</v>
      </c>
      <c r="B2043" t="s">
        <v>2452</v>
      </c>
      <c r="C2043" t="s">
        <v>2600</v>
      </c>
      <c r="D2043">
        <v>2015</v>
      </c>
      <c r="E2043">
        <v>66</v>
      </c>
    </row>
    <row r="2044" spans="1:5" x14ac:dyDescent="0.25">
      <c r="A2044" t="s">
        <v>91</v>
      </c>
      <c r="B2044" t="s">
        <v>2452</v>
      </c>
      <c r="C2044" t="s">
        <v>2611</v>
      </c>
      <c r="D2044">
        <v>2015</v>
      </c>
      <c r="E2044">
        <v>189</v>
      </c>
    </row>
    <row r="2045" spans="1:5" x14ac:dyDescent="0.25">
      <c r="A2045" t="s">
        <v>91</v>
      </c>
      <c r="B2045" t="s">
        <v>2452</v>
      </c>
      <c r="C2045" t="s">
        <v>2604</v>
      </c>
      <c r="D2045">
        <v>2015</v>
      </c>
      <c r="E2045">
        <v>411</v>
      </c>
    </row>
    <row r="2046" spans="1:5" x14ac:dyDescent="0.25">
      <c r="A2046" t="s">
        <v>91</v>
      </c>
      <c r="B2046" t="s">
        <v>2452</v>
      </c>
      <c r="C2046" t="s">
        <v>2605</v>
      </c>
      <c r="D2046">
        <v>2014</v>
      </c>
      <c r="E2046">
        <v>4</v>
      </c>
    </row>
    <row r="2047" spans="1:5" x14ac:dyDescent="0.25">
      <c r="A2047" t="s">
        <v>91</v>
      </c>
      <c r="B2047" t="s">
        <v>2452</v>
      </c>
      <c r="C2047" t="s">
        <v>2598</v>
      </c>
      <c r="D2047">
        <v>2014</v>
      </c>
      <c r="E2047">
        <v>31</v>
      </c>
    </row>
    <row r="2048" spans="1:5" x14ac:dyDescent="0.25">
      <c r="A2048" t="s">
        <v>91</v>
      </c>
      <c r="B2048" t="s">
        <v>2452</v>
      </c>
      <c r="C2048" t="s">
        <v>2599</v>
      </c>
      <c r="D2048">
        <v>2014</v>
      </c>
      <c r="E2048">
        <v>20</v>
      </c>
    </row>
    <row r="2049" spans="1:5" x14ac:dyDescent="0.25">
      <c r="A2049" t="s">
        <v>91</v>
      </c>
      <c r="B2049" t="s">
        <v>2452</v>
      </c>
      <c r="C2049" t="s">
        <v>2600</v>
      </c>
      <c r="D2049">
        <v>2014</v>
      </c>
      <c r="E2049">
        <v>73</v>
      </c>
    </row>
    <row r="2050" spans="1:5" x14ac:dyDescent="0.25">
      <c r="A2050" t="s">
        <v>91</v>
      </c>
      <c r="B2050" t="s">
        <v>2452</v>
      </c>
      <c r="C2050" t="s">
        <v>2609</v>
      </c>
      <c r="D2050">
        <v>2014</v>
      </c>
      <c r="E2050">
        <v>4</v>
      </c>
    </row>
    <row r="2051" spans="1:5" x14ac:dyDescent="0.25">
      <c r="A2051" t="s">
        <v>91</v>
      </c>
      <c r="B2051" t="s">
        <v>2452</v>
      </c>
      <c r="C2051" t="s">
        <v>2611</v>
      </c>
      <c r="D2051">
        <v>2014</v>
      </c>
      <c r="E2051">
        <v>205</v>
      </c>
    </row>
    <row r="2052" spans="1:5" x14ac:dyDescent="0.25">
      <c r="A2052" t="s">
        <v>91</v>
      </c>
      <c r="B2052" t="s">
        <v>2452</v>
      </c>
      <c r="C2052" t="s">
        <v>2603</v>
      </c>
      <c r="D2052">
        <v>2014</v>
      </c>
      <c r="E2052">
        <v>1</v>
      </c>
    </row>
    <row r="2053" spans="1:5" x14ac:dyDescent="0.25">
      <c r="A2053" t="s">
        <v>91</v>
      </c>
      <c r="B2053" t="s">
        <v>2452</v>
      </c>
      <c r="C2053" t="s">
        <v>2607</v>
      </c>
      <c r="D2053">
        <v>2014</v>
      </c>
      <c r="E2053">
        <v>3</v>
      </c>
    </row>
    <row r="2054" spans="1:5" x14ac:dyDescent="0.25">
      <c r="A2054" t="s">
        <v>91</v>
      </c>
      <c r="B2054" t="s">
        <v>2452</v>
      </c>
      <c r="C2054" t="s">
        <v>2604</v>
      </c>
      <c r="D2054">
        <v>2014</v>
      </c>
      <c r="E2054">
        <v>439</v>
      </c>
    </row>
    <row r="2055" spans="1:5" x14ac:dyDescent="0.25">
      <c r="A2055" t="s">
        <v>91</v>
      </c>
      <c r="B2055" t="s">
        <v>2452</v>
      </c>
      <c r="C2055" t="s">
        <v>2608</v>
      </c>
      <c r="D2055">
        <v>2014</v>
      </c>
      <c r="E2055">
        <v>1</v>
      </c>
    </row>
    <row r="2056" spans="1:5" x14ac:dyDescent="0.25">
      <c r="A2056" t="s">
        <v>91</v>
      </c>
      <c r="B2056" t="s">
        <v>2452</v>
      </c>
      <c r="C2056" t="s">
        <v>2598</v>
      </c>
      <c r="D2056">
        <v>2013</v>
      </c>
      <c r="E2056">
        <v>36</v>
      </c>
    </row>
    <row r="2057" spans="1:5" x14ac:dyDescent="0.25">
      <c r="A2057" t="s">
        <v>91</v>
      </c>
      <c r="B2057" t="s">
        <v>2452</v>
      </c>
      <c r="C2057" t="s">
        <v>2599</v>
      </c>
      <c r="D2057">
        <v>2013</v>
      </c>
      <c r="E2057">
        <v>26</v>
      </c>
    </row>
    <row r="2058" spans="1:5" x14ac:dyDescent="0.25">
      <c r="A2058" t="s">
        <v>91</v>
      </c>
      <c r="B2058" t="s">
        <v>2452</v>
      </c>
      <c r="C2058" t="s">
        <v>2600</v>
      </c>
      <c r="D2058">
        <v>2013</v>
      </c>
      <c r="E2058">
        <v>92</v>
      </c>
    </row>
    <row r="2059" spans="1:5" x14ac:dyDescent="0.25">
      <c r="A2059" t="s">
        <v>91</v>
      </c>
      <c r="B2059" t="s">
        <v>2452</v>
      </c>
      <c r="C2059" t="s">
        <v>2609</v>
      </c>
      <c r="D2059">
        <v>2013</v>
      </c>
      <c r="E2059">
        <v>7</v>
      </c>
    </row>
    <row r="2060" spans="1:5" x14ac:dyDescent="0.25">
      <c r="A2060" t="s">
        <v>91</v>
      </c>
      <c r="B2060" t="s">
        <v>2452</v>
      </c>
      <c r="C2060" t="s">
        <v>2611</v>
      </c>
      <c r="D2060">
        <v>2013</v>
      </c>
      <c r="E2060">
        <v>227</v>
      </c>
    </row>
    <row r="2061" spans="1:5" x14ac:dyDescent="0.25">
      <c r="A2061" t="s">
        <v>91</v>
      </c>
      <c r="B2061" t="s">
        <v>2452</v>
      </c>
      <c r="C2061" t="s">
        <v>2612</v>
      </c>
      <c r="D2061">
        <v>2013</v>
      </c>
      <c r="E2061">
        <v>5</v>
      </c>
    </row>
    <row r="2062" spans="1:5" x14ac:dyDescent="0.25">
      <c r="A2062" t="s">
        <v>91</v>
      </c>
      <c r="B2062" t="s">
        <v>2452</v>
      </c>
      <c r="C2062" t="s">
        <v>2613</v>
      </c>
      <c r="D2062">
        <v>2013</v>
      </c>
      <c r="E2062">
        <v>1</v>
      </c>
    </row>
    <row r="2063" spans="1:5" x14ac:dyDescent="0.25">
      <c r="A2063" t="s">
        <v>91</v>
      </c>
      <c r="B2063" t="s">
        <v>2452</v>
      </c>
      <c r="C2063" t="s">
        <v>2604</v>
      </c>
      <c r="D2063">
        <v>2013</v>
      </c>
      <c r="E2063">
        <v>421</v>
      </c>
    </row>
    <row r="2064" spans="1:5" x14ac:dyDescent="0.25">
      <c r="A2064" t="s">
        <v>91</v>
      </c>
      <c r="B2064" t="s">
        <v>2452</v>
      </c>
      <c r="C2064" t="s">
        <v>2608</v>
      </c>
      <c r="D2064">
        <v>2013</v>
      </c>
      <c r="E2064">
        <v>1</v>
      </c>
    </row>
    <row r="2065" spans="1:5" x14ac:dyDescent="0.25">
      <c r="A2065" t="s">
        <v>91</v>
      </c>
      <c r="B2065" t="s">
        <v>2452</v>
      </c>
      <c r="C2065" t="s">
        <v>2598</v>
      </c>
      <c r="D2065">
        <v>2012</v>
      </c>
      <c r="E2065">
        <v>34</v>
      </c>
    </row>
    <row r="2066" spans="1:5" x14ac:dyDescent="0.25">
      <c r="A2066" t="s">
        <v>91</v>
      </c>
      <c r="B2066" t="s">
        <v>2452</v>
      </c>
      <c r="C2066" t="s">
        <v>2599</v>
      </c>
      <c r="D2066">
        <v>2012</v>
      </c>
      <c r="E2066">
        <v>17</v>
      </c>
    </row>
    <row r="2067" spans="1:5" x14ac:dyDescent="0.25">
      <c r="A2067" t="s">
        <v>91</v>
      </c>
      <c r="B2067" t="s">
        <v>2452</v>
      </c>
      <c r="C2067" t="s">
        <v>2600</v>
      </c>
      <c r="D2067">
        <v>2012</v>
      </c>
      <c r="E2067">
        <v>69</v>
      </c>
    </row>
    <row r="2068" spans="1:5" x14ac:dyDescent="0.25">
      <c r="A2068" t="s">
        <v>91</v>
      </c>
      <c r="B2068" t="s">
        <v>2452</v>
      </c>
      <c r="C2068" t="s">
        <v>2609</v>
      </c>
      <c r="D2068">
        <v>2012</v>
      </c>
      <c r="E2068">
        <v>8</v>
      </c>
    </row>
    <row r="2069" spans="1:5" x14ac:dyDescent="0.25">
      <c r="A2069" t="s">
        <v>91</v>
      </c>
      <c r="B2069" t="s">
        <v>2452</v>
      </c>
      <c r="C2069" t="s">
        <v>2611</v>
      </c>
      <c r="D2069">
        <v>2012</v>
      </c>
      <c r="E2069">
        <v>175</v>
      </c>
    </row>
    <row r="2070" spans="1:5" x14ac:dyDescent="0.25">
      <c r="A2070" t="s">
        <v>91</v>
      </c>
      <c r="B2070" t="s">
        <v>2452</v>
      </c>
      <c r="C2070" t="s">
        <v>2612</v>
      </c>
      <c r="D2070">
        <v>2012</v>
      </c>
      <c r="E2070">
        <v>29</v>
      </c>
    </row>
    <row r="2071" spans="1:5" x14ac:dyDescent="0.25">
      <c r="A2071" t="s">
        <v>91</v>
      </c>
      <c r="B2071" t="s">
        <v>2452</v>
      </c>
      <c r="C2071" t="s">
        <v>2614</v>
      </c>
      <c r="D2071">
        <v>2012</v>
      </c>
      <c r="E2071">
        <v>15</v>
      </c>
    </row>
    <row r="2072" spans="1:5" x14ac:dyDescent="0.25">
      <c r="A2072" t="s">
        <v>91</v>
      </c>
      <c r="B2072" t="s">
        <v>2452</v>
      </c>
      <c r="C2072" t="s">
        <v>2613</v>
      </c>
      <c r="D2072">
        <v>2012</v>
      </c>
      <c r="E2072">
        <v>7</v>
      </c>
    </row>
    <row r="2073" spans="1:5" x14ac:dyDescent="0.25">
      <c r="A2073" t="s">
        <v>91</v>
      </c>
      <c r="B2073" t="s">
        <v>2452</v>
      </c>
      <c r="C2073" t="s">
        <v>2615</v>
      </c>
      <c r="D2073">
        <v>2012</v>
      </c>
      <c r="E2073">
        <v>11</v>
      </c>
    </row>
    <row r="2074" spans="1:5" x14ac:dyDescent="0.25">
      <c r="A2074" t="s">
        <v>91</v>
      </c>
      <c r="B2074" t="s">
        <v>2452</v>
      </c>
      <c r="C2074" t="s">
        <v>2604</v>
      </c>
      <c r="D2074">
        <v>2012</v>
      </c>
      <c r="E2074">
        <v>327</v>
      </c>
    </row>
    <row r="2075" spans="1:5" x14ac:dyDescent="0.25">
      <c r="A2075" t="s">
        <v>91</v>
      </c>
      <c r="B2075" t="s">
        <v>2452</v>
      </c>
      <c r="C2075" t="s">
        <v>2604</v>
      </c>
      <c r="D2075">
        <v>2011</v>
      </c>
      <c r="E2075">
        <v>393</v>
      </c>
    </row>
    <row r="2076" spans="1:5" x14ac:dyDescent="0.25">
      <c r="A2076" t="s">
        <v>91</v>
      </c>
      <c r="B2076" t="s">
        <v>2452</v>
      </c>
      <c r="C2076" t="s">
        <v>2604</v>
      </c>
      <c r="D2076">
        <v>2010</v>
      </c>
      <c r="E2076">
        <v>295</v>
      </c>
    </row>
    <row r="2077" spans="1:5" x14ac:dyDescent="0.25">
      <c r="A2077" t="s">
        <v>91</v>
      </c>
      <c r="B2077" t="s">
        <v>2452</v>
      </c>
      <c r="C2077" t="s">
        <v>2604</v>
      </c>
      <c r="D2077">
        <v>2009</v>
      </c>
      <c r="E2077">
        <v>221</v>
      </c>
    </row>
    <row r="2078" spans="1:5" x14ac:dyDescent="0.25">
      <c r="A2078" t="s">
        <v>91</v>
      </c>
      <c r="B2078" t="s">
        <v>2452</v>
      </c>
      <c r="C2078" t="s">
        <v>2604</v>
      </c>
      <c r="D2078">
        <v>2008</v>
      </c>
      <c r="E2078">
        <v>34</v>
      </c>
    </row>
    <row r="2079" spans="1:5" x14ac:dyDescent="0.25">
      <c r="A2079" t="s">
        <v>91</v>
      </c>
      <c r="B2079" t="s">
        <v>2616</v>
      </c>
      <c r="C2079" t="s">
        <v>2617</v>
      </c>
      <c r="D2079">
        <v>2019</v>
      </c>
      <c r="E2079">
        <v>27</v>
      </c>
    </row>
    <row r="2080" spans="1:5" x14ac:dyDescent="0.25">
      <c r="A2080" t="s">
        <v>91</v>
      </c>
      <c r="B2080" t="s">
        <v>2616</v>
      </c>
      <c r="C2080" t="s">
        <v>2618</v>
      </c>
      <c r="D2080">
        <v>2019</v>
      </c>
      <c r="E2080">
        <v>26</v>
      </c>
    </row>
    <row r="2081" spans="1:5" x14ac:dyDescent="0.25">
      <c r="A2081" t="s">
        <v>91</v>
      </c>
      <c r="B2081" t="s">
        <v>2616</v>
      </c>
      <c r="C2081" t="s">
        <v>2619</v>
      </c>
      <c r="D2081">
        <v>2019</v>
      </c>
      <c r="E2081">
        <v>10</v>
      </c>
    </row>
    <row r="2082" spans="1:5" x14ac:dyDescent="0.25">
      <c r="A2082" t="s">
        <v>91</v>
      </c>
      <c r="B2082" t="s">
        <v>2616</v>
      </c>
      <c r="C2082" t="s">
        <v>2620</v>
      </c>
      <c r="D2082">
        <v>2019</v>
      </c>
      <c r="E2082">
        <v>21</v>
      </c>
    </row>
    <row r="2083" spans="1:5" x14ac:dyDescent="0.25">
      <c r="A2083" t="s">
        <v>91</v>
      </c>
      <c r="B2083" t="s">
        <v>2616</v>
      </c>
      <c r="C2083" t="s">
        <v>2621</v>
      </c>
      <c r="D2083">
        <v>2019</v>
      </c>
      <c r="E2083">
        <v>67</v>
      </c>
    </row>
    <row r="2084" spans="1:5" x14ac:dyDescent="0.25">
      <c r="A2084" t="s">
        <v>91</v>
      </c>
      <c r="B2084" t="s">
        <v>2616</v>
      </c>
      <c r="C2084" t="s">
        <v>2622</v>
      </c>
      <c r="D2084">
        <v>2019</v>
      </c>
      <c r="E2084">
        <v>31</v>
      </c>
    </row>
    <row r="2085" spans="1:5" x14ac:dyDescent="0.25">
      <c r="A2085" t="s">
        <v>91</v>
      </c>
      <c r="B2085" t="s">
        <v>2616</v>
      </c>
      <c r="C2085" t="s">
        <v>2623</v>
      </c>
      <c r="D2085">
        <v>2019</v>
      </c>
      <c r="E2085">
        <v>17</v>
      </c>
    </row>
    <row r="2086" spans="1:5" x14ac:dyDescent="0.25">
      <c r="A2086" t="s">
        <v>91</v>
      </c>
      <c r="B2086" t="s">
        <v>2616</v>
      </c>
      <c r="C2086" t="s">
        <v>2624</v>
      </c>
      <c r="D2086">
        <v>2019</v>
      </c>
      <c r="E2086">
        <v>11</v>
      </c>
    </row>
    <row r="2087" spans="1:5" x14ac:dyDescent="0.25">
      <c r="A2087" t="s">
        <v>91</v>
      </c>
      <c r="B2087" t="s">
        <v>2616</v>
      </c>
      <c r="C2087" t="s">
        <v>2625</v>
      </c>
      <c r="D2087">
        <v>2019</v>
      </c>
      <c r="E2087">
        <v>32</v>
      </c>
    </row>
    <row r="2088" spans="1:5" x14ac:dyDescent="0.25">
      <c r="A2088" t="s">
        <v>91</v>
      </c>
      <c r="B2088" t="s">
        <v>2616</v>
      </c>
      <c r="C2088" t="s">
        <v>108</v>
      </c>
      <c r="D2088">
        <v>2019</v>
      </c>
      <c r="E2088">
        <v>34</v>
      </c>
    </row>
    <row r="2089" spans="1:5" x14ac:dyDescent="0.25">
      <c r="A2089" t="s">
        <v>91</v>
      </c>
      <c r="B2089" t="s">
        <v>2616</v>
      </c>
      <c r="C2089" t="s">
        <v>131</v>
      </c>
      <c r="D2089">
        <v>2019</v>
      </c>
      <c r="E2089">
        <v>56</v>
      </c>
    </row>
    <row r="2090" spans="1:5" x14ac:dyDescent="0.25">
      <c r="A2090" t="s">
        <v>91</v>
      </c>
      <c r="B2090" t="s">
        <v>2616</v>
      </c>
      <c r="C2090" t="s">
        <v>2626</v>
      </c>
      <c r="D2090">
        <v>2019</v>
      </c>
      <c r="E2090">
        <v>1</v>
      </c>
    </row>
    <row r="2091" spans="1:5" x14ac:dyDescent="0.25">
      <c r="A2091" t="s">
        <v>91</v>
      </c>
      <c r="B2091" t="s">
        <v>2616</v>
      </c>
      <c r="C2091" t="s">
        <v>2627</v>
      </c>
      <c r="D2091">
        <v>2019</v>
      </c>
      <c r="E2091">
        <v>484</v>
      </c>
    </row>
    <row r="2092" spans="1:5" x14ac:dyDescent="0.25">
      <c r="A2092" t="s">
        <v>91</v>
      </c>
      <c r="B2092" t="s">
        <v>2616</v>
      </c>
      <c r="C2092" t="s">
        <v>2628</v>
      </c>
      <c r="D2092">
        <v>2019</v>
      </c>
      <c r="E2092">
        <v>14</v>
      </c>
    </row>
    <row r="2093" spans="1:5" x14ac:dyDescent="0.25">
      <c r="A2093" t="s">
        <v>91</v>
      </c>
      <c r="B2093" t="s">
        <v>2616</v>
      </c>
      <c r="C2093" t="s">
        <v>2629</v>
      </c>
      <c r="D2093">
        <v>2019</v>
      </c>
      <c r="E2093">
        <v>25</v>
      </c>
    </row>
    <row r="2094" spans="1:5" x14ac:dyDescent="0.25">
      <c r="A2094" t="s">
        <v>91</v>
      </c>
      <c r="B2094" t="s">
        <v>2616</v>
      </c>
      <c r="C2094" t="s">
        <v>2630</v>
      </c>
      <c r="D2094">
        <v>2019</v>
      </c>
      <c r="E2094">
        <v>18</v>
      </c>
    </row>
    <row r="2095" spans="1:5" x14ac:dyDescent="0.25">
      <c r="A2095" t="s">
        <v>91</v>
      </c>
      <c r="B2095" t="s">
        <v>2616</v>
      </c>
      <c r="C2095" t="s">
        <v>2631</v>
      </c>
      <c r="D2095">
        <v>2019</v>
      </c>
      <c r="E2095">
        <v>23</v>
      </c>
    </row>
    <row r="2096" spans="1:5" x14ac:dyDescent="0.25">
      <c r="A2096" t="s">
        <v>91</v>
      </c>
      <c r="B2096" t="s">
        <v>2616</v>
      </c>
      <c r="C2096" t="s">
        <v>2617</v>
      </c>
      <c r="D2096">
        <v>2018</v>
      </c>
      <c r="E2096">
        <v>28</v>
      </c>
    </row>
    <row r="2097" spans="1:5" x14ac:dyDescent="0.25">
      <c r="A2097" t="s">
        <v>91</v>
      </c>
      <c r="B2097" t="s">
        <v>2616</v>
      </c>
      <c r="C2097" t="s">
        <v>2618</v>
      </c>
      <c r="D2097">
        <v>2018</v>
      </c>
      <c r="E2097">
        <v>22</v>
      </c>
    </row>
    <row r="2098" spans="1:5" x14ac:dyDescent="0.25">
      <c r="A2098" t="s">
        <v>91</v>
      </c>
      <c r="B2098" t="s">
        <v>2616</v>
      </c>
      <c r="C2098" t="s">
        <v>2619</v>
      </c>
      <c r="D2098">
        <v>2018</v>
      </c>
      <c r="E2098">
        <v>23</v>
      </c>
    </row>
    <row r="2099" spans="1:5" x14ac:dyDescent="0.25">
      <c r="A2099" t="s">
        <v>91</v>
      </c>
      <c r="B2099" t="s">
        <v>2616</v>
      </c>
      <c r="C2099" t="s">
        <v>2620</v>
      </c>
      <c r="D2099">
        <v>2018</v>
      </c>
      <c r="E2099">
        <v>20</v>
      </c>
    </row>
    <row r="2100" spans="1:5" x14ac:dyDescent="0.25">
      <c r="A2100" t="s">
        <v>91</v>
      </c>
      <c r="B2100" t="s">
        <v>2616</v>
      </c>
      <c r="C2100" t="s">
        <v>2621</v>
      </c>
      <c r="D2100">
        <v>2018</v>
      </c>
      <c r="E2100">
        <v>72</v>
      </c>
    </row>
    <row r="2101" spans="1:5" x14ac:dyDescent="0.25">
      <c r="A2101" t="s">
        <v>91</v>
      </c>
      <c r="B2101" t="s">
        <v>2616</v>
      </c>
      <c r="C2101" t="s">
        <v>2622</v>
      </c>
      <c r="D2101">
        <v>2018</v>
      </c>
      <c r="E2101">
        <v>26</v>
      </c>
    </row>
    <row r="2102" spans="1:5" x14ac:dyDescent="0.25">
      <c r="A2102" t="s">
        <v>91</v>
      </c>
      <c r="B2102" t="s">
        <v>2616</v>
      </c>
      <c r="C2102" t="s">
        <v>2623</v>
      </c>
      <c r="D2102">
        <v>2018</v>
      </c>
      <c r="E2102">
        <v>25</v>
      </c>
    </row>
    <row r="2103" spans="1:5" x14ac:dyDescent="0.25">
      <c r="A2103" t="s">
        <v>91</v>
      </c>
      <c r="B2103" t="s">
        <v>2616</v>
      </c>
      <c r="C2103" t="s">
        <v>2624</v>
      </c>
      <c r="D2103">
        <v>2018</v>
      </c>
      <c r="E2103">
        <v>25</v>
      </c>
    </row>
    <row r="2104" spans="1:5" x14ac:dyDescent="0.25">
      <c r="A2104" t="s">
        <v>91</v>
      </c>
      <c r="B2104" t="s">
        <v>2616</v>
      </c>
      <c r="C2104" t="s">
        <v>2625</v>
      </c>
      <c r="D2104">
        <v>2018</v>
      </c>
      <c r="E2104">
        <v>23</v>
      </c>
    </row>
    <row r="2105" spans="1:5" x14ac:dyDescent="0.25">
      <c r="A2105" t="s">
        <v>91</v>
      </c>
      <c r="B2105" t="s">
        <v>2616</v>
      </c>
      <c r="C2105" t="s">
        <v>108</v>
      </c>
      <c r="D2105">
        <v>2018</v>
      </c>
      <c r="E2105">
        <v>34</v>
      </c>
    </row>
    <row r="2106" spans="1:5" x14ac:dyDescent="0.25">
      <c r="A2106" t="s">
        <v>91</v>
      </c>
      <c r="B2106" t="s">
        <v>2616</v>
      </c>
      <c r="C2106" t="s">
        <v>131</v>
      </c>
      <c r="D2106">
        <v>2018</v>
      </c>
      <c r="E2106">
        <v>49</v>
      </c>
    </row>
    <row r="2107" spans="1:5" x14ac:dyDescent="0.25">
      <c r="A2107" t="s">
        <v>91</v>
      </c>
      <c r="B2107" t="s">
        <v>2616</v>
      </c>
      <c r="C2107" t="s">
        <v>2626</v>
      </c>
      <c r="D2107">
        <v>2018</v>
      </c>
      <c r="E2107">
        <v>3</v>
      </c>
    </row>
    <row r="2108" spans="1:5" x14ac:dyDescent="0.25">
      <c r="A2108" t="s">
        <v>91</v>
      </c>
      <c r="B2108" t="s">
        <v>2616</v>
      </c>
      <c r="C2108" t="s">
        <v>2627</v>
      </c>
      <c r="D2108">
        <v>2018</v>
      </c>
      <c r="E2108">
        <v>514</v>
      </c>
    </row>
    <row r="2109" spans="1:5" x14ac:dyDescent="0.25">
      <c r="A2109" t="s">
        <v>91</v>
      </c>
      <c r="B2109" t="s">
        <v>2616</v>
      </c>
      <c r="C2109" t="s">
        <v>2628</v>
      </c>
      <c r="D2109">
        <v>2018</v>
      </c>
      <c r="E2109">
        <v>29</v>
      </c>
    </row>
    <row r="2110" spans="1:5" x14ac:dyDescent="0.25">
      <c r="A2110" t="s">
        <v>91</v>
      </c>
      <c r="B2110" t="s">
        <v>2616</v>
      </c>
      <c r="C2110" t="s">
        <v>2629</v>
      </c>
      <c r="D2110">
        <v>2018</v>
      </c>
      <c r="E2110">
        <v>28</v>
      </c>
    </row>
    <row r="2111" spans="1:5" x14ac:dyDescent="0.25">
      <c r="A2111" t="s">
        <v>91</v>
      </c>
      <c r="B2111" t="s">
        <v>2616</v>
      </c>
      <c r="C2111" t="s">
        <v>2632</v>
      </c>
      <c r="D2111">
        <v>2018</v>
      </c>
      <c r="E2111">
        <v>4</v>
      </c>
    </row>
    <row r="2112" spans="1:5" x14ac:dyDescent="0.25">
      <c r="A2112" t="s">
        <v>91</v>
      </c>
      <c r="B2112" t="s">
        <v>2616</v>
      </c>
      <c r="C2112" t="s">
        <v>2630</v>
      </c>
      <c r="D2112">
        <v>2018</v>
      </c>
      <c r="E2112">
        <v>14</v>
      </c>
    </row>
    <row r="2113" spans="1:5" x14ac:dyDescent="0.25">
      <c r="A2113" t="s">
        <v>91</v>
      </c>
      <c r="B2113" t="s">
        <v>2616</v>
      </c>
      <c r="C2113" t="s">
        <v>2631</v>
      </c>
      <c r="D2113">
        <v>2018</v>
      </c>
      <c r="E2113">
        <v>27</v>
      </c>
    </row>
    <row r="2114" spans="1:5" x14ac:dyDescent="0.25">
      <c r="A2114" t="s">
        <v>91</v>
      </c>
      <c r="B2114" t="s">
        <v>2616</v>
      </c>
      <c r="C2114" t="s">
        <v>2617</v>
      </c>
      <c r="D2114">
        <v>2017</v>
      </c>
      <c r="E2114">
        <v>37</v>
      </c>
    </row>
    <row r="2115" spans="1:5" x14ac:dyDescent="0.25">
      <c r="A2115" t="s">
        <v>91</v>
      </c>
      <c r="B2115" t="s">
        <v>2616</v>
      </c>
      <c r="C2115" t="s">
        <v>2618</v>
      </c>
      <c r="D2115">
        <v>2017</v>
      </c>
      <c r="E2115">
        <v>9</v>
      </c>
    </row>
    <row r="2116" spans="1:5" x14ac:dyDescent="0.25">
      <c r="A2116" t="s">
        <v>91</v>
      </c>
      <c r="B2116" t="s">
        <v>2616</v>
      </c>
      <c r="C2116" t="s">
        <v>2619</v>
      </c>
      <c r="D2116">
        <v>2017</v>
      </c>
      <c r="E2116">
        <v>22</v>
      </c>
    </row>
    <row r="2117" spans="1:5" x14ac:dyDescent="0.25">
      <c r="A2117" t="s">
        <v>91</v>
      </c>
      <c r="B2117" t="s">
        <v>2616</v>
      </c>
      <c r="C2117" t="s">
        <v>2620</v>
      </c>
      <c r="D2117">
        <v>2017</v>
      </c>
      <c r="E2117">
        <v>18</v>
      </c>
    </row>
    <row r="2118" spans="1:5" x14ac:dyDescent="0.25">
      <c r="A2118" t="s">
        <v>91</v>
      </c>
      <c r="B2118" t="s">
        <v>2616</v>
      </c>
      <c r="C2118" t="s">
        <v>2621</v>
      </c>
      <c r="D2118">
        <v>2017</v>
      </c>
      <c r="E2118">
        <v>65</v>
      </c>
    </row>
    <row r="2119" spans="1:5" x14ac:dyDescent="0.25">
      <c r="A2119" t="s">
        <v>91</v>
      </c>
      <c r="B2119" t="s">
        <v>2616</v>
      </c>
      <c r="C2119" t="s">
        <v>2622</v>
      </c>
      <c r="D2119">
        <v>2017</v>
      </c>
      <c r="E2119">
        <v>26</v>
      </c>
    </row>
    <row r="2120" spans="1:5" x14ac:dyDescent="0.25">
      <c r="A2120" t="s">
        <v>91</v>
      </c>
      <c r="B2120" t="s">
        <v>2616</v>
      </c>
      <c r="C2120" t="s">
        <v>2623</v>
      </c>
      <c r="D2120">
        <v>2017</v>
      </c>
      <c r="E2120">
        <v>32</v>
      </c>
    </row>
    <row r="2121" spans="1:5" x14ac:dyDescent="0.25">
      <c r="A2121" t="s">
        <v>91</v>
      </c>
      <c r="B2121" t="s">
        <v>2616</v>
      </c>
      <c r="C2121" t="s">
        <v>2624</v>
      </c>
      <c r="D2121">
        <v>2017</v>
      </c>
      <c r="E2121">
        <v>31</v>
      </c>
    </row>
    <row r="2122" spans="1:5" x14ac:dyDescent="0.25">
      <c r="A2122" t="s">
        <v>91</v>
      </c>
      <c r="B2122" t="s">
        <v>2616</v>
      </c>
      <c r="C2122" t="s">
        <v>2625</v>
      </c>
      <c r="D2122">
        <v>2017</v>
      </c>
      <c r="E2122">
        <v>33</v>
      </c>
    </row>
    <row r="2123" spans="1:5" x14ac:dyDescent="0.25">
      <c r="A2123" t="s">
        <v>91</v>
      </c>
      <c r="B2123" t="s">
        <v>2616</v>
      </c>
      <c r="C2123" t="s">
        <v>108</v>
      </c>
      <c r="D2123">
        <v>2017</v>
      </c>
      <c r="E2123">
        <v>34</v>
      </c>
    </row>
    <row r="2124" spans="1:5" x14ac:dyDescent="0.25">
      <c r="A2124" t="s">
        <v>91</v>
      </c>
      <c r="B2124" t="s">
        <v>2616</v>
      </c>
      <c r="C2124" t="s">
        <v>131</v>
      </c>
      <c r="D2124">
        <v>2017</v>
      </c>
      <c r="E2124">
        <v>52</v>
      </c>
    </row>
    <row r="2125" spans="1:5" x14ac:dyDescent="0.25">
      <c r="A2125" t="s">
        <v>91</v>
      </c>
      <c r="B2125" t="s">
        <v>2616</v>
      </c>
      <c r="C2125" t="s">
        <v>2626</v>
      </c>
      <c r="D2125">
        <v>2017</v>
      </c>
      <c r="E2125">
        <v>3</v>
      </c>
    </row>
    <row r="2126" spans="1:5" x14ac:dyDescent="0.25">
      <c r="A2126" t="s">
        <v>91</v>
      </c>
      <c r="B2126" t="s">
        <v>2616</v>
      </c>
      <c r="C2126" t="s">
        <v>2627</v>
      </c>
      <c r="D2126">
        <v>2017</v>
      </c>
      <c r="E2126">
        <v>595</v>
      </c>
    </row>
    <row r="2127" spans="1:5" x14ac:dyDescent="0.25">
      <c r="A2127" t="s">
        <v>91</v>
      </c>
      <c r="B2127" t="s">
        <v>2616</v>
      </c>
      <c r="C2127" t="s">
        <v>2628</v>
      </c>
      <c r="D2127">
        <v>2017</v>
      </c>
      <c r="E2127">
        <v>13</v>
      </c>
    </row>
    <row r="2128" spans="1:5" x14ac:dyDescent="0.25">
      <c r="A2128" t="s">
        <v>91</v>
      </c>
      <c r="B2128" t="s">
        <v>2616</v>
      </c>
      <c r="C2128" t="s">
        <v>2633</v>
      </c>
      <c r="D2128">
        <v>2017</v>
      </c>
      <c r="E2128">
        <v>1</v>
      </c>
    </row>
    <row r="2129" spans="1:5" x14ac:dyDescent="0.25">
      <c r="A2129" t="s">
        <v>91</v>
      </c>
      <c r="B2129" t="s">
        <v>2616</v>
      </c>
      <c r="C2129" t="s">
        <v>2634</v>
      </c>
      <c r="D2129">
        <v>2017</v>
      </c>
      <c r="E2129">
        <v>1</v>
      </c>
    </row>
    <row r="2130" spans="1:5" x14ac:dyDescent="0.25">
      <c r="A2130" t="s">
        <v>91</v>
      </c>
      <c r="B2130" t="s">
        <v>2616</v>
      </c>
      <c r="C2130" t="s">
        <v>2629</v>
      </c>
      <c r="D2130">
        <v>2017</v>
      </c>
      <c r="E2130">
        <v>47</v>
      </c>
    </row>
    <row r="2131" spans="1:5" x14ac:dyDescent="0.25">
      <c r="A2131" t="s">
        <v>91</v>
      </c>
      <c r="B2131" t="s">
        <v>2616</v>
      </c>
      <c r="C2131" t="s">
        <v>2632</v>
      </c>
      <c r="D2131">
        <v>2017</v>
      </c>
      <c r="E2131">
        <v>14</v>
      </c>
    </row>
    <row r="2132" spans="1:5" x14ac:dyDescent="0.25">
      <c r="A2132" t="s">
        <v>91</v>
      </c>
      <c r="B2132" t="s">
        <v>2616</v>
      </c>
      <c r="C2132" t="s">
        <v>2630</v>
      </c>
      <c r="D2132">
        <v>2017</v>
      </c>
      <c r="E2132">
        <v>17</v>
      </c>
    </row>
    <row r="2133" spans="1:5" x14ac:dyDescent="0.25">
      <c r="A2133" t="s">
        <v>91</v>
      </c>
      <c r="B2133" t="s">
        <v>2616</v>
      </c>
      <c r="C2133" t="s">
        <v>2631</v>
      </c>
      <c r="D2133">
        <v>2017</v>
      </c>
      <c r="E2133">
        <v>31</v>
      </c>
    </row>
    <row r="2134" spans="1:5" x14ac:dyDescent="0.25">
      <c r="A2134" t="s">
        <v>91</v>
      </c>
      <c r="B2134" t="s">
        <v>2616</v>
      </c>
      <c r="C2134" t="s">
        <v>2617</v>
      </c>
      <c r="D2134">
        <v>2016</v>
      </c>
      <c r="E2134">
        <v>57</v>
      </c>
    </row>
    <row r="2135" spans="1:5" x14ac:dyDescent="0.25">
      <c r="A2135" t="s">
        <v>91</v>
      </c>
      <c r="B2135" t="s">
        <v>2616</v>
      </c>
      <c r="C2135" t="s">
        <v>2619</v>
      </c>
      <c r="D2135">
        <v>2016</v>
      </c>
      <c r="E2135">
        <v>17</v>
      </c>
    </row>
    <row r="2136" spans="1:5" x14ac:dyDescent="0.25">
      <c r="A2136" t="s">
        <v>91</v>
      </c>
      <c r="B2136" t="s">
        <v>2616</v>
      </c>
      <c r="C2136" t="s">
        <v>2620</v>
      </c>
      <c r="D2136">
        <v>2016</v>
      </c>
      <c r="E2136">
        <v>18</v>
      </c>
    </row>
    <row r="2137" spans="1:5" x14ac:dyDescent="0.25">
      <c r="A2137" t="s">
        <v>91</v>
      </c>
      <c r="B2137" t="s">
        <v>2616</v>
      </c>
      <c r="C2137" t="s">
        <v>2621</v>
      </c>
      <c r="D2137">
        <v>2016</v>
      </c>
      <c r="E2137">
        <v>46</v>
      </c>
    </row>
    <row r="2138" spans="1:5" x14ac:dyDescent="0.25">
      <c r="A2138" t="s">
        <v>91</v>
      </c>
      <c r="B2138" t="s">
        <v>2616</v>
      </c>
      <c r="C2138" t="s">
        <v>2622</v>
      </c>
      <c r="D2138">
        <v>2016</v>
      </c>
      <c r="E2138">
        <v>24</v>
      </c>
    </row>
    <row r="2139" spans="1:5" x14ac:dyDescent="0.25">
      <c r="A2139" t="s">
        <v>91</v>
      </c>
      <c r="B2139" t="s">
        <v>2616</v>
      </c>
      <c r="C2139" t="s">
        <v>2635</v>
      </c>
      <c r="D2139">
        <v>2016</v>
      </c>
      <c r="E2139">
        <v>13</v>
      </c>
    </row>
    <row r="2140" spans="1:5" x14ac:dyDescent="0.25">
      <c r="A2140" t="s">
        <v>91</v>
      </c>
      <c r="B2140" t="s">
        <v>2616</v>
      </c>
      <c r="C2140" t="s">
        <v>2623</v>
      </c>
      <c r="D2140">
        <v>2016</v>
      </c>
      <c r="E2140">
        <v>32</v>
      </c>
    </row>
    <row r="2141" spans="1:5" x14ac:dyDescent="0.25">
      <c r="A2141" t="s">
        <v>91</v>
      </c>
      <c r="B2141" t="s">
        <v>2616</v>
      </c>
      <c r="C2141" t="s">
        <v>2624</v>
      </c>
      <c r="D2141">
        <v>2016</v>
      </c>
      <c r="E2141">
        <v>32</v>
      </c>
    </row>
    <row r="2142" spans="1:5" x14ac:dyDescent="0.25">
      <c r="A2142" t="s">
        <v>91</v>
      </c>
      <c r="B2142" t="s">
        <v>2616</v>
      </c>
      <c r="C2142" t="s">
        <v>2625</v>
      </c>
      <c r="D2142">
        <v>2016</v>
      </c>
      <c r="E2142">
        <v>44</v>
      </c>
    </row>
    <row r="2143" spans="1:5" x14ac:dyDescent="0.25">
      <c r="A2143" t="s">
        <v>91</v>
      </c>
      <c r="B2143" t="s">
        <v>2616</v>
      </c>
      <c r="C2143" t="s">
        <v>108</v>
      </c>
      <c r="D2143">
        <v>2016</v>
      </c>
      <c r="E2143">
        <v>47</v>
      </c>
    </row>
    <row r="2144" spans="1:5" x14ac:dyDescent="0.25">
      <c r="A2144" t="s">
        <v>91</v>
      </c>
      <c r="B2144" t="s">
        <v>2616</v>
      </c>
      <c r="C2144" t="s">
        <v>131</v>
      </c>
      <c r="D2144">
        <v>2016</v>
      </c>
      <c r="E2144">
        <v>51</v>
      </c>
    </row>
    <row r="2145" spans="1:5" x14ac:dyDescent="0.25">
      <c r="A2145" t="s">
        <v>91</v>
      </c>
      <c r="B2145" t="s">
        <v>2616</v>
      </c>
      <c r="C2145" t="s">
        <v>2627</v>
      </c>
      <c r="D2145">
        <v>2016</v>
      </c>
      <c r="E2145">
        <v>608</v>
      </c>
    </row>
    <row r="2146" spans="1:5" x14ac:dyDescent="0.25">
      <c r="A2146" t="s">
        <v>91</v>
      </c>
      <c r="B2146" t="s">
        <v>2616</v>
      </c>
      <c r="C2146" t="s">
        <v>2628</v>
      </c>
      <c r="D2146">
        <v>2016</v>
      </c>
      <c r="E2146">
        <v>16</v>
      </c>
    </row>
    <row r="2147" spans="1:5" x14ac:dyDescent="0.25">
      <c r="A2147" t="s">
        <v>91</v>
      </c>
      <c r="B2147" t="s">
        <v>2616</v>
      </c>
      <c r="C2147" t="s">
        <v>2633</v>
      </c>
      <c r="D2147">
        <v>2016</v>
      </c>
      <c r="E2147">
        <v>13</v>
      </c>
    </row>
    <row r="2148" spans="1:5" x14ac:dyDescent="0.25">
      <c r="A2148" t="s">
        <v>91</v>
      </c>
      <c r="B2148" t="s">
        <v>2616</v>
      </c>
      <c r="C2148" t="s">
        <v>2634</v>
      </c>
      <c r="D2148">
        <v>2016</v>
      </c>
      <c r="E2148">
        <v>4</v>
      </c>
    </row>
    <row r="2149" spans="1:5" x14ac:dyDescent="0.25">
      <c r="A2149" t="s">
        <v>91</v>
      </c>
      <c r="B2149" t="s">
        <v>2616</v>
      </c>
      <c r="C2149" t="s">
        <v>2629</v>
      </c>
      <c r="D2149">
        <v>2016</v>
      </c>
      <c r="E2149">
        <v>42</v>
      </c>
    </row>
    <row r="2150" spans="1:5" x14ac:dyDescent="0.25">
      <c r="A2150" t="s">
        <v>91</v>
      </c>
      <c r="B2150" t="s">
        <v>2616</v>
      </c>
      <c r="C2150" t="s">
        <v>2632</v>
      </c>
      <c r="D2150">
        <v>2016</v>
      </c>
      <c r="E2150">
        <v>25</v>
      </c>
    </row>
    <row r="2151" spans="1:5" x14ac:dyDescent="0.25">
      <c r="A2151" t="s">
        <v>91</v>
      </c>
      <c r="B2151" t="s">
        <v>2616</v>
      </c>
      <c r="C2151" t="s">
        <v>2630</v>
      </c>
      <c r="D2151">
        <v>2016</v>
      </c>
      <c r="E2151">
        <v>23</v>
      </c>
    </row>
    <row r="2152" spans="1:5" x14ac:dyDescent="0.25">
      <c r="A2152" t="s">
        <v>91</v>
      </c>
      <c r="B2152" t="s">
        <v>2616</v>
      </c>
      <c r="C2152" t="s">
        <v>2631</v>
      </c>
      <c r="D2152">
        <v>2016</v>
      </c>
      <c r="E2152">
        <v>23</v>
      </c>
    </row>
    <row r="2153" spans="1:5" x14ac:dyDescent="0.25">
      <c r="A2153" t="s">
        <v>91</v>
      </c>
      <c r="B2153" t="s">
        <v>2616</v>
      </c>
      <c r="C2153" t="s">
        <v>2617</v>
      </c>
      <c r="D2153">
        <v>2015</v>
      </c>
      <c r="E2153">
        <v>37</v>
      </c>
    </row>
    <row r="2154" spans="1:5" x14ac:dyDescent="0.25">
      <c r="A2154" t="s">
        <v>91</v>
      </c>
      <c r="B2154" t="s">
        <v>2616</v>
      </c>
      <c r="C2154" t="s">
        <v>2619</v>
      </c>
      <c r="D2154">
        <v>2015</v>
      </c>
      <c r="E2154">
        <v>25</v>
      </c>
    </row>
    <row r="2155" spans="1:5" x14ac:dyDescent="0.25">
      <c r="A2155" t="s">
        <v>91</v>
      </c>
      <c r="B2155" t="s">
        <v>2616</v>
      </c>
      <c r="C2155" t="s">
        <v>2620</v>
      </c>
      <c r="D2155">
        <v>2015</v>
      </c>
      <c r="E2155">
        <v>18</v>
      </c>
    </row>
    <row r="2156" spans="1:5" x14ac:dyDescent="0.25">
      <c r="A2156" t="s">
        <v>91</v>
      </c>
      <c r="B2156" t="s">
        <v>2616</v>
      </c>
      <c r="C2156" t="s">
        <v>2621</v>
      </c>
      <c r="D2156">
        <v>2015</v>
      </c>
      <c r="E2156">
        <v>37</v>
      </c>
    </row>
    <row r="2157" spans="1:5" x14ac:dyDescent="0.25">
      <c r="A2157" t="s">
        <v>91</v>
      </c>
      <c r="B2157" t="s">
        <v>2616</v>
      </c>
      <c r="C2157" t="s">
        <v>2622</v>
      </c>
      <c r="D2157">
        <v>2015</v>
      </c>
      <c r="E2157">
        <v>24</v>
      </c>
    </row>
    <row r="2158" spans="1:5" x14ac:dyDescent="0.25">
      <c r="A2158" t="s">
        <v>91</v>
      </c>
      <c r="B2158" t="s">
        <v>2616</v>
      </c>
      <c r="C2158" t="s">
        <v>2635</v>
      </c>
      <c r="D2158">
        <v>2015</v>
      </c>
      <c r="E2158">
        <v>42</v>
      </c>
    </row>
    <row r="2159" spans="1:5" x14ac:dyDescent="0.25">
      <c r="A2159" t="s">
        <v>91</v>
      </c>
      <c r="B2159" t="s">
        <v>2616</v>
      </c>
      <c r="C2159" t="s">
        <v>2623</v>
      </c>
      <c r="D2159">
        <v>2015</v>
      </c>
      <c r="E2159">
        <v>43</v>
      </c>
    </row>
    <row r="2160" spans="1:5" x14ac:dyDescent="0.25">
      <c r="A2160" t="s">
        <v>91</v>
      </c>
      <c r="B2160" t="s">
        <v>2616</v>
      </c>
      <c r="C2160" t="s">
        <v>2624</v>
      </c>
      <c r="D2160">
        <v>2015</v>
      </c>
      <c r="E2160">
        <v>40</v>
      </c>
    </row>
    <row r="2161" spans="1:5" x14ac:dyDescent="0.25">
      <c r="A2161" t="s">
        <v>91</v>
      </c>
      <c r="B2161" t="s">
        <v>2616</v>
      </c>
      <c r="C2161" t="s">
        <v>2625</v>
      </c>
      <c r="D2161">
        <v>2015</v>
      </c>
      <c r="E2161">
        <v>42</v>
      </c>
    </row>
    <row r="2162" spans="1:5" x14ac:dyDescent="0.25">
      <c r="A2162" t="s">
        <v>91</v>
      </c>
      <c r="B2162" t="s">
        <v>2616</v>
      </c>
      <c r="C2162" t="s">
        <v>108</v>
      </c>
      <c r="D2162">
        <v>2015</v>
      </c>
      <c r="E2162">
        <v>60</v>
      </c>
    </row>
    <row r="2163" spans="1:5" x14ac:dyDescent="0.25">
      <c r="A2163" t="s">
        <v>91</v>
      </c>
      <c r="B2163" t="s">
        <v>2616</v>
      </c>
      <c r="C2163" t="s">
        <v>131</v>
      </c>
      <c r="D2163">
        <v>2015</v>
      </c>
      <c r="E2163">
        <v>63</v>
      </c>
    </row>
    <row r="2164" spans="1:5" x14ac:dyDescent="0.25">
      <c r="A2164" t="s">
        <v>91</v>
      </c>
      <c r="B2164" t="s">
        <v>2616</v>
      </c>
      <c r="C2164" t="s">
        <v>2627</v>
      </c>
      <c r="D2164">
        <v>2015</v>
      </c>
      <c r="E2164">
        <v>623</v>
      </c>
    </row>
    <row r="2165" spans="1:5" x14ac:dyDescent="0.25">
      <c r="A2165" t="s">
        <v>91</v>
      </c>
      <c r="B2165" t="s">
        <v>2616</v>
      </c>
      <c r="C2165" t="s">
        <v>2628</v>
      </c>
      <c r="D2165">
        <v>2015</v>
      </c>
      <c r="E2165">
        <v>35</v>
      </c>
    </row>
    <row r="2166" spans="1:5" x14ac:dyDescent="0.25">
      <c r="A2166" t="s">
        <v>91</v>
      </c>
      <c r="B2166" t="s">
        <v>2616</v>
      </c>
      <c r="C2166" t="s">
        <v>2633</v>
      </c>
      <c r="D2166">
        <v>2015</v>
      </c>
      <c r="E2166">
        <v>23</v>
      </c>
    </row>
    <row r="2167" spans="1:5" x14ac:dyDescent="0.25">
      <c r="A2167" t="s">
        <v>91</v>
      </c>
      <c r="B2167" t="s">
        <v>2616</v>
      </c>
      <c r="C2167" t="s">
        <v>2634</v>
      </c>
      <c r="D2167">
        <v>2015</v>
      </c>
      <c r="E2167">
        <v>10</v>
      </c>
    </row>
    <row r="2168" spans="1:5" x14ac:dyDescent="0.25">
      <c r="A2168" t="s">
        <v>91</v>
      </c>
      <c r="B2168" t="s">
        <v>2616</v>
      </c>
      <c r="C2168" t="s">
        <v>2629</v>
      </c>
      <c r="D2168">
        <v>2015</v>
      </c>
      <c r="E2168">
        <v>41</v>
      </c>
    </row>
    <row r="2169" spans="1:5" x14ac:dyDescent="0.25">
      <c r="A2169" t="s">
        <v>91</v>
      </c>
      <c r="B2169" t="s">
        <v>2616</v>
      </c>
      <c r="C2169" t="s">
        <v>2632</v>
      </c>
      <c r="D2169">
        <v>2015</v>
      </c>
      <c r="E2169">
        <v>17</v>
      </c>
    </row>
    <row r="2170" spans="1:5" x14ac:dyDescent="0.25">
      <c r="A2170" t="s">
        <v>91</v>
      </c>
      <c r="B2170" t="s">
        <v>2616</v>
      </c>
      <c r="C2170" t="s">
        <v>2630</v>
      </c>
      <c r="D2170">
        <v>2015</v>
      </c>
      <c r="E2170">
        <v>28</v>
      </c>
    </row>
    <row r="2171" spans="1:5" x14ac:dyDescent="0.25">
      <c r="A2171" t="s">
        <v>91</v>
      </c>
      <c r="B2171" t="s">
        <v>2616</v>
      </c>
      <c r="C2171" t="s">
        <v>2631</v>
      </c>
      <c r="D2171">
        <v>2015</v>
      </c>
      <c r="E2171">
        <v>30</v>
      </c>
    </row>
    <row r="2172" spans="1:5" x14ac:dyDescent="0.25">
      <c r="A2172" t="s">
        <v>91</v>
      </c>
      <c r="B2172" t="s">
        <v>2616</v>
      </c>
      <c r="C2172" t="s">
        <v>2617</v>
      </c>
      <c r="D2172">
        <v>2014</v>
      </c>
      <c r="E2172">
        <v>32</v>
      </c>
    </row>
    <row r="2173" spans="1:5" x14ac:dyDescent="0.25">
      <c r="A2173" t="s">
        <v>91</v>
      </c>
      <c r="B2173" t="s">
        <v>2616</v>
      </c>
      <c r="C2173" t="s">
        <v>2619</v>
      </c>
      <c r="D2173">
        <v>2014</v>
      </c>
      <c r="E2173">
        <v>21</v>
      </c>
    </row>
    <row r="2174" spans="1:5" x14ac:dyDescent="0.25">
      <c r="A2174" t="s">
        <v>91</v>
      </c>
      <c r="B2174" t="s">
        <v>2616</v>
      </c>
      <c r="C2174" t="s">
        <v>2620</v>
      </c>
      <c r="D2174">
        <v>2014</v>
      </c>
      <c r="E2174">
        <v>22</v>
      </c>
    </row>
    <row r="2175" spans="1:5" x14ac:dyDescent="0.25">
      <c r="A2175" t="s">
        <v>91</v>
      </c>
      <c r="B2175" t="s">
        <v>2616</v>
      </c>
      <c r="C2175" t="s">
        <v>2621</v>
      </c>
      <c r="D2175">
        <v>2014</v>
      </c>
      <c r="E2175">
        <v>34</v>
      </c>
    </row>
    <row r="2176" spans="1:5" x14ac:dyDescent="0.25">
      <c r="A2176" t="s">
        <v>91</v>
      </c>
      <c r="B2176" t="s">
        <v>2616</v>
      </c>
      <c r="C2176" t="s">
        <v>2622</v>
      </c>
      <c r="D2176">
        <v>2014</v>
      </c>
      <c r="E2176">
        <v>23</v>
      </c>
    </row>
    <row r="2177" spans="1:5" x14ac:dyDescent="0.25">
      <c r="A2177" t="s">
        <v>91</v>
      </c>
      <c r="B2177" t="s">
        <v>2616</v>
      </c>
      <c r="C2177" t="s">
        <v>2635</v>
      </c>
      <c r="D2177">
        <v>2014</v>
      </c>
      <c r="E2177">
        <v>38</v>
      </c>
    </row>
    <row r="2178" spans="1:5" x14ac:dyDescent="0.25">
      <c r="A2178" t="s">
        <v>91</v>
      </c>
      <c r="B2178" t="s">
        <v>2616</v>
      </c>
      <c r="C2178" t="s">
        <v>2623</v>
      </c>
      <c r="D2178">
        <v>2014</v>
      </c>
      <c r="E2178">
        <v>46</v>
      </c>
    </row>
    <row r="2179" spans="1:5" x14ac:dyDescent="0.25">
      <c r="A2179" t="s">
        <v>91</v>
      </c>
      <c r="B2179" t="s">
        <v>2616</v>
      </c>
      <c r="C2179" t="s">
        <v>2624</v>
      </c>
      <c r="D2179">
        <v>2014</v>
      </c>
      <c r="E2179">
        <v>64</v>
      </c>
    </row>
    <row r="2180" spans="1:5" x14ac:dyDescent="0.25">
      <c r="A2180" t="s">
        <v>91</v>
      </c>
      <c r="B2180" t="s">
        <v>2616</v>
      </c>
      <c r="C2180" t="s">
        <v>2625</v>
      </c>
      <c r="D2180">
        <v>2014</v>
      </c>
      <c r="E2180">
        <v>9</v>
      </c>
    </row>
    <row r="2181" spans="1:5" x14ac:dyDescent="0.25">
      <c r="A2181" t="s">
        <v>91</v>
      </c>
      <c r="B2181" t="s">
        <v>2616</v>
      </c>
      <c r="C2181" t="s">
        <v>108</v>
      </c>
      <c r="D2181">
        <v>2014</v>
      </c>
      <c r="E2181">
        <v>82</v>
      </c>
    </row>
    <row r="2182" spans="1:5" x14ac:dyDescent="0.25">
      <c r="A2182" t="s">
        <v>91</v>
      </c>
      <c r="B2182" t="s">
        <v>2616</v>
      </c>
      <c r="C2182" t="s">
        <v>131</v>
      </c>
      <c r="D2182">
        <v>2014</v>
      </c>
      <c r="E2182">
        <v>81</v>
      </c>
    </row>
    <row r="2183" spans="1:5" x14ac:dyDescent="0.25">
      <c r="A2183" t="s">
        <v>91</v>
      </c>
      <c r="B2183" t="s">
        <v>2616</v>
      </c>
      <c r="C2183" t="s">
        <v>2627</v>
      </c>
      <c r="D2183">
        <v>2014</v>
      </c>
      <c r="E2183">
        <v>622</v>
      </c>
    </row>
    <row r="2184" spans="1:5" x14ac:dyDescent="0.25">
      <c r="A2184" t="s">
        <v>91</v>
      </c>
      <c r="B2184" t="s">
        <v>2616</v>
      </c>
      <c r="C2184" t="s">
        <v>2628</v>
      </c>
      <c r="D2184">
        <v>2014</v>
      </c>
      <c r="E2184">
        <v>57</v>
      </c>
    </row>
    <row r="2185" spans="1:5" x14ac:dyDescent="0.25">
      <c r="A2185" t="s">
        <v>91</v>
      </c>
      <c r="B2185" t="s">
        <v>2616</v>
      </c>
      <c r="C2185" t="s">
        <v>2633</v>
      </c>
      <c r="D2185">
        <v>2014</v>
      </c>
      <c r="E2185">
        <v>26</v>
      </c>
    </row>
    <row r="2186" spans="1:5" x14ac:dyDescent="0.25">
      <c r="A2186" t="s">
        <v>91</v>
      </c>
      <c r="B2186" t="s">
        <v>2616</v>
      </c>
      <c r="C2186" t="s">
        <v>2634</v>
      </c>
      <c r="D2186">
        <v>2014</v>
      </c>
      <c r="E2186">
        <v>14</v>
      </c>
    </row>
    <row r="2187" spans="1:5" x14ac:dyDescent="0.25">
      <c r="A2187" t="s">
        <v>91</v>
      </c>
      <c r="B2187" t="s">
        <v>2616</v>
      </c>
      <c r="C2187" t="s">
        <v>2629</v>
      </c>
      <c r="D2187">
        <v>2014</v>
      </c>
      <c r="E2187">
        <v>40</v>
      </c>
    </row>
    <row r="2188" spans="1:5" x14ac:dyDescent="0.25">
      <c r="A2188" t="s">
        <v>91</v>
      </c>
      <c r="B2188" t="s">
        <v>2616</v>
      </c>
      <c r="C2188" t="s">
        <v>2632</v>
      </c>
      <c r="D2188">
        <v>2014</v>
      </c>
      <c r="E2188">
        <v>28</v>
      </c>
    </row>
    <row r="2189" spans="1:5" x14ac:dyDescent="0.25">
      <c r="A2189" t="s">
        <v>91</v>
      </c>
      <c r="B2189" t="s">
        <v>2616</v>
      </c>
      <c r="C2189" t="s">
        <v>2630</v>
      </c>
      <c r="D2189">
        <v>2014</v>
      </c>
      <c r="E2189">
        <v>35</v>
      </c>
    </row>
    <row r="2190" spans="1:5" x14ac:dyDescent="0.25">
      <c r="A2190" t="s">
        <v>91</v>
      </c>
      <c r="B2190" t="s">
        <v>2616</v>
      </c>
      <c r="C2190" t="s">
        <v>2631</v>
      </c>
      <c r="D2190">
        <v>2014</v>
      </c>
      <c r="E2190">
        <v>36</v>
      </c>
    </row>
    <row r="2191" spans="1:5" x14ac:dyDescent="0.25">
      <c r="A2191" t="s">
        <v>91</v>
      </c>
      <c r="B2191" t="s">
        <v>2616</v>
      </c>
      <c r="C2191" t="s">
        <v>2617</v>
      </c>
      <c r="D2191">
        <v>2013</v>
      </c>
      <c r="E2191">
        <v>25</v>
      </c>
    </row>
    <row r="2192" spans="1:5" x14ac:dyDescent="0.25">
      <c r="A2192" t="s">
        <v>91</v>
      </c>
      <c r="B2192" t="s">
        <v>2616</v>
      </c>
      <c r="C2192" t="s">
        <v>2619</v>
      </c>
      <c r="D2192">
        <v>2013</v>
      </c>
      <c r="E2192">
        <v>20</v>
      </c>
    </row>
    <row r="2193" spans="1:5" x14ac:dyDescent="0.25">
      <c r="A2193" t="s">
        <v>91</v>
      </c>
      <c r="B2193" t="s">
        <v>2616</v>
      </c>
      <c r="C2193" t="s">
        <v>2620</v>
      </c>
      <c r="D2193">
        <v>2013</v>
      </c>
      <c r="E2193">
        <v>26</v>
      </c>
    </row>
    <row r="2194" spans="1:5" x14ac:dyDescent="0.25">
      <c r="A2194" t="s">
        <v>91</v>
      </c>
      <c r="B2194" t="s">
        <v>2616</v>
      </c>
      <c r="C2194" t="s">
        <v>2621</v>
      </c>
      <c r="D2194">
        <v>2013</v>
      </c>
      <c r="E2194">
        <v>35</v>
      </c>
    </row>
    <row r="2195" spans="1:5" x14ac:dyDescent="0.25">
      <c r="A2195" t="s">
        <v>91</v>
      </c>
      <c r="B2195" t="s">
        <v>2616</v>
      </c>
      <c r="C2195" t="s">
        <v>2622</v>
      </c>
      <c r="D2195">
        <v>2013</v>
      </c>
      <c r="E2195">
        <v>23</v>
      </c>
    </row>
    <row r="2196" spans="1:5" x14ac:dyDescent="0.25">
      <c r="A2196" t="s">
        <v>91</v>
      </c>
      <c r="B2196" t="s">
        <v>2616</v>
      </c>
      <c r="C2196" t="s">
        <v>2635</v>
      </c>
      <c r="D2196">
        <v>2013</v>
      </c>
      <c r="E2196">
        <v>42</v>
      </c>
    </row>
    <row r="2197" spans="1:5" x14ac:dyDescent="0.25">
      <c r="A2197" t="s">
        <v>91</v>
      </c>
      <c r="B2197" t="s">
        <v>2616</v>
      </c>
      <c r="C2197" t="s">
        <v>2623</v>
      </c>
      <c r="D2197">
        <v>2013</v>
      </c>
      <c r="E2197">
        <v>55</v>
      </c>
    </row>
    <row r="2198" spans="1:5" x14ac:dyDescent="0.25">
      <c r="A2198" t="s">
        <v>91</v>
      </c>
      <c r="B2198" t="s">
        <v>2616</v>
      </c>
      <c r="C2198" t="s">
        <v>2624</v>
      </c>
      <c r="D2198">
        <v>2013</v>
      </c>
      <c r="E2198">
        <v>76</v>
      </c>
    </row>
    <row r="2199" spans="1:5" x14ac:dyDescent="0.25">
      <c r="A2199" t="s">
        <v>91</v>
      </c>
      <c r="B2199" t="s">
        <v>2616</v>
      </c>
      <c r="C2199" t="s">
        <v>108</v>
      </c>
      <c r="D2199">
        <v>2013</v>
      </c>
      <c r="E2199">
        <v>85</v>
      </c>
    </row>
    <row r="2200" spans="1:5" x14ac:dyDescent="0.25">
      <c r="A2200" t="s">
        <v>91</v>
      </c>
      <c r="B2200" t="s">
        <v>2616</v>
      </c>
      <c r="C2200" t="s">
        <v>131</v>
      </c>
      <c r="D2200">
        <v>2013</v>
      </c>
      <c r="E2200">
        <v>85</v>
      </c>
    </row>
    <row r="2201" spans="1:5" x14ac:dyDescent="0.25">
      <c r="A2201" t="s">
        <v>91</v>
      </c>
      <c r="B2201" t="s">
        <v>2616</v>
      </c>
      <c r="C2201" t="s">
        <v>2627</v>
      </c>
      <c r="D2201">
        <v>2013</v>
      </c>
      <c r="E2201">
        <v>752</v>
      </c>
    </row>
    <row r="2202" spans="1:5" x14ac:dyDescent="0.25">
      <c r="A2202" t="s">
        <v>91</v>
      </c>
      <c r="B2202" t="s">
        <v>2616</v>
      </c>
      <c r="C2202" t="s">
        <v>2628</v>
      </c>
      <c r="D2202">
        <v>2013</v>
      </c>
      <c r="E2202">
        <v>61</v>
      </c>
    </row>
    <row r="2203" spans="1:5" x14ac:dyDescent="0.25">
      <c r="A2203" t="s">
        <v>91</v>
      </c>
      <c r="B2203" t="s">
        <v>2616</v>
      </c>
      <c r="C2203" t="s">
        <v>2633</v>
      </c>
      <c r="D2203">
        <v>2013</v>
      </c>
      <c r="E2203">
        <v>41</v>
      </c>
    </row>
    <row r="2204" spans="1:5" x14ac:dyDescent="0.25">
      <c r="A2204" t="s">
        <v>91</v>
      </c>
      <c r="B2204" t="s">
        <v>2616</v>
      </c>
      <c r="C2204" t="s">
        <v>2634</v>
      </c>
      <c r="D2204">
        <v>2013</v>
      </c>
      <c r="E2204">
        <v>20</v>
      </c>
    </row>
    <row r="2205" spans="1:5" x14ac:dyDescent="0.25">
      <c r="A2205" t="s">
        <v>91</v>
      </c>
      <c r="B2205" t="s">
        <v>2616</v>
      </c>
      <c r="C2205" t="s">
        <v>2629</v>
      </c>
      <c r="D2205">
        <v>2013</v>
      </c>
      <c r="E2205">
        <v>42</v>
      </c>
    </row>
    <row r="2206" spans="1:5" x14ac:dyDescent="0.25">
      <c r="A2206" t="s">
        <v>91</v>
      </c>
      <c r="B2206" t="s">
        <v>2616</v>
      </c>
      <c r="C2206" t="s">
        <v>2636</v>
      </c>
      <c r="D2206">
        <v>2013</v>
      </c>
      <c r="E2206">
        <v>5</v>
      </c>
    </row>
    <row r="2207" spans="1:5" x14ac:dyDescent="0.25">
      <c r="A2207" t="s">
        <v>91</v>
      </c>
      <c r="B2207" t="s">
        <v>2616</v>
      </c>
      <c r="C2207" t="s">
        <v>2632</v>
      </c>
      <c r="D2207">
        <v>2013</v>
      </c>
      <c r="E2207">
        <v>28</v>
      </c>
    </row>
    <row r="2208" spans="1:5" x14ac:dyDescent="0.25">
      <c r="A2208" t="s">
        <v>91</v>
      </c>
      <c r="B2208" t="s">
        <v>2616</v>
      </c>
      <c r="C2208" t="s">
        <v>2630</v>
      </c>
      <c r="D2208">
        <v>2013</v>
      </c>
      <c r="E2208">
        <v>32</v>
      </c>
    </row>
    <row r="2209" spans="1:5" x14ac:dyDescent="0.25">
      <c r="A2209" t="s">
        <v>91</v>
      </c>
      <c r="B2209" t="s">
        <v>2616</v>
      </c>
      <c r="C2209" t="s">
        <v>2631</v>
      </c>
      <c r="D2209">
        <v>2013</v>
      </c>
      <c r="E2209">
        <v>38</v>
      </c>
    </row>
    <row r="2210" spans="1:5" x14ac:dyDescent="0.25">
      <c r="A2210" t="s">
        <v>91</v>
      </c>
      <c r="B2210" t="s">
        <v>2616</v>
      </c>
      <c r="C2210" t="s">
        <v>2617</v>
      </c>
      <c r="D2210">
        <v>2012</v>
      </c>
      <c r="E2210">
        <v>29</v>
      </c>
    </row>
    <row r="2211" spans="1:5" x14ac:dyDescent="0.25">
      <c r="A2211" t="s">
        <v>91</v>
      </c>
      <c r="B2211" t="s">
        <v>2616</v>
      </c>
      <c r="C2211" t="s">
        <v>2619</v>
      </c>
      <c r="D2211">
        <v>2012</v>
      </c>
      <c r="E2211">
        <v>21</v>
      </c>
    </row>
    <row r="2212" spans="1:5" x14ac:dyDescent="0.25">
      <c r="A2212" t="s">
        <v>91</v>
      </c>
      <c r="B2212" t="s">
        <v>2616</v>
      </c>
      <c r="C2212" t="s">
        <v>2620</v>
      </c>
      <c r="D2212">
        <v>2012</v>
      </c>
      <c r="E2212">
        <v>23</v>
      </c>
    </row>
    <row r="2213" spans="1:5" x14ac:dyDescent="0.25">
      <c r="A2213" t="s">
        <v>91</v>
      </c>
      <c r="B2213" t="s">
        <v>2616</v>
      </c>
      <c r="C2213" t="s">
        <v>2621</v>
      </c>
      <c r="D2213">
        <v>2012</v>
      </c>
      <c r="E2213">
        <v>35</v>
      </c>
    </row>
    <row r="2214" spans="1:5" x14ac:dyDescent="0.25">
      <c r="A2214" t="s">
        <v>91</v>
      </c>
      <c r="B2214" t="s">
        <v>2616</v>
      </c>
      <c r="C2214" t="s">
        <v>2622</v>
      </c>
      <c r="D2214">
        <v>2012</v>
      </c>
      <c r="E2214">
        <v>23</v>
      </c>
    </row>
    <row r="2215" spans="1:5" x14ac:dyDescent="0.25">
      <c r="A2215" t="s">
        <v>91</v>
      </c>
      <c r="B2215" t="s">
        <v>2616</v>
      </c>
      <c r="C2215" t="s">
        <v>2635</v>
      </c>
      <c r="D2215">
        <v>2012</v>
      </c>
      <c r="E2215">
        <v>40</v>
      </c>
    </row>
    <row r="2216" spans="1:5" x14ac:dyDescent="0.25">
      <c r="A2216" t="s">
        <v>91</v>
      </c>
      <c r="B2216" t="s">
        <v>2616</v>
      </c>
      <c r="C2216" t="s">
        <v>2623</v>
      </c>
      <c r="D2216">
        <v>2012</v>
      </c>
      <c r="E2216">
        <v>48</v>
      </c>
    </row>
    <row r="2217" spans="1:5" x14ac:dyDescent="0.25">
      <c r="A2217" t="s">
        <v>91</v>
      </c>
      <c r="B2217" t="s">
        <v>2616</v>
      </c>
      <c r="C2217" t="s">
        <v>2624</v>
      </c>
      <c r="D2217">
        <v>2012</v>
      </c>
      <c r="E2217">
        <v>71</v>
      </c>
    </row>
    <row r="2218" spans="1:5" x14ac:dyDescent="0.25">
      <c r="A2218" t="s">
        <v>91</v>
      </c>
      <c r="B2218" t="s">
        <v>2616</v>
      </c>
      <c r="C2218" t="s">
        <v>108</v>
      </c>
      <c r="D2218">
        <v>2012</v>
      </c>
      <c r="E2218">
        <v>77</v>
      </c>
    </row>
    <row r="2219" spans="1:5" x14ac:dyDescent="0.25">
      <c r="A2219" t="s">
        <v>91</v>
      </c>
      <c r="B2219" t="s">
        <v>2616</v>
      </c>
      <c r="C2219" t="s">
        <v>131</v>
      </c>
      <c r="D2219">
        <v>2012</v>
      </c>
      <c r="E2219">
        <v>57</v>
      </c>
    </row>
    <row r="2220" spans="1:5" x14ac:dyDescent="0.25">
      <c r="A2220" t="s">
        <v>91</v>
      </c>
      <c r="B2220" t="s">
        <v>2616</v>
      </c>
      <c r="C2220" t="s">
        <v>2627</v>
      </c>
      <c r="D2220">
        <v>2012</v>
      </c>
      <c r="E2220">
        <v>994</v>
      </c>
    </row>
    <row r="2221" spans="1:5" x14ac:dyDescent="0.25">
      <c r="A2221" t="s">
        <v>91</v>
      </c>
      <c r="B2221" t="s">
        <v>2616</v>
      </c>
      <c r="C2221" t="s">
        <v>2628</v>
      </c>
      <c r="D2221">
        <v>2012</v>
      </c>
      <c r="E2221">
        <v>21</v>
      </c>
    </row>
    <row r="2222" spans="1:5" x14ac:dyDescent="0.25">
      <c r="A2222" t="s">
        <v>91</v>
      </c>
      <c r="B2222" t="s">
        <v>2616</v>
      </c>
      <c r="C2222" t="s">
        <v>2633</v>
      </c>
      <c r="D2222">
        <v>2012</v>
      </c>
      <c r="E2222">
        <v>45</v>
      </c>
    </row>
    <row r="2223" spans="1:5" x14ac:dyDescent="0.25">
      <c r="A2223" t="s">
        <v>91</v>
      </c>
      <c r="B2223" t="s">
        <v>2616</v>
      </c>
      <c r="C2223" t="s">
        <v>2634</v>
      </c>
      <c r="D2223">
        <v>2012</v>
      </c>
      <c r="E2223">
        <v>20</v>
      </c>
    </row>
    <row r="2224" spans="1:5" x14ac:dyDescent="0.25">
      <c r="A2224" t="s">
        <v>91</v>
      </c>
      <c r="B2224" t="s">
        <v>2616</v>
      </c>
      <c r="C2224" t="s">
        <v>2629</v>
      </c>
      <c r="D2224">
        <v>2012</v>
      </c>
      <c r="E2224">
        <v>37</v>
      </c>
    </row>
    <row r="2225" spans="1:5" x14ac:dyDescent="0.25">
      <c r="A2225" t="s">
        <v>91</v>
      </c>
      <c r="B2225" t="s">
        <v>2616</v>
      </c>
      <c r="C2225" t="s">
        <v>2636</v>
      </c>
      <c r="D2225">
        <v>2012</v>
      </c>
      <c r="E2225">
        <v>23</v>
      </c>
    </row>
    <row r="2226" spans="1:5" x14ac:dyDescent="0.25">
      <c r="A2226" t="s">
        <v>91</v>
      </c>
      <c r="B2226" t="s">
        <v>2616</v>
      </c>
      <c r="C2226" t="s">
        <v>2632</v>
      </c>
      <c r="D2226">
        <v>2012</v>
      </c>
      <c r="E2226">
        <v>30</v>
      </c>
    </row>
    <row r="2227" spans="1:5" x14ac:dyDescent="0.25">
      <c r="A2227" t="s">
        <v>91</v>
      </c>
      <c r="B2227" t="s">
        <v>2616</v>
      </c>
      <c r="C2227" t="s">
        <v>2630</v>
      </c>
      <c r="D2227">
        <v>2012</v>
      </c>
      <c r="E2227">
        <v>30</v>
      </c>
    </row>
    <row r="2228" spans="1:5" x14ac:dyDescent="0.25">
      <c r="A2228" t="s">
        <v>91</v>
      </c>
      <c r="B2228" t="s">
        <v>2616</v>
      </c>
      <c r="C2228" t="s">
        <v>2631</v>
      </c>
      <c r="D2228">
        <v>2012</v>
      </c>
      <c r="E2228">
        <v>36</v>
      </c>
    </row>
    <row r="2229" spans="1:5" x14ac:dyDescent="0.25">
      <c r="A2229" t="s">
        <v>91</v>
      </c>
      <c r="B2229" t="s">
        <v>2616</v>
      </c>
      <c r="C2229" t="s">
        <v>2617</v>
      </c>
      <c r="D2229">
        <v>2011</v>
      </c>
      <c r="E2229">
        <v>31</v>
      </c>
    </row>
    <row r="2230" spans="1:5" x14ac:dyDescent="0.25">
      <c r="A2230" t="s">
        <v>91</v>
      </c>
      <c r="B2230" t="s">
        <v>2616</v>
      </c>
      <c r="C2230" t="s">
        <v>2619</v>
      </c>
      <c r="D2230">
        <v>2011</v>
      </c>
      <c r="E2230">
        <v>26</v>
      </c>
    </row>
    <row r="2231" spans="1:5" x14ac:dyDescent="0.25">
      <c r="A2231" t="s">
        <v>91</v>
      </c>
      <c r="B2231" t="s">
        <v>2616</v>
      </c>
      <c r="C2231" t="s">
        <v>2620</v>
      </c>
      <c r="D2231">
        <v>2011</v>
      </c>
      <c r="E2231">
        <v>27</v>
      </c>
    </row>
    <row r="2232" spans="1:5" x14ac:dyDescent="0.25">
      <c r="A2232" t="s">
        <v>91</v>
      </c>
      <c r="B2232" t="s">
        <v>2616</v>
      </c>
      <c r="C2232" t="s">
        <v>2621</v>
      </c>
      <c r="D2232">
        <v>2011</v>
      </c>
      <c r="E2232">
        <v>35</v>
      </c>
    </row>
    <row r="2233" spans="1:5" x14ac:dyDescent="0.25">
      <c r="A2233" t="s">
        <v>91</v>
      </c>
      <c r="B2233" t="s">
        <v>2616</v>
      </c>
      <c r="C2233" t="s">
        <v>2622</v>
      </c>
      <c r="D2233">
        <v>2011</v>
      </c>
      <c r="E2233">
        <v>24</v>
      </c>
    </row>
    <row r="2234" spans="1:5" x14ac:dyDescent="0.25">
      <c r="A2234" t="s">
        <v>91</v>
      </c>
      <c r="B2234" t="s">
        <v>2616</v>
      </c>
      <c r="C2234" t="s">
        <v>2635</v>
      </c>
      <c r="D2234">
        <v>2011</v>
      </c>
      <c r="E2234">
        <v>42</v>
      </c>
    </row>
    <row r="2235" spans="1:5" x14ac:dyDescent="0.25">
      <c r="A2235" t="s">
        <v>91</v>
      </c>
      <c r="B2235" t="s">
        <v>2616</v>
      </c>
      <c r="C2235" t="s">
        <v>2623</v>
      </c>
      <c r="D2235">
        <v>2011</v>
      </c>
      <c r="E2235">
        <v>44</v>
      </c>
    </row>
    <row r="2236" spans="1:5" x14ac:dyDescent="0.25">
      <c r="A2236" t="s">
        <v>91</v>
      </c>
      <c r="B2236" t="s">
        <v>2616</v>
      </c>
      <c r="C2236" t="s">
        <v>2624</v>
      </c>
      <c r="D2236">
        <v>2011</v>
      </c>
      <c r="E2236">
        <v>58</v>
      </c>
    </row>
    <row r="2237" spans="1:5" x14ac:dyDescent="0.25">
      <c r="A2237" t="s">
        <v>91</v>
      </c>
      <c r="B2237" t="s">
        <v>2616</v>
      </c>
      <c r="C2237" t="s">
        <v>2625</v>
      </c>
      <c r="D2237">
        <v>2011</v>
      </c>
      <c r="E2237">
        <v>1</v>
      </c>
    </row>
    <row r="2238" spans="1:5" x14ac:dyDescent="0.25">
      <c r="A2238" t="s">
        <v>91</v>
      </c>
      <c r="B2238" t="s">
        <v>2616</v>
      </c>
      <c r="C2238" t="s">
        <v>108</v>
      </c>
      <c r="D2238">
        <v>2011</v>
      </c>
      <c r="E2238">
        <v>71</v>
      </c>
    </row>
    <row r="2239" spans="1:5" x14ac:dyDescent="0.25">
      <c r="A2239" t="s">
        <v>91</v>
      </c>
      <c r="B2239" t="s">
        <v>2616</v>
      </c>
      <c r="C2239" t="s">
        <v>131</v>
      </c>
      <c r="D2239">
        <v>2011</v>
      </c>
      <c r="E2239">
        <v>40</v>
      </c>
    </row>
    <row r="2240" spans="1:5" x14ac:dyDescent="0.25">
      <c r="A2240" t="s">
        <v>91</v>
      </c>
      <c r="B2240" t="s">
        <v>2616</v>
      </c>
      <c r="C2240" t="s">
        <v>2627</v>
      </c>
      <c r="D2240">
        <v>2011</v>
      </c>
      <c r="E2240">
        <v>1514</v>
      </c>
    </row>
    <row r="2241" spans="1:5" x14ac:dyDescent="0.25">
      <c r="A2241" t="s">
        <v>91</v>
      </c>
      <c r="B2241" t="s">
        <v>2616</v>
      </c>
      <c r="C2241" t="s">
        <v>2628</v>
      </c>
      <c r="D2241">
        <v>2011</v>
      </c>
      <c r="E2241">
        <v>17</v>
      </c>
    </row>
    <row r="2242" spans="1:5" x14ac:dyDescent="0.25">
      <c r="A2242" t="s">
        <v>91</v>
      </c>
      <c r="B2242" t="s">
        <v>2616</v>
      </c>
      <c r="C2242" t="s">
        <v>2633</v>
      </c>
      <c r="D2242">
        <v>2011</v>
      </c>
      <c r="E2242">
        <v>76</v>
      </c>
    </row>
    <row r="2243" spans="1:5" x14ac:dyDescent="0.25">
      <c r="A2243" t="s">
        <v>91</v>
      </c>
      <c r="B2243" t="s">
        <v>2616</v>
      </c>
      <c r="C2243" t="s">
        <v>2634</v>
      </c>
      <c r="D2243">
        <v>2011</v>
      </c>
      <c r="E2243">
        <v>29</v>
      </c>
    </row>
    <row r="2244" spans="1:5" x14ac:dyDescent="0.25">
      <c r="A2244" t="s">
        <v>91</v>
      </c>
      <c r="B2244" t="s">
        <v>2616</v>
      </c>
      <c r="C2244" t="s">
        <v>2629</v>
      </c>
      <c r="D2244">
        <v>2011</v>
      </c>
      <c r="E2244">
        <v>54</v>
      </c>
    </row>
    <row r="2245" spans="1:5" x14ac:dyDescent="0.25">
      <c r="A2245" t="s">
        <v>91</v>
      </c>
      <c r="B2245" t="s">
        <v>2616</v>
      </c>
      <c r="C2245" t="s">
        <v>2636</v>
      </c>
      <c r="D2245">
        <v>2011</v>
      </c>
      <c r="E2245">
        <v>70</v>
      </c>
    </row>
    <row r="2246" spans="1:5" x14ac:dyDescent="0.25">
      <c r="A2246" t="s">
        <v>91</v>
      </c>
      <c r="B2246" t="s">
        <v>2616</v>
      </c>
      <c r="C2246" t="s">
        <v>2632</v>
      </c>
      <c r="D2246">
        <v>2011</v>
      </c>
      <c r="E2246">
        <v>43</v>
      </c>
    </row>
    <row r="2247" spans="1:5" x14ac:dyDescent="0.25">
      <c r="A2247" t="s">
        <v>91</v>
      </c>
      <c r="B2247" t="s">
        <v>2616</v>
      </c>
      <c r="C2247" t="s">
        <v>2630</v>
      </c>
      <c r="D2247">
        <v>2011</v>
      </c>
      <c r="E2247">
        <v>26</v>
      </c>
    </row>
    <row r="2248" spans="1:5" x14ac:dyDescent="0.25">
      <c r="A2248" t="s">
        <v>91</v>
      </c>
      <c r="B2248" t="s">
        <v>2616</v>
      </c>
      <c r="C2248" t="s">
        <v>2631</v>
      </c>
      <c r="D2248">
        <v>2011</v>
      </c>
      <c r="E2248">
        <v>53</v>
      </c>
    </row>
    <row r="2249" spans="1:5" x14ac:dyDescent="0.25">
      <c r="A2249" t="s">
        <v>91</v>
      </c>
      <c r="B2249" t="s">
        <v>2616</v>
      </c>
      <c r="C2249" t="s">
        <v>2617</v>
      </c>
      <c r="D2249">
        <v>2010</v>
      </c>
      <c r="E2249">
        <v>43</v>
      </c>
    </row>
    <row r="2250" spans="1:5" x14ac:dyDescent="0.25">
      <c r="A2250" t="s">
        <v>91</v>
      </c>
      <c r="B2250" t="s">
        <v>2616</v>
      </c>
      <c r="C2250" t="s">
        <v>2619</v>
      </c>
      <c r="D2250">
        <v>2010</v>
      </c>
      <c r="E2250">
        <v>25</v>
      </c>
    </row>
    <row r="2251" spans="1:5" x14ac:dyDescent="0.25">
      <c r="A2251" t="s">
        <v>91</v>
      </c>
      <c r="B2251" t="s">
        <v>2616</v>
      </c>
      <c r="C2251" t="s">
        <v>2620</v>
      </c>
      <c r="D2251">
        <v>2010</v>
      </c>
      <c r="E2251">
        <v>22</v>
      </c>
    </row>
    <row r="2252" spans="1:5" x14ac:dyDescent="0.25">
      <c r="A2252" t="s">
        <v>91</v>
      </c>
      <c r="B2252" t="s">
        <v>2616</v>
      </c>
      <c r="C2252" t="s">
        <v>2621</v>
      </c>
      <c r="D2252">
        <v>2010</v>
      </c>
      <c r="E2252">
        <v>21</v>
      </c>
    </row>
    <row r="2253" spans="1:5" x14ac:dyDescent="0.25">
      <c r="A2253" t="s">
        <v>91</v>
      </c>
      <c r="B2253" t="s">
        <v>2616</v>
      </c>
      <c r="C2253" t="s">
        <v>2622</v>
      </c>
      <c r="D2253">
        <v>2010</v>
      </c>
      <c r="E2253">
        <v>29</v>
      </c>
    </row>
    <row r="2254" spans="1:5" x14ac:dyDescent="0.25">
      <c r="A2254" t="s">
        <v>91</v>
      </c>
      <c r="B2254" t="s">
        <v>2616</v>
      </c>
      <c r="C2254" t="s">
        <v>2635</v>
      </c>
      <c r="D2254">
        <v>2010</v>
      </c>
      <c r="E2254">
        <v>41</v>
      </c>
    </row>
    <row r="2255" spans="1:5" x14ac:dyDescent="0.25">
      <c r="A2255" t="s">
        <v>91</v>
      </c>
      <c r="B2255" t="s">
        <v>2616</v>
      </c>
      <c r="C2255" t="s">
        <v>2623</v>
      </c>
      <c r="D2255">
        <v>2010</v>
      </c>
      <c r="E2255">
        <v>48</v>
      </c>
    </row>
    <row r="2256" spans="1:5" x14ac:dyDescent="0.25">
      <c r="A2256" t="s">
        <v>91</v>
      </c>
      <c r="B2256" t="s">
        <v>2616</v>
      </c>
      <c r="C2256" t="s">
        <v>2624</v>
      </c>
      <c r="D2256">
        <v>2010</v>
      </c>
      <c r="E2256">
        <v>41</v>
      </c>
    </row>
    <row r="2257" spans="1:5" x14ac:dyDescent="0.25">
      <c r="A2257" t="s">
        <v>91</v>
      </c>
      <c r="B2257" t="s">
        <v>2616</v>
      </c>
      <c r="C2257" t="s">
        <v>2625</v>
      </c>
      <c r="D2257">
        <v>2010</v>
      </c>
      <c r="E2257">
        <v>5</v>
      </c>
    </row>
    <row r="2258" spans="1:5" x14ac:dyDescent="0.25">
      <c r="A2258" t="s">
        <v>91</v>
      </c>
      <c r="B2258" t="s">
        <v>2616</v>
      </c>
      <c r="C2258" t="s">
        <v>108</v>
      </c>
      <c r="D2258">
        <v>2010</v>
      </c>
      <c r="E2258">
        <v>77</v>
      </c>
    </row>
    <row r="2259" spans="1:5" x14ac:dyDescent="0.25">
      <c r="A2259" t="s">
        <v>91</v>
      </c>
      <c r="B2259" t="s">
        <v>2616</v>
      </c>
      <c r="C2259" t="s">
        <v>2627</v>
      </c>
      <c r="D2259">
        <v>2010</v>
      </c>
      <c r="E2259">
        <v>1342</v>
      </c>
    </row>
    <row r="2260" spans="1:5" x14ac:dyDescent="0.25">
      <c r="A2260" t="s">
        <v>91</v>
      </c>
      <c r="B2260" t="s">
        <v>2616</v>
      </c>
      <c r="C2260" t="s">
        <v>2628</v>
      </c>
      <c r="D2260">
        <v>2010</v>
      </c>
      <c r="E2260">
        <v>20</v>
      </c>
    </row>
    <row r="2261" spans="1:5" x14ac:dyDescent="0.25">
      <c r="A2261" t="s">
        <v>91</v>
      </c>
      <c r="B2261" t="s">
        <v>2616</v>
      </c>
      <c r="C2261" t="s">
        <v>2633</v>
      </c>
      <c r="D2261">
        <v>2010</v>
      </c>
      <c r="E2261">
        <v>86</v>
      </c>
    </row>
    <row r="2262" spans="1:5" x14ac:dyDescent="0.25">
      <c r="A2262" t="s">
        <v>91</v>
      </c>
      <c r="B2262" t="s">
        <v>2616</v>
      </c>
      <c r="C2262" t="s">
        <v>2634</v>
      </c>
      <c r="D2262">
        <v>2010</v>
      </c>
      <c r="E2262">
        <v>29</v>
      </c>
    </row>
    <row r="2263" spans="1:5" x14ac:dyDescent="0.25">
      <c r="A2263" t="s">
        <v>91</v>
      </c>
      <c r="B2263" t="s">
        <v>2616</v>
      </c>
      <c r="C2263" t="s">
        <v>2629</v>
      </c>
      <c r="D2263">
        <v>2010</v>
      </c>
      <c r="E2263">
        <v>51</v>
      </c>
    </row>
    <row r="2264" spans="1:5" x14ac:dyDescent="0.25">
      <c r="A2264" t="s">
        <v>91</v>
      </c>
      <c r="B2264" t="s">
        <v>2616</v>
      </c>
      <c r="C2264" t="s">
        <v>2636</v>
      </c>
      <c r="D2264">
        <v>2010</v>
      </c>
      <c r="E2264">
        <v>108</v>
      </c>
    </row>
    <row r="2265" spans="1:5" x14ac:dyDescent="0.25">
      <c r="A2265" t="s">
        <v>91</v>
      </c>
      <c r="B2265" t="s">
        <v>2616</v>
      </c>
      <c r="C2265" t="s">
        <v>2632</v>
      </c>
      <c r="D2265">
        <v>2010</v>
      </c>
      <c r="E2265">
        <v>50</v>
      </c>
    </row>
    <row r="2266" spans="1:5" x14ac:dyDescent="0.25">
      <c r="A2266" t="s">
        <v>91</v>
      </c>
      <c r="B2266" t="s">
        <v>2616</v>
      </c>
      <c r="C2266" t="s">
        <v>2630</v>
      </c>
      <c r="D2266">
        <v>2010</v>
      </c>
      <c r="E2266">
        <v>26</v>
      </c>
    </row>
    <row r="2267" spans="1:5" x14ac:dyDescent="0.25">
      <c r="A2267" t="s">
        <v>91</v>
      </c>
      <c r="B2267" t="s">
        <v>2616</v>
      </c>
      <c r="C2267" t="s">
        <v>2631</v>
      </c>
      <c r="D2267">
        <v>2010</v>
      </c>
      <c r="E2267">
        <v>38</v>
      </c>
    </row>
    <row r="2268" spans="1:5" x14ac:dyDescent="0.25">
      <c r="A2268" t="s">
        <v>91</v>
      </c>
      <c r="B2268" t="s">
        <v>2616</v>
      </c>
      <c r="C2268" t="s">
        <v>2617</v>
      </c>
      <c r="D2268">
        <v>2009</v>
      </c>
      <c r="E2268">
        <v>30</v>
      </c>
    </row>
    <row r="2269" spans="1:5" x14ac:dyDescent="0.25">
      <c r="A2269" t="s">
        <v>91</v>
      </c>
      <c r="B2269" t="s">
        <v>2616</v>
      </c>
      <c r="C2269" t="s">
        <v>2619</v>
      </c>
      <c r="D2269">
        <v>2009</v>
      </c>
      <c r="E2269">
        <v>33</v>
      </c>
    </row>
    <row r="2270" spans="1:5" x14ac:dyDescent="0.25">
      <c r="A2270" t="s">
        <v>91</v>
      </c>
      <c r="B2270" t="s">
        <v>2616</v>
      </c>
      <c r="C2270" t="s">
        <v>2620</v>
      </c>
      <c r="D2270">
        <v>2009</v>
      </c>
      <c r="E2270">
        <v>15</v>
      </c>
    </row>
    <row r="2271" spans="1:5" x14ac:dyDescent="0.25">
      <c r="A2271" t="s">
        <v>91</v>
      </c>
      <c r="B2271" t="s">
        <v>2616</v>
      </c>
      <c r="C2271" t="s">
        <v>2621</v>
      </c>
      <c r="D2271">
        <v>2009</v>
      </c>
      <c r="E2271">
        <v>20</v>
      </c>
    </row>
    <row r="2272" spans="1:5" x14ac:dyDescent="0.25">
      <c r="A2272" t="s">
        <v>91</v>
      </c>
      <c r="B2272" t="s">
        <v>2616</v>
      </c>
      <c r="C2272" t="s">
        <v>2622</v>
      </c>
      <c r="D2272">
        <v>2009</v>
      </c>
      <c r="E2272">
        <v>32</v>
      </c>
    </row>
    <row r="2273" spans="1:5" x14ac:dyDescent="0.25">
      <c r="A2273" t="s">
        <v>91</v>
      </c>
      <c r="B2273" t="s">
        <v>2616</v>
      </c>
      <c r="C2273" t="s">
        <v>2635</v>
      </c>
      <c r="D2273">
        <v>2009</v>
      </c>
      <c r="E2273">
        <v>38</v>
      </c>
    </row>
    <row r="2274" spans="1:5" x14ac:dyDescent="0.25">
      <c r="A2274" t="s">
        <v>91</v>
      </c>
      <c r="B2274" t="s">
        <v>2616</v>
      </c>
      <c r="C2274" t="s">
        <v>2623</v>
      </c>
      <c r="D2274">
        <v>2009</v>
      </c>
      <c r="E2274">
        <v>42</v>
      </c>
    </row>
    <row r="2275" spans="1:5" x14ac:dyDescent="0.25">
      <c r="A2275" t="s">
        <v>91</v>
      </c>
      <c r="B2275" t="s">
        <v>2616</v>
      </c>
      <c r="C2275" t="s">
        <v>2637</v>
      </c>
      <c r="D2275">
        <v>2009</v>
      </c>
      <c r="E2275">
        <v>1</v>
      </c>
    </row>
    <row r="2276" spans="1:5" x14ac:dyDescent="0.25">
      <c r="A2276" t="s">
        <v>91</v>
      </c>
      <c r="B2276" t="s">
        <v>2616</v>
      </c>
      <c r="C2276" t="s">
        <v>2624</v>
      </c>
      <c r="D2276">
        <v>2009</v>
      </c>
      <c r="E2276">
        <v>20</v>
      </c>
    </row>
    <row r="2277" spans="1:5" x14ac:dyDescent="0.25">
      <c r="A2277" t="s">
        <v>91</v>
      </c>
      <c r="B2277" t="s">
        <v>2616</v>
      </c>
      <c r="C2277" t="s">
        <v>2625</v>
      </c>
      <c r="D2277">
        <v>2009</v>
      </c>
      <c r="E2277">
        <v>21</v>
      </c>
    </row>
    <row r="2278" spans="1:5" x14ac:dyDescent="0.25">
      <c r="A2278" t="s">
        <v>91</v>
      </c>
      <c r="B2278" t="s">
        <v>2616</v>
      </c>
      <c r="C2278" t="s">
        <v>108</v>
      </c>
      <c r="D2278">
        <v>2009</v>
      </c>
      <c r="E2278">
        <v>71</v>
      </c>
    </row>
    <row r="2279" spans="1:5" x14ac:dyDescent="0.25">
      <c r="A2279" t="s">
        <v>91</v>
      </c>
      <c r="B2279" t="s">
        <v>2616</v>
      </c>
      <c r="C2279" t="s">
        <v>2627</v>
      </c>
      <c r="D2279">
        <v>2009</v>
      </c>
      <c r="E2279">
        <v>1039</v>
      </c>
    </row>
    <row r="2280" spans="1:5" x14ac:dyDescent="0.25">
      <c r="A2280" t="s">
        <v>91</v>
      </c>
      <c r="B2280" t="s">
        <v>2616</v>
      </c>
      <c r="C2280" t="s">
        <v>2628</v>
      </c>
      <c r="D2280">
        <v>2009</v>
      </c>
      <c r="E2280">
        <v>11</v>
      </c>
    </row>
    <row r="2281" spans="1:5" x14ac:dyDescent="0.25">
      <c r="A2281" t="s">
        <v>91</v>
      </c>
      <c r="B2281" t="s">
        <v>2616</v>
      </c>
      <c r="C2281" t="s">
        <v>2633</v>
      </c>
      <c r="D2281">
        <v>2009</v>
      </c>
      <c r="E2281">
        <v>75</v>
      </c>
    </row>
    <row r="2282" spans="1:5" x14ac:dyDescent="0.25">
      <c r="A2282" t="s">
        <v>91</v>
      </c>
      <c r="B2282" t="s">
        <v>2616</v>
      </c>
      <c r="C2282" t="s">
        <v>2634</v>
      </c>
      <c r="D2282">
        <v>2009</v>
      </c>
      <c r="E2282">
        <v>35</v>
      </c>
    </row>
    <row r="2283" spans="1:5" x14ac:dyDescent="0.25">
      <c r="A2283" t="s">
        <v>91</v>
      </c>
      <c r="B2283" t="s">
        <v>2616</v>
      </c>
      <c r="C2283" t="s">
        <v>2629</v>
      </c>
      <c r="D2283">
        <v>2009</v>
      </c>
      <c r="E2283">
        <v>53</v>
      </c>
    </row>
    <row r="2284" spans="1:5" x14ac:dyDescent="0.25">
      <c r="A2284" t="s">
        <v>91</v>
      </c>
      <c r="B2284" t="s">
        <v>2616</v>
      </c>
      <c r="C2284" t="s">
        <v>2636</v>
      </c>
      <c r="D2284">
        <v>2009</v>
      </c>
      <c r="E2284">
        <v>94</v>
      </c>
    </row>
    <row r="2285" spans="1:5" x14ac:dyDescent="0.25">
      <c r="A2285" t="s">
        <v>91</v>
      </c>
      <c r="B2285" t="s">
        <v>2616</v>
      </c>
      <c r="C2285" t="s">
        <v>2632</v>
      </c>
      <c r="D2285">
        <v>2009</v>
      </c>
      <c r="E2285">
        <v>34</v>
      </c>
    </row>
    <row r="2286" spans="1:5" x14ac:dyDescent="0.25">
      <c r="A2286" t="s">
        <v>91</v>
      </c>
      <c r="B2286" t="s">
        <v>2616</v>
      </c>
      <c r="C2286" t="s">
        <v>2630</v>
      </c>
      <c r="D2286">
        <v>2009</v>
      </c>
      <c r="E2286">
        <v>31</v>
      </c>
    </row>
    <row r="2287" spans="1:5" x14ac:dyDescent="0.25">
      <c r="A2287" t="s">
        <v>91</v>
      </c>
      <c r="B2287" t="s">
        <v>2616</v>
      </c>
      <c r="C2287" t="s">
        <v>2631</v>
      </c>
      <c r="D2287">
        <v>2009</v>
      </c>
      <c r="E2287">
        <v>41</v>
      </c>
    </row>
    <row r="2288" spans="1:5" x14ac:dyDescent="0.25">
      <c r="A2288" t="s">
        <v>91</v>
      </c>
      <c r="B2288" t="s">
        <v>2616</v>
      </c>
      <c r="C2288" t="s">
        <v>2617</v>
      </c>
      <c r="D2288">
        <v>2008</v>
      </c>
      <c r="E2288">
        <v>32</v>
      </c>
    </row>
    <row r="2289" spans="1:5" x14ac:dyDescent="0.25">
      <c r="A2289" t="s">
        <v>91</v>
      </c>
      <c r="B2289" t="s">
        <v>2616</v>
      </c>
      <c r="C2289" t="s">
        <v>2619</v>
      </c>
      <c r="D2289">
        <v>2008</v>
      </c>
      <c r="E2289">
        <v>27</v>
      </c>
    </row>
    <row r="2290" spans="1:5" x14ac:dyDescent="0.25">
      <c r="A2290" t="s">
        <v>91</v>
      </c>
      <c r="B2290" t="s">
        <v>2616</v>
      </c>
      <c r="C2290" t="s">
        <v>2620</v>
      </c>
      <c r="D2290">
        <v>2008</v>
      </c>
      <c r="E2290">
        <v>23</v>
      </c>
    </row>
    <row r="2291" spans="1:5" x14ac:dyDescent="0.25">
      <c r="A2291" t="s">
        <v>91</v>
      </c>
      <c r="B2291" t="s">
        <v>2616</v>
      </c>
      <c r="C2291" t="s">
        <v>2621</v>
      </c>
      <c r="D2291">
        <v>2008</v>
      </c>
      <c r="E2291">
        <v>18</v>
      </c>
    </row>
    <row r="2292" spans="1:5" x14ac:dyDescent="0.25">
      <c r="A2292" t="s">
        <v>91</v>
      </c>
      <c r="B2292" t="s">
        <v>2616</v>
      </c>
      <c r="C2292" t="s">
        <v>2622</v>
      </c>
      <c r="D2292">
        <v>2008</v>
      </c>
      <c r="E2292">
        <v>32</v>
      </c>
    </row>
    <row r="2293" spans="1:5" x14ac:dyDescent="0.25">
      <c r="A2293" t="s">
        <v>91</v>
      </c>
      <c r="B2293" t="s">
        <v>2616</v>
      </c>
      <c r="C2293" t="s">
        <v>2635</v>
      </c>
      <c r="D2293">
        <v>2008</v>
      </c>
      <c r="E2293">
        <v>19</v>
      </c>
    </row>
    <row r="2294" spans="1:5" x14ac:dyDescent="0.25">
      <c r="A2294" t="s">
        <v>91</v>
      </c>
      <c r="B2294" t="s">
        <v>2616</v>
      </c>
      <c r="C2294" t="s">
        <v>2623</v>
      </c>
      <c r="D2294">
        <v>2008</v>
      </c>
      <c r="E2294">
        <v>54</v>
      </c>
    </row>
    <row r="2295" spans="1:5" x14ac:dyDescent="0.25">
      <c r="A2295" t="s">
        <v>91</v>
      </c>
      <c r="B2295" t="s">
        <v>2616</v>
      </c>
      <c r="C2295" t="s">
        <v>2637</v>
      </c>
      <c r="D2295">
        <v>2008</v>
      </c>
      <c r="E2295">
        <v>1</v>
      </c>
    </row>
    <row r="2296" spans="1:5" x14ac:dyDescent="0.25">
      <c r="A2296" t="s">
        <v>91</v>
      </c>
      <c r="B2296" t="s">
        <v>2616</v>
      </c>
      <c r="C2296" t="s">
        <v>2624</v>
      </c>
      <c r="D2296">
        <v>2008</v>
      </c>
      <c r="E2296">
        <v>22</v>
      </c>
    </row>
    <row r="2297" spans="1:5" x14ac:dyDescent="0.25">
      <c r="A2297" t="s">
        <v>91</v>
      </c>
      <c r="B2297" t="s">
        <v>2616</v>
      </c>
      <c r="C2297" t="s">
        <v>2625</v>
      </c>
      <c r="D2297">
        <v>2008</v>
      </c>
      <c r="E2297">
        <v>17</v>
      </c>
    </row>
    <row r="2298" spans="1:5" x14ac:dyDescent="0.25">
      <c r="A2298" t="s">
        <v>91</v>
      </c>
      <c r="B2298" t="s">
        <v>2616</v>
      </c>
      <c r="C2298" t="s">
        <v>108</v>
      </c>
      <c r="D2298">
        <v>2008</v>
      </c>
      <c r="E2298">
        <v>69</v>
      </c>
    </row>
    <row r="2299" spans="1:5" x14ac:dyDescent="0.25">
      <c r="A2299" t="s">
        <v>91</v>
      </c>
      <c r="B2299" t="s">
        <v>2616</v>
      </c>
      <c r="C2299" t="s">
        <v>2627</v>
      </c>
      <c r="D2299">
        <v>2008</v>
      </c>
      <c r="E2299">
        <v>830</v>
      </c>
    </row>
    <row r="2300" spans="1:5" x14ac:dyDescent="0.25">
      <c r="A2300" t="s">
        <v>91</v>
      </c>
      <c r="B2300" t="s">
        <v>2616</v>
      </c>
      <c r="C2300" t="s">
        <v>2628</v>
      </c>
      <c r="D2300">
        <v>2008</v>
      </c>
      <c r="E2300">
        <v>14</v>
      </c>
    </row>
    <row r="2301" spans="1:5" x14ac:dyDescent="0.25">
      <c r="A2301" t="s">
        <v>91</v>
      </c>
      <c r="B2301" t="s">
        <v>2616</v>
      </c>
      <c r="C2301" t="s">
        <v>2633</v>
      </c>
      <c r="D2301">
        <v>2008</v>
      </c>
      <c r="E2301">
        <v>39</v>
      </c>
    </row>
    <row r="2302" spans="1:5" x14ac:dyDescent="0.25">
      <c r="A2302" t="s">
        <v>91</v>
      </c>
      <c r="B2302" t="s">
        <v>2616</v>
      </c>
      <c r="C2302" t="s">
        <v>2634</v>
      </c>
      <c r="D2302">
        <v>2008</v>
      </c>
      <c r="E2302">
        <v>24</v>
      </c>
    </row>
    <row r="2303" spans="1:5" x14ac:dyDescent="0.25">
      <c r="A2303" t="s">
        <v>91</v>
      </c>
      <c r="B2303" t="s">
        <v>2616</v>
      </c>
      <c r="C2303" t="s">
        <v>2629</v>
      </c>
      <c r="D2303">
        <v>2008</v>
      </c>
      <c r="E2303">
        <v>55</v>
      </c>
    </row>
    <row r="2304" spans="1:5" x14ac:dyDescent="0.25">
      <c r="A2304" t="s">
        <v>91</v>
      </c>
      <c r="B2304" t="s">
        <v>2616</v>
      </c>
      <c r="C2304" t="s">
        <v>2636</v>
      </c>
      <c r="D2304">
        <v>2008</v>
      </c>
      <c r="E2304">
        <v>76</v>
      </c>
    </row>
    <row r="2305" spans="1:5" x14ac:dyDescent="0.25">
      <c r="A2305" t="s">
        <v>91</v>
      </c>
      <c r="B2305" t="s">
        <v>2616</v>
      </c>
      <c r="C2305" t="s">
        <v>2632</v>
      </c>
      <c r="D2305">
        <v>2008</v>
      </c>
      <c r="E2305">
        <v>42</v>
      </c>
    </row>
    <row r="2306" spans="1:5" x14ac:dyDescent="0.25">
      <c r="A2306" t="s">
        <v>91</v>
      </c>
      <c r="B2306" t="s">
        <v>2616</v>
      </c>
      <c r="C2306" t="s">
        <v>2630</v>
      </c>
      <c r="D2306">
        <v>2008</v>
      </c>
      <c r="E2306">
        <v>30</v>
      </c>
    </row>
    <row r="2307" spans="1:5" x14ac:dyDescent="0.25">
      <c r="A2307" t="s">
        <v>91</v>
      </c>
      <c r="B2307" t="s">
        <v>2616</v>
      </c>
      <c r="C2307" t="s">
        <v>2631</v>
      </c>
      <c r="D2307">
        <v>2008</v>
      </c>
      <c r="E2307">
        <v>53</v>
      </c>
    </row>
    <row r="2308" spans="1:5" x14ac:dyDescent="0.25">
      <c r="A2308" t="s">
        <v>91</v>
      </c>
      <c r="B2308" t="s">
        <v>2464</v>
      </c>
      <c r="C2308" t="s">
        <v>2617</v>
      </c>
      <c r="D2308">
        <v>2019</v>
      </c>
      <c r="E2308">
        <v>6</v>
      </c>
    </row>
    <row r="2309" spans="1:5" x14ac:dyDescent="0.25">
      <c r="A2309" t="s">
        <v>91</v>
      </c>
      <c r="B2309" t="s">
        <v>2464</v>
      </c>
      <c r="C2309" t="s">
        <v>2638</v>
      </c>
      <c r="D2309">
        <v>2019</v>
      </c>
      <c r="E2309">
        <v>4</v>
      </c>
    </row>
    <row r="2310" spans="1:5" x14ac:dyDescent="0.25">
      <c r="A2310" t="s">
        <v>91</v>
      </c>
      <c r="B2310" t="s">
        <v>2464</v>
      </c>
      <c r="C2310" t="s">
        <v>2639</v>
      </c>
      <c r="D2310">
        <v>2019</v>
      </c>
      <c r="E2310">
        <v>8</v>
      </c>
    </row>
    <row r="2311" spans="1:5" x14ac:dyDescent="0.25">
      <c r="A2311" t="s">
        <v>91</v>
      </c>
      <c r="B2311" t="s">
        <v>2464</v>
      </c>
      <c r="C2311" t="s">
        <v>2640</v>
      </c>
      <c r="D2311">
        <v>2019</v>
      </c>
      <c r="E2311">
        <v>5</v>
      </c>
    </row>
    <row r="2312" spans="1:5" x14ac:dyDescent="0.25">
      <c r="A2312" t="s">
        <v>91</v>
      </c>
      <c r="B2312" t="s">
        <v>2464</v>
      </c>
      <c r="C2312" t="s">
        <v>2641</v>
      </c>
      <c r="D2312">
        <v>2019</v>
      </c>
      <c r="E2312">
        <v>1</v>
      </c>
    </row>
    <row r="2313" spans="1:5" x14ac:dyDescent="0.25">
      <c r="A2313" t="s">
        <v>91</v>
      </c>
      <c r="B2313" t="s">
        <v>2464</v>
      </c>
      <c r="C2313" t="s">
        <v>2642</v>
      </c>
      <c r="D2313">
        <v>2019</v>
      </c>
      <c r="E2313">
        <v>1</v>
      </c>
    </row>
    <row r="2314" spans="1:5" x14ac:dyDescent="0.25">
      <c r="A2314" t="s">
        <v>91</v>
      </c>
      <c r="B2314" t="s">
        <v>2464</v>
      </c>
      <c r="C2314" t="s">
        <v>2643</v>
      </c>
      <c r="D2314">
        <v>2019</v>
      </c>
      <c r="E2314">
        <v>15</v>
      </c>
    </row>
    <row r="2315" spans="1:5" x14ac:dyDescent="0.25">
      <c r="A2315" t="s">
        <v>91</v>
      </c>
      <c r="B2315" t="s">
        <v>2464</v>
      </c>
      <c r="C2315" t="s">
        <v>2644</v>
      </c>
      <c r="D2315">
        <v>2019</v>
      </c>
      <c r="E2315">
        <v>3</v>
      </c>
    </row>
    <row r="2316" spans="1:5" x14ac:dyDescent="0.25">
      <c r="A2316" t="s">
        <v>91</v>
      </c>
      <c r="B2316" t="s">
        <v>2464</v>
      </c>
      <c r="C2316" t="s">
        <v>2645</v>
      </c>
      <c r="D2316">
        <v>2019</v>
      </c>
      <c r="E2316">
        <v>2</v>
      </c>
    </row>
    <row r="2317" spans="1:5" x14ac:dyDescent="0.25">
      <c r="A2317" t="s">
        <v>91</v>
      </c>
      <c r="B2317" t="s">
        <v>2464</v>
      </c>
      <c r="C2317" t="s">
        <v>2646</v>
      </c>
      <c r="D2317">
        <v>2019</v>
      </c>
      <c r="E2317">
        <v>1</v>
      </c>
    </row>
    <row r="2318" spans="1:5" x14ac:dyDescent="0.25">
      <c r="A2318" t="s">
        <v>91</v>
      </c>
      <c r="B2318" t="s">
        <v>2464</v>
      </c>
      <c r="C2318" t="s">
        <v>129</v>
      </c>
      <c r="D2318">
        <v>2019</v>
      </c>
      <c r="E2318">
        <v>23</v>
      </c>
    </row>
    <row r="2319" spans="1:5" x14ac:dyDescent="0.25">
      <c r="A2319" t="s">
        <v>91</v>
      </c>
      <c r="B2319" t="s">
        <v>2464</v>
      </c>
      <c r="C2319" t="s">
        <v>2647</v>
      </c>
      <c r="D2319">
        <v>2019</v>
      </c>
      <c r="E2319">
        <v>3</v>
      </c>
    </row>
    <row r="2320" spans="1:5" x14ac:dyDescent="0.25">
      <c r="A2320" t="s">
        <v>91</v>
      </c>
      <c r="B2320" t="s">
        <v>2464</v>
      </c>
      <c r="C2320" t="s">
        <v>2648</v>
      </c>
      <c r="D2320">
        <v>2019</v>
      </c>
      <c r="E2320">
        <v>2</v>
      </c>
    </row>
    <row r="2321" spans="1:5" x14ac:dyDescent="0.25">
      <c r="A2321" t="s">
        <v>91</v>
      </c>
      <c r="B2321" t="s">
        <v>2464</v>
      </c>
      <c r="C2321" t="s">
        <v>2649</v>
      </c>
      <c r="D2321">
        <v>2019</v>
      </c>
      <c r="E2321">
        <v>5</v>
      </c>
    </row>
    <row r="2322" spans="1:5" x14ac:dyDescent="0.25">
      <c r="A2322" t="s">
        <v>91</v>
      </c>
      <c r="B2322" t="s">
        <v>2464</v>
      </c>
      <c r="C2322" t="s">
        <v>2632</v>
      </c>
      <c r="D2322">
        <v>2019</v>
      </c>
      <c r="E2322">
        <v>7</v>
      </c>
    </row>
    <row r="2323" spans="1:5" x14ac:dyDescent="0.25">
      <c r="A2323" t="s">
        <v>91</v>
      </c>
      <c r="B2323" t="s">
        <v>2464</v>
      </c>
      <c r="C2323" t="s">
        <v>2650</v>
      </c>
      <c r="D2323">
        <v>2019</v>
      </c>
      <c r="E2323">
        <v>7</v>
      </c>
    </row>
    <row r="2324" spans="1:5" x14ac:dyDescent="0.25">
      <c r="A2324" t="s">
        <v>91</v>
      </c>
      <c r="B2324" t="s">
        <v>2464</v>
      </c>
      <c r="C2324" t="s">
        <v>2617</v>
      </c>
      <c r="D2324">
        <v>2018</v>
      </c>
      <c r="E2324">
        <v>3</v>
      </c>
    </row>
    <row r="2325" spans="1:5" x14ac:dyDescent="0.25">
      <c r="A2325" t="s">
        <v>91</v>
      </c>
      <c r="B2325" t="s">
        <v>2464</v>
      </c>
      <c r="C2325" t="s">
        <v>2638</v>
      </c>
      <c r="D2325">
        <v>2018</v>
      </c>
      <c r="E2325">
        <v>3</v>
      </c>
    </row>
    <row r="2326" spans="1:5" x14ac:dyDescent="0.25">
      <c r="A2326" t="s">
        <v>91</v>
      </c>
      <c r="B2326" t="s">
        <v>2464</v>
      </c>
      <c r="C2326" t="s">
        <v>2639</v>
      </c>
      <c r="D2326">
        <v>2018</v>
      </c>
      <c r="E2326">
        <v>9</v>
      </c>
    </row>
    <row r="2327" spans="1:5" x14ac:dyDescent="0.25">
      <c r="A2327" t="s">
        <v>91</v>
      </c>
      <c r="B2327" t="s">
        <v>2464</v>
      </c>
      <c r="C2327" t="s">
        <v>2640</v>
      </c>
      <c r="D2327">
        <v>2018</v>
      </c>
      <c r="E2327">
        <v>1</v>
      </c>
    </row>
    <row r="2328" spans="1:5" x14ac:dyDescent="0.25">
      <c r="A2328" t="s">
        <v>91</v>
      </c>
      <c r="B2328" t="s">
        <v>2464</v>
      </c>
      <c r="C2328" t="s">
        <v>2642</v>
      </c>
      <c r="D2328">
        <v>2018</v>
      </c>
      <c r="E2328">
        <v>1</v>
      </c>
    </row>
    <row r="2329" spans="1:5" x14ac:dyDescent="0.25">
      <c r="A2329" t="s">
        <v>91</v>
      </c>
      <c r="B2329" t="s">
        <v>2464</v>
      </c>
      <c r="C2329" t="s">
        <v>2626</v>
      </c>
      <c r="D2329">
        <v>2018</v>
      </c>
      <c r="E2329">
        <v>2</v>
      </c>
    </row>
    <row r="2330" spans="1:5" x14ac:dyDescent="0.25">
      <c r="A2330" t="s">
        <v>91</v>
      </c>
      <c r="B2330" t="s">
        <v>2464</v>
      </c>
      <c r="C2330" t="s">
        <v>2643</v>
      </c>
      <c r="D2330">
        <v>2018</v>
      </c>
      <c r="E2330">
        <v>13</v>
      </c>
    </row>
    <row r="2331" spans="1:5" x14ac:dyDescent="0.25">
      <c r="A2331" t="s">
        <v>91</v>
      </c>
      <c r="B2331" t="s">
        <v>2464</v>
      </c>
      <c r="C2331" t="s">
        <v>2651</v>
      </c>
      <c r="D2331">
        <v>2018</v>
      </c>
      <c r="E2331">
        <v>1</v>
      </c>
    </row>
    <row r="2332" spans="1:5" x14ac:dyDescent="0.25">
      <c r="A2332" t="s">
        <v>91</v>
      </c>
      <c r="B2332" t="s">
        <v>2464</v>
      </c>
      <c r="C2332" t="s">
        <v>129</v>
      </c>
      <c r="D2332">
        <v>2018</v>
      </c>
      <c r="E2332">
        <v>13</v>
      </c>
    </row>
    <row r="2333" spans="1:5" x14ac:dyDescent="0.25">
      <c r="A2333" t="s">
        <v>91</v>
      </c>
      <c r="B2333" t="s">
        <v>2464</v>
      </c>
      <c r="C2333" t="s">
        <v>2647</v>
      </c>
      <c r="D2333">
        <v>2018</v>
      </c>
      <c r="E2333">
        <v>1</v>
      </c>
    </row>
    <row r="2334" spans="1:5" x14ac:dyDescent="0.25">
      <c r="A2334" t="s">
        <v>91</v>
      </c>
      <c r="B2334" t="s">
        <v>2464</v>
      </c>
      <c r="C2334" t="s">
        <v>2652</v>
      </c>
      <c r="D2334">
        <v>2018</v>
      </c>
      <c r="E2334">
        <v>1</v>
      </c>
    </row>
    <row r="2335" spans="1:5" x14ac:dyDescent="0.25">
      <c r="A2335" t="s">
        <v>91</v>
      </c>
      <c r="B2335" t="s">
        <v>2464</v>
      </c>
      <c r="C2335" t="s">
        <v>2648</v>
      </c>
      <c r="D2335">
        <v>2018</v>
      </c>
      <c r="E2335">
        <v>4</v>
      </c>
    </row>
    <row r="2336" spans="1:5" x14ac:dyDescent="0.25">
      <c r="A2336" t="s">
        <v>91</v>
      </c>
      <c r="B2336" t="s">
        <v>2464</v>
      </c>
      <c r="C2336" t="s">
        <v>2649</v>
      </c>
      <c r="D2336">
        <v>2018</v>
      </c>
      <c r="E2336">
        <v>9</v>
      </c>
    </row>
    <row r="2337" spans="1:5" x14ac:dyDescent="0.25">
      <c r="A2337" t="s">
        <v>91</v>
      </c>
      <c r="B2337" t="s">
        <v>2464</v>
      </c>
      <c r="C2337" t="s">
        <v>2632</v>
      </c>
      <c r="D2337">
        <v>2018</v>
      </c>
      <c r="E2337">
        <v>7</v>
      </c>
    </row>
    <row r="2338" spans="1:5" x14ac:dyDescent="0.25">
      <c r="A2338" t="s">
        <v>91</v>
      </c>
      <c r="B2338" t="s">
        <v>2464</v>
      </c>
      <c r="C2338" t="s">
        <v>2650</v>
      </c>
      <c r="D2338">
        <v>2018</v>
      </c>
      <c r="E2338">
        <v>3</v>
      </c>
    </row>
    <row r="2339" spans="1:5" x14ac:dyDescent="0.25">
      <c r="A2339" t="s">
        <v>91</v>
      </c>
      <c r="B2339" t="s">
        <v>2464</v>
      </c>
      <c r="C2339" t="s">
        <v>2617</v>
      </c>
      <c r="D2339">
        <v>2017</v>
      </c>
      <c r="E2339">
        <v>6</v>
      </c>
    </row>
    <row r="2340" spans="1:5" x14ac:dyDescent="0.25">
      <c r="A2340" t="s">
        <v>91</v>
      </c>
      <c r="B2340" t="s">
        <v>2464</v>
      </c>
      <c r="C2340" t="s">
        <v>2638</v>
      </c>
      <c r="D2340">
        <v>2017</v>
      </c>
      <c r="E2340">
        <v>3</v>
      </c>
    </row>
    <row r="2341" spans="1:5" x14ac:dyDescent="0.25">
      <c r="A2341" t="s">
        <v>91</v>
      </c>
      <c r="B2341" t="s">
        <v>2464</v>
      </c>
      <c r="C2341" t="s">
        <v>2639</v>
      </c>
      <c r="D2341">
        <v>2017</v>
      </c>
      <c r="E2341">
        <v>5</v>
      </c>
    </row>
    <row r="2342" spans="1:5" x14ac:dyDescent="0.25">
      <c r="A2342" t="s">
        <v>91</v>
      </c>
      <c r="B2342" t="s">
        <v>2464</v>
      </c>
      <c r="C2342" t="s">
        <v>2653</v>
      </c>
      <c r="D2342">
        <v>2017</v>
      </c>
      <c r="E2342">
        <v>9</v>
      </c>
    </row>
    <row r="2343" spans="1:5" x14ac:dyDescent="0.25">
      <c r="A2343" t="s">
        <v>91</v>
      </c>
      <c r="B2343" t="s">
        <v>2464</v>
      </c>
      <c r="C2343" t="s">
        <v>2640</v>
      </c>
      <c r="D2343">
        <v>2017</v>
      </c>
      <c r="E2343">
        <v>3</v>
      </c>
    </row>
    <row r="2344" spans="1:5" x14ac:dyDescent="0.25">
      <c r="A2344" t="s">
        <v>91</v>
      </c>
      <c r="B2344" t="s">
        <v>2464</v>
      </c>
      <c r="C2344" t="s">
        <v>2641</v>
      </c>
      <c r="D2344">
        <v>2017</v>
      </c>
      <c r="E2344">
        <v>1</v>
      </c>
    </row>
    <row r="2345" spans="1:5" x14ac:dyDescent="0.25">
      <c r="A2345" t="s">
        <v>91</v>
      </c>
      <c r="B2345" t="s">
        <v>2464</v>
      </c>
      <c r="C2345" t="s">
        <v>2626</v>
      </c>
      <c r="D2345">
        <v>2017</v>
      </c>
      <c r="E2345">
        <v>2</v>
      </c>
    </row>
    <row r="2346" spans="1:5" x14ac:dyDescent="0.25">
      <c r="A2346" t="s">
        <v>91</v>
      </c>
      <c r="B2346" t="s">
        <v>2464</v>
      </c>
      <c r="C2346" t="s">
        <v>2643</v>
      </c>
      <c r="D2346">
        <v>2017</v>
      </c>
      <c r="E2346">
        <v>14</v>
      </c>
    </row>
    <row r="2347" spans="1:5" x14ac:dyDescent="0.25">
      <c r="A2347" t="s">
        <v>91</v>
      </c>
      <c r="B2347" t="s">
        <v>2464</v>
      </c>
      <c r="C2347" t="s">
        <v>2645</v>
      </c>
      <c r="D2347">
        <v>2017</v>
      </c>
      <c r="E2347">
        <v>4</v>
      </c>
    </row>
    <row r="2348" spans="1:5" x14ac:dyDescent="0.25">
      <c r="A2348" t="s">
        <v>91</v>
      </c>
      <c r="B2348" t="s">
        <v>2464</v>
      </c>
      <c r="C2348" t="s">
        <v>2651</v>
      </c>
      <c r="D2348">
        <v>2017</v>
      </c>
      <c r="E2348">
        <v>3</v>
      </c>
    </row>
    <row r="2349" spans="1:5" x14ac:dyDescent="0.25">
      <c r="A2349" t="s">
        <v>91</v>
      </c>
      <c r="B2349" t="s">
        <v>2464</v>
      </c>
      <c r="C2349" t="s">
        <v>2654</v>
      </c>
      <c r="D2349">
        <v>2017</v>
      </c>
      <c r="E2349">
        <v>2</v>
      </c>
    </row>
    <row r="2350" spans="1:5" x14ac:dyDescent="0.25">
      <c r="A2350" t="s">
        <v>91</v>
      </c>
      <c r="B2350" t="s">
        <v>2464</v>
      </c>
      <c r="C2350" t="s">
        <v>129</v>
      </c>
      <c r="D2350">
        <v>2017</v>
      </c>
      <c r="E2350">
        <v>23</v>
      </c>
    </row>
    <row r="2351" spans="1:5" x14ac:dyDescent="0.25">
      <c r="A2351" t="s">
        <v>91</v>
      </c>
      <c r="B2351" t="s">
        <v>2464</v>
      </c>
      <c r="C2351" t="s">
        <v>2652</v>
      </c>
      <c r="D2351">
        <v>2017</v>
      </c>
      <c r="E2351">
        <v>3</v>
      </c>
    </row>
    <row r="2352" spans="1:5" x14ac:dyDescent="0.25">
      <c r="A2352" t="s">
        <v>91</v>
      </c>
      <c r="B2352" t="s">
        <v>2464</v>
      </c>
      <c r="C2352" t="s">
        <v>2648</v>
      </c>
      <c r="D2352">
        <v>2017</v>
      </c>
      <c r="E2352">
        <v>2</v>
      </c>
    </row>
    <row r="2353" spans="1:5" x14ac:dyDescent="0.25">
      <c r="A2353" t="s">
        <v>91</v>
      </c>
      <c r="B2353" t="s">
        <v>2464</v>
      </c>
      <c r="C2353" t="s">
        <v>2649</v>
      </c>
      <c r="D2353">
        <v>2017</v>
      </c>
      <c r="E2353">
        <v>4</v>
      </c>
    </row>
    <row r="2354" spans="1:5" x14ac:dyDescent="0.25">
      <c r="A2354" t="s">
        <v>91</v>
      </c>
      <c r="B2354" t="s">
        <v>2464</v>
      </c>
      <c r="C2354" t="s">
        <v>2632</v>
      </c>
      <c r="D2354">
        <v>2017</v>
      </c>
      <c r="E2354">
        <v>4</v>
      </c>
    </row>
    <row r="2355" spans="1:5" x14ac:dyDescent="0.25">
      <c r="A2355" t="s">
        <v>91</v>
      </c>
      <c r="B2355" t="s">
        <v>2464</v>
      </c>
      <c r="C2355" t="s">
        <v>2650</v>
      </c>
      <c r="D2355">
        <v>2017</v>
      </c>
      <c r="E2355">
        <v>2</v>
      </c>
    </row>
    <row r="2356" spans="1:5" x14ac:dyDescent="0.25">
      <c r="A2356" t="s">
        <v>91</v>
      </c>
      <c r="B2356" t="s">
        <v>2464</v>
      </c>
      <c r="C2356" t="s">
        <v>2655</v>
      </c>
      <c r="D2356">
        <v>2017</v>
      </c>
      <c r="E2356">
        <v>2</v>
      </c>
    </row>
    <row r="2357" spans="1:5" x14ac:dyDescent="0.25">
      <c r="A2357" t="s">
        <v>91</v>
      </c>
      <c r="B2357" t="s">
        <v>2464</v>
      </c>
      <c r="C2357" t="s">
        <v>2617</v>
      </c>
      <c r="D2357">
        <v>2016</v>
      </c>
      <c r="E2357">
        <v>9</v>
      </c>
    </row>
    <row r="2358" spans="1:5" x14ac:dyDescent="0.25">
      <c r="A2358" t="s">
        <v>91</v>
      </c>
      <c r="B2358" t="s">
        <v>2464</v>
      </c>
      <c r="C2358" t="s">
        <v>2638</v>
      </c>
      <c r="D2358">
        <v>2016</v>
      </c>
      <c r="E2358">
        <v>4</v>
      </c>
    </row>
    <row r="2359" spans="1:5" x14ac:dyDescent="0.25">
      <c r="A2359" t="s">
        <v>91</v>
      </c>
      <c r="B2359" t="s">
        <v>2464</v>
      </c>
      <c r="C2359" t="s">
        <v>2653</v>
      </c>
      <c r="D2359">
        <v>2016</v>
      </c>
      <c r="E2359">
        <v>6</v>
      </c>
    </row>
    <row r="2360" spans="1:5" x14ac:dyDescent="0.25">
      <c r="A2360" t="s">
        <v>91</v>
      </c>
      <c r="B2360" t="s">
        <v>2464</v>
      </c>
      <c r="C2360" t="s">
        <v>2640</v>
      </c>
      <c r="D2360">
        <v>2016</v>
      </c>
      <c r="E2360">
        <v>2</v>
      </c>
    </row>
    <row r="2361" spans="1:5" x14ac:dyDescent="0.25">
      <c r="A2361" t="s">
        <v>91</v>
      </c>
      <c r="B2361" t="s">
        <v>2464</v>
      </c>
      <c r="C2361" t="s">
        <v>2626</v>
      </c>
      <c r="D2361">
        <v>2016</v>
      </c>
      <c r="E2361">
        <v>1</v>
      </c>
    </row>
    <row r="2362" spans="1:5" x14ac:dyDescent="0.25">
      <c r="A2362" t="s">
        <v>91</v>
      </c>
      <c r="B2362" t="s">
        <v>2464</v>
      </c>
      <c r="C2362" t="s">
        <v>2643</v>
      </c>
      <c r="D2362">
        <v>2016</v>
      </c>
      <c r="E2362">
        <v>17</v>
      </c>
    </row>
    <row r="2363" spans="1:5" x14ac:dyDescent="0.25">
      <c r="A2363" t="s">
        <v>91</v>
      </c>
      <c r="B2363" t="s">
        <v>2464</v>
      </c>
      <c r="C2363" t="s">
        <v>2644</v>
      </c>
      <c r="D2363">
        <v>2016</v>
      </c>
      <c r="E2363">
        <v>2</v>
      </c>
    </row>
    <row r="2364" spans="1:5" x14ac:dyDescent="0.25">
      <c r="A2364" t="s">
        <v>91</v>
      </c>
      <c r="B2364" t="s">
        <v>2464</v>
      </c>
      <c r="C2364" t="s">
        <v>2645</v>
      </c>
      <c r="D2364">
        <v>2016</v>
      </c>
      <c r="E2364">
        <v>2</v>
      </c>
    </row>
    <row r="2365" spans="1:5" x14ac:dyDescent="0.25">
      <c r="A2365" t="s">
        <v>91</v>
      </c>
      <c r="B2365" t="s">
        <v>2464</v>
      </c>
      <c r="C2365" t="s">
        <v>2633</v>
      </c>
      <c r="D2365">
        <v>2016</v>
      </c>
      <c r="E2365">
        <v>1</v>
      </c>
    </row>
    <row r="2366" spans="1:5" x14ac:dyDescent="0.25">
      <c r="A2366" t="s">
        <v>91</v>
      </c>
      <c r="B2366" t="s">
        <v>2464</v>
      </c>
      <c r="C2366" t="s">
        <v>2654</v>
      </c>
      <c r="D2366">
        <v>2016</v>
      </c>
      <c r="E2366">
        <v>4</v>
      </c>
    </row>
    <row r="2367" spans="1:5" x14ac:dyDescent="0.25">
      <c r="A2367" t="s">
        <v>91</v>
      </c>
      <c r="B2367" t="s">
        <v>2464</v>
      </c>
      <c r="C2367" t="s">
        <v>129</v>
      </c>
      <c r="D2367">
        <v>2016</v>
      </c>
      <c r="E2367">
        <v>17</v>
      </c>
    </row>
    <row r="2368" spans="1:5" x14ac:dyDescent="0.25">
      <c r="A2368" t="s">
        <v>91</v>
      </c>
      <c r="B2368" t="s">
        <v>2464</v>
      </c>
      <c r="C2368" t="s">
        <v>2656</v>
      </c>
      <c r="D2368">
        <v>2016</v>
      </c>
      <c r="E2368">
        <v>4</v>
      </c>
    </row>
    <row r="2369" spans="1:5" x14ac:dyDescent="0.25">
      <c r="A2369" t="s">
        <v>91</v>
      </c>
      <c r="B2369" t="s">
        <v>2464</v>
      </c>
      <c r="C2369" t="s">
        <v>2652</v>
      </c>
      <c r="D2369">
        <v>2016</v>
      </c>
      <c r="E2369">
        <v>6</v>
      </c>
    </row>
    <row r="2370" spans="1:5" x14ac:dyDescent="0.25">
      <c r="A2370" t="s">
        <v>91</v>
      </c>
      <c r="B2370" t="s">
        <v>2464</v>
      </c>
      <c r="C2370" t="s">
        <v>2648</v>
      </c>
      <c r="D2370">
        <v>2016</v>
      </c>
      <c r="E2370">
        <v>1</v>
      </c>
    </row>
    <row r="2371" spans="1:5" x14ac:dyDescent="0.25">
      <c r="A2371" t="s">
        <v>91</v>
      </c>
      <c r="B2371" t="s">
        <v>2464</v>
      </c>
      <c r="C2371" t="s">
        <v>2649</v>
      </c>
      <c r="D2371">
        <v>2016</v>
      </c>
      <c r="E2371">
        <v>9</v>
      </c>
    </row>
    <row r="2372" spans="1:5" x14ac:dyDescent="0.25">
      <c r="A2372" t="s">
        <v>91</v>
      </c>
      <c r="B2372" t="s">
        <v>2464</v>
      </c>
      <c r="C2372" t="s">
        <v>2632</v>
      </c>
      <c r="D2372">
        <v>2016</v>
      </c>
      <c r="E2372">
        <v>6</v>
      </c>
    </row>
    <row r="2373" spans="1:5" x14ac:dyDescent="0.25">
      <c r="A2373" t="s">
        <v>91</v>
      </c>
      <c r="B2373" t="s">
        <v>2464</v>
      </c>
      <c r="C2373" t="s">
        <v>2655</v>
      </c>
      <c r="D2373">
        <v>2016</v>
      </c>
      <c r="E2373">
        <v>5</v>
      </c>
    </row>
    <row r="2374" spans="1:5" x14ac:dyDescent="0.25">
      <c r="A2374" t="s">
        <v>91</v>
      </c>
      <c r="B2374" t="s">
        <v>2464</v>
      </c>
      <c r="C2374" t="s">
        <v>2617</v>
      </c>
      <c r="D2374">
        <v>2015</v>
      </c>
      <c r="E2374">
        <v>9</v>
      </c>
    </row>
    <row r="2375" spans="1:5" x14ac:dyDescent="0.25">
      <c r="A2375" t="s">
        <v>91</v>
      </c>
      <c r="B2375" t="s">
        <v>2464</v>
      </c>
      <c r="C2375" t="s">
        <v>2638</v>
      </c>
      <c r="D2375">
        <v>2015</v>
      </c>
      <c r="E2375">
        <v>2</v>
      </c>
    </row>
    <row r="2376" spans="1:5" x14ac:dyDescent="0.25">
      <c r="A2376" t="s">
        <v>91</v>
      </c>
      <c r="B2376" t="s">
        <v>2464</v>
      </c>
      <c r="C2376" t="s">
        <v>2657</v>
      </c>
      <c r="D2376">
        <v>2015</v>
      </c>
      <c r="E2376">
        <v>13</v>
      </c>
    </row>
    <row r="2377" spans="1:5" x14ac:dyDescent="0.25">
      <c r="A2377" t="s">
        <v>91</v>
      </c>
      <c r="B2377" t="s">
        <v>2464</v>
      </c>
      <c r="C2377" t="s">
        <v>2653</v>
      </c>
      <c r="D2377">
        <v>2015</v>
      </c>
      <c r="E2377">
        <v>2</v>
      </c>
    </row>
    <row r="2378" spans="1:5" x14ac:dyDescent="0.25">
      <c r="A2378" t="s">
        <v>91</v>
      </c>
      <c r="B2378" t="s">
        <v>2464</v>
      </c>
      <c r="C2378" t="s">
        <v>2640</v>
      </c>
      <c r="D2378">
        <v>2015</v>
      </c>
      <c r="E2378">
        <v>5</v>
      </c>
    </row>
    <row r="2379" spans="1:5" x14ac:dyDescent="0.25">
      <c r="A2379" t="s">
        <v>91</v>
      </c>
      <c r="B2379" t="s">
        <v>2464</v>
      </c>
      <c r="C2379" t="s">
        <v>2643</v>
      </c>
      <c r="D2379">
        <v>2015</v>
      </c>
      <c r="E2379">
        <v>13</v>
      </c>
    </row>
    <row r="2380" spans="1:5" x14ac:dyDescent="0.25">
      <c r="A2380" t="s">
        <v>91</v>
      </c>
      <c r="B2380" t="s">
        <v>2464</v>
      </c>
      <c r="C2380" t="s">
        <v>2644</v>
      </c>
      <c r="D2380">
        <v>2015</v>
      </c>
      <c r="E2380">
        <v>1</v>
      </c>
    </row>
    <row r="2381" spans="1:5" x14ac:dyDescent="0.25">
      <c r="A2381" t="s">
        <v>91</v>
      </c>
      <c r="B2381" t="s">
        <v>2464</v>
      </c>
      <c r="C2381" t="s">
        <v>2654</v>
      </c>
      <c r="D2381">
        <v>2015</v>
      </c>
      <c r="E2381">
        <v>1</v>
      </c>
    </row>
    <row r="2382" spans="1:5" x14ac:dyDescent="0.25">
      <c r="A2382" t="s">
        <v>91</v>
      </c>
      <c r="B2382" t="s">
        <v>2464</v>
      </c>
      <c r="C2382" t="s">
        <v>129</v>
      </c>
      <c r="D2382">
        <v>2015</v>
      </c>
      <c r="E2382">
        <v>13</v>
      </c>
    </row>
    <row r="2383" spans="1:5" x14ac:dyDescent="0.25">
      <c r="A2383" t="s">
        <v>91</v>
      </c>
      <c r="B2383" t="s">
        <v>2464</v>
      </c>
      <c r="C2383" t="s">
        <v>2656</v>
      </c>
      <c r="D2383">
        <v>2015</v>
      </c>
      <c r="E2383">
        <v>1</v>
      </c>
    </row>
    <row r="2384" spans="1:5" x14ac:dyDescent="0.25">
      <c r="A2384" t="s">
        <v>91</v>
      </c>
      <c r="B2384" t="s">
        <v>2464</v>
      </c>
      <c r="C2384" t="s">
        <v>2652</v>
      </c>
      <c r="D2384">
        <v>2015</v>
      </c>
      <c r="E2384">
        <v>8</v>
      </c>
    </row>
    <row r="2385" spans="1:5" x14ac:dyDescent="0.25">
      <c r="A2385" t="s">
        <v>91</v>
      </c>
      <c r="B2385" t="s">
        <v>2464</v>
      </c>
      <c r="C2385" t="s">
        <v>2649</v>
      </c>
      <c r="D2385">
        <v>2015</v>
      </c>
      <c r="E2385">
        <v>13</v>
      </c>
    </row>
    <row r="2386" spans="1:5" x14ac:dyDescent="0.25">
      <c r="A2386" t="s">
        <v>91</v>
      </c>
      <c r="B2386" t="s">
        <v>2464</v>
      </c>
      <c r="C2386" t="s">
        <v>2632</v>
      </c>
      <c r="D2386">
        <v>2015</v>
      </c>
      <c r="E2386">
        <v>2</v>
      </c>
    </row>
    <row r="2387" spans="1:5" x14ac:dyDescent="0.25">
      <c r="A2387" t="s">
        <v>91</v>
      </c>
      <c r="B2387" t="s">
        <v>2464</v>
      </c>
      <c r="C2387" t="s">
        <v>2655</v>
      </c>
      <c r="D2387">
        <v>2015</v>
      </c>
      <c r="E2387">
        <v>6</v>
      </c>
    </row>
    <row r="2388" spans="1:5" x14ac:dyDescent="0.25">
      <c r="A2388" t="s">
        <v>91</v>
      </c>
      <c r="B2388" t="s">
        <v>2464</v>
      </c>
      <c r="C2388" t="s">
        <v>2617</v>
      </c>
      <c r="D2388">
        <v>2014</v>
      </c>
      <c r="E2388">
        <v>8</v>
      </c>
    </row>
    <row r="2389" spans="1:5" x14ac:dyDescent="0.25">
      <c r="A2389" t="s">
        <v>91</v>
      </c>
      <c r="B2389" t="s">
        <v>2464</v>
      </c>
      <c r="C2389" t="s">
        <v>2657</v>
      </c>
      <c r="D2389">
        <v>2014</v>
      </c>
      <c r="E2389">
        <v>15</v>
      </c>
    </row>
    <row r="2390" spans="1:5" x14ac:dyDescent="0.25">
      <c r="A2390" t="s">
        <v>91</v>
      </c>
      <c r="B2390" t="s">
        <v>2464</v>
      </c>
      <c r="C2390" t="s">
        <v>2653</v>
      </c>
      <c r="D2390">
        <v>2014</v>
      </c>
      <c r="E2390">
        <v>13</v>
      </c>
    </row>
    <row r="2391" spans="1:5" x14ac:dyDescent="0.25">
      <c r="A2391" t="s">
        <v>91</v>
      </c>
      <c r="B2391" t="s">
        <v>2464</v>
      </c>
      <c r="C2391" t="s">
        <v>2640</v>
      </c>
      <c r="D2391">
        <v>2014</v>
      </c>
      <c r="E2391">
        <v>6</v>
      </c>
    </row>
    <row r="2392" spans="1:5" x14ac:dyDescent="0.25">
      <c r="A2392" t="s">
        <v>91</v>
      </c>
      <c r="B2392" t="s">
        <v>2464</v>
      </c>
      <c r="C2392" t="s">
        <v>2643</v>
      </c>
      <c r="D2392">
        <v>2014</v>
      </c>
      <c r="E2392">
        <v>19</v>
      </c>
    </row>
    <row r="2393" spans="1:5" x14ac:dyDescent="0.25">
      <c r="A2393" t="s">
        <v>91</v>
      </c>
      <c r="B2393" t="s">
        <v>2464</v>
      </c>
      <c r="C2393" t="s">
        <v>2654</v>
      </c>
      <c r="D2393">
        <v>2014</v>
      </c>
      <c r="E2393">
        <v>2</v>
      </c>
    </row>
    <row r="2394" spans="1:5" x14ac:dyDescent="0.25">
      <c r="A2394" t="s">
        <v>91</v>
      </c>
      <c r="B2394" t="s">
        <v>2464</v>
      </c>
      <c r="C2394" t="s">
        <v>129</v>
      </c>
      <c r="D2394">
        <v>2014</v>
      </c>
      <c r="E2394">
        <v>2</v>
      </c>
    </row>
    <row r="2395" spans="1:5" x14ac:dyDescent="0.25">
      <c r="A2395" t="s">
        <v>91</v>
      </c>
      <c r="B2395" t="s">
        <v>2464</v>
      </c>
      <c r="C2395" t="s">
        <v>2652</v>
      </c>
      <c r="D2395">
        <v>2014</v>
      </c>
      <c r="E2395">
        <v>6</v>
      </c>
    </row>
    <row r="2396" spans="1:5" x14ac:dyDescent="0.25">
      <c r="A2396" t="s">
        <v>91</v>
      </c>
      <c r="B2396" t="s">
        <v>2464</v>
      </c>
      <c r="C2396" t="s">
        <v>2649</v>
      </c>
      <c r="D2396">
        <v>2014</v>
      </c>
      <c r="E2396">
        <v>15</v>
      </c>
    </row>
    <row r="2397" spans="1:5" x14ac:dyDescent="0.25">
      <c r="A2397" t="s">
        <v>91</v>
      </c>
      <c r="B2397" t="s">
        <v>2464</v>
      </c>
      <c r="C2397" t="s">
        <v>2632</v>
      </c>
      <c r="D2397">
        <v>2014</v>
      </c>
      <c r="E2397">
        <v>2</v>
      </c>
    </row>
    <row r="2398" spans="1:5" x14ac:dyDescent="0.25">
      <c r="A2398" t="s">
        <v>91</v>
      </c>
      <c r="B2398" t="s">
        <v>2464</v>
      </c>
      <c r="C2398" t="s">
        <v>2655</v>
      </c>
      <c r="D2398">
        <v>2014</v>
      </c>
      <c r="E2398">
        <v>14</v>
      </c>
    </row>
    <row r="2399" spans="1:5" x14ac:dyDescent="0.25">
      <c r="A2399" t="s">
        <v>91</v>
      </c>
      <c r="B2399" t="s">
        <v>2464</v>
      </c>
      <c r="C2399" t="s">
        <v>2638</v>
      </c>
      <c r="D2399">
        <v>2013</v>
      </c>
      <c r="E2399">
        <v>1</v>
      </c>
    </row>
    <row r="2400" spans="1:5" x14ac:dyDescent="0.25">
      <c r="A2400" t="s">
        <v>91</v>
      </c>
      <c r="B2400" t="s">
        <v>2464</v>
      </c>
      <c r="C2400" t="s">
        <v>2657</v>
      </c>
      <c r="D2400">
        <v>2013</v>
      </c>
      <c r="E2400">
        <v>18</v>
      </c>
    </row>
    <row r="2401" spans="1:5" x14ac:dyDescent="0.25">
      <c r="A2401" t="s">
        <v>91</v>
      </c>
      <c r="B2401" t="s">
        <v>2464</v>
      </c>
      <c r="C2401" t="s">
        <v>2653</v>
      </c>
      <c r="D2401">
        <v>2013</v>
      </c>
      <c r="E2401">
        <v>10</v>
      </c>
    </row>
    <row r="2402" spans="1:5" x14ac:dyDescent="0.25">
      <c r="A2402" t="s">
        <v>91</v>
      </c>
      <c r="B2402" t="s">
        <v>2464</v>
      </c>
      <c r="C2402" t="s">
        <v>2640</v>
      </c>
      <c r="D2402">
        <v>2013</v>
      </c>
      <c r="E2402">
        <v>15</v>
      </c>
    </row>
    <row r="2403" spans="1:5" x14ac:dyDescent="0.25">
      <c r="A2403" t="s">
        <v>91</v>
      </c>
      <c r="B2403" t="s">
        <v>2464</v>
      </c>
      <c r="C2403" t="s">
        <v>2643</v>
      </c>
      <c r="D2403">
        <v>2013</v>
      </c>
      <c r="E2403">
        <v>14</v>
      </c>
    </row>
    <row r="2404" spans="1:5" x14ac:dyDescent="0.25">
      <c r="A2404" t="s">
        <v>91</v>
      </c>
      <c r="B2404" t="s">
        <v>2464</v>
      </c>
      <c r="C2404" t="s">
        <v>2654</v>
      </c>
      <c r="D2404">
        <v>2013</v>
      </c>
      <c r="E2404">
        <v>5</v>
      </c>
    </row>
    <row r="2405" spans="1:5" x14ac:dyDescent="0.25">
      <c r="A2405" t="s">
        <v>91</v>
      </c>
      <c r="B2405" t="s">
        <v>2464</v>
      </c>
      <c r="C2405" t="s">
        <v>129</v>
      </c>
      <c r="D2405">
        <v>2013</v>
      </c>
      <c r="E2405">
        <v>12</v>
      </c>
    </row>
    <row r="2406" spans="1:5" x14ac:dyDescent="0.25">
      <c r="A2406" t="s">
        <v>91</v>
      </c>
      <c r="B2406" t="s">
        <v>2464</v>
      </c>
      <c r="C2406" t="s">
        <v>2656</v>
      </c>
      <c r="D2406">
        <v>2013</v>
      </c>
      <c r="E2406">
        <v>1</v>
      </c>
    </row>
    <row r="2407" spans="1:5" x14ac:dyDescent="0.25">
      <c r="A2407" t="s">
        <v>91</v>
      </c>
      <c r="B2407" t="s">
        <v>2464</v>
      </c>
      <c r="C2407" t="s">
        <v>2652</v>
      </c>
      <c r="D2407">
        <v>2013</v>
      </c>
      <c r="E2407">
        <v>11</v>
      </c>
    </row>
    <row r="2408" spans="1:5" x14ac:dyDescent="0.25">
      <c r="A2408" t="s">
        <v>91</v>
      </c>
      <c r="B2408" t="s">
        <v>2464</v>
      </c>
      <c r="C2408" t="s">
        <v>2649</v>
      </c>
      <c r="D2408">
        <v>2013</v>
      </c>
      <c r="E2408">
        <v>18</v>
      </c>
    </row>
    <row r="2409" spans="1:5" x14ac:dyDescent="0.25">
      <c r="A2409" t="s">
        <v>91</v>
      </c>
      <c r="B2409" t="s">
        <v>2464</v>
      </c>
      <c r="C2409" t="s">
        <v>2632</v>
      </c>
      <c r="D2409">
        <v>2013</v>
      </c>
      <c r="E2409">
        <v>4</v>
      </c>
    </row>
    <row r="2410" spans="1:5" x14ac:dyDescent="0.25">
      <c r="A2410" t="s">
        <v>91</v>
      </c>
      <c r="B2410" t="s">
        <v>2464</v>
      </c>
      <c r="C2410" t="s">
        <v>2655</v>
      </c>
      <c r="D2410">
        <v>2013</v>
      </c>
      <c r="E2410">
        <v>22</v>
      </c>
    </row>
    <row r="2411" spans="1:5" x14ac:dyDescent="0.25">
      <c r="A2411" t="s">
        <v>91</v>
      </c>
      <c r="B2411" t="s">
        <v>2464</v>
      </c>
      <c r="C2411" t="s">
        <v>2638</v>
      </c>
      <c r="D2411">
        <v>2012</v>
      </c>
      <c r="E2411">
        <v>1</v>
      </c>
    </row>
    <row r="2412" spans="1:5" x14ac:dyDescent="0.25">
      <c r="A2412" t="s">
        <v>91</v>
      </c>
      <c r="B2412" t="s">
        <v>2464</v>
      </c>
      <c r="C2412" t="s">
        <v>2657</v>
      </c>
      <c r="D2412">
        <v>2012</v>
      </c>
      <c r="E2412">
        <v>19</v>
      </c>
    </row>
    <row r="2413" spans="1:5" x14ac:dyDescent="0.25">
      <c r="A2413" t="s">
        <v>91</v>
      </c>
      <c r="B2413" t="s">
        <v>2464</v>
      </c>
      <c r="C2413" t="s">
        <v>2653</v>
      </c>
      <c r="D2413">
        <v>2012</v>
      </c>
      <c r="E2413">
        <v>13</v>
      </c>
    </row>
    <row r="2414" spans="1:5" x14ac:dyDescent="0.25">
      <c r="A2414" t="s">
        <v>91</v>
      </c>
      <c r="B2414" t="s">
        <v>2464</v>
      </c>
      <c r="C2414" t="s">
        <v>2640</v>
      </c>
      <c r="D2414">
        <v>2012</v>
      </c>
      <c r="E2414">
        <v>9</v>
      </c>
    </row>
    <row r="2415" spans="1:5" x14ac:dyDescent="0.25">
      <c r="A2415" t="s">
        <v>91</v>
      </c>
      <c r="B2415" t="s">
        <v>2464</v>
      </c>
      <c r="C2415" t="s">
        <v>2643</v>
      </c>
      <c r="D2415">
        <v>2012</v>
      </c>
      <c r="E2415">
        <v>17</v>
      </c>
    </row>
    <row r="2416" spans="1:5" x14ac:dyDescent="0.25">
      <c r="A2416" t="s">
        <v>91</v>
      </c>
      <c r="B2416" t="s">
        <v>2464</v>
      </c>
      <c r="C2416" t="s">
        <v>2654</v>
      </c>
      <c r="D2416">
        <v>2012</v>
      </c>
      <c r="E2416">
        <v>2</v>
      </c>
    </row>
    <row r="2417" spans="1:5" x14ac:dyDescent="0.25">
      <c r="A2417" t="s">
        <v>91</v>
      </c>
      <c r="B2417" t="s">
        <v>2464</v>
      </c>
      <c r="C2417" t="s">
        <v>129</v>
      </c>
      <c r="D2417">
        <v>2012</v>
      </c>
      <c r="E2417">
        <v>44</v>
      </c>
    </row>
    <row r="2418" spans="1:5" x14ac:dyDescent="0.25">
      <c r="A2418" t="s">
        <v>91</v>
      </c>
      <c r="B2418" t="s">
        <v>2464</v>
      </c>
      <c r="C2418" t="s">
        <v>2656</v>
      </c>
      <c r="D2418">
        <v>2012</v>
      </c>
      <c r="E2418">
        <v>3</v>
      </c>
    </row>
    <row r="2419" spans="1:5" x14ac:dyDescent="0.25">
      <c r="A2419" t="s">
        <v>91</v>
      </c>
      <c r="B2419" t="s">
        <v>2464</v>
      </c>
      <c r="C2419" t="s">
        <v>2652</v>
      </c>
      <c r="D2419">
        <v>2012</v>
      </c>
      <c r="E2419">
        <v>7</v>
      </c>
    </row>
    <row r="2420" spans="1:5" x14ac:dyDescent="0.25">
      <c r="A2420" t="s">
        <v>91</v>
      </c>
      <c r="B2420" t="s">
        <v>2464</v>
      </c>
      <c r="C2420" t="s">
        <v>2649</v>
      </c>
      <c r="D2420">
        <v>2012</v>
      </c>
      <c r="E2420">
        <v>5</v>
      </c>
    </row>
    <row r="2421" spans="1:5" x14ac:dyDescent="0.25">
      <c r="A2421" t="s">
        <v>91</v>
      </c>
      <c r="B2421" t="s">
        <v>2464</v>
      </c>
      <c r="C2421" t="s">
        <v>2632</v>
      </c>
      <c r="D2421">
        <v>2012</v>
      </c>
      <c r="E2421">
        <v>2</v>
      </c>
    </row>
    <row r="2422" spans="1:5" x14ac:dyDescent="0.25">
      <c r="A2422" t="s">
        <v>91</v>
      </c>
      <c r="B2422" t="s">
        <v>2464</v>
      </c>
      <c r="C2422" t="s">
        <v>2655</v>
      </c>
      <c r="D2422">
        <v>2012</v>
      </c>
      <c r="E2422">
        <v>19</v>
      </c>
    </row>
    <row r="2423" spans="1:5" x14ac:dyDescent="0.25">
      <c r="A2423" t="s">
        <v>91</v>
      </c>
      <c r="B2423" t="s">
        <v>2464</v>
      </c>
      <c r="C2423" t="s">
        <v>2617</v>
      </c>
      <c r="D2423">
        <v>2011</v>
      </c>
      <c r="E2423">
        <v>1</v>
      </c>
    </row>
    <row r="2424" spans="1:5" x14ac:dyDescent="0.25">
      <c r="A2424" t="s">
        <v>91</v>
      </c>
      <c r="B2424" t="s">
        <v>2464</v>
      </c>
      <c r="C2424" t="s">
        <v>2638</v>
      </c>
      <c r="D2424">
        <v>2011</v>
      </c>
      <c r="E2424">
        <v>1</v>
      </c>
    </row>
    <row r="2425" spans="1:5" x14ac:dyDescent="0.25">
      <c r="A2425" t="s">
        <v>91</v>
      </c>
      <c r="B2425" t="s">
        <v>2464</v>
      </c>
      <c r="C2425" t="s">
        <v>2657</v>
      </c>
      <c r="D2425">
        <v>2011</v>
      </c>
      <c r="E2425">
        <v>19</v>
      </c>
    </row>
    <row r="2426" spans="1:5" x14ac:dyDescent="0.25">
      <c r="A2426" t="s">
        <v>91</v>
      </c>
      <c r="B2426" t="s">
        <v>2464</v>
      </c>
      <c r="C2426" t="s">
        <v>2653</v>
      </c>
      <c r="D2426">
        <v>2011</v>
      </c>
      <c r="E2426">
        <v>12</v>
      </c>
    </row>
    <row r="2427" spans="1:5" x14ac:dyDescent="0.25">
      <c r="A2427" t="s">
        <v>91</v>
      </c>
      <c r="B2427" t="s">
        <v>2464</v>
      </c>
      <c r="C2427" t="s">
        <v>2640</v>
      </c>
      <c r="D2427">
        <v>2011</v>
      </c>
      <c r="E2427">
        <v>14</v>
      </c>
    </row>
    <row r="2428" spans="1:5" x14ac:dyDescent="0.25">
      <c r="A2428" t="s">
        <v>91</v>
      </c>
      <c r="B2428" t="s">
        <v>2464</v>
      </c>
      <c r="C2428" t="s">
        <v>2643</v>
      </c>
      <c r="D2428">
        <v>2011</v>
      </c>
      <c r="E2428">
        <v>19</v>
      </c>
    </row>
    <row r="2429" spans="1:5" x14ac:dyDescent="0.25">
      <c r="A2429" t="s">
        <v>91</v>
      </c>
      <c r="B2429" t="s">
        <v>2464</v>
      </c>
      <c r="C2429" t="s">
        <v>2654</v>
      </c>
      <c r="D2429">
        <v>2011</v>
      </c>
      <c r="E2429">
        <v>2</v>
      </c>
    </row>
    <row r="2430" spans="1:5" x14ac:dyDescent="0.25">
      <c r="A2430" t="s">
        <v>91</v>
      </c>
      <c r="B2430" t="s">
        <v>2464</v>
      </c>
      <c r="C2430" t="s">
        <v>129</v>
      </c>
      <c r="D2430">
        <v>2011</v>
      </c>
      <c r="E2430">
        <v>45</v>
      </c>
    </row>
    <row r="2431" spans="1:5" x14ac:dyDescent="0.25">
      <c r="A2431" t="s">
        <v>91</v>
      </c>
      <c r="B2431" t="s">
        <v>2464</v>
      </c>
      <c r="C2431" t="s">
        <v>2656</v>
      </c>
      <c r="D2431">
        <v>2011</v>
      </c>
      <c r="E2431">
        <v>12</v>
      </c>
    </row>
    <row r="2432" spans="1:5" x14ac:dyDescent="0.25">
      <c r="A2432" t="s">
        <v>91</v>
      </c>
      <c r="B2432" t="s">
        <v>2464</v>
      </c>
      <c r="C2432" t="s">
        <v>2652</v>
      </c>
      <c r="D2432">
        <v>2011</v>
      </c>
      <c r="E2432">
        <v>12</v>
      </c>
    </row>
    <row r="2433" spans="1:5" x14ac:dyDescent="0.25">
      <c r="A2433" t="s">
        <v>91</v>
      </c>
      <c r="B2433" t="s">
        <v>2464</v>
      </c>
      <c r="C2433" t="s">
        <v>2649</v>
      </c>
      <c r="D2433">
        <v>2011</v>
      </c>
      <c r="E2433">
        <v>10</v>
      </c>
    </row>
    <row r="2434" spans="1:5" x14ac:dyDescent="0.25">
      <c r="A2434" t="s">
        <v>91</v>
      </c>
      <c r="B2434" t="s">
        <v>2464</v>
      </c>
      <c r="C2434" t="s">
        <v>2632</v>
      </c>
      <c r="D2434">
        <v>2011</v>
      </c>
      <c r="E2434">
        <v>3</v>
      </c>
    </row>
    <row r="2435" spans="1:5" x14ac:dyDescent="0.25">
      <c r="A2435" t="s">
        <v>91</v>
      </c>
      <c r="B2435" t="s">
        <v>2464</v>
      </c>
      <c r="C2435" t="s">
        <v>2655</v>
      </c>
      <c r="D2435">
        <v>2011</v>
      </c>
      <c r="E2435">
        <v>13</v>
      </c>
    </row>
    <row r="2436" spans="1:5" x14ac:dyDescent="0.25">
      <c r="A2436" t="s">
        <v>91</v>
      </c>
      <c r="B2436" t="s">
        <v>2464</v>
      </c>
      <c r="C2436" t="s">
        <v>2617</v>
      </c>
      <c r="D2436">
        <v>2010</v>
      </c>
      <c r="E2436">
        <v>3</v>
      </c>
    </row>
    <row r="2437" spans="1:5" x14ac:dyDescent="0.25">
      <c r="A2437" t="s">
        <v>91</v>
      </c>
      <c r="B2437" t="s">
        <v>2464</v>
      </c>
      <c r="C2437" t="s">
        <v>2638</v>
      </c>
      <c r="D2437">
        <v>2010</v>
      </c>
      <c r="E2437">
        <v>2</v>
      </c>
    </row>
    <row r="2438" spans="1:5" x14ac:dyDescent="0.25">
      <c r="A2438" t="s">
        <v>91</v>
      </c>
      <c r="B2438" t="s">
        <v>2464</v>
      </c>
      <c r="C2438" t="s">
        <v>2657</v>
      </c>
      <c r="D2438">
        <v>2010</v>
      </c>
      <c r="E2438">
        <v>25</v>
      </c>
    </row>
    <row r="2439" spans="1:5" x14ac:dyDescent="0.25">
      <c r="A2439" t="s">
        <v>91</v>
      </c>
      <c r="B2439" t="s">
        <v>2464</v>
      </c>
      <c r="C2439" t="s">
        <v>2653</v>
      </c>
      <c r="D2439">
        <v>2010</v>
      </c>
      <c r="E2439">
        <v>20</v>
      </c>
    </row>
    <row r="2440" spans="1:5" x14ac:dyDescent="0.25">
      <c r="A2440" t="s">
        <v>91</v>
      </c>
      <c r="B2440" t="s">
        <v>2464</v>
      </c>
      <c r="C2440" t="s">
        <v>2640</v>
      </c>
      <c r="D2440">
        <v>2010</v>
      </c>
      <c r="E2440">
        <v>13</v>
      </c>
    </row>
    <row r="2441" spans="1:5" x14ac:dyDescent="0.25">
      <c r="A2441" t="s">
        <v>91</v>
      </c>
      <c r="B2441" t="s">
        <v>2464</v>
      </c>
      <c r="C2441" t="s">
        <v>2643</v>
      </c>
      <c r="D2441">
        <v>2010</v>
      </c>
      <c r="E2441">
        <v>16</v>
      </c>
    </row>
    <row r="2442" spans="1:5" x14ac:dyDescent="0.25">
      <c r="A2442" t="s">
        <v>91</v>
      </c>
      <c r="B2442" t="s">
        <v>2464</v>
      </c>
      <c r="C2442" t="s">
        <v>2654</v>
      </c>
      <c r="D2442">
        <v>2010</v>
      </c>
      <c r="E2442">
        <v>3</v>
      </c>
    </row>
    <row r="2443" spans="1:5" x14ac:dyDescent="0.25">
      <c r="A2443" t="s">
        <v>91</v>
      </c>
      <c r="B2443" t="s">
        <v>2464</v>
      </c>
      <c r="C2443" t="s">
        <v>129</v>
      </c>
      <c r="D2443">
        <v>2010</v>
      </c>
      <c r="E2443">
        <v>52</v>
      </c>
    </row>
    <row r="2444" spans="1:5" x14ac:dyDescent="0.25">
      <c r="A2444" t="s">
        <v>91</v>
      </c>
      <c r="B2444" t="s">
        <v>2464</v>
      </c>
      <c r="C2444" t="s">
        <v>2656</v>
      </c>
      <c r="D2444">
        <v>2010</v>
      </c>
      <c r="E2444">
        <v>26</v>
      </c>
    </row>
    <row r="2445" spans="1:5" x14ac:dyDescent="0.25">
      <c r="A2445" t="s">
        <v>91</v>
      </c>
      <c r="B2445" t="s">
        <v>2464</v>
      </c>
      <c r="C2445" t="s">
        <v>2649</v>
      </c>
      <c r="D2445">
        <v>2010</v>
      </c>
      <c r="E2445">
        <v>9</v>
      </c>
    </row>
    <row r="2446" spans="1:5" x14ac:dyDescent="0.25">
      <c r="A2446" t="s">
        <v>91</v>
      </c>
      <c r="B2446" t="s">
        <v>2464</v>
      </c>
      <c r="C2446" t="s">
        <v>2632</v>
      </c>
      <c r="D2446">
        <v>2010</v>
      </c>
      <c r="E2446">
        <v>3</v>
      </c>
    </row>
    <row r="2447" spans="1:5" x14ac:dyDescent="0.25">
      <c r="A2447" t="s">
        <v>91</v>
      </c>
      <c r="B2447" t="s">
        <v>2464</v>
      </c>
      <c r="C2447" t="s">
        <v>2655</v>
      </c>
      <c r="D2447">
        <v>2010</v>
      </c>
      <c r="E2447">
        <v>28</v>
      </c>
    </row>
    <row r="2448" spans="1:5" x14ac:dyDescent="0.25">
      <c r="A2448" t="s">
        <v>91</v>
      </c>
      <c r="B2448" t="s">
        <v>2464</v>
      </c>
      <c r="C2448" t="s">
        <v>2617</v>
      </c>
      <c r="D2448">
        <v>2009</v>
      </c>
      <c r="E2448">
        <v>1</v>
      </c>
    </row>
    <row r="2449" spans="1:5" x14ac:dyDescent="0.25">
      <c r="A2449" t="s">
        <v>91</v>
      </c>
      <c r="B2449" t="s">
        <v>2464</v>
      </c>
      <c r="C2449" t="s">
        <v>2638</v>
      </c>
      <c r="D2449">
        <v>2009</v>
      </c>
      <c r="E2449">
        <v>2</v>
      </c>
    </row>
    <row r="2450" spans="1:5" x14ac:dyDescent="0.25">
      <c r="A2450" t="s">
        <v>91</v>
      </c>
      <c r="B2450" t="s">
        <v>2464</v>
      </c>
      <c r="C2450" t="s">
        <v>2657</v>
      </c>
      <c r="D2450">
        <v>2009</v>
      </c>
      <c r="E2450">
        <v>25</v>
      </c>
    </row>
    <row r="2451" spans="1:5" x14ac:dyDescent="0.25">
      <c r="A2451" t="s">
        <v>91</v>
      </c>
      <c r="B2451" t="s">
        <v>2464</v>
      </c>
      <c r="C2451" t="s">
        <v>2635</v>
      </c>
      <c r="D2451">
        <v>2009</v>
      </c>
      <c r="E2451">
        <v>2</v>
      </c>
    </row>
    <row r="2452" spans="1:5" x14ac:dyDescent="0.25">
      <c r="A2452" t="s">
        <v>91</v>
      </c>
      <c r="B2452" t="s">
        <v>2464</v>
      </c>
      <c r="C2452" t="s">
        <v>2653</v>
      </c>
      <c r="D2452">
        <v>2009</v>
      </c>
      <c r="E2452">
        <v>17</v>
      </c>
    </row>
    <row r="2453" spans="1:5" x14ac:dyDescent="0.25">
      <c r="A2453" t="s">
        <v>91</v>
      </c>
      <c r="B2453" t="s">
        <v>2464</v>
      </c>
      <c r="C2453" t="s">
        <v>2640</v>
      </c>
      <c r="D2453">
        <v>2009</v>
      </c>
      <c r="E2453">
        <v>12</v>
      </c>
    </row>
    <row r="2454" spans="1:5" x14ac:dyDescent="0.25">
      <c r="A2454" t="s">
        <v>91</v>
      </c>
      <c r="B2454" t="s">
        <v>2464</v>
      </c>
      <c r="C2454" t="s">
        <v>2643</v>
      </c>
      <c r="D2454">
        <v>2009</v>
      </c>
      <c r="E2454">
        <v>17</v>
      </c>
    </row>
    <row r="2455" spans="1:5" x14ac:dyDescent="0.25">
      <c r="A2455" t="s">
        <v>91</v>
      </c>
      <c r="B2455" t="s">
        <v>2464</v>
      </c>
      <c r="C2455" t="s">
        <v>2654</v>
      </c>
      <c r="D2455">
        <v>2009</v>
      </c>
      <c r="E2455">
        <v>2</v>
      </c>
    </row>
    <row r="2456" spans="1:5" x14ac:dyDescent="0.25">
      <c r="A2456" t="s">
        <v>91</v>
      </c>
      <c r="B2456" t="s">
        <v>2464</v>
      </c>
      <c r="C2456" t="s">
        <v>129</v>
      </c>
      <c r="D2456">
        <v>2009</v>
      </c>
      <c r="E2456">
        <v>53</v>
      </c>
    </row>
    <row r="2457" spans="1:5" x14ac:dyDescent="0.25">
      <c r="A2457" t="s">
        <v>91</v>
      </c>
      <c r="B2457" t="s">
        <v>2464</v>
      </c>
      <c r="C2457" t="s">
        <v>2656</v>
      </c>
      <c r="D2457">
        <v>2009</v>
      </c>
      <c r="E2457">
        <v>17</v>
      </c>
    </row>
    <row r="2458" spans="1:5" x14ac:dyDescent="0.25">
      <c r="A2458" t="s">
        <v>91</v>
      </c>
      <c r="B2458" t="s">
        <v>2464</v>
      </c>
      <c r="C2458" t="s">
        <v>2649</v>
      </c>
      <c r="D2458">
        <v>2009</v>
      </c>
      <c r="E2458">
        <v>4</v>
      </c>
    </row>
    <row r="2459" spans="1:5" x14ac:dyDescent="0.25">
      <c r="A2459" t="s">
        <v>91</v>
      </c>
      <c r="B2459" t="s">
        <v>2464</v>
      </c>
      <c r="C2459" t="s">
        <v>2632</v>
      </c>
      <c r="D2459">
        <v>2009</v>
      </c>
      <c r="E2459">
        <v>3</v>
      </c>
    </row>
    <row r="2460" spans="1:5" x14ac:dyDescent="0.25">
      <c r="A2460" t="s">
        <v>91</v>
      </c>
      <c r="B2460" t="s">
        <v>2464</v>
      </c>
      <c r="C2460" t="s">
        <v>2655</v>
      </c>
      <c r="D2460">
        <v>2009</v>
      </c>
      <c r="E2460">
        <v>20</v>
      </c>
    </row>
    <row r="2461" spans="1:5" x14ac:dyDescent="0.25">
      <c r="A2461" t="s">
        <v>91</v>
      </c>
      <c r="B2461" t="s">
        <v>2464</v>
      </c>
      <c r="C2461" t="s">
        <v>2638</v>
      </c>
      <c r="D2461">
        <v>2008</v>
      </c>
      <c r="E2461">
        <v>2</v>
      </c>
    </row>
    <row r="2462" spans="1:5" x14ac:dyDescent="0.25">
      <c r="A2462" t="s">
        <v>91</v>
      </c>
      <c r="B2462" t="s">
        <v>2464</v>
      </c>
      <c r="C2462" t="s">
        <v>2657</v>
      </c>
      <c r="D2462">
        <v>2008</v>
      </c>
      <c r="E2462">
        <v>18</v>
      </c>
    </row>
    <row r="2463" spans="1:5" x14ac:dyDescent="0.25">
      <c r="A2463" t="s">
        <v>91</v>
      </c>
      <c r="B2463" t="s">
        <v>2464</v>
      </c>
      <c r="C2463" t="s">
        <v>2635</v>
      </c>
      <c r="D2463">
        <v>2008</v>
      </c>
      <c r="E2463">
        <v>23</v>
      </c>
    </row>
    <row r="2464" spans="1:5" x14ac:dyDescent="0.25">
      <c r="A2464" t="s">
        <v>91</v>
      </c>
      <c r="B2464" t="s">
        <v>2464</v>
      </c>
      <c r="C2464" t="s">
        <v>2653</v>
      </c>
      <c r="D2464">
        <v>2008</v>
      </c>
      <c r="E2464">
        <v>16</v>
      </c>
    </row>
    <row r="2465" spans="1:5" x14ac:dyDescent="0.25">
      <c r="A2465" t="s">
        <v>91</v>
      </c>
      <c r="B2465" t="s">
        <v>2464</v>
      </c>
      <c r="C2465" t="s">
        <v>2640</v>
      </c>
      <c r="D2465">
        <v>2008</v>
      </c>
      <c r="E2465">
        <v>12</v>
      </c>
    </row>
    <row r="2466" spans="1:5" x14ac:dyDescent="0.25">
      <c r="A2466" t="s">
        <v>91</v>
      </c>
      <c r="B2466" t="s">
        <v>2464</v>
      </c>
      <c r="C2466" t="s">
        <v>2643</v>
      </c>
      <c r="D2466">
        <v>2008</v>
      </c>
      <c r="E2466">
        <v>18</v>
      </c>
    </row>
    <row r="2467" spans="1:5" x14ac:dyDescent="0.25">
      <c r="A2467" t="s">
        <v>91</v>
      </c>
      <c r="B2467" t="s">
        <v>2464</v>
      </c>
      <c r="C2467" t="s">
        <v>2654</v>
      </c>
      <c r="D2467">
        <v>2008</v>
      </c>
      <c r="E2467">
        <v>4</v>
      </c>
    </row>
    <row r="2468" spans="1:5" x14ac:dyDescent="0.25">
      <c r="A2468" t="s">
        <v>91</v>
      </c>
      <c r="B2468" t="s">
        <v>2464</v>
      </c>
      <c r="C2468" t="s">
        <v>129</v>
      </c>
      <c r="D2468">
        <v>2008</v>
      </c>
      <c r="E2468">
        <v>25</v>
      </c>
    </row>
    <row r="2469" spans="1:5" x14ac:dyDescent="0.25">
      <c r="A2469" t="s">
        <v>91</v>
      </c>
      <c r="B2469" t="s">
        <v>2464</v>
      </c>
      <c r="C2469" t="s">
        <v>2656</v>
      </c>
      <c r="D2469">
        <v>2008</v>
      </c>
      <c r="E2469">
        <v>6</v>
      </c>
    </row>
    <row r="2470" spans="1:5" x14ac:dyDescent="0.25">
      <c r="A2470" t="s">
        <v>91</v>
      </c>
      <c r="B2470" t="s">
        <v>2464</v>
      </c>
      <c r="C2470" t="s">
        <v>2632</v>
      </c>
      <c r="D2470">
        <v>2008</v>
      </c>
      <c r="E2470">
        <v>2</v>
      </c>
    </row>
    <row r="2471" spans="1:5" x14ac:dyDescent="0.25">
      <c r="A2471" t="s">
        <v>91</v>
      </c>
      <c r="B2471" t="s">
        <v>2464</v>
      </c>
      <c r="C2471" t="s">
        <v>2655</v>
      </c>
      <c r="D2471">
        <v>2008</v>
      </c>
      <c r="E2471">
        <v>17</v>
      </c>
    </row>
    <row r="2472" spans="1:5" x14ac:dyDescent="0.25">
      <c r="A2472" t="s">
        <v>2658</v>
      </c>
      <c r="B2472" t="s">
        <v>2452</v>
      </c>
      <c r="C2472" t="s">
        <v>2659</v>
      </c>
      <c r="D2472">
        <v>2019</v>
      </c>
      <c r="E2472">
        <v>1</v>
      </c>
    </row>
    <row r="2473" spans="1:5" x14ac:dyDescent="0.25">
      <c r="A2473" t="s">
        <v>2658</v>
      </c>
      <c r="B2473" t="s">
        <v>2452</v>
      </c>
      <c r="C2473" t="s">
        <v>2462</v>
      </c>
      <c r="D2473">
        <v>2019</v>
      </c>
      <c r="E2473">
        <v>151</v>
      </c>
    </row>
    <row r="2474" spans="1:5" x14ac:dyDescent="0.25">
      <c r="A2474" t="s">
        <v>2658</v>
      </c>
      <c r="B2474" t="s">
        <v>2452</v>
      </c>
      <c r="C2474" t="s">
        <v>2660</v>
      </c>
      <c r="D2474">
        <v>2019</v>
      </c>
      <c r="E2474">
        <v>9</v>
      </c>
    </row>
    <row r="2475" spans="1:5" x14ac:dyDescent="0.25">
      <c r="A2475" t="s">
        <v>2658</v>
      </c>
      <c r="B2475" t="s">
        <v>2452</v>
      </c>
      <c r="C2475" t="s">
        <v>2462</v>
      </c>
      <c r="D2475">
        <v>2018</v>
      </c>
      <c r="E2475">
        <v>172</v>
      </c>
    </row>
    <row r="2476" spans="1:5" x14ac:dyDescent="0.25">
      <c r="A2476" t="s">
        <v>2658</v>
      </c>
      <c r="B2476" t="s">
        <v>2452</v>
      </c>
      <c r="C2476" t="s">
        <v>2660</v>
      </c>
      <c r="D2476">
        <v>2018</v>
      </c>
      <c r="E2476">
        <v>16</v>
      </c>
    </row>
    <row r="2477" spans="1:5" x14ac:dyDescent="0.25">
      <c r="A2477" t="s">
        <v>2658</v>
      </c>
      <c r="B2477" t="s">
        <v>2452</v>
      </c>
      <c r="C2477" t="s">
        <v>2462</v>
      </c>
      <c r="D2477">
        <v>2017</v>
      </c>
      <c r="E2477">
        <v>195</v>
      </c>
    </row>
    <row r="2478" spans="1:5" x14ac:dyDescent="0.25">
      <c r="A2478" t="s">
        <v>2658</v>
      </c>
      <c r="B2478" t="s">
        <v>2452</v>
      </c>
      <c r="C2478" t="s">
        <v>2660</v>
      </c>
      <c r="D2478">
        <v>2017</v>
      </c>
      <c r="E2478">
        <v>20</v>
      </c>
    </row>
    <row r="2479" spans="1:5" x14ac:dyDescent="0.25">
      <c r="A2479" t="s">
        <v>2658</v>
      </c>
      <c r="B2479" t="s">
        <v>2452</v>
      </c>
      <c r="C2479" t="s">
        <v>2462</v>
      </c>
      <c r="D2479">
        <v>2016</v>
      </c>
      <c r="E2479">
        <v>249</v>
      </c>
    </row>
    <row r="2480" spans="1:5" x14ac:dyDescent="0.25">
      <c r="A2480" t="s">
        <v>2658</v>
      </c>
      <c r="B2480" t="s">
        <v>2452</v>
      </c>
      <c r="C2480" t="s">
        <v>2660</v>
      </c>
      <c r="D2480">
        <v>2016</v>
      </c>
      <c r="E2480">
        <v>27</v>
      </c>
    </row>
    <row r="2481" spans="1:5" x14ac:dyDescent="0.25">
      <c r="A2481" t="s">
        <v>2658</v>
      </c>
      <c r="B2481" t="s">
        <v>2452</v>
      </c>
      <c r="C2481" t="s">
        <v>2462</v>
      </c>
      <c r="D2481">
        <v>2015</v>
      </c>
      <c r="E2481">
        <v>321</v>
      </c>
    </row>
    <row r="2482" spans="1:5" x14ac:dyDescent="0.25">
      <c r="A2482" t="s">
        <v>2658</v>
      </c>
      <c r="B2482" t="s">
        <v>2452</v>
      </c>
      <c r="C2482" t="s">
        <v>2660</v>
      </c>
      <c r="D2482">
        <v>2015</v>
      </c>
      <c r="E2482">
        <v>46</v>
      </c>
    </row>
    <row r="2483" spans="1:5" x14ac:dyDescent="0.25">
      <c r="A2483" t="s">
        <v>2658</v>
      </c>
      <c r="B2483" t="s">
        <v>2452</v>
      </c>
      <c r="C2483" t="s">
        <v>2659</v>
      </c>
      <c r="D2483">
        <v>2014</v>
      </c>
      <c r="E2483">
        <v>2</v>
      </c>
    </row>
    <row r="2484" spans="1:5" x14ac:dyDescent="0.25">
      <c r="A2484" t="s">
        <v>2658</v>
      </c>
      <c r="B2484" t="s">
        <v>2452</v>
      </c>
      <c r="C2484" t="s">
        <v>2462</v>
      </c>
      <c r="D2484">
        <v>2014</v>
      </c>
      <c r="E2484">
        <v>326</v>
      </c>
    </row>
    <row r="2485" spans="1:5" x14ac:dyDescent="0.25">
      <c r="A2485" t="s">
        <v>2658</v>
      </c>
      <c r="B2485" t="s">
        <v>2452</v>
      </c>
      <c r="C2485" t="s">
        <v>2660</v>
      </c>
      <c r="D2485">
        <v>2014</v>
      </c>
      <c r="E2485">
        <v>110</v>
      </c>
    </row>
    <row r="2486" spans="1:5" x14ac:dyDescent="0.25">
      <c r="A2486" t="s">
        <v>2658</v>
      </c>
      <c r="B2486" t="s">
        <v>2452</v>
      </c>
      <c r="C2486" t="s">
        <v>2522</v>
      </c>
      <c r="D2486">
        <v>2013</v>
      </c>
      <c r="E2486">
        <v>3</v>
      </c>
    </row>
    <row r="2487" spans="1:5" x14ac:dyDescent="0.25">
      <c r="A2487" t="s">
        <v>2658</v>
      </c>
      <c r="B2487" t="s">
        <v>2452</v>
      </c>
      <c r="C2487" t="s">
        <v>2523</v>
      </c>
      <c r="D2487">
        <v>2013</v>
      </c>
      <c r="E2487">
        <v>3</v>
      </c>
    </row>
    <row r="2488" spans="1:5" x14ac:dyDescent="0.25">
      <c r="A2488" t="s">
        <v>2658</v>
      </c>
      <c r="B2488" t="s">
        <v>2452</v>
      </c>
      <c r="C2488" t="s">
        <v>2659</v>
      </c>
      <c r="D2488">
        <v>2013</v>
      </c>
      <c r="E2488">
        <v>3</v>
      </c>
    </row>
    <row r="2489" spans="1:5" x14ac:dyDescent="0.25">
      <c r="A2489" t="s">
        <v>2658</v>
      </c>
      <c r="B2489" t="s">
        <v>2452</v>
      </c>
      <c r="C2489" t="s">
        <v>2462</v>
      </c>
      <c r="D2489">
        <v>2013</v>
      </c>
      <c r="E2489">
        <v>248</v>
      </c>
    </row>
    <row r="2490" spans="1:5" x14ac:dyDescent="0.25">
      <c r="A2490" t="s">
        <v>2658</v>
      </c>
      <c r="B2490" t="s">
        <v>2452</v>
      </c>
      <c r="C2490" t="s">
        <v>2660</v>
      </c>
      <c r="D2490">
        <v>2013</v>
      </c>
      <c r="E2490">
        <v>96</v>
      </c>
    </row>
    <row r="2491" spans="1:5" x14ac:dyDescent="0.25">
      <c r="A2491" t="s">
        <v>2658</v>
      </c>
      <c r="B2491" t="s">
        <v>2452</v>
      </c>
      <c r="C2491" t="s">
        <v>2659</v>
      </c>
      <c r="D2491">
        <v>2012</v>
      </c>
      <c r="E2491">
        <v>8</v>
      </c>
    </row>
    <row r="2492" spans="1:5" x14ac:dyDescent="0.25">
      <c r="A2492" t="s">
        <v>2658</v>
      </c>
      <c r="B2492" t="s">
        <v>2452</v>
      </c>
      <c r="C2492" t="s">
        <v>2462</v>
      </c>
      <c r="D2492">
        <v>2012</v>
      </c>
      <c r="E2492">
        <v>309</v>
      </c>
    </row>
    <row r="2493" spans="1:5" x14ac:dyDescent="0.25">
      <c r="A2493" t="s">
        <v>2658</v>
      </c>
      <c r="B2493" t="s">
        <v>2452</v>
      </c>
      <c r="C2493" t="s">
        <v>2660</v>
      </c>
      <c r="D2493">
        <v>2012</v>
      </c>
      <c r="E2493">
        <v>95</v>
      </c>
    </row>
    <row r="2494" spans="1:5" x14ac:dyDescent="0.25">
      <c r="A2494" t="s">
        <v>2658</v>
      </c>
      <c r="B2494" t="s">
        <v>2452</v>
      </c>
      <c r="C2494" t="s">
        <v>2659</v>
      </c>
      <c r="D2494">
        <v>2011</v>
      </c>
      <c r="E2494">
        <v>22</v>
      </c>
    </row>
    <row r="2495" spans="1:5" x14ac:dyDescent="0.25">
      <c r="A2495" t="s">
        <v>2658</v>
      </c>
      <c r="B2495" t="s">
        <v>2452</v>
      </c>
      <c r="C2495" t="s">
        <v>2462</v>
      </c>
      <c r="D2495">
        <v>2011</v>
      </c>
      <c r="E2495">
        <v>255</v>
      </c>
    </row>
    <row r="2496" spans="1:5" x14ac:dyDescent="0.25">
      <c r="A2496" t="s">
        <v>2658</v>
      </c>
      <c r="B2496" t="s">
        <v>2452</v>
      </c>
      <c r="C2496" t="s">
        <v>2660</v>
      </c>
      <c r="D2496">
        <v>2011</v>
      </c>
      <c r="E2496">
        <v>66</v>
      </c>
    </row>
    <row r="2497" spans="1:5" x14ac:dyDescent="0.25">
      <c r="A2497" t="s">
        <v>2658</v>
      </c>
      <c r="B2497" t="s">
        <v>2452</v>
      </c>
      <c r="C2497" t="s">
        <v>2659</v>
      </c>
      <c r="D2497">
        <v>2010</v>
      </c>
      <c r="E2497">
        <v>13</v>
      </c>
    </row>
    <row r="2498" spans="1:5" x14ac:dyDescent="0.25">
      <c r="A2498" t="s">
        <v>2658</v>
      </c>
      <c r="B2498" t="s">
        <v>2452</v>
      </c>
      <c r="C2498" t="s">
        <v>2462</v>
      </c>
      <c r="D2498">
        <v>2010</v>
      </c>
      <c r="E2498">
        <v>338</v>
      </c>
    </row>
    <row r="2499" spans="1:5" x14ac:dyDescent="0.25">
      <c r="A2499" t="s">
        <v>2658</v>
      </c>
      <c r="B2499" t="s">
        <v>2452</v>
      </c>
      <c r="C2499" t="s">
        <v>2660</v>
      </c>
      <c r="D2499">
        <v>2010</v>
      </c>
      <c r="E2499">
        <v>73</v>
      </c>
    </row>
    <row r="2500" spans="1:5" x14ac:dyDescent="0.25">
      <c r="A2500" t="s">
        <v>2658</v>
      </c>
      <c r="B2500" t="s">
        <v>2452</v>
      </c>
      <c r="C2500" t="s">
        <v>2659</v>
      </c>
      <c r="D2500">
        <v>2009</v>
      </c>
      <c r="E2500">
        <v>21</v>
      </c>
    </row>
    <row r="2501" spans="1:5" x14ac:dyDescent="0.25">
      <c r="A2501" t="s">
        <v>2658</v>
      </c>
      <c r="B2501" t="s">
        <v>2452</v>
      </c>
      <c r="C2501" t="s">
        <v>2462</v>
      </c>
      <c r="D2501">
        <v>2009</v>
      </c>
      <c r="E2501">
        <v>334</v>
      </c>
    </row>
    <row r="2502" spans="1:5" x14ac:dyDescent="0.25">
      <c r="A2502" t="s">
        <v>2658</v>
      </c>
      <c r="B2502" t="s">
        <v>2452</v>
      </c>
      <c r="C2502" t="s">
        <v>2660</v>
      </c>
      <c r="D2502">
        <v>2009</v>
      </c>
      <c r="E2502">
        <v>52</v>
      </c>
    </row>
    <row r="2503" spans="1:5" x14ac:dyDescent="0.25">
      <c r="A2503" t="s">
        <v>2658</v>
      </c>
      <c r="B2503" t="s">
        <v>2452</v>
      </c>
      <c r="C2503" t="s">
        <v>2659</v>
      </c>
      <c r="D2503">
        <v>2008</v>
      </c>
      <c r="E2503">
        <v>18</v>
      </c>
    </row>
    <row r="2504" spans="1:5" x14ac:dyDescent="0.25">
      <c r="A2504" t="s">
        <v>2658</v>
      </c>
      <c r="B2504" t="s">
        <v>2452</v>
      </c>
      <c r="C2504" t="s">
        <v>2462</v>
      </c>
      <c r="D2504">
        <v>2008</v>
      </c>
      <c r="E2504">
        <v>359</v>
      </c>
    </row>
    <row r="2505" spans="1:5" x14ac:dyDescent="0.25">
      <c r="A2505" t="s">
        <v>2658</v>
      </c>
      <c r="B2505" t="s">
        <v>2452</v>
      </c>
      <c r="C2505" t="s">
        <v>2660</v>
      </c>
      <c r="D2505">
        <v>2008</v>
      </c>
      <c r="E2505">
        <v>41</v>
      </c>
    </row>
    <row r="2506" spans="1:5" x14ac:dyDescent="0.25">
      <c r="A2506" t="s">
        <v>89</v>
      </c>
      <c r="B2506" t="s">
        <v>2464</v>
      </c>
      <c r="C2506" t="s">
        <v>2661</v>
      </c>
      <c r="D2506">
        <v>2019</v>
      </c>
      <c r="E2506">
        <v>2</v>
      </c>
    </row>
    <row r="2507" spans="1:5" x14ac:dyDescent="0.25">
      <c r="A2507" t="s">
        <v>89</v>
      </c>
      <c r="B2507" t="s">
        <v>2464</v>
      </c>
      <c r="C2507" t="s">
        <v>2466</v>
      </c>
      <c r="D2507">
        <v>2019</v>
      </c>
      <c r="E2507">
        <v>13</v>
      </c>
    </row>
    <row r="2508" spans="1:5" x14ac:dyDescent="0.25">
      <c r="A2508" t="s">
        <v>89</v>
      </c>
      <c r="B2508" t="s">
        <v>2505</v>
      </c>
      <c r="C2508" t="s">
        <v>2466</v>
      </c>
      <c r="D2508">
        <v>2019</v>
      </c>
      <c r="E2508">
        <v>72</v>
      </c>
    </row>
    <row r="2509" spans="1:5" x14ac:dyDescent="0.25">
      <c r="A2509" t="s">
        <v>89</v>
      </c>
      <c r="B2509" t="s">
        <v>2518</v>
      </c>
      <c r="C2509" t="s">
        <v>90</v>
      </c>
      <c r="D2509">
        <v>2019</v>
      </c>
      <c r="E2509">
        <v>237</v>
      </c>
    </row>
    <row r="2510" spans="1:5" x14ac:dyDescent="0.25">
      <c r="A2510" t="s">
        <v>89</v>
      </c>
      <c r="B2510" t="s">
        <v>2518</v>
      </c>
      <c r="C2510" t="s">
        <v>90</v>
      </c>
      <c r="D2510">
        <v>2018</v>
      </c>
      <c r="E2510">
        <v>222</v>
      </c>
    </row>
    <row r="2511" spans="1:5" x14ac:dyDescent="0.25">
      <c r="A2511" t="s">
        <v>89</v>
      </c>
      <c r="B2511" t="s">
        <v>2518</v>
      </c>
      <c r="C2511" t="s">
        <v>90</v>
      </c>
      <c r="D2511">
        <v>2017</v>
      </c>
      <c r="E2511">
        <v>216</v>
      </c>
    </row>
    <row r="2512" spans="1:5" x14ac:dyDescent="0.25">
      <c r="A2512" t="s">
        <v>89</v>
      </c>
      <c r="B2512" t="s">
        <v>2518</v>
      </c>
      <c r="C2512" t="s">
        <v>90</v>
      </c>
      <c r="D2512">
        <v>2016</v>
      </c>
      <c r="E2512">
        <v>232</v>
      </c>
    </row>
    <row r="2513" spans="1:5" x14ac:dyDescent="0.25">
      <c r="A2513" t="s">
        <v>89</v>
      </c>
      <c r="B2513" t="s">
        <v>2518</v>
      </c>
      <c r="C2513" t="s">
        <v>90</v>
      </c>
      <c r="D2513">
        <v>2015</v>
      </c>
      <c r="E2513">
        <v>237</v>
      </c>
    </row>
    <row r="2514" spans="1:5" x14ac:dyDescent="0.25">
      <c r="A2514" t="s">
        <v>89</v>
      </c>
      <c r="B2514" t="s">
        <v>2518</v>
      </c>
      <c r="C2514" t="s">
        <v>90</v>
      </c>
      <c r="D2514">
        <v>2014</v>
      </c>
      <c r="E2514">
        <v>250</v>
      </c>
    </row>
    <row r="2515" spans="1:5" x14ac:dyDescent="0.25">
      <c r="A2515" t="s">
        <v>89</v>
      </c>
      <c r="B2515" t="s">
        <v>2518</v>
      </c>
      <c r="C2515" t="s">
        <v>90</v>
      </c>
      <c r="D2515">
        <v>2013</v>
      </c>
      <c r="E2515">
        <v>253</v>
      </c>
    </row>
    <row r="2516" spans="1:5" x14ac:dyDescent="0.25">
      <c r="A2516" t="s">
        <v>89</v>
      </c>
      <c r="B2516" t="s">
        <v>2518</v>
      </c>
      <c r="C2516" t="s">
        <v>90</v>
      </c>
      <c r="D2516">
        <v>2012</v>
      </c>
      <c r="E2516">
        <v>252</v>
      </c>
    </row>
    <row r="2517" spans="1:5" x14ac:dyDescent="0.25">
      <c r="A2517" t="s">
        <v>89</v>
      </c>
      <c r="B2517" t="s">
        <v>2518</v>
      </c>
      <c r="C2517" t="s">
        <v>90</v>
      </c>
      <c r="D2517">
        <v>2011</v>
      </c>
      <c r="E2517">
        <v>254</v>
      </c>
    </row>
    <row r="2518" spans="1:5" x14ac:dyDescent="0.25">
      <c r="A2518" t="s">
        <v>89</v>
      </c>
      <c r="B2518" t="s">
        <v>2518</v>
      </c>
      <c r="C2518" t="s">
        <v>90</v>
      </c>
      <c r="D2518">
        <v>2010</v>
      </c>
      <c r="E2518">
        <v>260</v>
      </c>
    </row>
    <row r="2519" spans="1:5" x14ac:dyDescent="0.25">
      <c r="A2519" t="s">
        <v>89</v>
      </c>
      <c r="B2519" t="s">
        <v>2518</v>
      </c>
      <c r="C2519" t="s">
        <v>90</v>
      </c>
      <c r="D2519">
        <v>2009</v>
      </c>
      <c r="E2519">
        <v>251</v>
      </c>
    </row>
    <row r="2520" spans="1:5" x14ac:dyDescent="0.25">
      <c r="A2520" t="s">
        <v>89</v>
      </c>
      <c r="B2520" t="s">
        <v>2518</v>
      </c>
      <c r="C2520" t="s">
        <v>90</v>
      </c>
      <c r="D2520">
        <v>2008</v>
      </c>
      <c r="E2520">
        <v>247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3:U52"/>
  <sheetViews>
    <sheetView topLeftCell="A13" workbookViewId="0">
      <selection activeCell="K52" sqref="K52"/>
    </sheetView>
  </sheetViews>
  <sheetFormatPr defaultRowHeight="15" x14ac:dyDescent="0.25"/>
  <cols>
    <col min="1" max="1" width="34.7109375" bestFit="1" customWidth="1"/>
    <col min="2" max="2" width="11.5703125" customWidth="1"/>
    <col min="3" max="3" width="14.28515625" bestFit="1" customWidth="1"/>
    <col min="4" max="17" width="13.28515625" bestFit="1" customWidth="1"/>
    <col min="18" max="18" width="12.85546875" customWidth="1"/>
    <col min="19" max="21" width="20.85546875" bestFit="1" customWidth="1"/>
  </cols>
  <sheetData>
    <row r="3" spans="1:21" x14ac:dyDescent="0.25">
      <c r="A3" s="48" t="s">
        <v>2662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21" x14ac:dyDescent="0.25">
      <c r="A4" s="42" t="s">
        <v>406</v>
      </c>
      <c r="B4" s="42">
        <v>2010</v>
      </c>
      <c r="C4" s="42">
        <v>2011</v>
      </c>
      <c r="D4" s="42">
        <v>2012</v>
      </c>
      <c r="E4" s="42">
        <v>2013</v>
      </c>
      <c r="F4" s="42">
        <v>2014</v>
      </c>
      <c r="G4" s="42">
        <v>2015</v>
      </c>
      <c r="H4" s="42">
        <v>2016</v>
      </c>
      <c r="I4" s="42">
        <v>2017</v>
      </c>
      <c r="J4" s="42">
        <v>2018</v>
      </c>
      <c r="K4" s="42">
        <v>2019</v>
      </c>
      <c r="L4" s="42">
        <v>2020</v>
      </c>
      <c r="M4" s="42">
        <v>2021</v>
      </c>
      <c r="N4" s="42">
        <v>2022</v>
      </c>
      <c r="O4" s="42" t="s">
        <v>2663</v>
      </c>
      <c r="P4" s="42" t="s">
        <v>397</v>
      </c>
      <c r="Q4" s="42" t="s">
        <v>2664</v>
      </c>
      <c r="S4" s="254" t="s">
        <v>2665</v>
      </c>
      <c r="T4" s="254" t="s">
        <v>2666</v>
      </c>
      <c r="U4" s="254" t="s">
        <v>2667</v>
      </c>
    </row>
    <row r="5" spans="1:21" x14ac:dyDescent="0.25">
      <c r="A5" s="43" t="s">
        <v>75</v>
      </c>
      <c r="B5" s="31">
        <v>2869</v>
      </c>
      <c r="C5" s="31">
        <v>3226</v>
      </c>
      <c r="D5" s="31">
        <v>4434</v>
      </c>
      <c r="E5" s="31">
        <v>4252</v>
      </c>
      <c r="F5" s="31">
        <v>4049</v>
      </c>
      <c r="G5" s="31">
        <v>3859</v>
      </c>
      <c r="H5" s="31">
        <v>3590</v>
      </c>
      <c r="I5" s="31">
        <v>3566</v>
      </c>
      <c r="J5" s="31">
        <v>3634</v>
      </c>
      <c r="K5" s="289">
        <v>1855</v>
      </c>
      <c r="L5" s="289">
        <v>1699</v>
      </c>
      <c r="M5" s="289">
        <v>1612</v>
      </c>
      <c r="N5" s="289">
        <v>1566</v>
      </c>
      <c r="O5" s="289">
        <v>1451</v>
      </c>
      <c r="P5" s="289">
        <v>1281</v>
      </c>
      <c r="Q5" s="289">
        <v>1235</v>
      </c>
      <c r="S5" s="31">
        <v>747</v>
      </c>
      <c r="T5" s="31">
        <v>729</v>
      </c>
      <c r="U5" s="31">
        <v>1235</v>
      </c>
    </row>
    <row r="6" spans="1:21" x14ac:dyDescent="0.25">
      <c r="A6" s="43" t="s">
        <v>422</v>
      </c>
      <c r="B6" s="31">
        <v>2058</v>
      </c>
      <c r="C6" s="31">
        <v>2190</v>
      </c>
      <c r="D6" s="31">
        <v>2421</v>
      </c>
      <c r="E6" s="31">
        <v>2442</v>
      </c>
      <c r="F6" s="31">
        <v>2385</v>
      </c>
      <c r="G6" s="31">
        <v>2244</v>
      </c>
      <c r="H6" s="31">
        <v>2120</v>
      </c>
      <c r="I6" s="31">
        <v>2210</v>
      </c>
      <c r="J6" s="31">
        <v>2146</v>
      </c>
      <c r="K6" s="289">
        <v>3325</v>
      </c>
      <c r="L6" s="289">
        <v>3096</v>
      </c>
      <c r="M6" s="289">
        <v>3007</v>
      </c>
      <c r="N6" s="289">
        <v>3169</v>
      </c>
      <c r="O6" s="289">
        <v>3346</v>
      </c>
      <c r="P6" s="289">
        <v>3467</v>
      </c>
      <c r="Q6" s="289">
        <v>2448</v>
      </c>
      <c r="S6" s="31">
        <v>1174</v>
      </c>
      <c r="T6" s="31">
        <v>1198</v>
      </c>
      <c r="U6" s="31">
        <v>2448</v>
      </c>
    </row>
    <row r="7" spans="1:21" x14ac:dyDescent="0.25">
      <c r="A7" s="43" t="s">
        <v>421</v>
      </c>
      <c r="B7" s="31">
        <v>1353</v>
      </c>
      <c r="C7" s="31">
        <v>1498</v>
      </c>
      <c r="D7" s="31">
        <v>1714</v>
      </c>
      <c r="E7" s="31">
        <v>1786</v>
      </c>
      <c r="F7" s="31">
        <v>1766</v>
      </c>
      <c r="G7" s="31">
        <v>1672</v>
      </c>
      <c r="H7" s="31">
        <v>1706</v>
      </c>
      <c r="I7" s="31">
        <v>1708</v>
      </c>
      <c r="J7" s="31">
        <v>1691</v>
      </c>
      <c r="K7" s="289">
        <v>1795</v>
      </c>
      <c r="L7" s="289">
        <v>1770</v>
      </c>
      <c r="M7" s="289">
        <v>1734</v>
      </c>
      <c r="N7" s="289">
        <v>1837</v>
      </c>
      <c r="O7" s="289">
        <v>1949</v>
      </c>
      <c r="P7" s="289">
        <v>2028</v>
      </c>
      <c r="Q7" s="289">
        <v>2124</v>
      </c>
      <c r="S7" s="31">
        <v>1015</v>
      </c>
      <c r="T7" s="31">
        <v>1000</v>
      </c>
      <c r="U7" s="31">
        <v>2124</v>
      </c>
    </row>
    <row r="8" spans="1:21" x14ac:dyDescent="0.25">
      <c r="A8" s="43" t="s">
        <v>420</v>
      </c>
      <c r="B8" s="31">
        <v>9524</v>
      </c>
      <c r="C8" s="31">
        <v>10086</v>
      </c>
      <c r="D8" s="31">
        <v>10882</v>
      </c>
      <c r="E8" s="31">
        <v>10641</v>
      </c>
      <c r="F8" s="31">
        <v>10318</v>
      </c>
      <c r="G8" s="31">
        <v>9750</v>
      </c>
      <c r="H8" s="31">
        <v>10306</v>
      </c>
      <c r="I8" s="31">
        <v>9842</v>
      </c>
      <c r="J8" s="31">
        <v>9700</v>
      </c>
      <c r="K8" s="289">
        <v>7866</v>
      </c>
      <c r="L8" s="289">
        <v>7480</v>
      </c>
      <c r="M8" s="289">
        <v>7340</v>
      </c>
      <c r="N8" s="289">
        <v>7547</v>
      </c>
      <c r="O8" s="289">
        <v>7267</v>
      </c>
      <c r="P8" s="289">
        <v>6872</v>
      </c>
      <c r="Q8" s="289">
        <v>7000</v>
      </c>
      <c r="S8" s="31">
        <v>3100</v>
      </c>
      <c r="T8" s="31">
        <v>3000</v>
      </c>
      <c r="U8" s="31">
        <v>7000</v>
      </c>
    </row>
    <row r="9" spans="1:21" x14ac:dyDescent="0.25">
      <c r="A9" s="43" t="s">
        <v>424</v>
      </c>
      <c r="B9" s="31">
        <v>2616</v>
      </c>
      <c r="C9" s="31">
        <v>2636</v>
      </c>
      <c r="D9" s="31">
        <v>2695</v>
      </c>
      <c r="E9" s="31">
        <v>2739</v>
      </c>
      <c r="F9" s="31">
        <v>2580</v>
      </c>
      <c r="G9" s="31">
        <v>2494</v>
      </c>
      <c r="H9" s="31">
        <v>2389</v>
      </c>
      <c r="I9" s="31">
        <v>2260</v>
      </c>
      <c r="J9" s="31">
        <v>2087</v>
      </c>
      <c r="K9" s="289">
        <v>1902</v>
      </c>
      <c r="L9" s="289">
        <v>1747</v>
      </c>
      <c r="M9" s="289">
        <v>1736</v>
      </c>
      <c r="N9" s="289">
        <v>1642</v>
      </c>
      <c r="O9" s="289">
        <v>1628</v>
      </c>
      <c r="P9" s="289">
        <v>1628</v>
      </c>
      <c r="Q9" s="289">
        <v>1760</v>
      </c>
      <c r="S9" s="31">
        <v>876</v>
      </c>
      <c r="T9" s="31">
        <v>806</v>
      </c>
      <c r="U9" s="31">
        <v>1760</v>
      </c>
    </row>
    <row r="10" spans="1:21" x14ac:dyDescent="0.25">
      <c r="A10" s="43" t="s">
        <v>85</v>
      </c>
      <c r="B10" s="31">
        <v>173</v>
      </c>
      <c r="C10" s="31">
        <v>229</v>
      </c>
      <c r="D10" s="31">
        <v>992</v>
      </c>
      <c r="E10" s="31">
        <v>1051</v>
      </c>
      <c r="F10" s="31">
        <v>973</v>
      </c>
      <c r="G10" s="31">
        <v>753</v>
      </c>
      <c r="H10" s="31">
        <v>530</v>
      </c>
      <c r="I10" s="31">
        <v>313</v>
      </c>
      <c r="J10" s="31">
        <v>80</v>
      </c>
      <c r="K10" s="289">
        <v>3</v>
      </c>
      <c r="L10" s="289">
        <v>1</v>
      </c>
      <c r="M10" s="289">
        <v>0</v>
      </c>
      <c r="N10" s="289">
        <v>0</v>
      </c>
      <c r="O10" s="289">
        <v>0</v>
      </c>
      <c r="P10" s="289">
        <v>0</v>
      </c>
      <c r="Q10" s="289">
        <v>0</v>
      </c>
      <c r="S10" s="31">
        <f>+'Majors - Details - Revised'!T175</f>
        <v>0</v>
      </c>
      <c r="T10" s="31"/>
      <c r="U10" s="31">
        <v>0</v>
      </c>
    </row>
    <row r="11" spans="1:21" x14ac:dyDescent="0.25">
      <c r="A11" s="43" t="s">
        <v>87</v>
      </c>
      <c r="B11" s="31">
        <v>3507</v>
      </c>
      <c r="C11" s="31">
        <v>3550</v>
      </c>
      <c r="D11" s="31">
        <v>3762</v>
      </c>
      <c r="E11" s="31">
        <v>3550</v>
      </c>
      <c r="F11" s="31">
        <v>3218</v>
      </c>
      <c r="G11" s="31">
        <v>3175</v>
      </c>
      <c r="H11" s="31">
        <v>3203</v>
      </c>
      <c r="I11" s="31">
        <v>3155</v>
      </c>
      <c r="J11" s="31">
        <v>3115</v>
      </c>
      <c r="K11" s="289">
        <v>2496</v>
      </c>
      <c r="L11" s="289">
        <v>2334</v>
      </c>
      <c r="M11" s="289">
        <v>2483</v>
      </c>
      <c r="N11" s="289">
        <v>2480</v>
      </c>
      <c r="O11" s="289">
        <v>2633</v>
      </c>
      <c r="P11" s="289">
        <v>2867</v>
      </c>
      <c r="Q11" s="289">
        <v>2999</v>
      </c>
      <c r="S11" s="31">
        <v>1083</v>
      </c>
      <c r="T11" s="31">
        <v>1191</v>
      </c>
      <c r="U11" s="31">
        <v>2999</v>
      </c>
    </row>
    <row r="12" spans="1:21" x14ac:dyDescent="0.25">
      <c r="A12" s="43" t="s">
        <v>89</v>
      </c>
      <c r="B12" s="31">
        <v>611</v>
      </c>
      <c r="C12" s="31">
        <v>617</v>
      </c>
      <c r="D12" s="31">
        <v>646</v>
      </c>
      <c r="E12" s="31">
        <v>653</v>
      </c>
      <c r="F12" s="31">
        <v>610</v>
      </c>
      <c r="G12" s="31">
        <v>612</v>
      </c>
      <c r="H12" s="31">
        <v>614</v>
      </c>
      <c r="I12" s="31">
        <v>566</v>
      </c>
      <c r="J12" s="31">
        <v>575</v>
      </c>
      <c r="K12" s="289">
        <v>619</v>
      </c>
      <c r="L12" s="289">
        <v>671</v>
      </c>
      <c r="M12" s="289">
        <v>725</v>
      </c>
      <c r="N12" s="289">
        <v>767</v>
      </c>
      <c r="O12" s="289">
        <v>738</v>
      </c>
      <c r="P12" s="289">
        <v>704</v>
      </c>
      <c r="Q12" s="289">
        <v>710</v>
      </c>
      <c r="S12" s="31">
        <v>411</v>
      </c>
      <c r="T12" s="31">
        <v>400</v>
      </c>
      <c r="U12" s="31">
        <v>710</v>
      </c>
    </row>
    <row r="13" spans="1:21" x14ac:dyDescent="0.25">
      <c r="A13" s="43" t="s">
        <v>2668</v>
      </c>
      <c r="B13" s="31">
        <v>80</v>
      </c>
      <c r="C13" s="31">
        <v>94</v>
      </c>
      <c r="D13" s="31">
        <v>145</v>
      </c>
      <c r="E13" s="31">
        <v>137</v>
      </c>
      <c r="F13" s="31">
        <v>183</v>
      </c>
      <c r="G13" s="31">
        <v>218</v>
      </c>
      <c r="H13" s="31">
        <v>188</v>
      </c>
      <c r="I13" s="31">
        <v>91</v>
      </c>
      <c r="J13" s="31">
        <v>69</v>
      </c>
      <c r="K13" s="289">
        <v>34</v>
      </c>
      <c r="L13" s="289">
        <v>16</v>
      </c>
      <c r="M13" s="289">
        <v>14</v>
      </c>
      <c r="N13" s="289">
        <v>21</v>
      </c>
      <c r="O13" s="289">
        <v>18</v>
      </c>
      <c r="P13" s="289">
        <v>0</v>
      </c>
      <c r="Q13" s="289"/>
      <c r="S13" s="31"/>
      <c r="T13" s="31"/>
      <c r="U13" s="31"/>
    </row>
    <row r="14" spans="1:21" x14ac:dyDescent="0.25">
      <c r="A14" s="43" t="s">
        <v>2669</v>
      </c>
      <c r="B14" s="31">
        <v>45</v>
      </c>
      <c r="C14" s="31">
        <v>58</v>
      </c>
      <c r="D14" s="31">
        <v>66</v>
      </c>
      <c r="E14" s="31">
        <v>56</v>
      </c>
      <c r="F14" s="31">
        <v>48</v>
      </c>
      <c r="G14" s="31">
        <v>41</v>
      </c>
      <c r="H14" s="31">
        <v>44</v>
      </c>
      <c r="I14" s="31">
        <v>38</v>
      </c>
      <c r="J14" s="31">
        <v>34</v>
      </c>
      <c r="K14" s="289">
        <v>34</v>
      </c>
      <c r="L14" s="289">
        <v>33</v>
      </c>
      <c r="M14" s="289">
        <v>36</v>
      </c>
      <c r="N14" s="289">
        <v>20</v>
      </c>
      <c r="O14" s="289">
        <v>13</v>
      </c>
      <c r="P14" s="289">
        <v>13</v>
      </c>
      <c r="Q14" s="289"/>
      <c r="S14" s="31"/>
      <c r="T14" s="31"/>
      <c r="U14" s="31"/>
    </row>
    <row r="15" spans="1:21" x14ac:dyDescent="0.25">
      <c r="A15" s="43" t="s">
        <v>426</v>
      </c>
      <c r="B15" s="31">
        <v>753</v>
      </c>
      <c r="C15" s="31">
        <v>769</v>
      </c>
      <c r="D15" s="31">
        <v>771</v>
      </c>
      <c r="E15" s="31">
        <v>623</v>
      </c>
      <c r="F15" s="31">
        <v>486</v>
      </c>
      <c r="G15" s="31">
        <v>439</v>
      </c>
      <c r="H15" s="31">
        <v>380</v>
      </c>
      <c r="I15" s="31">
        <v>296</v>
      </c>
      <c r="J15" s="31">
        <v>216</v>
      </c>
      <c r="K15" s="289">
        <v>68</v>
      </c>
      <c r="L15" s="289">
        <v>48</v>
      </c>
      <c r="M15" s="289">
        <v>16</v>
      </c>
      <c r="N15" s="289">
        <v>19</v>
      </c>
      <c r="O15" s="289">
        <v>239</v>
      </c>
      <c r="P15" s="289">
        <v>862</v>
      </c>
      <c r="Q15" s="289"/>
    </row>
    <row r="16" spans="1:21" x14ac:dyDescent="0.25">
      <c r="A16" s="43" t="s">
        <v>2604</v>
      </c>
      <c r="B16" s="31">
        <v>3607</v>
      </c>
      <c r="C16" s="31">
        <v>3312</v>
      </c>
      <c r="D16" s="31">
        <v>3361</v>
      </c>
      <c r="E16" s="31">
        <v>3074</v>
      </c>
      <c r="F16" s="31">
        <v>2991</v>
      </c>
      <c r="G16" s="31">
        <v>2821</v>
      </c>
      <c r="H16" s="31">
        <v>2722</v>
      </c>
      <c r="I16" s="31">
        <v>2460</v>
      </c>
      <c r="J16" s="31">
        <v>2372</v>
      </c>
      <c r="K16" s="289">
        <v>2166</v>
      </c>
      <c r="L16" s="289">
        <v>2141</v>
      </c>
      <c r="M16" s="289">
        <v>1516</v>
      </c>
      <c r="N16" s="289">
        <v>2128</v>
      </c>
      <c r="O16" s="289">
        <v>2517</v>
      </c>
      <c r="P16" s="289">
        <v>2351</v>
      </c>
      <c r="Q16" s="289"/>
    </row>
    <row r="17" spans="1:21" x14ac:dyDescent="0.25">
      <c r="A17" s="43" t="s">
        <v>429</v>
      </c>
      <c r="B17" s="32">
        <f t="shared" ref="B17:P17" si="0">SUM(B5:B16)</f>
        <v>27196</v>
      </c>
      <c r="C17" s="32">
        <f t="shared" si="0"/>
        <v>28265</v>
      </c>
      <c r="D17" s="32">
        <f t="shared" si="0"/>
        <v>31889</v>
      </c>
      <c r="E17" s="32">
        <f t="shared" si="0"/>
        <v>31004</v>
      </c>
      <c r="F17" s="32">
        <f t="shared" si="0"/>
        <v>29607</v>
      </c>
      <c r="G17" s="32">
        <f t="shared" si="0"/>
        <v>28078</v>
      </c>
      <c r="H17" s="32">
        <f t="shared" si="0"/>
        <v>27792</v>
      </c>
      <c r="I17" s="32">
        <f t="shared" si="0"/>
        <v>26505</v>
      </c>
      <c r="J17" s="32">
        <f t="shared" si="0"/>
        <v>25719</v>
      </c>
      <c r="K17" s="32">
        <f t="shared" si="0"/>
        <v>22163</v>
      </c>
      <c r="L17" s="32">
        <f t="shared" si="0"/>
        <v>21036</v>
      </c>
      <c r="M17" s="32">
        <f t="shared" si="0"/>
        <v>20219</v>
      </c>
      <c r="N17" s="32">
        <f t="shared" si="0"/>
        <v>21196</v>
      </c>
      <c r="O17" s="32">
        <f t="shared" si="0"/>
        <v>21799</v>
      </c>
      <c r="P17" s="32">
        <f t="shared" si="0"/>
        <v>22073</v>
      </c>
      <c r="Q17" s="32">
        <f t="shared" ref="Q17" si="1">SUM(Q5:Q16)</f>
        <v>18276</v>
      </c>
      <c r="S17" s="32">
        <f>SUM(S5:S16)</f>
        <v>8406</v>
      </c>
      <c r="T17" s="32">
        <f>SUM(T5:T16)</f>
        <v>8324</v>
      </c>
      <c r="U17" s="32">
        <f t="shared" ref="U17" si="2">SUM(U5:U16)</f>
        <v>18276</v>
      </c>
    </row>
    <row r="19" spans="1:21" x14ac:dyDescent="0.25">
      <c r="A19" s="43" t="s">
        <v>91</v>
      </c>
      <c r="B19" s="31">
        <v>2930</v>
      </c>
      <c r="C19" s="31">
        <v>3579</v>
      </c>
      <c r="D19" s="31">
        <v>4367</v>
      </c>
      <c r="E19" s="31">
        <v>4632</v>
      </c>
      <c r="F19" s="31">
        <v>4146</v>
      </c>
      <c r="G19" s="31">
        <v>3769</v>
      </c>
      <c r="H19" s="31">
        <v>3323</v>
      </c>
      <c r="I19" s="31">
        <v>3026</v>
      </c>
      <c r="J19" s="31">
        <v>2956</v>
      </c>
      <c r="K19" s="31">
        <v>2693</v>
      </c>
      <c r="L19" s="31">
        <v>2512</v>
      </c>
      <c r="M19" s="31">
        <v>2171</v>
      </c>
      <c r="N19" s="31">
        <v>2033</v>
      </c>
      <c r="O19" s="31">
        <v>2001</v>
      </c>
      <c r="P19" s="31">
        <v>1965</v>
      </c>
      <c r="Q19" s="31">
        <v>3700</v>
      </c>
      <c r="S19" s="31">
        <v>968</v>
      </c>
      <c r="T19" s="31">
        <v>3242</v>
      </c>
      <c r="U19" s="31">
        <v>3700</v>
      </c>
    </row>
    <row r="21" spans="1:21" ht="15.75" thickBot="1" x14ac:dyDescent="0.3">
      <c r="B21" s="24">
        <f t="shared" ref="B21:P21" si="3">+B19+B17</f>
        <v>30126</v>
      </c>
      <c r="C21" s="24">
        <f t="shared" si="3"/>
        <v>31844</v>
      </c>
      <c r="D21" s="24">
        <f t="shared" si="3"/>
        <v>36256</v>
      </c>
      <c r="E21" s="24">
        <f t="shared" si="3"/>
        <v>35636</v>
      </c>
      <c r="F21" s="24">
        <f t="shared" si="3"/>
        <v>33753</v>
      </c>
      <c r="G21" s="24">
        <f t="shared" si="3"/>
        <v>31847</v>
      </c>
      <c r="H21" s="24">
        <f t="shared" si="3"/>
        <v>31115</v>
      </c>
      <c r="I21" s="24">
        <f t="shared" si="3"/>
        <v>29531</v>
      </c>
      <c r="J21" s="24">
        <f t="shared" si="3"/>
        <v>28675</v>
      </c>
      <c r="K21" s="24">
        <f t="shared" si="3"/>
        <v>24856</v>
      </c>
      <c r="L21" s="24">
        <f t="shared" si="3"/>
        <v>23548</v>
      </c>
      <c r="M21" s="24">
        <f t="shared" si="3"/>
        <v>22390</v>
      </c>
      <c r="N21" s="24">
        <f t="shared" si="3"/>
        <v>23229</v>
      </c>
      <c r="O21" s="24">
        <f t="shared" si="3"/>
        <v>23800</v>
      </c>
      <c r="P21" s="24">
        <f t="shared" si="3"/>
        <v>24038</v>
      </c>
      <c r="Q21" s="24">
        <f t="shared" ref="Q21" si="4">+Q19+Q17</f>
        <v>21976</v>
      </c>
      <c r="S21" s="24">
        <f t="shared" ref="S21:U21" si="5">+S19+S17</f>
        <v>9374</v>
      </c>
      <c r="T21" s="24">
        <f t="shared" si="5"/>
        <v>11566</v>
      </c>
      <c r="U21" s="24">
        <f t="shared" si="5"/>
        <v>21976</v>
      </c>
    </row>
    <row r="22" spans="1:21" ht="15.75" thickTop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76"/>
      <c r="Q22" s="376"/>
    </row>
    <row r="23" spans="1:2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21" x14ac:dyDescent="0.25">
      <c r="A24" s="42" t="s">
        <v>406</v>
      </c>
      <c r="B24" s="42">
        <v>2010</v>
      </c>
      <c r="C24" s="42">
        <v>2011</v>
      </c>
      <c r="D24" s="42">
        <v>2012</v>
      </c>
      <c r="E24" s="42">
        <v>2013</v>
      </c>
      <c r="F24" s="42">
        <v>2014</v>
      </c>
      <c r="G24" s="42">
        <v>2015</v>
      </c>
      <c r="H24" s="42">
        <v>2016</v>
      </c>
      <c r="I24" s="42">
        <v>2017</v>
      </c>
      <c r="J24" s="42">
        <v>2018</v>
      </c>
      <c r="K24" s="42">
        <v>2019</v>
      </c>
      <c r="L24" s="42">
        <v>2020</v>
      </c>
      <c r="M24" s="42">
        <v>2021</v>
      </c>
      <c r="N24" s="42">
        <v>2022</v>
      </c>
      <c r="O24" s="42" t="s">
        <v>2663</v>
      </c>
      <c r="P24" s="42" t="s">
        <v>397</v>
      </c>
      <c r="Q24" s="42" t="s">
        <v>2664</v>
      </c>
      <c r="R24" s="297"/>
    </row>
    <row r="25" spans="1:21" x14ac:dyDescent="0.25">
      <c r="A25" s="43" t="s">
        <v>75</v>
      </c>
      <c r="B25" s="51">
        <f t="shared" ref="B25:O25" si="6">B5/B$17</f>
        <v>0.10549345491984115</v>
      </c>
      <c r="C25" s="51">
        <f t="shared" si="6"/>
        <v>0.11413408809481691</v>
      </c>
      <c r="D25" s="51">
        <f t="shared" si="6"/>
        <v>0.13904481169055161</v>
      </c>
      <c r="E25" s="51">
        <f t="shared" si="6"/>
        <v>0.13714359437491935</v>
      </c>
      <c r="F25" s="51">
        <f t="shared" si="6"/>
        <v>0.13675819907454317</v>
      </c>
      <c r="G25" s="51">
        <f t="shared" si="6"/>
        <v>0.13743856400028492</v>
      </c>
      <c r="H25" s="51">
        <f t="shared" si="6"/>
        <v>0.12917386298215314</v>
      </c>
      <c r="I25" s="51">
        <f t="shared" si="6"/>
        <v>0.13454065270703641</v>
      </c>
      <c r="J25" s="51">
        <f t="shared" si="6"/>
        <v>0.1412963178972744</v>
      </c>
      <c r="K25" s="51">
        <f t="shared" si="6"/>
        <v>8.369805531742093E-2</v>
      </c>
      <c r="L25" s="51">
        <f t="shared" si="6"/>
        <v>8.0766305381251194E-2</v>
      </c>
      <c r="M25" s="51">
        <f t="shared" si="6"/>
        <v>7.9726989465354364E-2</v>
      </c>
      <c r="N25" s="51">
        <f t="shared" si="6"/>
        <v>7.3881864502736372E-2</v>
      </c>
      <c r="O25" s="51">
        <f t="shared" si="6"/>
        <v>6.6562686361759715E-2</v>
      </c>
      <c r="P25" s="51">
        <f t="shared" ref="P25:Q25" si="7">P5/P$17</f>
        <v>5.8034703030852175E-2</v>
      </c>
      <c r="Q25" s="51">
        <f t="shared" si="7"/>
        <v>6.7574961698402269E-2</v>
      </c>
      <c r="R25" s="51"/>
    </row>
    <row r="26" spans="1:21" x14ac:dyDescent="0.25">
      <c r="A26" s="43" t="s">
        <v>422</v>
      </c>
      <c r="B26" s="51">
        <f t="shared" ref="B26:O26" si="8">B6/B$17</f>
        <v>7.5672893072510669E-2</v>
      </c>
      <c r="C26" s="51">
        <f t="shared" si="8"/>
        <v>7.7480983548558285E-2</v>
      </c>
      <c r="D26" s="51">
        <f t="shared" si="8"/>
        <v>7.5919596098968298E-2</v>
      </c>
      <c r="E26" s="51">
        <f t="shared" si="8"/>
        <v>7.8764030447684166E-2</v>
      </c>
      <c r="F26" s="51">
        <f t="shared" si="8"/>
        <v>8.0555274090586687E-2</v>
      </c>
      <c r="G26" s="51">
        <f t="shared" si="8"/>
        <v>7.9920222238051147E-2</v>
      </c>
      <c r="H26" s="51">
        <f t="shared" si="8"/>
        <v>7.6280944156591826E-2</v>
      </c>
      <c r="I26" s="51">
        <f t="shared" si="8"/>
        <v>8.3380494246368606E-2</v>
      </c>
      <c r="J26" s="51">
        <f t="shared" si="8"/>
        <v>8.3440258174890161E-2</v>
      </c>
      <c r="K26" s="51">
        <f t="shared" si="8"/>
        <v>0.15002481613499977</v>
      </c>
      <c r="L26" s="51">
        <f t="shared" si="8"/>
        <v>0.14717626925270963</v>
      </c>
      <c r="M26" s="51">
        <f t="shared" si="8"/>
        <v>0.14872149957960334</v>
      </c>
      <c r="N26" s="51">
        <f t="shared" si="8"/>
        <v>0.149509341385167</v>
      </c>
      <c r="O26" s="51">
        <f t="shared" si="8"/>
        <v>0.15349327950823433</v>
      </c>
      <c r="P26" s="51">
        <f t="shared" ref="P26:Q26" si="9">P6/P$17</f>
        <v>0.15706972319122911</v>
      </c>
      <c r="Q26" s="51">
        <f t="shared" si="9"/>
        <v>0.133946158896914</v>
      </c>
      <c r="R26" s="51"/>
    </row>
    <row r="27" spans="1:21" x14ac:dyDescent="0.25">
      <c r="A27" s="43" t="s">
        <v>421</v>
      </c>
      <c r="B27" s="51">
        <f t="shared" ref="B27:O27" si="10">B7/B$17</f>
        <v>4.974996322988675E-2</v>
      </c>
      <c r="C27" s="51">
        <f t="shared" si="10"/>
        <v>5.2998407924995578E-2</v>
      </c>
      <c r="D27" s="51">
        <f t="shared" si="10"/>
        <v>5.3748941641318326E-2</v>
      </c>
      <c r="E27" s="51">
        <f t="shared" si="10"/>
        <v>5.7605470261901687E-2</v>
      </c>
      <c r="F27" s="51">
        <f t="shared" si="10"/>
        <v>5.9648056202924987E-2</v>
      </c>
      <c r="G27" s="51">
        <f t="shared" si="10"/>
        <v>5.9548400883253791E-2</v>
      </c>
      <c r="H27" s="51">
        <f t="shared" si="10"/>
        <v>6.1384571099597003E-2</v>
      </c>
      <c r="I27" s="51">
        <f t="shared" si="10"/>
        <v>6.4440671571401625E-2</v>
      </c>
      <c r="J27" s="51">
        <f t="shared" si="10"/>
        <v>6.5749057117306275E-2</v>
      </c>
      <c r="K27" s="51">
        <f t="shared" si="10"/>
        <v>8.0990840590172808E-2</v>
      </c>
      <c r="L27" s="51">
        <f t="shared" si="10"/>
        <v>8.414147176269253E-2</v>
      </c>
      <c r="M27" s="51">
        <f t="shared" si="10"/>
        <v>8.5760917948464313E-2</v>
      </c>
      <c r="N27" s="51">
        <f t="shared" si="10"/>
        <v>8.6667295716172862E-2</v>
      </c>
      <c r="O27" s="51">
        <f t="shared" si="10"/>
        <v>8.9407770998669658E-2</v>
      </c>
      <c r="P27" s="51">
        <f t="shared" ref="P27:Q27" si="11">P7/P$17</f>
        <v>9.18769537443936E-2</v>
      </c>
      <c r="Q27" s="51">
        <f t="shared" si="11"/>
        <v>0.11621799080761655</v>
      </c>
      <c r="R27" s="51"/>
    </row>
    <row r="28" spans="1:21" x14ac:dyDescent="0.25">
      <c r="A28" s="43" t="s">
        <v>420</v>
      </c>
      <c r="B28" s="51">
        <f t="shared" ref="B28:O28" si="12">B8/B$17</f>
        <v>0.35019855861156052</v>
      </c>
      <c r="C28" s="51">
        <f t="shared" si="12"/>
        <v>0.35683707765788075</v>
      </c>
      <c r="D28" s="51">
        <f t="shared" si="12"/>
        <v>0.34124619774843989</v>
      </c>
      <c r="E28" s="51">
        <f t="shared" si="12"/>
        <v>0.34321377886724291</v>
      </c>
      <c r="F28" s="51">
        <f t="shared" si="12"/>
        <v>0.34849866585604755</v>
      </c>
      <c r="G28" s="51">
        <f t="shared" si="12"/>
        <v>0.34724695491131846</v>
      </c>
      <c r="H28" s="51">
        <f t="shared" si="12"/>
        <v>0.37082613701784684</v>
      </c>
      <c r="I28" s="51">
        <f t="shared" si="12"/>
        <v>0.37132616487455194</v>
      </c>
      <c r="J28" s="51">
        <f t="shared" si="12"/>
        <v>0.3771530774913488</v>
      </c>
      <c r="K28" s="51">
        <f t="shared" si="12"/>
        <v>0.35491585074222803</v>
      </c>
      <c r="L28" s="51">
        <f t="shared" si="12"/>
        <v>0.35558090891804528</v>
      </c>
      <c r="M28" s="51">
        <f t="shared" si="12"/>
        <v>0.36302487759038526</v>
      </c>
      <c r="N28" s="51">
        <f t="shared" si="12"/>
        <v>0.35605774674466878</v>
      </c>
      <c r="O28" s="51">
        <f t="shared" si="12"/>
        <v>0.33336391577595303</v>
      </c>
      <c r="P28" s="51">
        <f t="shared" ref="P28:Q28" si="13">P8/P$17</f>
        <v>0.31133058487745208</v>
      </c>
      <c r="Q28" s="51">
        <f t="shared" si="13"/>
        <v>0.38301597723790765</v>
      </c>
      <c r="R28" s="51"/>
    </row>
    <row r="29" spans="1:21" x14ac:dyDescent="0.25">
      <c r="A29" s="43" t="s">
        <v>424</v>
      </c>
      <c r="B29" s="51">
        <f t="shared" ref="B29:O29" si="14">B9/B$17</f>
        <v>9.61906162670981E-2</v>
      </c>
      <c r="C29" s="51">
        <f t="shared" si="14"/>
        <v>9.3260215814611705E-2</v>
      </c>
      <c r="D29" s="51">
        <f t="shared" si="14"/>
        <v>8.4511900655398417E-2</v>
      </c>
      <c r="E29" s="51">
        <f t="shared" si="14"/>
        <v>8.8343439556186301E-2</v>
      </c>
      <c r="F29" s="51">
        <f t="shared" si="14"/>
        <v>8.7141554362144089E-2</v>
      </c>
      <c r="G29" s="51">
        <f t="shared" si="14"/>
        <v>8.8823990312700329E-2</v>
      </c>
      <c r="H29" s="51">
        <f t="shared" si="14"/>
        <v>8.5959988485895228E-2</v>
      </c>
      <c r="I29" s="51">
        <f t="shared" si="14"/>
        <v>8.5266930767779664E-2</v>
      </c>
      <c r="J29" s="51">
        <f t="shared" si="14"/>
        <v>8.1146234301489165E-2</v>
      </c>
      <c r="K29" s="51">
        <f t="shared" si="14"/>
        <v>8.5818706853765289E-2</v>
      </c>
      <c r="L29" s="51">
        <f t="shared" si="14"/>
        <v>8.3048108005324209E-2</v>
      </c>
      <c r="M29" s="51">
        <f t="shared" si="14"/>
        <v>8.5859834808843169E-2</v>
      </c>
      <c r="N29" s="51">
        <f t="shared" si="14"/>
        <v>7.7467446688054345E-2</v>
      </c>
      <c r="O29" s="51">
        <f t="shared" si="14"/>
        <v>7.4682324877287945E-2</v>
      </c>
      <c r="P29" s="51">
        <f t="shared" ref="P29:Q29" si="15">P9/P$17</f>
        <v>7.3755266615321891E-2</v>
      </c>
      <c r="Q29" s="51">
        <f t="shared" si="15"/>
        <v>9.6301159991245347E-2</v>
      </c>
      <c r="R29" s="51"/>
    </row>
    <row r="30" spans="1:21" x14ac:dyDescent="0.25">
      <c r="A30" s="43" t="s">
        <v>85</v>
      </c>
      <c r="B30" s="51">
        <f t="shared" ref="B30:O30" si="16">B10/B$17</f>
        <v>6.3612295925871455E-3</v>
      </c>
      <c r="C30" s="51">
        <f t="shared" si="16"/>
        <v>8.1018928002830354E-3</v>
      </c>
      <c r="D30" s="51">
        <f t="shared" si="16"/>
        <v>3.1107905547367431E-2</v>
      </c>
      <c r="E30" s="51">
        <f t="shared" si="16"/>
        <v>3.3898851761063088E-2</v>
      </c>
      <c r="F30" s="51">
        <f t="shared" si="16"/>
        <v>3.2863849765258218E-2</v>
      </c>
      <c r="G30" s="51">
        <f t="shared" si="16"/>
        <v>2.6818149440843365E-2</v>
      </c>
      <c r="H30" s="51">
        <f t="shared" si="16"/>
        <v>1.9070236039147957E-2</v>
      </c>
      <c r="I30" s="51">
        <f t="shared" si="16"/>
        <v>1.1809092624033202E-2</v>
      </c>
      <c r="J30" s="51">
        <f t="shared" si="16"/>
        <v>3.1105408452894749E-3</v>
      </c>
      <c r="K30" s="51">
        <f t="shared" si="16"/>
        <v>1.3536073636240582E-4</v>
      </c>
      <c r="L30" s="51">
        <f t="shared" si="16"/>
        <v>4.7537554668187867E-5</v>
      </c>
      <c r="M30" s="51">
        <f t="shared" si="16"/>
        <v>0</v>
      </c>
      <c r="N30" s="51">
        <f t="shared" si="16"/>
        <v>0</v>
      </c>
      <c r="O30" s="51">
        <f t="shared" si="16"/>
        <v>0</v>
      </c>
      <c r="P30" s="51">
        <f t="shared" ref="P30:Q30" si="17">P10/P$17</f>
        <v>0</v>
      </c>
      <c r="Q30" s="51">
        <f t="shared" si="17"/>
        <v>0</v>
      </c>
      <c r="R30" s="51"/>
    </row>
    <row r="31" spans="1:21" x14ac:dyDescent="0.25">
      <c r="A31" s="43" t="s">
        <v>87</v>
      </c>
      <c r="B31" s="51">
        <f t="shared" ref="B31:O31" si="18">B11/B$17</f>
        <v>0.1289527871745845</v>
      </c>
      <c r="C31" s="51">
        <f t="shared" si="18"/>
        <v>0.12559702812665841</v>
      </c>
      <c r="D31" s="51">
        <f t="shared" si="18"/>
        <v>0.11797171438427044</v>
      </c>
      <c r="E31" s="51">
        <f t="shared" si="18"/>
        <v>0.11450135466391434</v>
      </c>
      <c r="F31" s="51">
        <f t="shared" si="18"/>
        <v>0.10869051237882933</v>
      </c>
      <c r="G31" s="51">
        <f t="shared" si="18"/>
        <v>0.11307785454804473</v>
      </c>
      <c r="H31" s="51">
        <f t="shared" si="18"/>
        <v>0.1152489925158319</v>
      </c>
      <c r="I31" s="51">
        <f t="shared" si="18"/>
        <v>0.11903414450103754</v>
      </c>
      <c r="J31" s="51">
        <f t="shared" si="18"/>
        <v>0.12111668416345892</v>
      </c>
      <c r="K31" s="51">
        <f t="shared" si="18"/>
        <v>0.11262013265352164</v>
      </c>
      <c r="L31" s="51">
        <f t="shared" si="18"/>
        <v>0.11095265259555048</v>
      </c>
      <c r="M31" s="51">
        <f t="shared" si="18"/>
        <v>0.12280528216034423</v>
      </c>
      <c r="N31" s="51">
        <f t="shared" si="18"/>
        <v>0.11700320815248159</v>
      </c>
      <c r="O31" s="51">
        <f t="shared" si="18"/>
        <v>0.12078535712647369</v>
      </c>
      <c r="P31" s="51">
        <f t="shared" ref="P31:Q31" si="19">P11/P$17</f>
        <v>0.12988719249762154</v>
      </c>
      <c r="Q31" s="51">
        <f t="shared" si="19"/>
        <v>0.164094987962355</v>
      </c>
      <c r="R31" s="51"/>
    </row>
    <row r="32" spans="1:21" x14ac:dyDescent="0.25">
      <c r="A32" s="43" t="s">
        <v>89</v>
      </c>
      <c r="B32" s="51">
        <f t="shared" ref="B32:O32" si="20">B12/B$17</f>
        <v>2.2466539196940728E-2</v>
      </c>
      <c r="C32" s="51">
        <f t="shared" si="20"/>
        <v>2.1829117282858659E-2</v>
      </c>
      <c r="D32" s="51">
        <f t="shared" si="20"/>
        <v>2.0257769136692902E-2</v>
      </c>
      <c r="E32" s="51">
        <f t="shared" si="20"/>
        <v>2.106179847761579E-2</v>
      </c>
      <c r="F32" s="51">
        <f t="shared" si="20"/>
        <v>2.0603235721282129E-2</v>
      </c>
      <c r="G32" s="51">
        <f t="shared" si="20"/>
        <v>2.1796424246741219E-2</v>
      </c>
      <c r="H32" s="51">
        <f t="shared" si="20"/>
        <v>2.2092688543465744E-2</v>
      </c>
      <c r="I32" s="51">
        <f t="shared" si="20"/>
        <v>2.1354461422373138E-2</v>
      </c>
      <c r="J32" s="51">
        <f t="shared" si="20"/>
        <v>2.2357012325518101E-2</v>
      </c>
      <c r="K32" s="51">
        <f t="shared" si="20"/>
        <v>2.7929431936109732E-2</v>
      </c>
      <c r="L32" s="51">
        <f t="shared" si="20"/>
        <v>3.1897699182354057E-2</v>
      </c>
      <c r="M32" s="51">
        <f t="shared" si="20"/>
        <v>3.5857361887333697E-2</v>
      </c>
      <c r="N32" s="51">
        <f t="shared" si="20"/>
        <v>3.6186072843932819E-2</v>
      </c>
      <c r="O32" s="51">
        <f t="shared" si="20"/>
        <v>3.3854763979999085E-2</v>
      </c>
      <c r="P32" s="51">
        <f t="shared" ref="P32:Q32" si="21">P12/P$17</f>
        <v>3.1894169347166219E-2</v>
      </c>
      <c r="Q32" s="51">
        <f t="shared" si="21"/>
        <v>3.8848763405559206E-2</v>
      </c>
      <c r="R32" s="51"/>
    </row>
    <row r="33" spans="1:18" x14ac:dyDescent="0.25">
      <c r="A33" s="43" t="s">
        <v>50</v>
      </c>
      <c r="B33" s="51">
        <f>SUM(B13:B16)/B$17</f>
        <v>0.16491395793499045</v>
      </c>
      <c r="C33" s="51">
        <f t="shared" ref="C33:O33" si="22">SUM(C13:C16)/C$17</f>
        <v>0.14976118874933664</v>
      </c>
      <c r="D33" s="51">
        <f t="shared" si="22"/>
        <v>0.1361911630969927</v>
      </c>
      <c r="E33" s="51">
        <f t="shared" si="22"/>
        <v>0.12546768158947233</v>
      </c>
      <c r="F33" s="51">
        <f t="shared" si="22"/>
        <v>0.12524065254838382</v>
      </c>
      <c r="G33" s="51">
        <f t="shared" si="22"/>
        <v>0.12532943941876201</v>
      </c>
      <c r="H33" s="51">
        <f t="shared" si="22"/>
        <v>0.11996257915947035</v>
      </c>
      <c r="I33" s="51">
        <f t="shared" si="22"/>
        <v>0.10884738728541785</v>
      </c>
      <c r="J33" s="51">
        <f t="shared" si="22"/>
        <v>0.10463081768342471</v>
      </c>
      <c r="K33" s="51">
        <f t="shared" si="22"/>
        <v>0.1038668050354194</v>
      </c>
      <c r="L33" s="51">
        <f t="shared" si="22"/>
        <v>0.10638904734740445</v>
      </c>
      <c r="M33" s="51">
        <f t="shared" si="22"/>
        <v>7.8243236559671595E-2</v>
      </c>
      <c r="N33" s="51">
        <f t="shared" si="22"/>
        <v>0.10322702396678618</v>
      </c>
      <c r="O33" s="51">
        <f t="shared" si="22"/>
        <v>0.12784990137162255</v>
      </c>
      <c r="P33" s="51">
        <f t="shared" ref="P33:Q33" si="23">SUM(P13:P16)/P$17</f>
        <v>0.14615140669596338</v>
      </c>
      <c r="Q33" s="51">
        <f t="shared" si="23"/>
        <v>0</v>
      </c>
      <c r="R33" s="51"/>
    </row>
    <row r="34" spans="1:18" x14ac:dyDescent="0.25">
      <c r="A34" s="43" t="s">
        <v>2670</v>
      </c>
      <c r="B34" s="52">
        <f>SUM(B25:B33)</f>
        <v>1</v>
      </c>
      <c r="C34" s="52">
        <f t="shared" ref="C34:N34" si="24">SUM(C25:C33)</f>
        <v>1</v>
      </c>
      <c r="D34" s="52">
        <f t="shared" si="24"/>
        <v>1</v>
      </c>
      <c r="E34" s="52">
        <f t="shared" si="24"/>
        <v>0.99999999999999989</v>
      </c>
      <c r="F34" s="52">
        <f t="shared" si="24"/>
        <v>0.99999999999999989</v>
      </c>
      <c r="G34" s="52">
        <f t="shared" si="24"/>
        <v>1</v>
      </c>
      <c r="H34" s="52">
        <f t="shared" si="24"/>
        <v>0.99999999999999989</v>
      </c>
      <c r="I34" s="52">
        <f t="shared" si="24"/>
        <v>1</v>
      </c>
      <c r="J34" s="52">
        <f t="shared" si="24"/>
        <v>1</v>
      </c>
      <c r="K34" s="52">
        <f t="shared" si="24"/>
        <v>1</v>
      </c>
      <c r="L34" s="52">
        <f t="shared" si="24"/>
        <v>1.0000000000000002</v>
      </c>
      <c r="M34" s="52">
        <f t="shared" si="24"/>
        <v>1</v>
      </c>
      <c r="N34" s="52">
        <f t="shared" si="24"/>
        <v>1</v>
      </c>
      <c r="O34" s="52">
        <f t="shared" ref="O34:P34" si="25">SUM(O25:O33)</f>
        <v>1</v>
      </c>
      <c r="P34" s="52">
        <f t="shared" si="25"/>
        <v>1</v>
      </c>
      <c r="Q34" s="52">
        <f t="shared" ref="Q34" si="26">SUM(Q25:Q33)</f>
        <v>1</v>
      </c>
      <c r="R34" s="238"/>
    </row>
    <row r="35" spans="1:18" x14ac:dyDescent="0.25">
      <c r="A35" s="43"/>
    </row>
    <row r="36" spans="1:18" x14ac:dyDescent="0.25">
      <c r="A36" s="43" t="s">
        <v>2448</v>
      </c>
      <c r="B36" s="1"/>
      <c r="C36" s="1">
        <f>+'Net Tuition AY'!C22+'Net Tuition AY'!C24+'Net Tuition AY'!C28+'Net Tuition AY'!C30</f>
        <v>69910566</v>
      </c>
      <c r="D36" s="1">
        <f>+'Net Tuition AY'!D22+'Net Tuition AY'!D24+'Net Tuition AY'!D28+'Net Tuition AY'!D30</f>
        <v>71710839</v>
      </c>
      <c r="E36" s="1">
        <f>+'Net Tuition AY'!E22+'Net Tuition AY'!E24+'Net Tuition AY'!E28+'Net Tuition AY'!E30</f>
        <v>70595546</v>
      </c>
      <c r="F36" s="1">
        <f>+'Net Tuition AY'!F22+'Net Tuition AY'!F24+'Net Tuition AY'!F28+'Net Tuition AY'!F30</f>
        <v>67403605</v>
      </c>
      <c r="G36" s="1">
        <f>+'Net Tuition AY'!G22+'Net Tuition AY'!G24+'Net Tuition AY'!G28+'Net Tuition AY'!G30</f>
        <v>68637299.310000002</v>
      </c>
      <c r="H36" s="1">
        <f>+'Net Tuition AY'!H22+'Net Tuition AY'!H24+'Net Tuition AY'!H28+'Net Tuition AY'!H30</f>
        <v>62160722.159999996</v>
      </c>
      <c r="I36" s="1">
        <f>+'Net Tuition AY'!I22+'Net Tuition AY'!I24+'Net Tuition AY'!I28+'Net Tuition AY'!I30</f>
        <v>60930538.140000001</v>
      </c>
      <c r="J36" s="1">
        <f>+'Net Tuition AY'!J22+'Net Tuition AY'!J24+'Net Tuition AY'!J28+'Net Tuition AY'!J30</f>
        <v>59654205.479999997</v>
      </c>
      <c r="K36" s="1">
        <f>+'Net Tuition AY'!K22+'Net Tuition AY'!K24+'Net Tuition AY'!K28+'Net Tuition AY'!K30</f>
        <v>54240547.050000004</v>
      </c>
      <c r="L36" s="1">
        <f>+'Net Tuition AY'!L22+'Net Tuition AY'!L24+'Net Tuition AY'!L28+'Net Tuition AY'!L30</f>
        <v>50216153.57</v>
      </c>
      <c r="M36" s="1">
        <f>+'Net Tuition AY'!M22+'Net Tuition AY'!M24+'Net Tuition AY'!M28+'Net Tuition AY'!M30</f>
        <v>46280952.209999993</v>
      </c>
      <c r="N36" s="1">
        <f>+'Net Tuition AY'!N22+'Net Tuition AY'!N24+'Net Tuition AY'!N28+'Net Tuition AY'!N30</f>
        <v>47779944.310000002</v>
      </c>
      <c r="O36" s="1">
        <f>+'Net Tuition AY'!O22+'Net Tuition AY'!O24+'Net Tuition AY'!O28+'Net Tuition AY'!O30</f>
        <v>50522855.609999999</v>
      </c>
      <c r="P36" s="1">
        <f>+'Net Tuition AY'!P22+'Net Tuition AY'!P24+'Net Tuition AY'!P28+'Net Tuition AY'!P30</f>
        <v>53904067</v>
      </c>
      <c r="Q36" s="1">
        <f>+'Net Tuition AY'!Q22+'Net Tuition AY'!Q24+'Net Tuition AY'!Q28+'Net Tuition AY'!Q30</f>
        <v>57438655.037031688</v>
      </c>
      <c r="R36" s="1"/>
    </row>
    <row r="37" spans="1:18" x14ac:dyDescent="0.25">
      <c r="A37" s="43"/>
      <c r="K37" s="1"/>
      <c r="L37" s="1"/>
      <c r="O37" s="1"/>
      <c r="P37" s="1"/>
      <c r="Q37" s="1"/>
      <c r="R37" s="1"/>
    </row>
    <row r="38" spans="1:18" x14ac:dyDescent="0.25">
      <c r="A38" s="43" t="s">
        <v>75</v>
      </c>
      <c r="B38" s="5"/>
      <c r="C38" s="5">
        <f>C36*C25</f>
        <v>7979178.6986025125</v>
      </c>
      <c r="D38" s="5">
        <f t="shared" ref="D38:P38" si="27">D36*D25</f>
        <v>9971020.1049264632</v>
      </c>
      <c r="E38" s="5">
        <f t="shared" si="27"/>
        <v>9681726.9252999611</v>
      </c>
      <c r="F38" s="5">
        <f t="shared" si="27"/>
        <v>9217995.6309318729</v>
      </c>
      <c r="G38" s="5">
        <f t="shared" si="27"/>
        <v>9433411.8540241476</v>
      </c>
      <c r="H38" s="5">
        <f t="shared" si="27"/>
        <v>8029540.6071675299</v>
      </c>
      <c r="I38" s="5">
        <f t="shared" si="27"/>
        <v>8197634.3711465765</v>
      </c>
      <c r="J38" s="5">
        <f t="shared" si="27"/>
        <v>8428919.5814114083</v>
      </c>
      <c r="K38" s="5">
        <f t="shared" si="27"/>
        <v>4539828.3074380727</v>
      </c>
      <c r="L38" s="5">
        <f t="shared" si="27"/>
        <v>4055773.1943064271</v>
      </c>
      <c r="M38" s="5">
        <f t="shared" si="27"/>
        <v>3689840.9892932381</v>
      </c>
      <c r="N38" s="5">
        <f t="shared" si="27"/>
        <v>3530071.3714597099</v>
      </c>
      <c r="O38" s="5">
        <f t="shared" si="27"/>
        <v>3362936.9920689021</v>
      </c>
      <c r="P38" s="5">
        <f t="shared" si="27"/>
        <v>3128306.5205001589</v>
      </c>
      <c r="Q38" s="5">
        <f t="shared" ref="Q38" si="28">Q36*Q25</f>
        <v>3881414.9141351567</v>
      </c>
      <c r="R38" s="5"/>
    </row>
    <row r="39" spans="1:18" x14ac:dyDescent="0.25">
      <c r="A39" s="43" t="s">
        <v>422</v>
      </c>
      <c r="B39" s="5"/>
      <c r="C39" s="5">
        <f>C36*C26</f>
        <v>5416739.4141163984</v>
      </c>
      <c r="D39" s="5">
        <f t="shared" ref="D39:P39" si="29">D36*D26</f>
        <v>5444257.9327981435</v>
      </c>
      <c r="E39" s="5">
        <f t="shared" si="29"/>
        <v>5560389.7346148882</v>
      </c>
      <c r="F39" s="5">
        <f t="shared" si="29"/>
        <v>5429715.8754686397</v>
      </c>
      <c r="G39" s="5">
        <f t="shared" si="29"/>
        <v>5485508.2146748351</v>
      </c>
      <c r="H39" s="5">
        <f t="shared" si="29"/>
        <v>4741678.5758203799</v>
      </c>
      <c r="I39" s="5">
        <f t="shared" si="29"/>
        <v>5080418.3848104132</v>
      </c>
      <c r="J39" s="5">
        <f t="shared" si="29"/>
        <v>4977562.3064691471</v>
      </c>
      <c r="K39" s="5">
        <f t="shared" si="29"/>
        <v>8137428.0982380547</v>
      </c>
      <c r="L39" s="5">
        <f t="shared" si="29"/>
        <v>7390626.1386537356</v>
      </c>
      <c r="M39" s="5">
        <f t="shared" si="29"/>
        <v>6882972.6146431565</v>
      </c>
      <c r="N39" s="5">
        <f t="shared" si="29"/>
        <v>7143548.0052080583</v>
      </c>
      <c r="O39" s="5">
        <f t="shared" si="29"/>
        <v>7754918.7976998948</v>
      </c>
      <c r="P39" s="5">
        <f t="shared" si="29"/>
        <v>8466696.8825714681</v>
      </c>
      <c r="Q39" s="5">
        <f t="shared" ref="Q39" si="30">Q36*Q26</f>
        <v>7693687.2144152764</v>
      </c>
      <c r="R39" s="5"/>
    </row>
    <row r="40" spans="1:18" x14ac:dyDescent="0.25">
      <c r="A40" s="43" t="s">
        <v>421</v>
      </c>
      <c r="B40" s="5"/>
      <c r="C40" s="5">
        <f>C36*C27</f>
        <v>3705148.6951353266</v>
      </c>
      <c r="D40" s="5">
        <f t="shared" ref="D40:P40" si="31">D36*D27</f>
        <v>3854381.7004609741</v>
      </c>
      <c r="E40" s="5">
        <f t="shared" si="31"/>
        <v>4066689.6257257126</v>
      </c>
      <c r="F40" s="5">
        <f t="shared" si="31"/>
        <v>4020494.0193197555</v>
      </c>
      <c r="G40" s="5">
        <f t="shared" si="31"/>
        <v>4087241.4148557591</v>
      </c>
      <c r="H40" s="5">
        <f t="shared" si="31"/>
        <v>3815709.269032815</v>
      </c>
      <c r="I40" s="5">
        <f t="shared" si="31"/>
        <v>3926404.7969485004</v>
      </c>
      <c r="J40" s="5">
        <f t="shared" si="31"/>
        <v>3922207.7633920447</v>
      </c>
      <c r="K40" s="5">
        <f t="shared" si="31"/>
        <v>4392987.4996503182</v>
      </c>
      <c r="L40" s="5">
        <f t="shared" si="31"/>
        <v>4225261.0676411865</v>
      </c>
      <c r="M40" s="5">
        <f t="shared" si="31"/>
        <v>3969096.9450586075</v>
      </c>
      <c r="N40" s="5">
        <f t="shared" si="31"/>
        <v>4140958.5628170413</v>
      </c>
      <c r="O40" s="5">
        <f t="shared" si="31"/>
        <v>4517135.904577733</v>
      </c>
      <c r="P40" s="5">
        <f t="shared" si="31"/>
        <v>4952541.4703936931</v>
      </c>
      <c r="Q40" s="5">
        <f t="shared" ref="Q40" si="32">Q36*Q27</f>
        <v>6675405.0830956064</v>
      </c>
      <c r="R40" s="5"/>
    </row>
    <row r="41" spans="1:18" x14ac:dyDescent="0.25">
      <c r="A41" s="43" t="s">
        <v>420</v>
      </c>
      <c r="B41" s="5"/>
      <c r="C41" s="5">
        <f>+C36*C28</f>
        <v>24946682.068848398</v>
      </c>
      <c r="D41" s="5">
        <f t="shared" ref="D41:P41" si="33">+D36*D28</f>
        <v>24471051.146100536</v>
      </c>
      <c r="E41" s="5">
        <f t="shared" si="33"/>
        <v>24229364.113856275</v>
      </c>
      <c r="F41" s="5">
        <f t="shared" si="33"/>
        <v>23490066.416388016</v>
      </c>
      <c r="G41" s="5">
        <f t="shared" si="33"/>
        <v>23834093.178734239</v>
      </c>
      <c r="H41" s="5">
        <f t="shared" si="33"/>
        <v>23050820.472832467</v>
      </c>
      <c r="I41" s="5">
        <f t="shared" si="33"/>
        <v>22625103.051268816</v>
      </c>
      <c r="J41" s="5">
        <f t="shared" si="33"/>
        <v>22498767.182083283</v>
      </c>
      <c r="K41" s="5">
        <f t="shared" si="33"/>
        <v>19250829.900974598</v>
      </c>
      <c r="L41" s="5">
        <f t="shared" si="33"/>
        <v>17855905.528788745</v>
      </c>
      <c r="M41" s="5">
        <f t="shared" si="33"/>
        <v>16801137.010801718</v>
      </c>
      <c r="N41" s="5">
        <f t="shared" si="33"/>
        <v>17012419.31060436</v>
      </c>
      <c r="O41" s="5">
        <f t="shared" si="33"/>
        <v>16842496.982332677</v>
      </c>
      <c r="P41" s="5">
        <f t="shared" si="33"/>
        <v>16781984.706383362</v>
      </c>
      <c r="Q41" s="5">
        <f t="shared" ref="Q41" si="34">+Q36*Q28</f>
        <v>21999922.59023976</v>
      </c>
      <c r="R41" s="5"/>
    </row>
    <row r="42" spans="1:18" x14ac:dyDescent="0.25">
      <c r="A42" s="43" t="s">
        <v>424</v>
      </c>
      <c r="B42" s="5"/>
      <c r="C42" s="5">
        <f>C36*C29</f>
        <v>6519874.4728816552</v>
      </c>
      <c r="D42" s="5">
        <f t="shared" ref="D42:P42" si="35">D36*D29</f>
        <v>6060419.3014832707</v>
      </c>
      <c r="E42" s="5">
        <f t="shared" si="35"/>
        <v>6236653.3509869697</v>
      </c>
      <c r="F42" s="5">
        <f t="shared" si="35"/>
        <v>5873654.9093119875</v>
      </c>
      <c r="G42" s="5">
        <f t="shared" si="35"/>
        <v>6096638.8090013536</v>
      </c>
      <c r="H42" s="5">
        <f t="shared" si="35"/>
        <v>5343334.9611485321</v>
      </c>
      <c r="I42" s="5">
        <f t="shared" si="35"/>
        <v>5195359.9772269381</v>
      </c>
      <c r="J42" s="5">
        <f t="shared" si="35"/>
        <v>4840714.1349492585</v>
      </c>
      <c r="K42" s="5">
        <f t="shared" si="35"/>
        <v>4654853.6068718145</v>
      </c>
      <c r="L42" s="5">
        <f t="shared" si="35"/>
        <v>4170356.5452933069</v>
      </c>
      <c r="M42" s="5">
        <f t="shared" si="35"/>
        <v>3973674.9115465647</v>
      </c>
      <c r="N42" s="5">
        <f t="shared" si="35"/>
        <v>3701390.2885931307</v>
      </c>
      <c r="O42" s="5">
        <f t="shared" si="35"/>
        <v>3773164.3163943295</v>
      </c>
      <c r="P42" s="5">
        <f t="shared" si="35"/>
        <v>3975708.8332351744</v>
      </c>
      <c r="Q42" s="5">
        <f t="shared" ref="Q42" si="36">Q36*Q29</f>
        <v>5531409.1084031388</v>
      </c>
      <c r="R42" s="5"/>
    </row>
    <row r="43" spans="1:18" x14ac:dyDescent="0.25">
      <c r="A43" s="43" t="s">
        <v>85</v>
      </c>
      <c r="B43" s="5"/>
      <c r="C43" s="5">
        <f>C36*C30</f>
        <v>566407.91133911198</v>
      </c>
      <c r="D43" s="5">
        <f t="shared" ref="D43:P43" si="37">D36*D30</f>
        <v>2230774.0063344729</v>
      </c>
      <c r="E43" s="5">
        <f t="shared" si="37"/>
        <v>2393107.9488453101</v>
      </c>
      <c r="F43" s="5">
        <f t="shared" si="37"/>
        <v>2215141.9483568077</v>
      </c>
      <c r="G43" s="5">
        <f t="shared" si="37"/>
        <v>1840725.3501114752</v>
      </c>
      <c r="H43" s="5">
        <f t="shared" si="37"/>
        <v>1185419.643955095</v>
      </c>
      <c r="I43" s="5">
        <f t="shared" si="37"/>
        <v>719534.36852744769</v>
      </c>
      <c r="J43" s="5">
        <f t="shared" si="37"/>
        <v>185556.84273883121</v>
      </c>
      <c r="K43" s="5">
        <f t="shared" si="37"/>
        <v>7342.0403893877192</v>
      </c>
      <c r="L43" s="5">
        <f t="shared" si="37"/>
        <v>2387.1531455599925</v>
      </c>
      <c r="M43" s="5">
        <f t="shared" si="37"/>
        <v>0</v>
      </c>
      <c r="N43" s="5">
        <f t="shared" si="37"/>
        <v>0</v>
      </c>
      <c r="O43" s="5">
        <f t="shared" si="37"/>
        <v>0</v>
      </c>
      <c r="P43" s="5">
        <f t="shared" si="37"/>
        <v>0</v>
      </c>
      <c r="Q43" s="5">
        <f t="shared" ref="Q43" si="38">Q36*Q30</f>
        <v>0</v>
      </c>
      <c r="R43" s="5"/>
    </row>
    <row r="44" spans="1:18" x14ac:dyDescent="0.25">
      <c r="A44" s="43" t="s">
        <v>87</v>
      </c>
      <c r="B44" s="5"/>
      <c r="C44" s="5">
        <f>C36*C31</f>
        <v>8780559.3242526092</v>
      </c>
      <c r="D44" s="5">
        <f t="shared" ref="D44:P44" si="39">D36*D31</f>
        <v>8459850.616764402</v>
      </c>
      <c r="E44" s="5">
        <f t="shared" si="39"/>
        <v>8083285.6502386797</v>
      </c>
      <c r="F44" s="5">
        <f t="shared" si="39"/>
        <v>7326132.3636302231</v>
      </c>
      <c r="G44" s="5">
        <f t="shared" si="39"/>
        <v>7761358.5479467912</v>
      </c>
      <c r="H44" s="5">
        <f t="shared" si="39"/>
        <v>7163960.6029965458</v>
      </c>
      <c r="I44" s="5">
        <f t="shared" si="39"/>
        <v>7252814.4814827396</v>
      </c>
      <c r="J44" s="5">
        <f t="shared" si="39"/>
        <v>7225119.5641432395</v>
      </c>
      <c r="K44" s="5">
        <f t="shared" si="39"/>
        <v>6108577.6039705826</v>
      </c>
      <c r="L44" s="5">
        <f t="shared" si="39"/>
        <v>5571615.4417370223</v>
      </c>
      <c r="M44" s="5">
        <f t="shared" si="39"/>
        <v>5683545.3947984558</v>
      </c>
      <c r="N44" s="5">
        <f t="shared" si="39"/>
        <v>5590406.7696169084</v>
      </c>
      <c r="O44" s="5">
        <f t="shared" si="39"/>
        <v>6102421.1579031143</v>
      </c>
      <c r="P44" s="5">
        <f t="shared" si="39"/>
        <v>7001447.9268336892</v>
      </c>
      <c r="Q44" s="5">
        <f t="shared" ref="Q44" si="40">Q36*Q31</f>
        <v>9425395.4068755768</v>
      </c>
      <c r="R44" s="5"/>
    </row>
    <row r="45" spans="1:18" x14ac:dyDescent="0.25">
      <c r="A45" s="43" t="s">
        <v>89</v>
      </c>
      <c r="B45" s="5"/>
      <c r="C45" s="5">
        <f>C36*C32</f>
        <v>1526085.9445250309</v>
      </c>
      <c r="D45" s="5">
        <f t="shared" ref="D45:P45" si="41">D36*D32</f>
        <v>1452701.6210605537</v>
      </c>
      <c r="E45" s="5">
        <f t="shared" si="41"/>
        <v>1486869.1632692555</v>
      </c>
      <c r="F45" s="5">
        <f t="shared" si="41"/>
        <v>1388732.3622791907</v>
      </c>
      <c r="G45" s="5">
        <f t="shared" si="41"/>
        <v>1496047.6949113184</v>
      </c>
      <c r="H45" s="5">
        <f t="shared" si="41"/>
        <v>1373297.4743177891</v>
      </c>
      <c r="I45" s="5">
        <f t="shared" si="41"/>
        <v>1301138.8261550651</v>
      </c>
      <c r="J45" s="5">
        <f t="shared" si="41"/>
        <v>1333689.8071853493</v>
      </c>
      <c r="K45" s="5">
        <f t="shared" si="41"/>
        <v>1514907.6670103327</v>
      </c>
      <c r="L45" s="5">
        <f t="shared" si="41"/>
        <v>1601779.7606707548</v>
      </c>
      <c r="M45" s="5">
        <f t="shared" si="41"/>
        <v>1659512.851884366</v>
      </c>
      <c r="N45" s="5">
        <f t="shared" si="41"/>
        <v>1728968.5452807136</v>
      </c>
      <c r="O45" s="5">
        <f t="shared" si="41"/>
        <v>1710439.3522721226</v>
      </c>
      <c r="P45" s="5">
        <f t="shared" si="41"/>
        <v>1719225.4413989941</v>
      </c>
      <c r="Q45" s="5">
        <f t="shared" ref="Q45" si="42">Q36*Q32</f>
        <v>2231420.7198671754</v>
      </c>
      <c r="R45" s="5"/>
    </row>
    <row r="46" spans="1:18" x14ac:dyDescent="0.25">
      <c r="A46" s="5" t="s">
        <v>91</v>
      </c>
      <c r="B46" s="5"/>
      <c r="C46" s="5">
        <f>+'Net Tuition AY'!C23+'Net Tuition AY'!C29</f>
        <v>5507952</v>
      </c>
      <c r="D46" s="5">
        <f>+'Net Tuition AY'!D23+'Net Tuition AY'!D29</f>
        <v>5613295</v>
      </c>
      <c r="E46" s="5">
        <f>+'Net Tuition AY'!E23+'Net Tuition AY'!E29</f>
        <v>4887297</v>
      </c>
      <c r="F46" s="5">
        <f>+'Net Tuition AY'!F23+'Net Tuition AY'!F29</f>
        <v>4565280</v>
      </c>
      <c r="G46" s="5">
        <f>+'Net Tuition AY'!G23+'Net Tuition AY'!G29</f>
        <v>4166385.85</v>
      </c>
      <c r="H46" s="5">
        <f>+'Net Tuition AY'!H23+'Net Tuition AY'!H29</f>
        <v>3938990.04</v>
      </c>
      <c r="I46" s="5">
        <f>+'Net Tuition AY'!I23+'Net Tuition AY'!I29</f>
        <v>3866438.1700000004</v>
      </c>
      <c r="J46" s="5">
        <f>+'Net Tuition AY'!J23+'Net Tuition AY'!J29</f>
        <v>3893850.6599999997</v>
      </c>
      <c r="K46" s="5">
        <f>+'Net Tuition AY'!K23+'Net Tuition AY'!K29</f>
        <v>3648420.38</v>
      </c>
      <c r="L46" s="5">
        <f>+'Net Tuition AY'!L23+'Net Tuition AY'!L29</f>
        <v>3436824.6700000004</v>
      </c>
      <c r="M46" s="5">
        <f>+'Net Tuition AY'!M23+'Net Tuition AY'!M29</f>
        <v>3036858.0599999996</v>
      </c>
      <c r="N46" s="5">
        <f>+'Net Tuition AY'!N23+'Net Tuition AY'!N29</f>
        <v>3078610.29</v>
      </c>
      <c r="O46" s="5">
        <f>+'Net Tuition AY'!O23+'Net Tuition AY'!O29</f>
        <v>3639254</v>
      </c>
      <c r="P46" s="5">
        <f>+'Net Tuition AY'!P23+'Net Tuition AY'!P29</f>
        <v>3928079</v>
      </c>
      <c r="Q46" s="5">
        <f>+'Net Tuition AY'!Q23+'Net Tuition AY'!Q29</f>
        <v>3881125.5436480436</v>
      </c>
      <c r="R46" s="5"/>
    </row>
    <row r="47" spans="1:18" x14ac:dyDescent="0.25">
      <c r="A47" s="5" t="s">
        <v>50</v>
      </c>
      <c r="B47" s="5"/>
      <c r="C47" s="5">
        <f>+C33*C36</f>
        <v>10469889.470298957</v>
      </c>
      <c r="D47" s="5">
        <f t="shared" ref="D47:P47" si="43">+D33*D36</f>
        <v>9766382.570071185</v>
      </c>
      <c r="E47" s="5">
        <f t="shared" si="43"/>
        <v>8857459.4871629477</v>
      </c>
      <c r="F47" s="5">
        <f t="shared" si="43"/>
        <v>8441671.4743135069</v>
      </c>
      <c r="G47" s="5">
        <f t="shared" si="43"/>
        <v>8602274.2457400803</v>
      </c>
      <c r="H47" s="5">
        <f t="shared" si="43"/>
        <v>7456960.5527288429</v>
      </c>
      <c r="I47" s="5">
        <f t="shared" si="43"/>
        <v>6632129.8824335029</v>
      </c>
      <c r="J47" s="5">
        <f t="shared" si="43"/>
        <v>6241668.2976274351</v>
      </c>
      <c r="K47" s="5">
        <f t="shared" si="43"/>
        <v>5633792.3254568428</v>
      </c>
      <c r="L47" s="5">
        <f t="shared" si="43"/>
        <v>5342448.7397632636</v>
      </c>
      <c r="M47" s="5">
        <f t="shared" si="43"/>
        <v>3621171.4919738853</v>
      </c>
      <c r="N47" s="5">
        <f t="shared" si="43"/>
        <v>4932181.4564200789</v>
      </c>
      <c r="O47" s="5">
        <f t="shared" si="43"/>
        <v>6459342.1067512268</v>
      </c>
      <c r="P47" s="5">
        <f t="shared" si="43"/>
        <v>7878155.2186834589</v>
      </c>
      <c r="Q47" s="5">
        <f t="shared" ref="Q47" si="44">+Q33*Q36</f>
        <v>0</v>
      </c>
      <c r="R47" s="5"/>
    </row>
    <row r="48" spans="1:18" ht="15.75" thickBot="1" x14ac:dyDescent="0.3">
      <c r="B48" s="24">
        <f>SUM(B38:B47)</f>
        <v>0</v>
      </c>
      <c r="C48" s="24">
        <f t="shared" ref="C48" si="45">SUM(C38:C47)</f>
        <v>75418518</v>
      </c>
      <c r="D48" s="24">
        <f t="shared" ref="D48:P48" si="46">SUM(D38:D47)</f>
        <v>77324134.000000015</v>
      </c>
      <c r="E48" s="24">
        <f t="shared" si="46"/>
        <v>75482843</v>
      </c>
      <c r="F48" s="24">
        <f t="shared" si="46"/>
        <v>71968885</v>
      </c>
      <c r="G48" s="24">
        <f t="shared" si="46"/>
        <v>72803685.159999996</v>
      </c>
      <c r="H48" s="24">
        <f t="shared" si="46"/>
        <v>66099712.199999988</v>
      </c>
      <c r="I48" s="24">
        <f t="shared" si="46"/>
        <v>64796976.309999995</v>
      </c>
      <c r="J48" s="24">
        <f t="shared" si="46"/>
        <v>63548056.140000001</v>
      </c>
      <c r="K48" s="24">
        <f t="shared" si="46"/>
        <v>57888967.43</v>
      </c>
      <c r="L48" s="24">
        <f t="shared" si="46"/>
        <v>53652978.239999995</v>
      </c>
      <c r="M48" s="24">
        <f t="shared" si="46"/>
        <v>49317810.269999996</v>
      </c>
      <c r="N48" s="24">
        <f t="shared" si="46"/>
        <v>50858554.600000001</v>
      </c>
      <c r="O48" s="24">
        <f t="shared" si="46"/>
        <v>54162109.609999999</v>
      </c>
      <c r="P48" s="24">
        <f t="shared" si="46"/>
        <v>57832146</v>
      </c>
      <c r="Q48" s="24">
        <f t="shared" ref="Q48" si="47">SUM(Q38:Q47)</f>
        <v>61319780.58067973</v>
      </c>
      <c r="R48" s="3"/>
    </row>
    <row r="49" spans="1:17" ht="15.75" thickTop="1" x14ac:dyDescent="0.25"/>
    <row r="50" spans="1:17" x14ac:dyDescent="0.25">
      <c r="A50" t="s">
        <v>2671</v>
      </c>
      <c r="C50" s="1">
        <f>+'Net Tuition AY'!C25+'Net Tuition AY'!C31</f>
        <v>75418518</v>
      </c>
      <c r="D50" s="1">
        <f>+'Net Tuition AY'!D25+'Net Tuition AY'!D31</f>
        <v>77324134</v>
      </c>
      <c r="E50" s="1">
        <f>+'Net Tuition AY'!E25+'Net Tuition AY'!E31</f>
        <v>75482843</v>
      </c>
      <c r="F50" s="1">
        <f>+'Net Tuition AY'!F25+'Net Tuition AY'!F31</f>
        <v>71968885</v>
      </c>
      <c r="G50" s="1">
        <f>+'Net Tuition AY'!G25+'Net Tuition AY'!G31</f>
        <v>72803685.160000011</v>
      </c>
      <c r="H50" s="1">
        <f>+'Net Tuition AY'!H25+'Net Tuition AY'!H31</f>
        <v>66099712.200000003</v>
      </c>
      <c r="I50" s="1">
        <f>+'Net Tuition AY'!I25+'Net Tuition AY'!I31</f>
        <v>64796976.310000002</v>
      </c>
      <c r="J50" s="1">
        <f>+'Net Tuition AY'!J25+'Net Tuition AY'!J31</f>
        <v>63548056.140000001</v>
      </c>
      <c r="K50" s="1">
        <f>+'Net Tuition AY'!K25+'Net Tuition AY'!K31</f>
        <v>57888967.43</v>
      </c>
      <c r="L50" s="1">
        <f>+'Net Tuition AY'!L25+'Net Tuition AY'!L31</f>
        <v>53652978.240000002</v>
      </c>
      <c r="M50" s="1">
        <f>+'Net Tuition AY'!M25+'Net Tuition AY'!M31</f>
        <v>49317810.269999996</v>
      </c>
      <c r="N50" s="1">
        <f>+'Net Tuition AY'!N25+'Net Tuition AY'!N31</f>
        <v>50858554.600000001</v>
      </c>
      <c r="O50" s="1">
        <f>+'Net Tuition AY'!O25+'Net Tuition AY'!O31</f>
        <v>54162109.609999999</v>
      </c>
      <c r="P50" s="1">
        <f>+'Net Tuition AY'!P25+'Net Tuition AY'!P31</f>
        <v>57832146</v>
      </c>
      <c r="Q50" s="1">
        <f>+'Net Tuition AY'!Q25+'Net Tuition AY'!Q31</f>
        <v>61319780.580679737</v>
      </c>
    </row>
    <row r="52" spans="1:17" x14ac:dyDescent="0.25">
      <c r="A52" t="s">
        <v>220</v>
      </c>
      <c r="C52" s="3">
        <f>+C50-C48</f>
        <v>0</v>
      </c>
      <c r="D52" s="3">
        <f t="shared" ref="D52:P52" si="48">+D50-D48</f>
        <v>0</v>
      </c>
      <c r="E52" s="3">
        <f t="shared" si="48"/>
        <v>0</v>
      </c>
      <c r="F52" s="3">
        <f t="shared" si="48"/>
        <v>0</v>
      </c>
      <c r="G52" s="3">
        <f t="shared" si="48"/>
        <v>0</v>
      </c>
      <c r="H52" s="3">
        <f t="shared" si="48"/>
        <v>0</v>
      </c>
      <c r="I52" s="3">
        <f t="shared" si="48"/>
        <v>0</v>
      </c>
      <c r="J52" s="3">
        <f t="shared" si="48"/>
        <v>0</v>
      </c>
      <c r="K52" s="3">
        <f t="shared" si="48"/>
        <v>0</v>
      </c>
      <c r="L52" s="3">
        <f t="shared" si="48"/>
        <v>0</v>
      </c>
      <c r="M52" s="3">
        <f t="shared" si="48"/>
        <v>0</v>
      </c>
      <c r="N52" s="3">
        <f t="shared" si="48"/>
        <v>0</v>
      </c>
      <c r="O52" s="3">
        <f t="shared" si="48"/>
        <v>0</v>
      </c>
      <c r="P52" s="3">
        <f t="shared" si="48"/>
        <v>0</v>
      </c>
      <c r="Q52" s="3">
        <f t="shared" ref="Q52" si="49">+Q50-Q48</f>
        <v>0</v>
      </c>
    </row>
  </sheetData>
  <pageMargins left="0.25" right="0.25" top="0.75" bottom="0.75" header="0.3" footer="0.3"/>
  <pageSetup scale="4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O2823"/>
  <sheetViews>
    <sheetView topLeftCell="A1114" workbookViewId="0">
      <selection activeCell="B1134" sqref="B1134"/>
    </sheetView>
  </sheetViews>
  <sheetFormatPr defaultRowHeight="15" x14ac:dyDescent="0.25"/>
  <cols>
    <col min="1" max="1" width="32.140625" bestFit="1" customWidth="1"/>
    <col min="2" max="15" width="10.5703125" bestFit="1" customWidth="1"/>
  </cols>
  <sheetData>
    <row r="1" spans="1:15" s="13" customFormat="1" x14ac:dyDescent="0.25">
      <c r="A1" s="13" t="s">
        <v>2672</v>
      </c>
      <c r="B1" s="13" t="s">
        <v>2673</v>
      </c>
      <c r="C1" s="13" t="s">
        <v>2674</v>
      </c>
      <c r="D1" s="13" t="s">
        <v>2675</v>
      </c>
      <c r="E1" s="13" t="s">
        <v>2676</v>
      </c>
    </row>
    <row r="2" spans="1:15" s="13" customFormat="1" x14ac:dyDescent="0.25">
      <c r="A2" s="13" t="s">
        <v>420</v>
      </c>
      <c r="B2" s="17" t="s">
        <v>2470</v>
      </c>
      <c r="C2" s="17" t="s">
        <v>2495</v>
      </c>
      <c r="D2" s="17" t="s">
        <v>2677</v>
      </c>
      <c r="E2" s="17">
        <v>3</v>
      </c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25">
      <c r="A3" t="s">
        <v>420</v>
      </c>
      <c r="B3" s="1" t="s">
        <v>2470</v>
      </c>
      <c r="C3" s="1" t="s">
        <v>2495</v>
      </c>
      <c r="D3" s="1" t="s">
        <v>2678</v>
      </c>
      <c r="E3" s="1">
        <v>9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t="s">
        <v>420</v>
      </c>
      <c r="B4" s="1" t="s">
        <v>2470</v>
      </c>
      <c r="C4" s="1" t="s">
        <v>2495</v>
      </c>
      <c r="D4" s="1" t="s">
        <v>2679</v>
      </c>
      <c r="E4" s="1">
        <v>6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t="s">
        <v>420</v>
      </c>
      <c r="B5" s="1" t="s">
        <v>2470</v>
      </c>
      <c r="C5" s="1" t="s">
        <v>2495</v>
      </c>
      <c r="D5" s="1" t="s">
        <v>2680</v>
      </c>
      <c r="E5" s="1">
        <v>7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t="s">
        <v>420</v>
      </c>
      <c r="B6" s="1" t="s">
        <v>2470</v>
      </c>
      <c r="C6" s="1" t="s">
        <v>2495</v>
      </c>
      <c r="D6" s="1" t="s">
        <v>2681</v>
      </c>
      <c r="E6" s="1">
        <v>11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t="s">
        <v>420</v>
      </c>
      <c r="B7" s="1" t="s">
        <v>2470</v>
      </c>
      <c r="C7" s="1" t="s">
        <v>2495</v>
      </c>
      <c r="D7" s="1" t="s">
        <v>2682</v>
      </c>
      <c r="E7" s="1">
        <v>7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t="s">
        <v>420</v>
      </c>
      <c r="B8" s="1" t="s">
        <v>2470</v>
      </c>
      <c r="C8" s="1" t="s">
        <v>459</v>
      </c>
      <c r="D8" s="1" t="s">
        <v>2677</v>
      </c>
      <c r="E8" s="1">
        <v>144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t="s">
        <v>420</v>
      </c>
      <c r="B9" s="1" t="s">
        <v>2470</v>
      </c>
      <c r="C9" s="1" t="s">
        <v>459</v>
      </c>
      <c r="D9" s="1" t="s">
        <v>2678</v>
      </c>
      <c r="E9" s="1">
        <v>241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t="s">
        <v>420</v>
      </c>
      <c r="B10" s="1" t="s">
        <v>2470</v>
      </c>
      <c r="C10" s="1" t="s">
        <v>459</v>
      </c>
      <c r="D10" s="1" t="s">
        <v>2679</v>
      </c>
      <c r="E10" s="1">
        <v>227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t="s">
        <v>420</v>
      </c>
      <c r="B11" s="1" t="s">
        <v>2470</v>
      </c>
      <c r="C11" s="1" t="s">
        <v>459</v>
      </c>
      <c r="D11" s="1" t="s">
        <v>2680</v>
      </c>
      <c r="E11" s="1">
        <v>243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t="s">
        <v>420</v>
      </c>
      <c r="B12" s="1" t="s">
        <v>2470</v>
      </c>
      <c r="C12" s="1" t="s">
        <v>459</v>
      </c>
      <c r="D12" s="1" t="s">
        <v>2681</v>
      </c>
      <c r="E12" s="1">
        <v>265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t="s">
        <v>420</v>
      </c>
      <c r="B13" s="1" t="s">
        <v>2470</v>
      </c>
      <c r="C13" s="1" t="s">
        <v>459</v>
      </c>
      <c r="D13" s="1" t="s">
        <v>2682</v>
      </c>
      <c r="E13" s="1">
        <v>299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t="s">
        <v>420</v>
      </c>
      <c r="B14" s="1" t="s">
        <v>2470</v>
      </c>
      <c r="C14" s="1" t="s">
        <v>459</v>
      </c>
      <c r="D14" s="1" t="s">
        <v>2683</v>
      </c>
      <c r="E14" s="1">
        <v>372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t="s">
        <v>420</v>
      </c>
      <c r="B15" s="1" t="s">
        <v>2470</v>
      </c>
      <c r="C15" s="1" t="s">
        <v>459</v>
      </c>
      <c r="D15" s="1" t="s">
        <v>2684</v>
      </c>
      <c r="E15" s="1">
        <v>429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t="s">
        <v>420</v>
      </c>
      <c r="B16" s="1" t="s">
        <v>2470</v>
      </c>
      <c r="C16" s="1" t="s">
        <v>459</v>
      </c>
      <c r="D16" s="1" t="s">
        <v>2685</v>
      </c>
      <c r="E16" s="1">
        <v>462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t="s">
        <v>420</v>
      </c>
      <c r="B17" s="1" t="s">
        <v>2470</v>
      </c>
      <c r="C17" s="1" t="s">
        <v>459</v>
      </c>
      <c r="D17" s="1" t="s">
        <v>2686</v>
      </c>
      <c r="E17" s="1">
        <v>548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t="s">
        <v>420</v>
      </c>
      <c r="B18" s="1" t="s">
        <v>2470</v>
      </c>
      <c r="C18" s="1" t="s">
        <v>459</v>
      </c>
      <c r="D18" s="1" t="s">
        <v>2687</v>
      </c>
      <c r="E18" s="1">
        <v>616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t="s">
        <v>420</v>
      </c>
      <c r="B19" s="1" t="s">
        <v>2470</v>
      </c>
      <c r="C19" s="1" t="s">
        <v>459</v>
      </c>
      <c r="D19" s="1" t="s">
        <v>2688</v>
      </c>
      <c r="E19" s="1">
        <v>598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t="s">
        <v>420</v>
      </c>
      <c r="B20" s="1" t="s">
        <v>2470</v>
      </c>
      <c r="C20" s="1" t="s">
        <v>459</v>
      </c>
      <c r="D20" s="1" t="s">
        <v>2689</v>
      </c>
      <c r="E20" s="1">
        <v>535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t="s">
        <v>420</v>
      </c>
      <c r="B21" s="1" t="s">
        <v>2470</v>
      </c>
      <c r="C21" s="1" t="s">
        <v>459</v>
      </c>
      <c r="D21" s="1" t="s">
        <v>2690</v>
      </c>
      <c r="E21" s="1">
        <v>521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t="s">
        <v>420</v>
      </c>
      <c r="B22" s="1" t="s">
        <v>2470</v>
      </c>
      <c r="C22" s="1" t="s">
        <v>2494</v>
      </c>
      <c r="D22" s="1" t="s">
        <v>2677</v>
      </c>
      <c r="E22" s="1">
        <v>2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t="s">
        <v>420</v>
      </c>
      <c r="B23" s="1" t="s">
        <v>2470</v>
      </c>
      <c r="C23" s="1" t="s">
        <v>2494</v>
      </c>
      <c r="D23" s="1" t="s">
        <v>2678</v>
      </c>
      <c r="E23" s="1">
        <v>1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t="s">
        <v>420</v>
      </c>
      <c r="B24" s="1" t="s">
        <v>2470</v>
      </c>
      <c r="C24" s="1" t="s">
        <v>2494</v>
      </c>
      <c r="D24" s="1" t="s">
        <v>2679</v>
      </c>
      <c r="E24" s="1">
        <v>2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t="s">
        <v>420</v>
      </c>
      <c r="B25" s="1" t="s">
        <v>2470</v>
      </c>
      <c r="C25" s="1" t="s">
        <v>2494</v>
      </c>
      <c r="D25" s="1" t="s">
        <v>2680</v>
      </c>
      <c r="E25" s="1">
        <v>6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t="s">
        <v>420</v>
      </c>
      <c r="B26" s="1" t="s">
        <v>2470</v>
      </c>
      <c r="C26" s="1" t="s">
        <v>2494</v>
      </c>
      <c r="D26" s="1" t="s">
        <v>2681</v>
      </c>
      <c r="E26" s="1">
        <v>1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t="s">
        <v>420</v>
      </c>
      <c r="B27" s="1" t="s">
        <v>2470</v>
      </c>
      <c r="C27" s="1" t="s">
        <v>2494</v>
      </c>
      <c r="D27" s="1" t="s">
        <v>2682</v>
      </c>
      <c r="E27" s="1">
        <v>6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t="s">
        <v>420</v>
      </c>
      <c r="B28" s="1" t="s">
        <v>2470</v>
      </c>
      <c r="C28" s="1" t="s">
        <v>2494</v>
      </c>
      <c r="D28" s="1" t="s">
        <v>2683</v>
      </c>
      <c r="E28" s="1">
        <v>9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t="s">
        <v>420</v>
      </c>
      <c r="B29" s="1" t="s">
        <v>2470</v>
      </c>
      <c r="C29" s="1" t="s">
        <v>2494</v>
      </c>
      <c r="D29" s="1" t="s">
        <v>2684</v>
      </c>
      <c r="E29" s="1">
        <v>14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t="s">
        <v>420</v>
      </c>
      <c r="B30" s="1" t="s">
        <v>2470</v>
      </c>
      <c r="C30" s="1" t="s">
        <v>2494</v>
      </c>
      <c r="D30" s="1" t="s">
        <v>2685</v>
      </c>
      <c r="E30" s="1">
        <v>22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t="s">
        <v>420</v>
      </c>
      <c r="B31" s="1" t="s">
        <v>2470</v>
      </c>
      <c r="C31" s="1" t="s">
        <v>2494</v>
      </c>
      <c r="D31" s="1" t="s">
        <v>2686</v>
      </c>
      <c r="E31" s="1">
        <v>16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t="s">
        <v>420</v>
      </c>
      <c r="B32" s="1" t="s">
        <v>2470</v>
      </c>
      <c r="C32" s="1" t="s">
        <v>2494</v>
      </c>
      <c r="D32" s="1" t="s">
        <v>2687</v>
      </c>
      <c r="E32" s="1">
        <v>22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t="s">
        <v>420</v>
      </c>
      <c r="B33" s="1" t="s">
        <v>2470</v>
      </c>
      <c r="C33" s="1" t="s">
        <v>2494</v>
      </c>
      <c r="D33" s="1" t="s">
        <v>2688</v>
      </c>
      <c r="E33" s="1">
        <v>25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t="s">
        <v>420</v>
      </c>
      <c r="B34" s="1" t="s">
        <v>2470</v>
      </c>
      <c r="C34" s="1" t="s">
        <v>2494</v>
      </c>
      <c r="D34" s="1" t="s">
        <v>2689</v>
      </c>
      <c r="E34" s="1">
        <v>17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t="s">
        <v>420</v>
      </c>
      <c r="B35" s="1" t="s">
        <v>2470</v>
      </c>
      <c r="C35" s="1" t="s">
        <v>2494</v>
      </c>
      <c r="D35" s="1" t="s">
        <v>2690</v>
      </c>
      <c r="E35" s="1">
        <v>4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t="s">
        <v>420</v>
      </c>
      <c r="B36" s="1" t="s">
        <v>2470</v>
      </c>
      <c r="C36" s="1" t="s">
        <v>2493</v>
      </c>
      <c r="D36" s="1" t="s">
        <v>2677</v>
      </c>
      <c r="E36" s="1">
        <v>37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t="s">
        <v>420</v>
      </c>
      <c r="B37" s="1" t="s">
        <v>2470</v>
      </c>
      <c r="C37" s="1" t="s">
        <v>2493</v>
      </c>
      <c r="D37" s="1" t="s">
        <v>2678</v>
      </c>
      <c r="E37" s="1">
        <v>72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t="s">
        <v>420</v>
      </c>
      <c r="B38" s="1" t="s">
        <v>2470</v>
      </c>
      <c r="C38" s="1" t="s">
        <v>2493</v>
      </c>
      <c r="D38" s="1" t="s">
        <v>2679</v>
      </c>
      <c r="E38" s="1">
        <v>76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t="s">
        <v>420</v>
      </c>
      <c r="B39" s="1" t="s">
        <v>2470</v>
      </c>
      <c r="C39" s="1" t="s">
        <v>2493</v>
      </c>
      <c r="D39" s="1" t="s">
        <v>2680</v>
      </c>
      <c r="E39" s="1">
        <v>103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t="s">
        <v>420</v>
      </c>
      <c r="B40" s="1" t="s">
        <v>2470</v>
      </c>
      <c r="C40" s="1" t="s">
        <v>2493</v>
      </c>
      <c r="D40" s="1" t="s">
        <v>2681</v>
      </c>
      <c r="E40" s="1">
        <v>104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t="s">
        <v>420</v>
      </c>
      <c r="B41" s="1" t="s">
        <v>2470</v>
      </c>
      <c r="C41" s="1" t="s">
        <v>2493</v>
      </c>
      <c r="D41" s="1" t="s">
        <v>2682</v>
      </c>
      <c r="E41" s="1">
        <v>99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t="s">
        <v>420</v>
      </c>
      <c r="B42" s="1" t="s">
        <v>2470</v>
      </c>
      <c r="C42" s="1" t="s">
        <v>2493</v>
      </c>
      <c r="D42" s="1" t="s">
        <v>2683</v>
      </c>
      <c r="E42" s="1">
        <v>98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t="s">
        <v>420</v>
      </c>
      <c r="B43" s="1" t="s">
        <v>2470</v>
      </c>
      <c r="C43" s="1" t="s">
        <v>2493</v>
      </c>
      <c r="D43" s="1" t="s">
        <v>2684</v>
      </c>
      <c r="E43" s="1">
        <v>115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t="s">
        <v>420</v>
      </c>
      <c r="B44" s="1" t="s">
        <v>2470</v>
      </c>
      <c r="C44" s="1" t="s">
        <v>2493</v>
      </c>
      <c r="D44" s="1" t="s">
        <v>2685</v>
      </c>
      <c r="E44" s="1">
        <v>100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t="s">
        <v>420</v>
      </c>
      <c r="B45" s="1" t="s">
        <v>2470</v>
      </c>
      <c r="C45" s="1" t="s">
        <v>2493</v>
      </c>
      <c r="D45" s="1" t="s">
        <v>2686</v>
      </c>
      <c r="E45" s="1">
        <v>92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t="s">
        <v>420</v>
      </c>
      <c r="B46" s="1" t="s">
        <v>2470</v>
      </c>
      <c r="C46" s="1" t="s">
        <v>2493</v>
      </c>
      <c r="D46" s="1" t="s">
        <v>2687</v>
      </c>
      <c r="E46" s="1">
        <v>84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t="s">
        <v>420</v>
      </c>
      <c r="B47" s="1" t="s">
        <v>2470</v>
      </c>
      <c r="C47" s="1" t="s">
        <v>2493</v>
      </c>
      <c r="D47" s="1" t="s">
        <v>2688</v>
      </c>
      <c r="E47" s="1">
        <v>41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t="s">
        <v>420</v>
      </c>
      <c r="B48" s="1" t="s">
        <v>2470</v>
      </c>
      <c r="C48" s="1" t="s">
        <v>2493</v>
      </c>
      <c r="D48" s="1" t="s">
        <v>2689</v>
      </c>
      <c r="E48" s="1">
        <v>8</v>
      </c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t="s">
        <v>420</v>
      </c>
      <c r="B49" s="1" t="s">
        <v>2470</v>
      </c>
      <c r="C49" s="1" t="s">
        <v>2492</v>
      </c>
      <c r="D49" s="1" t="s">
        <v>2677</v>
      </c>
      <c r="E49" s="1">
        <v>245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t="s">
        <v>420</v>
      </c>
      <c r="B50" s="1" t="s">
        <v>2470</v>
      </c>
      <c r="C50" s="1" t="s">
        <v>2492</v>
      </c>
      <c r="D50" s="1" t="s">
        <v>2678</v>
      </c>
      <c r="E50" s="1">
        <v>525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t="s">
        <v>420</v>
      </c>
      <c r="B51" s="1" t="s">
        <v>2470</v>
      </c>
      <c r="C51" s="1" t="s">
        <v>2492</v>
      </c>
      <c r="D51" s="1" t="s">
        <v>2679</v>
      </c>
      <c r="E51" s="1">
        <v>553</v>
      </c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t="s">
        <v>420</v>
      </c>
      <c r="B52" s="1" t="s">
        <v>2470</v>
      </c>
      <c r="C52" s="1" t="s">
        <v>2492</v>
      </c>
      <c r="D52" s="1" t="s">
        <v>2680</v>
      </c>
      <c r="E52" s="1">
        <v>546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t="s">
        <v>420</v>
      </c>
      <c r="B53" s="1" t="s">
        <v>2470</v>
      </c>
      <c r="C53" s="1" t="s">
        <v>2492</v>
      </c>
      <c r="D53" s="1" t="s">
        <v>2681</v>
      </c>
      <c r="E53" s="1">
        <v>635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t="s">
        <v>420</v>
      </c>
      <c r="B54" s="1" t="s">
        <v>2470</v>
      </c>
      <c r="C54" s="1" t="s">
        <v>2492</v>
      </c>
      <c r="D54" s="1" t="s">
        <v>2682</v>
      </c>
      <c r="E54" s="1">
        <v>681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t="s">
        <v>420</v>
      </c>
      <c r="B55" s="1" t="s">
        <v>2470</v>
      </c>
      <c r="C55" s="1" t="s">
        <v>2492</v>
      </c>
      <c r="D55" s="1" t="s">
        <v>2683</v>
      </c>
      <c r="E55" s="1">
        <v>819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t="s">
        <v>420</v>
      </c>
      <c r="B56" s="1" t="s">
        <v>2470</v>
      </c>
      <c r="C56" s="1" t="s">
        <v>2492</v>
      </c>
      <c r="D56" s="1" t="s">
        <v>2684</v>
      </c>
      <c r="E56" s="1">
        <v>814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t="s">
        <v>420</v>
      </c>
      <c r="B57" s="1" t="s">
        <v>2470</v>
      </c>
      <c r="C57" s="1" t="s">
        <v>2492</v>
      </c>
      <c r="D57" s="1" t="s">
        <v>2685</v>
      </c>
      <c r="E57" s="1">
        <v>786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5">
      <c r="A58" t="s">
        <v>420</v>
      </c>
      <c r="B58" s="1" t="s">
        <v>2470</v>
      </c>
      <c r="C58" s="1" t="s">
        <v>2492</v>
      </c>
      <c r="D58" s="1" t="s">
        <v>2686</v>
      </c>
      <c r="E58" s="1">
        <v>857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t="s">
        <v>420</v>
      </c>
      <c r="B59" s="1" t="s">
        <v>2470</v>
      </c>
      <c r="C59" s="1" t="s">
        <v>2492</v>
      </c>
      <c r="D59" s="1" t="s">
        <v>2687</v>
      </c>
      <c r="E59" s="1">
        <v>860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t="s">
        <v>420</v>
      </c>
      <c r="B60" s="1" t="s">
        <v>2470</v>
      </c>
      <c r="C60" s="1" t="s">
        <v>2492</v>
      </c>
      <c r="D60" s="1" t="s">
        <v>2688</v>
      </c>
      <c r="E60" s="1">
        <v>900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t="s">
        <v>420</v>
      </c>
      <c r="B61" s="1" t="s">
        <v>2470</v>
      </c>
      <c r="C61" s="1" t="s">
        <v>2492</v>
      </c>
      <c r="D61" s="1" t="s">
        <v>2689</v>
      </c>
      <c r="E61" s="1">
        <v>903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t="s">
        <v>420</v>
      </c>
      <c r="B62" s="1" t="s">
        <v>2470</v>
      </c>
      <c r="C62" s="1" t="s">
        <v>2492</v>
      </c>
      <c r="D62" s="1" t="s">
        <v>2690</v>
      </c>
      <c r="E62" s="1">
        <v>849</v>
      </c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t="s">
        <v>420</v>
      </c>
      <c r="B63" s="1" t="s">
        <v>2470</v>
      </c>
      <c r="C63" s="1" t="s">
        <v>2491</v>
      </c>
      <c r="D63" s="1" t="s">
        <v>2677</v>
      </c>
      <c r="E63" s="1">
        <v>6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t="s">
        <v>420</v>
      </c>
      <c r="B64" s="1" t="s">
        <v>2470</v>
      </c>
      <c r="C64" s="1" t="s">
        <v>2491</v>
      </c>
      <c r="D64" s="1" t="s">
        <v>2678</v>
      </c>
      <c r="E64" s="1">
        <v>13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t="s">
        <v>420</v>
      </c>
      <c r="B65" s="1" t="s">
        <v>2470</v>
      </c>
      <c r="C65" s="1" t="s">
        <v>2491</v>
      </c>
      <c r="D65" s="1" t="s">
        <v>2679</v>
      </c>
      <c r="E65" s="1">
        <v>13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t="s">
        <v>420</v>
      </c>
      <c r="B66" s="1" t="s">
        <v>2470</v>
      </c>
      <c r="C66" s="1" t="s">
        <v>2491</v>
      </c>
      <c r="D66" s="1" t="s">
        <v>2680</v>
      </c>
      <c r="E66" s="1">
        <v>22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t="s">
        <v>420</v>
      </c>
      <c r="B67" s="1" t="s">
        <v>2470</v>
      </c>
      <c r="C67" s="1" t="s">
        <v>2491</v>
      </c>
      <c r="D67" s="1" t="s">
        <v>2681</v>
      </c>
      <c r="E67" s="1">
        <v>15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t="s">
        <v>420</v>
      </c>
      <c r="B68" s="1" t="s">
        <v>2470</v>
      </c>
      <c r="C68" s="1" t="s">
        <v>2491</v>
      </c>
      <c r="D68" s="1" t="s">
        <v>2682</v>
      </c>
      <c r="E68" s="1">
        <v>13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t="s">
        <v>420</v>
      </c>
      <c r="B69" s="1" t="s">
        <v>2470</v>
      </c>
      <c r="C69" s="1" t="s">
        <v>2491</v>
      </c>
      <c r="D69" s="1" t="s">
        <v>2683</v>
      </c>
      <c r="E69" s="1">
        <v>8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t="s">
        <v>420</v>
      </c>
      <c r="B70" s="1" t="s">
        <v>2470</v>
      </c>
      <c r="C70" s="1" t="s">
        <v>2491</v>
      </c>
      <c r="D70" s="1" t="s">
        <v>2684</v>
      </c>
      <c r="E70" s="1">
        <v>10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t="s">
        <v>420</v>
      </c>
      <c r="B71" s="1" t="s">
        <v>2470</v>
      </c>
      <c r="C71" s="1" t="s">
        <v>2491</v>
      </c>
      <c r="D71" s="1" t="s">
        <v>2685</v>
      </c>
      <c r="E71" s="1">
        <v>23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t="s">
        <v>420</v>
      </c>
      <c r="B72" s="1" t="s">
        <v>2470</v>
      </c>
      <c r="C72" s="1" t="s">
        <v>2491</v>
      </c>
      <c r="D72" s="1" t="s">
        <v>2686</v>
      </c>
      <c r="E72" s="1">
        <v>20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13" customFormat="1" x14ac:dyDescent="0.25">
      <c r="A73" s="13" t="s">
        <v>420</v>
      </c>
      <c r="B73" s="17" t="s">
        <v>2470</v>
      </c>
      <c r="C73" s="17" t="s">
        <v>2491</v>
      </c>
      <c r="D73" s="17" t="s">
        <v>2687</v>
      </c>
      <c r="E73" s="17">
        <v>14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x14ac:dyDescent="0.25">
      <c r="A74" t="s">
        <v>420</v>
      </c>
      <c r="B74" s="1" t="s">
        <v>2470</v>
      </c>
      <c r="C74" s="1" t="s">
        <v>2491</v>
      </c>
      <c r="D74" s="1" t="s">
        <v>2688</v>
      </c>
      <c r="E74" s="1">
        <v>12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t="s">
        <v>420</v>
      </c>
      <c r="B75" s="1" t="s">
        <v>2470</v>
      </c>
      <c r="C75" s="1" t="s">
        <v>765</v>
      </c>
      <c r="D75" s="1" t="s">
        <v>2677</v>
      </c>
      <c r="E75" s="1">
        <v>29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t="s">
        <v>420</v>
      </c>
      <c r="B76" s="1" t="s">
        <v>2470</v>
      </c>
      <c r="C76" s="1" t="s">
        <v>765</v>
      </c>
      <c r="D76" s="1" t="s">
        <v>2678</v>
      </c>
      <c r="E76" s="1">
        <v>73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t="s">
        <v>420</v>
      </c>
      <c r="B77" s="1" t="s">
        <v>2470</v>
      </c>
      <c r="C77" s="1" t="s">
        <v>765</v>
      </c>
      <c r="D77" s="1" t="s">
        <v>2679</v>
      </c>
      <c r="E77" s="1">
        <v>87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t="s">
        <v>420</v>
      </c>
      <c r="B78" s="1" t="s">
        <v>2470</v>
      </c>
      <c r="C78" s="1" t="s">
        <v>765</v>
      </c>
      <c r="D78" s="1" t="s">
        <v>2680</v>
      </c>
      <c r="E78" s="1">
        <v>108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t="s">
        <v>420</v>
      </c>
      <c r="B79" s="1" t="s">
        <v>2470</v>
      </c>
      <c r="C79" s="1" t="s">
        <v>765</v>
      </c>
      <c r="D79" s="1" t="s">
        <v>2681</v>
      </c>
      <c r="E79" s="1">
        <v>107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t="s">
        <v>420</v>
      </c>
      <c r="B80" s="1" t="s">
        <v>2470</v>
      </c>
      <c r="C80" s="1" t="s">
        <v>765</v>
      </c>
      <c r="D80" s="1" t="s">
        <v>2682</v>
      </c>
      <c r="E80" s="1">
        <v>124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t="s">
        <v>420</v>
      </c>
      <c r="B81" s="1" t="s">
        <v>2470</v>
      </c>
      <c r="C81" s="1" t="s">
        <v>765</v>
      </c>
      <c r="D81" s="1" t="s">
        <v>2683</v>
      </c>
      <c r="E81" s="1">
        <v>136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t="s">
        <v>420</v>
      </c>
      <c r="B82" s="1" t="s">
        <v>2470</v>
      </c>
      <c r="C82" s="1" t="s">
        <v>765</v>
      </c>
      <c r="D82" s="1" t="s">
        <v>2684</v>
      </c>
      <c r="E82" s="1">
        <v>135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t="s">
        <v>420</v>
      </c>
      <c r="B83" s="1" t="s">
        <v>2470</v>
      </c>
      <c r="C83" s="1" t="s">
        <v>765</v>
      </c>
      <c r="D83" s="1" t="s">
        <v>2685</v>
      </c>
      <c r="E83" s="1">
        <v>157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t="s">
        <v>420</v>
      </c>
      <c r="B84" s="1" t="s">
        <v>2470</v>
      </c>
      <c r="C84" s="1" t="s">
        <v>765</v>
      </c>
      <c r="D84" s="1" t="s">
        <v>2686</v>
      </c>
      <c r="E84" s="1">
        <v>155</v>
      </c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t="s">
        <v>420</v>
      </c>
      <c r="B85" s="1" t="s">
        <v>2470</v>
      </c>
      <c r="C85" s="1" t="s">
        <v>765</v>
      </c>
      <c r="D85" s="1" t="s">
        <v>2687</v>
      </c>
      <c r="E85" s="1">
        <v>164</v>
      </c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t="s">
        <v>420</v>
      </c>
      <c r="B86" s="1" t="s">
        <v>2470</v>
      </c>
      <c r="C86" s="1" t="s">
        <v>765</v>
      </c>
      <c r="D86" s="1" t="s">
        <v>2688</v>
      </c>
      <c r="E86" s="1">
        <v>183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t="s">
        <v>420</v>
      </c>
      <c r="B87" s="1" t="s">
        <v>2470</v>
      </c>
      <c r="C87" s="1" t="s">
        <v>765</v>
      </c>
      <c r="D87" s="1" t="s">
        <v>2689</v>
      </c>
      <c r="E87" s="1">
        <v>197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t="s">
        <v>420</v>
      </c>
      <c r="B88" s="1" t="s">
        <v>2470</v>
      </c>
      <c r="C88" s="1" t="s">
        <v>765</v>
      </c>
      <c r="D88" s="1" t="s">
        <v>2690</v>
      </c>
      <c r="E88" s="1">
        <v>180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t="s">
        <v>420</v>
      </c>
      <c r="B89" s="1" t="s">
        <v>2470</v>
      </c>
      <c r="C89" s="1" t="s">
        <v>2490</v>
      </c>
      <c r="D89" s="1" t="s">
        <v>2677</v>
      </c>
      <c r="E89" s="1">
        <v>7</v>
      </c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t="s">
        <v>420</v>
      </c>
      <c r="B90" s="1" t="s">
        <v>2470</v>
      </c>
      <c r="C90" s="1" t="s">
        <v>2490</v>
      </c>
      <c r="D90" s="1" t="s">
        <v>2678</v>
      </c>
      <c r="E90" s="1">
        <v>13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3" customFormat="1" x14ac:dyDescent="0.25">
      <c r="A91" s="13" t="s">
        <v>420</v>
      </c>
      <c r="B91" s="17" t="s">
        <v>2470</v>
      </c>
      <c r="C91" s="17" t="s">
        <v>2490</v>
      </c>
      <c r="D91" s="17" t="s">
        <v>2679</v>
      </c>
      <c r="E91" s="17">
        <v>11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x14ac:dyDescent="0.25">
      <c r="A92" t="s">
        <v>420</v>
      </c>
      <c r="B92" s="1" t="s">
        <v>2470</v>
      </c>
      <c r="C92" s="1" t="s">
        <v>2490</v>
      </c>
      <c r="D92" s="1" t="s">
        <v>2680</v>
      </c>
      <c r="E92" s="1">
        <v>14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t="s">
        <v>420</v>
      </c>
      <c r="B93" s="1" t="s">
        <v>2470</v>
      </c>
      <c r="C93" s="1" t="s">
        <v>2490</v>
      </c>
      <c r="D93" s="1" t="s">
        <v>2681</v>
      </c>
      <c r="E93" s="1">
        <v>18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t="s">
        <v>420</v>
      </c>
      <c r="B94" s="1" t="s">
        <v>2470</v>
      </c>
      <c r="C94" s="1" t="s">
        <v>2490</v>
      </c>
      <c r="D94" s="1" t="s">
        <v>2682</v>
      </c>
      <c r="E94" s="1">
        <v>14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t="s">
        <v>420</v>
      </c>
      <c r="B95" s="1" t="s">
        <v>2470</v>
      </c>
      <c r="C95" s="1" t="s">
        <v>2490</v>
      </c>
      <c r="D95" s="1" t="s">
        <v>2683</v>
      </c>
      <c r="E95" s="1">
        <v>17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t="s">
        <v>420</v>
      </c>
      <c r="B96" s="1" t="s">
        <v>2470</v>
      </c>
      <c r="C96" s="1" t="s">
        <v>2490</v>
      </c>
      <c r="D96" s="1" t="s">
        <v>2684</v>
      </c>
      <c r="E96" s="1">
        <v>22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t="s">
        <v>420</v>
      </c>
      <c r="B97" s="1" t="s">
        <v>2470</v>
      </c>
      <c r="C97" s="1" t="s">
        <v>2490</v>
      </c>
      <c r="D97" s="1" t="s">
        <v>2685</v>
      </c>
      <c r="E97" s="1">
        <v>24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5">
      <c r="A98" t="s">
        <v>420</v>
      </c>
      <c r="B98" s="1" t="s">
        <v>2470</v>
      </c>
      <c r="C98" s="1" t="s">
        <v>2490</v>
      </c>
      <c r="D98" s="1" t="s">
        <v>2686</v>
      </c>
      <c r="E98" s="1">
        <v>26</v>
      </c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t="s">
        <v>420</v>
      </c>
      <c r="B99" s="1" t="s">
        <v>2470</v>
      </c>
      <c r="C99" s="1" t="s">
        <v>2490</v>
      </c>
      <c r="D99" s="1" t="s">
        <v>2687</v>
      </c>
      <c r="E99" s="1">
        <v>26</v>
      </c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t="s">
        <v>420</v>
      </c>
      <c r="B100" s="1" t="s">
        <v>2470</v>
      </c>
      <c r="C100" s="1" t="s">
        <v>2490</v>
      </c>
      <c r="D100" s="1" t="s">
        <v>2688</v>
      </c>
      <c r="E100" s="1">
        <v>41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t="s">
        <v>420</v>
      </c>
      <c r="B101" s="1" t="s">
        <v>2470</v>
      </c>
      <c r="C101" s="1" t="s">
        <v>2490</v>
      </c>
      <c r="D101" s="1" t="s">
        <v>2689</v>
      </c>
      <c r="E101" s="1">
        <v>44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t="s">
        <v>420</v>
      </c>
      <c r="B102" s="1" t="s">
        <v>2470</v>
      </c>
      <c r="C102" s="1" t="s">
        <v>2490</v>
      </c>
      <c r="D102" s="1" t="s">
        <v>2690</v>
      </c>
      <c r="E102" s="1">
        <v>41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t="s">
        <v>420</v>
      </c>
      <c r="B103" s="1" t="s">
        <v>2470</v>
      </c>
      <c r="C103" s="1" t="s">
        <v>1135</v>
      </c>
      <c r="D103" s="1" t="s">
        <v>2677</v>
      </c>
      <c r="E103" s="1">
        <v>134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t="s">
        <v>420</v>
      </c>
      <c r="B104" s="1" t="s">
        <v>2470</v>
      </c>
      <c r="C104" s="1" t="s">
        <v>1135</v>
      </c>
      <c r="D104" s="1" t="s">
        <v>2678</v>
      </c>
      <c r="E104" s="1">
        <v>288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t="s">
        <v>420</v>
      </c>
      <c r="B105" s="1" t="s">
        <v>2470</v>
      </c>
      <c r="C105" s="1" t="s">
        <v>1135</v>
      </c>
      <c r="D105" s="1" t="s">
        <v>2679</v>
      </c>
      <c r="E105" s="1">
        <v>300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t="s">
        <v>420</v>
      </c>
      <c r="B106" s="1" t="s">
        <v>2470</v>
      </c>
      <c r="C106" s="1" t="s">
        <v>1135</v>
      </c>
      <c r="D106" s="1" t="s">
        <v>2680</v>
      </c>
      <c r="E106" s="1">
        <v>363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t="s">
        <v>420</v>
      </c>
      <c r="B107" s="1" t="s">
        <v>2470</v>
      </c>
      <c r="C107" s="1" t="s">
        <v>1135</v>
      </c>
      <c r="D107" s="1" t="s">
        <v>2681</v>
      </c>
      <c r="E107" s="1">
        <v>354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t="s">
        <v>420</v>
      </c>
      <c r="B108" s="1" t="s">
        <v>2470</v>
      </c>
      <c r="C108" s="1" t="s">
        <v>1135</v>
      </c>
      <c r="D108" s="1" t="s">
        <v>2682</v>
      </c>
      <c r="E108" s="1">
        <v>389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t="s">
        <v>420</v>
      </c>
      <c r="B109" s="1" t="s">
        <v>2470</v>
      </c>
      <c r="C109" s="1" t="s">
        <v>1135</v>
      </c>
      <c r="D109" s="1" t="s">
        <v>2683</v>
      </c>
      <c r="E109" s="1">
        <v>445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t="s">
        <v>420</v>
      </c>
      <c r="B110" s="1" t="s">
        <v>2470</v>
      </c>
      <c r="C110" s="1" t="s">
        <v>1135</v>
      </c>
      <c r="D110" s="1" t="s">
        <v>2684</v>
      </c>
      <c r="E110" s="1">
        <v>509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3" customFormat="1" x14ac:dyDescent="0.25">
      <c r="A111" s="13" t="s">
        <v>420</v>
      </c>
      <c r="B111" s="17" t="s">
        <v>2470</v>
      </c>
      <c r="C111" s="17" t="s">
        <v>1135</v>
      </c>
      <c r="D111" s="17" t="s">
        <v>2685</v>
      </c>
      <c r="E111" s="17">
        <v>509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x14ac:dyDescent="0.25">
      <c r="A112" t="s">
        <v>420</v>
      </c>
      <c r="B112" s="1" t="s">
        <v>2470</v>
      </c>
      <c r="C112" s="1" t="s">
        <v>1135</v>
      </c>
      <c r="D112" s="1" t="s">
        <v>2686</v>
      </c>
      <c r="E112" s="1">
        <v>474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t="s">
        <v>420</v>
      </c>
      <c r="B113" s="1" t="s">
        <v>2470</v>
      </c>
      <c r="C113" s="1" t="s">
        <v>1135</v>
      </c>
      <c r="D113" s="1" t="s">
        <v>2687</v>
      </c>
      <c r="E113" s="1">
        <v>469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t="s">
        <v>420</v>
      </c>
      <c r="B114" s="1" t="s">
        <v>2470</v>
      </c>
      <c r="C114" s="1" t="s">
        <v>1135</v>
      </c>
      <c r="D114" s="1" t="s">
        <v>2688</v>
      </c>
      <c r="E114" s="1">
        <v>491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t="s">
        <v>420</v>
      </c>
      <c r="B115" s="1" t="s">
        <v>2470</v>
      </c>
      <c r="C115" s="1" t="s">
        <v>1135</v>
      </c>
      <c r="D115" s="1" t="s">
        <v>2689</v>
      </c>
      <c r="E115" s="1">
        <v>473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t="s">
        <v>420</v>
      </c>
      <c r="B116" s="1" t="s">
        <v>2470</v>
      </c>
      <c r="C116" s="1" t="s">
        <v>1135</v>
      </c>
      <c r="D116" s="1" t="s">
        <v>2690</v>
      </c>
      <c r="E116" s="1">
        <v>521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5">
      <c r="A117" t="s">
        <v>420</v>
      </c>
      <c r="B117" s="1" t="s">
        <v>2470</v>
      </c>
      <c r="C117" s="1" t="s">
        <v>2691</v>
      </c>
      <c r="D117" s="1" t="s">
        <v>2677</v>
      </c>
      <c r="E117" s="1">
        <v>5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t="s">
        <v>420</v>
      </c>
      <c r="B118" s="1" t="s">
        <v>2470</v>
      </c>
      <c r="C118" s="1" t="s">
        <v>2691</v>
      </c>
      <c r="D118" s="1" t="s">
        <v>2678</v>
      </c>
      <c r="E118" s="1">
        <v>1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t="s">
        <v>420</v>
      </c>
      <c r="B119" s="1" t="s">
        <v>2470</v>
      </c>
      <c r="C119" s="1" t="s">
        <v>2691</v>
      </c>
      <c r="D119" s="1" t="s">
        <v>2679</v>
      </c>
      <c r="E119" s="1">
        <v>2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t="s">
        <v>420</v>
      </c>
      <c r="B120" s="1" t="s">
        <v>2470</v>
      </c>
      <c r="C120" s="1" t="s">
        <v>2489</v>
      </c>
      <c r="D120" s="1" t="s">
        <v>2677</v>
      </c>
      <c r="E120" s="1">
        <v>7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t="s">
        <v>420</v>
      </c>
      <c r="B121" s="1" t="s">
        <v>2470</v>
      </c>
      <c r="C121" s="1" t="s">
        <v>2489</v>
      </c>
      <c r="D121" s="1" t="s">
        <v>2678</v>
      </c>
      <c r="E121" s="1">
        <v>17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t="s">
        <v>420</v>
      </c>
      <c r="B122" s="1" t="s">
        <v>2470</v>
      </c>
      <c r="C122" s="1" t="s">
        <v>2489</v>
      </c>
      <c r="D122" s="1" t="s">
        <v>2679</v>
      </c>
      <c r="E122" s="1">
        <v>18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5">
      <c r="A123" t="s">
        <v>420</v>
      </c>
      <c r="B123" s="1" t="s">
        <v>2470</v>
      </c>
      <c r="C123" s="1" t="s">
        <v>2489</v>
      </c>
      <c r="D123" s="1" t="s">
        <v>2680</v>
      </c>
      <c r="E123" s="1">
        <v>22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5">
      <c r="A124" t="s">
        <v>420</v>
      </c>
      <c r="B124" s="1" t="s">
        <v>2470</v>
      </c>
      <c r="C124" s="1" t="s">
        <v>2489</v>
      </c>
      <c r="D124" s="1" t="s">
        <v>2681</v>
      </c>
      <c r="E124" s="1">
        <v>16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5">
      <c r="A125" t="s">
        <v>420</v>
      </c>
      <c r="B125" s="1" t="s">
        <v>2470</v>
      </c>
      <c r="C125" s="1" t="s">
        <v>2489</v>
      </c>
      <c r="D125" s="1" t="s">
        <v>2682</v>
      </c>
      <c r="E125" s="1">
        <v>16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5">
      <c r="A126" t="s">
        <v>420</v>
      </c>
      <c r="B126" s="1" t="s">
        <v>2470</v>
      </c>
      <c r="C126" s="1" t="s">
        <v>2489</v>
      </c>
      <c r="D126" s="1" t="s">
        <v>2683</v>
      </c>
      <c r="E126" s="1">
        <v>21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3" customFormat="1" x14ac:dyDescent="0.25">
      <c r="A127" s="13" t="s">
        <v>420</v>
      </c>
      <c r="B127" s="17" t="s">
        <v>2470</v>
      </c>
      <c r="C127" s="17" t="s">
        <v>2489</v>
      </c>
      <c r="D127" s="17" t="s">
        <v>2684</v>
      </c>
      <c r="E127" s="17">
        <v>15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1:15" x14ac:dyDescent="0.25">
      <c r="A128" t="s">
        <v>420</v>
      </c>
      <c r="B128" s="1" t="s">
        <v>2470</v>
      </c>
      <c r="C128" s="1" t="s">
        <v>2489</v>
      </c>
      <c r="D128" s="1" t="s">
        <v>2685</v>
      </c>
      <c r="E128" s="1">
        <v>17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5">
      <c r="A129" t="s">
        <v>420</v>
      </c>
      <c r="B129" s="1" t="s">
        <v>2470</v>
      </c>
      <c r="C129" s="1" t="s">
        <v>2489</v>
      </c>
      <c r="D129" s="1" t="s">
        <v>2686</v>
      </c>
      <c r="E129" s="1">
        <v>20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t="s">
        <v>420</v>
      </c>
      <c r="B130" s="1" t="s">
        <v>2470</v>
      </c>
      <c r="C130" s="1" t="s">
        <v>2489</v>
      </c>
      <c r="D130" s="1" t="s">
        <v>2687</v>
      </c>
      <c r="E130" s="1">
        <v>5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5">
      <c r="A131" t="s">
        <v>420</v>
      </c>
      <c r="B131" s="1" t="s">
        <v>2470</v>
      </c>
      <c r="C131" s="1" t="s">
        <v>2489</v>
      </c>
      <c r="D131" s="1" t="s">
        <v>2688</v>
      </c>
      <c r="E131" s="1">
        <v>4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5">
      <c r="A132" t="s">
        <v>420</v>
      </c>
      <c r="B132" s="1" t="s">
        <v>2470</v>
      </c>
      <c r="C132" s="1" t="s">
        <v>2489</v>
      </c>
      <c r="D132" s="1" t="s">
        <v>2689</v>
      </c>
      <c r="E132" s="1">
        <v>6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5">
      <c r="A133" t="s">
        <v>420</v>
      </c>
      <c r="B133" s="1" t="s">
        <v>2470</v>
      </c>
      <c r="C133" s="1" t="s">
        <v>2489</v>
      </c>
      <c r="D133" s="1" t="s">
        <v>2690</v>
      </c>
      <c r="E133" s="1">
        <v>11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5">
      <c r="A134" t="s">
        <v>420</v>
      </c>
      <c r="B134" s="1" t="s">
        <v>2470</v>
      </c>
      <c r="C134" s="1" t="s">
        <v>1158</v>
      </c>
      <c r="D134" s="1" t="s">
        <v>2677</v>
      </c>
      <c r="E134" s="1">
        <v>125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5">
      <c r="A135" t="s">
        <v>420</v>
      </c>
      <c r="B135" s="1" t="s">
        <v>2470</v>
      </c>
      <c r="C135" s="1" t="s">
        <v>1158</v>
      </c>
      <c r="D135" s="1" t="s">
        <v>2678</v>
      </c>
      <c r="E135" s="1">
        <v>251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5">
      <c r="A136" t="s">
        <v>420</v>
      </c>
      <c r="B136" s="1" t="s">
        <v>2470</v>
      </c>
      <c r="C136" s="1" t="s">
        <v>1158</v>
      </c>
      <c r="D136" s="1" t="s">
        <v>2679</v>
      </c>
      <c r="E136" s="1">
        <v>309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5">
      <c r="A137" t="s">
        <v>420</v>
      </c>
      <c r="B137" s="1" t="s">
        <v>2470</v>
      </c>
      <c r="C137" s="1" t="s">
        <v>1158</v>
      </c>
      <c r="D137" s="1" t="s">
        <v>2680</v>
      </c>
      <c r="E137" s="1">
        <v>349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5">
      <c r="A138" t="s">
        <v>420</v>
      </c>
      <c r="B138" s="1" t="s">
        <v>2470</v>
      </c>
      <c r="C138" s="1" t="s">
        <v>1158</v>
      </c>
      <c r="D138" s="1" t="s">
        <v>2681</v>
      </c>
      <c r="E138" s="1">
        <v>398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5">
      <c r="A139" t="s">
        <v>420</v>
      </c>
      <c r="B139" s="1" t="s">
        <v>2470</v>
      </c>
      <c r="C139" s="1" t="s">
        <v>1158</v>
      </c>
      <c r="D139" s="1" t="s">
        <v>2682</v>
      </c>
      <c r="E139" s="1">
        <v>354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5">
      <c r="A140" t="s">
        <v>420</v>
      </c>
      <c r="B140" s="1" t="s">
        <v>2470</v>
      </c>
      <c r="C140" s="1" t="s">
        <v>1158</v>
      </c>
      <c r="D140" s="1" t="s">
        <v>2683</v>
      </c>
      <c r="E140" s="1">
        <v>358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5">
      <c r="A141" t="s">
        <v>420</v>
      </c>
      <c r="B141" s="1" t="s">
        <v>2470</v>
      </c>
      <c r="C141" s="1" t="s">
        <v>1158</v>
      </c>
      <c r="D141" s="1" t="s">
        <v>2684</v>
      </c>
      <c r="E141" s="1">
        <v>312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5">
      <c r="A142" t="s">
        <v>420</v>
      </c>
      <c r="B142" s="1" t="s">
        <v>2470</v>
      </c>
      <c r="C142" s="1" t="s">
        <v>1158</v>
      </c>
      <c r="D142" s="1" t="s">
        <v>2685</v>
      </c>
      <c r="E142" s="1">
        <v>291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5">
      <c r="A143" t="s">
        <v>420</v>
      </c>
      <c r="B143" s="1" t="s">
        <v>2470</v>
      </c>
      <c r="C143" s="1" t="s">
        <v>1158</v>
      </c>
      <c r="D143" s="1" t="s">
        <v>2686</v>
      </c>
      <c r="E143" s="1">
        <v>260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5">
      <c r="A144" t="s">
        <v>420</v>
      </c>
      <c r="B144" s="1" t="s">
        <v>2470</v>
      </c>
      <c r="C144" s="1" t="s">
        <v>1158</v>
      </c>
      <c r="D144" s="1" t="s">
        <v>2687</v>
      </c>
      <c r="E144" s="1">
        <v>242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5">
      <c r="A145" t="s">
        <v>420</v>
      </c>
      <c r="B145" s="1" t="s">
        <v>2470</v>
      </c>
      <c r="C145" s="1" t="s">
        <v>1158</v>
      </c>
      <c r="D145" s="1" t="s">
        <v>2688</v>
      </c>
      <c r="E145" s="1">
        <v>230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5">
      <c r="A146" t="s">
        <v>420</v>
      </c>
      <c r="B146" s="1" t="s">
        <v>2470</v>
      </c>
      <c r="C146" s="1" t="s">
        <v>1158</v>
      </c>
      <c r="D146" s="1" t="s">
        <v>2689</v>
      </c>
      <c r="E146" s="1">
        <v>208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5">
      <c r="A147" t="s">
        <v>420</v>
      </c>
      <c r="B147" s="1" t="s">
        <v>2470</v>
      </c>
      <c r="C147" s="1" t="s">
        <v>1158</v>
      </c>
      <c r="D147" s="1" t="s">
        <v>2690</v>
      </c>
      <c r="E147" s="1">
        <v>190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5">
      <c r="A148" t="s">
        <v>420</v>
      </c>
      <c r="B148" s="1" t="s">
        <v>2470</v>
      </c>
      <c r="C148" s="1" t="s">
        <v>2510</v>
      </c>
      <c r="D148" s="1" t="s">
        <v>2677</v>
      </c>
      <c r="E148" s="1">
        <v>33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5">
      <c r="A149" t="s">
        <v>420</v>
      </c>
      <c r="B149" s="1" t="s">
        <v>2470</v>
      </c>
      <c r="C149" s="1" t="s">
        <v>2510</v>
      </c>
      <c r="D149" s="1" t="s">
        <v>2678</v>
      </c>
      <c r="E149" s="1">
        <v>8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5">
      <c r="A150" t="s">
        <v>420</v>
      </c>
      <c r="B150" s="1" t="s">
        <v>2470</v>
      </c>
      <c r="C150" s="1" t="s">
        <v>2488</v>
      </c>
      <c r="D150" s="1" t="s">
        <v>2677</v>
      </c>
      <c r="E150" s="1">
        <v>6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5">
      <c r="A151" t="s">
        <v>420</v>
      </c>
      <c r="B151" s="1" t="s">
        <v>2470</v>
      </c>
      <c r="C151" s="1" t="s">
        <v>2488</v>
      </c>
      <c r="D151" s="1" t="s">
        <v>2678</v>
      </c>
      <c r="E151" s="1">
        <v>19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5">
      <c r="A152" t="s">
        <v>420</v>
      </c>
      <c r="B152" s="1" t="s">
        <v>2470</v>
      </c>
      <c r="C152" s="1" t="s">
        <v>2488</v>
      </c>
      <c r="D152" s="1" t="s">
        <v>2679</v>
      </c>
      <c r="E152" s="1">
        <v>22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5">
      <c r="A153" t="s">
        <v>420</v>
      </c>
      <c r="B153" s="1" t="s">
        <v>2470</v>
      </c>
      <c r="C153" s="1" t="s">
        <v>2488</v>
      </c>
      <c r="D153" s="1" t="s">
        <v>2680</v>
      </c>
      <c r="E153" s="1">
        <v>15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5">
      <c r="A154" t="s">
        <v>420</v>
      </c>
      <c r="B154" s="1" t="s">
        <v>2470</v>
      </c>
      <c r="C154" s="1" t="s">
        <v>2488</v>
      </c>
      <c r="D154" s="1" t="s">
        <v>2681</v>
      </c>
      <c r="E154" s="1">
        <v>15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5">
      <c r="A155" t="s">
        <v>420</v>
      </c>
      <c r="B155" s="1" t="s">
        <v>2470</v>
      </c>
      <c r="C155" s="1" t="s">
        <v>2488</v>
      </c>
      <c r="D155" s="1" t="s">
        <v>2682</v>
      </c>
      <c r="E155" s="1">
        <v>14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5">
      <c r="A156" t="s">
        <v>420</v>
      </c>
      <c r="B156" s="1" t="s">
        <v>2470</v>
      </c>
      <c r="C156" s="1" t="s">
        <v>2488</v>
      </c>
      <c r="D156" s="1" t="s">
        <v>2683</v>
      </c>
      <c r="E156" s="1">
        <v>13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3" customFormat="1" x14ac:dyDescent="0.25">
      <c r="A157" s="13" t="s">
        <v>420</v>
      </c>
      <c r="B157" s="17" t="s">
        <v>2470</v>
      </c>
      <c r="C157" s="17" t="s">
        <v>2488</v>
      </c>
      <c r="D157" s="17" t="s">
        <v>2684</v>
      </c>
      <c r="E157" s="17">
        <v>22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x14ac:dyDescent="0.25">
      <c r="A158" t="s">
        <v>420</v>
      </c>
      <c r="B158" s="1" t="s">
        <v>2470</v>
      </c>
      <c r="C158" s="1" t="s">
        <v>2488</v>
      </c>
      <c r="D158" s="1" t="s">
        <v>2685</v>
      </c>
      <c r="E158" s="1">
        <v>21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5">
      <c r="A159" t="s">
        <v>420</v>
      </c>
      <c r="B159" s="1" t="s">
        <v>2470</v>
      </c>
      <c r="C159" s="1" t="s">
        <v>2488</v>
      </c>
      <c r="D159" s="1" t="s">
        <v>2686</v>
      </c>
      <c r="E159" s="1">
        <v>15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5">
      <c r="A160" t="s">
        <v>420</v>
      </c>
      <c r="B160" s="1" t="s">
        <v>2470</v>
      </c>
      <c r="C160" s="1" t="s">
        <v>1434</v>
      </c>
      <c r="D160" s="1" t="s">
        <v>2677</v>
      </c>
      <c r="E160" s="1">
        <v>53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5">
      <c r="A161" t="s">
        <v>420</v>
      </c>
      <c r="B161" s="1" t="s">
        <v>2470</v>
      </c>
      <c r="C161" s="1" t="s">
        <v>1434</v>
      </c>
      <c r="D161" s="1" t="s">
        <v>2678</v>
      </c>
      <c r="E161" s="1">
        <v>104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5">
      <c r="A162" t="s">
        <v>420</v>
      </c>
      <c r="B162" s="1" t="s">
        <v>2470</v>
      </c>
      <c r="C162" s="1" t="s">
        <v>1434</v>
      </c>
      <c r="D162" s="1" t="s">
        <v>2679</v>
      </c>
      <c r="E162" s="1">
        <v>93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5">
      <c r="A163" t="s">
        <v>420</v>
      </c>
      <c r="B163" s="1" t="s">
        <v>2470</v>
      </c>
      <c r="C163" s="1" t="s">
        <v>1434</v>
      </c>
      <c r="D163" s="1" t="s">
        <v>2680</v>
      </c>
      <c r="E163" s="1">
        <v>108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5">
      <c r="A164" t="s">
        <v>420</v>
      </c>
      <c r="B164" s="1" t="s">
        <v>2470</v>
      </c>
      <c r="C164" s="1" t="s">
        <v>1434</v>
      </c>
      <c r="D164" s="1" t="s">
        <v>2681</v>
      </c>
      <c r="E164" s="1">
        <v>143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5">
      <c r="A165" t="s">
        <v>420</v>
      </c>
      <c r="B165" s="1" t="s">
        <v>2470</v>
      </c>
      <c r="C165" s="1" t="s">
        <v>1434</v>
      </c>
      <c r="D165" s="1" t="s">
        <v>2682</v>
      </c>
      <c r="E165" s="1">
        <v>176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5">
      <c r="A166" t="s">
        <v>420</v>
      </c>
      <c r="B166" s="1" t="s">
        <v>2470</v>
      </c>
      <c r="C166" s="1" t="s">
        <v>1434</v>
      </c>
      <c r="D166" s="1" t="s">
        <v>2683</v>
      </c>
      <c r="E166" s="1">
        <v>171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5">
      <c r="A167" t="s">
        <v>420</v>
      </c>
      <c r="B167" s="1" t="s">
        <v>2470</v>
      </c>
      <c r="C167" s="1" t="s">
        <v>1434</v>
      </c>
      <c r="D167" s="1" t="s">
        <v>2684</v>
      </c>
      <c r="E167" s="1">
        <v>140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5">
      <c r="A168" t="s">
        <v>420</v>
      </c>
      <c r="B168" s="1" t="s">
        <v>2470</v>
      </c>
      <c r="C168" s="1" t="s">
        <v>1434</v>
      </c>
      <c r="D168" s="1" t="s">
        <v>2685</v>
      </c>
      <c r="E168" s="1">
        <v>139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5">
      <c r="A169" t="s">
        <v>420</v>
      </c>
      <c r="B169" s="1" t="s">
        <v>2470</v>
      </c>
      <c r="C169" s="1" t="s">
        <v>1434</v>
      </c>
      <c r="D169" s="1" t="s">
        <v>2686</v>
      </c>
      <c r="E169" s="1">
        <v>162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5">
      <c r="A170" t="s">
        <v>420</v>
      </c>
      <c r="B170" s="1" t="s">
        <v>2470</v>
      </c>
      <c r="C170" s="1" t="s">
        <v>1434</v>
      </c>
      <c r="D170" s="1" t="s">
        <v>2687</v>
      </c>
      <c r="E170" s="1">
        <v>144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5">
      <c r="A171" t="s">
        <v>420</v>
      </c>
      <c r="B171" s="1" t="s">
        <v>2470</v>
      </c>
      <c r="C171" s="1" t="s">
        <v>1434</v>
      </c>
      <c r="D171" s="1" t="s">
        <v>2688</v>
      </c>
      <c r="E171" s="1">
        <v>146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5">
      <c r="A172" t="s">
        <v>420</v>
      </c>
      <c r="B172" s="1" t="s">
        <v>2470</v>
      </c>
      <c r="C172" s="1" t="s">
        <v>1434</v>
      </c>
      <c r="D172" s="1" t="s">
        <v>2689</v>
      </c>
      <c r="E172" s="1">
        <v>139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5">
      <c r="A173" t="s">
        <v>420</v>
      </c>
      <c r="B173" s="1" t="s">
        <v>2470</v>
      </c>
      <c r="C173" s="1" t="s">
        <v>1434</v>
      </c>
      <c r="D173" s="1" t="s">
        <v>2690</v>
      </c>
      <c r="E173" s="1">
        <v>142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5">
      <c r="A174" t="s">
        <v>420</v>
      </c>
      <c r="B174" s="1" t="s">
        <v>2470</v>
      </c>
      <c r="C174" s="1" t="s">
        <v>1455</v>
      </c>
      <c r="D174" s="1" t="s">
        <v>2677</v>
      </c>
      <c r="E174" s="1">
        <v>147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3" customFormat="1" x14ac:dyDescent="0.25">
      <c r="A175" s="13" t="s">
        <v>420</v>
      </c>
      <c r="B175" s="17" t="s">
        <v>2470</v>
      </c>
      <c r="C175" s="17" t="s">
        <v>1455</v>
      </c>
      <c r="D175" s="17" t="s">
        <v>2678</v>
      </c>
      <c r="E175" s="17">
        <v>301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1:15" x14ac:dyDescent="0.25">
      <c r="A176" t="s">
        <v>420</v>
      </c>
      <c r="B176" s="1" t="s">
        <v>2470</v>
      </c>
      <c r="C176" s="1" t="s">
        <v>1455</v>
      </c>
      <c r="D176" s="1" t="s">
        <v>2679</v>
      </c>
      <c r="E176" s="1">
        <v>401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5">
      <c r="A177" t="s">
        <v>420</v>
      </c>
      <c r="B177" s="1" t="s">
        <v>2470</v>
      </c>
      <c r="C177" s="1" t="s">
        <v>1455</v>
      </c>
      <c r="D177" s="1" t="s">
        <v>2680</v>
      </c>
      <c r="E177" s="1">
        <v>398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5">
      <c r="A178" t="s">
        <v>420</v>
      </c>
      <c r="B178" s="1" t="s">
        <v>2470</v>
      </c>
      <c r="C178" s="1" t="s">
        <v>1455</v>
      </c>
      <c r="D178" s="1" t="s">
        <v>2681</v>
      </c>
      <c r="E178" s="1">
        <v>429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3" customFormat="1" x14ac:dyDescent="0.25">
      <c r="A179" s="13" t="s">
        <v>420</v>
      </c>
      <c r="B179" s="17" t="s">
        <v>2470</v>
      </c>
      <c r="C179" s="17" t="s">
        <v>1455</v>
      </c>
      <c r="D179" s="17" t="s">
        <v>2682</v>
      </c>
      <c r="E179" s="17">
        <v>500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1:15" x14ac:dyDescent="0.25">
      <c r="A180" t="s">
        <v>420</v>
      </c>
      <c r="B180" s="1" t="s">
        <v>2470</v>
      </c>
      <c r="C180" s="1" t="s">
        <v>1455</v>
      </c>
      <c r="D180" s="1" t="s">
        <v>2683</v>
      </c>
      <c r="E180" s="1">
        <v>560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5">
      <c r="A181" t="s">
        <v>420</v>
      </c>
      <c r="B181" s="1" t="s">
        <v>2470</v>
      </c>
      <c r="C181" s="1" t="s">
        <v>1455</v>
      </c>
      <c r="D181" s="1" t="s">
        <v>2684</v>
      </c>
      <c r="E181" s="1">
        <v>597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5">
      <c r="A182" t="s">
        <v>420</v>
      </c>
      <c r="B182" s="1" t="s">
        <v>2470</v>
      </c>
      <c r="C182" s="1" t="s">
        <v>1455</v>
      </c>
      <c r="D182" s="1" t="s">
        <v>2685</v>
      </c>
      <c r="E182" s="1">
        <v>636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5">
      <c r="A183" t="s">
        <v>420</v>
      </c>
      <c r="B183" s="1" t="s">
        <v>2470</v>
      </c>
      <c r="C183" s="1" t="s">
        <v>1455</v>
      </c>
      <c r="D183" s="1" t="s">
        <v>2686</v>
      </c>
      <c r="E183" s="1">
        <v>728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5">
      <c r="A184" t="s">
        <v>420</v>
      </c>
      <c r="B184" s="1" t="s">
        <v>2470</v>
      </c>
      <c r="C184" s="1" t="s">
        <v>1455</v>
      </c>
      <c r="D184" s="1" t="s">
        <v>2687</v>
      </c>
      <c r="E184" s="1">
        <v>837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5">
      <c r="A185" t="s">
        <v>420</v>
      </c>
      <c r="B185" s="1" t="s">
        <v>2470</v>
      </c>
      <c r="C185" s="1" t="s">
        <v>1455</v>
      </c>
      <c r="D185" s="1" t="s">
        <v>2688</v>
      </c>
      <c r="E185" s="1">
        <v>948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5">
      <c r="A186" t="s">
        <v>420</v>
      </c>
      <c r="B186" s="1" t="s">
        <v>2470</v>
      </c>
      <c r="C186" s="1" t="s">
        <v>1455</v>
      </c>
      <c r="D186" s="1" t="s">
        <v>2689</v>
      </c>
      <c r="E186" s="1">
        <v>896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5">
      <c r="A187" t="s">
        <v>420</v>
      </c>
      <c r="B187" s="1" t="s">
        <v>2470</v>
      </c>
      <c r="C187" s="1" t="s">
        <v>1455</v>
      </c>
      <c r="D187" s="1" t="s">
        <v>2690</v>
      </c>
      <c r="E187" s="1">
        <v>868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5">
      <c r="A188" t="s">
        <v>420</v>
      </c>
      <c r="B188" s="1" t="s">
        <v>2470</v>
      </c>
      <c r="C188" s="1" t="s">
        <v>1463</v>
      </c>
      <c r="D188" s="1" t="s">
        <v>2677</v>
      </c>
      <c r="E188" s="1">
        <v>70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25">
      <c r="A189" t="s">
        <v>420</v>
      </c>
      <c r="B189" s="1" t="s">
        <v>2470</v>
      </c>
      <c r="C189" s="1" t="s">
        <v>1463</v>
      </c>
      <c r="D189" s="1" t="s">
        <v>2678</v>
      </c>
      <c r="E189" s="1">
        <v>182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25">
      <c r="A190" t="s">
        <v>420</v>
      </c>
      <c r="B190" s="1" t="s">
        <v>2470</v>
      </c>
      <c r="C190" s="1" t="s">
        <v>1463</v>
      </c>
      <c r="D190" s="1" t="s">
        <v>2679</v>
      </c>
      <c r="E190" s="1">
        <v>213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25">
      <c r="A191" t="s">
        <v>420</v>
      </c>
      <c r="B191" s="1" t="s">
        <v>2470</v>
      </c>
      <c r="C191" s="1" t="s">
        <v>1463</v>
      </c>
      <c r="D191" s="1" t="s">
        <v>2680</v>
      </c>
      <c r="E191" s="1">
        <v>210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25">
      <c r="A192" t="s">
        <v>420</v>
      </c>
      <c r="B192" s="1" t="s">
        <v>2470</v>
      </c>
      <c r="C192" s="1" t="s">
        <v>1463</v>
      </c>
      <c r="D192" s="1" t="s">
        <v>2681</v>
      </c>
      <c r="E192" s="1">
        <v>234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5">
      <c r="A193" t="s">
        <v>420</v>
      </c>
      <c r="B193" s="1" t="s">
        <v>2470</v>
      </c>
      <c r="C193" s="1" t="s">
        <v>1463</v>
      </c>
      <c r="D193" s="1" t="s">
        <v>2682</v>
      </c>
      <c r="E193" s="1">
        <v>260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25">
      <c r="A194" t="s">
        <v>420</v>
      </c>
      <c r="B194" s="1" t="s">
        <v>2470</v>
      </c>
      <c r="C194" s="1" t="s">
        <v>1463</v>
      </c>
      <c r="D194" s="1" t="s">
        <v>2683</v>
      </c>
      <c r="E194" s="1">
        <v>265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25">
      <c r="A195" t="s">
        <v>420</v>
      </c>
      <c r="B195" s="1" t="s">
        <v>2470</v>
      </c>
      <c r="C195" s="1" t="s">
        <v>1463</v>
      </c>
      <c r="D195" s="1" t="s">
        <v>2684</v>
      </c>
      <c r="E195" s="1">
        <v>286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25">
      <c r="A196" t="s">
        <v>420</v>
      </c>
      <c r="B196" s="1" t="s">
        <v>2470</v>
      </c>
      <c r="C196" s="1" t="s">
        <v>1463</v>
      </c>
      <c r="D196" s="1" t="s">
        <v>2685</v>
      </c>
      <c r="E196" s="1">
        <v>291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25">
      <c r="A197" t="s">
        <v>420</v>
      </c>
      <c r="B197" s="1" t="s">
        <v>2470</v>
      </c>
      <c r="C197" s="1" t="s">
        <v>1463</v>
      </c>
      <c r="D197" s="1" t="s">
        <v>2686</v>
      </c>
      <c r="E197" s="1">
        <v>333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25">
      <c r="A198" t="s">
        <v>420</v>
      </c>
      <c r="B198" s="1" t="s">
        <v>2470</v>
      </c>
      <c r="C198" s="1" t="s">
        <v>1463</v>
      </c>
      <c r="D198" s="1" t="s">
        <v>2687</v>
      </c>
      <c r="E198" s="1">
        <v>383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25">
      <c r="A199" t="s">
        <v>420</v>
      </c>
      <c r="B199" s="1" t="s">
        <v>2470</v>
      </c>
      <c r="C199" s="1" t="s">
        <v>1463</v>
      </c>
      <c r="D199" s="1" t="s">
        <v>2688</v>
      </c>
      <c r="E199" s="1">
        <v>381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25">
      <c r="A200" t="s">
        <v>420</v>
      </c>
      <c r="B200" s="1" t="s">
        <v>2470</v>
      </c>
      <c r="C200" s="1" t="s">
        <v>1463</v>
      </c>
      <c r="D200" s="1" t="s">
        <v>2689</v>
      </c>
      <c r="E200" s="1">
        <v>334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25">
      <c r="A201" t="s">
        <v>420</v>
      </c>
      <c r="B201" s="1" t="s">
        <v>2470</v>
      </c>
      <c r="C201" s="1" t="s">
        <v>1463</v>
      </c>
      <c r="D201" s="1" t="s">
        <v>2690</v>
      </c>
      <c r="E201" s="1">
        <v>310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25">
      <c r="A202" t="s">
        <v>420</v>
      </c>
      <c r="B202" s="1" t="s">
        <v>2470</v>
      </c>
      <c r="C202" s="1" t="s">
        <v>2487</v>
      </c>
      <c r="D202" s="1" t="s">
        <v>2677</v>
      </c>
      <c r="E202" s="1">
        <v>8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25">
      <c r="A203" t="s">
        <v>420</v>
      </c>
      <c r="B203" s="1" t="s">
        <v>2470</v>
      </c>
      <c r="C203" s="1" t="s">
        <v>2487</v>
      </c>
      <c r="D203" s="1" t="s">
        <v>2678</v>
      </c>
      <c r="E203" s="1">
        <v>26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25">
      <c r="A204" t="s">
        <v>420</v>
      </c>
      <c r="B204" s="1" t="s">
        <v>2470</v>
      </c>
      <c r="C204" s="1" t="s">
        <v>2487</v>
      </c>
      <c r="D204" s="1" t="s">
        <v>2679</v>
      </c>
      <c r="E204" s="1">
        <v>30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25">
      <c r="A205" t="s">
        <v>420</v>
      </c>
      <c r="B205" s="1" t="s">
        <v>2470</v>
      </c>
      <c r="C205" s="1" t="s">
        <v>2487</v>
      </c>
      <c r="D205" s="1" t="s">
        <v>2680</v>
      </c>
      <c r="E205" s="1">
        <v>26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25">
      <c r="A206" t="s">
        <v>420</v>
      </c>
      <c r="B206" s="1" t="s">
        <v>2470</v>
      </c>
      <c r="C206" s="1" t="s">
        <v>2487</v>
      </c>
      <c r="D206" s="1" t="s">
        <v>2681</v>
      </c>
      <c r="E206" s="1">
        <v>22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25">
      <c r="A207" t="s">
        <v>420</v>
      </c>
      <c r="B207" s="1" t="s">
        <v>2470</v>
      </c>
      <c r="C207" s="1" t="s">
        <v>2487</v>
      </c>
      <c r="D207" s="1" t="s">
        <v>2682</v>
      </c>
      <c r="E207" s="1">
        <v>42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25">
      <c r="A208" t="s">
        <v>420</v>
      </c>
      <c r="B208" s="1" t="s">
        <v>2470</v>
      </c>
      <c r="C208" s="1" t="s">
        <v>2487</v>
      </c>
      <c r="D208" s="1" t="s">
        <v>2683</v>
      </c>
      <c r="E208" s="1">
        <v>51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25">
      <c r="A209" t="s">
        <v>420</v>
      </c>
      <c r="B209" s="1" t="s">
        <v>2470</v>
      </c>
      <c r="C209" s="1" t="s">
        <v>2487</v>
      </c>
      <c r="D209" s="1" t="s">
        <v>2684</v>
      </c>
      <c r="E209" s="1">
        <v>45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25">
      <c r="A210" t="s">
        <v>420</v>
      </c>
      <c r="B210" s="1" t="s">
        <v>2470</v>
      </c>
      <c r="C210" s="1" t="s">
        <v>2487</v>
      </c>
      <c r="D210" s="1" t="s">
        <v>2685</v>
      </c>
      <c r="E210" s="1">
        <v>45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25">
      <c r="A211" t="s">
        <v>420</v>
      </c>
      <c r="B211" s="1" t="s">
        <v>2470</v>
      </c>
      <c r="C211" s="1" t="s">
        <v>2487</v>
      </c>
      <c r="D211" s="1" t="s">
        <v>2686</v>
      </c>
      <c r="E211" s="1">
        <v>62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25">
      <c r="A212" t="s">
        <v>420</v>
      </c>
      <c r="B212" s="1" t="s">
        <v>2470</v>
      </c>
      <c r="C212" s="1" t="s">
        <v>2487</v>
      </c>
      <c r="D212" s="1" t="s">
        <v>2687</v>
      </c>
      <c r="E212" s="1">
        <v>54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25">
      <c r="A213" t="s">
        <v>420</v>
      </c>
      <c r="B213" s="1" t="s">
        <v>2470</v>
      </c>
      <c r="C213" s="1" t="s">
        <v>2487</v>
      </c>
      <c r="D213" s="1" t="s">
        <v>2688</v>
      </c>
      <c r="E213" s="1">
        <v>65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25">
      <c r="A214" t="s">
        <v>420</v>
      </c>
      <c r="B214" s="1" t="s">
        <v>2470</v>
      </c>
      <c r="C214" s="1" t="s">
        <v>2487</v>
      </c>
      <c r="D214" s="1" t="s">
        <v>2689</v>
      </c>
      <c r="E214" s="1">
        <v>44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25">
      <c r="A215" t="s">
        <v>420</v>
      </c>
      <c r="B215" s="1" t="s">
        <v>2470</v>
      </c>
      <c r="C215" s="1" t="s">
        <v>2487</v>
      </c>
      <c r="D215" s="1" t="s">
        <v>2690</v>
      </c>
      <c r="E215" s="1">
        <v>40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25">
      <c r="A216" t="s">
        <v>420</v>
      </c>
      <c r="B216" s="1" t="s">
        <v>2470</v>
      </c>
      <c r="C216" s="1" t="s">
        <v>1507</v>
      </c>
      <c r="D216" s="1" t="s">
        <v>2681</v>
      </c>
      <c r="E216" s="1">
        <v>116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25">
      <c r="A217" t="s">
        <v>420</v>
      </c>
      <c r="B217" s="1" t="s">
        <v>2470</v>
      </c>
      <c r="C217" s="1" t="s">
        <v>1507</v>
      </c>
      <c r="D217" s="1" t="s">
        <v>2682</v>
      </c>
      <c r="E217" s="1">
        <v>119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25">
      <c r="A218" t="s">
        <v>420</v>
      </c>
      <c r="B218" s="1" t="s">
        <v>2470</v>
      </c>
      <c r="C218" s="1" t="s">
        <v>1507</v>
      </c>
      <c r="D218" s="1" t="s">
        <v>2683</v>
      </c>
      <c r="E218" s="1">
        <v>106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25">
      <c r="A219" t="s">
        <v>420</v>
      </c>
      <c r="B219" s="1" t="s">
        <v>2470</v>
      </c>
      <c r="C219" s="1" t="s">
        <v>1507</v>
      </c>
      <c r="D219" s="1" t="s">
        <v>2684</v>
      </c>
      <c r="E219" s="1">
        <v>123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25">
      <c r="A220" t="s">
        <v>420</v>
      </c>
      <c r="B220" s="1" t="s">
        <v>2470</v>
      </c>
      <c r="C220" s="1" t="s">
        <v>1507</v>
      </c>
      <c r="D220" s="1" t="s">
        <v>2685</v>
      </c>
      <c r="E220" s="1">
        <v>150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25">
      <c r="A221" t="s">
        <v>420</v>
      </c>
      <c r="B221" s="1" t="s">
        <v>2470</v>
      </c>
      <c r="C221" s="1" t="s">
        <v>1507</v>
      </c>
      <c r="D221" s="1" t="s">
        <v>2686</v>
      </c>
      <c r="E221" s="1">
        <v>153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25">
      <c r="A222" t="s">
        <v>420</v>
      </c>
      <c r="B222" s="1" t="s">
        <v>2470</v>
      </c>
      <c r="C222" s="1" t="s">
        <v>1507</v>
      </c>
      <c r="D222" s="1" t="s">
        <v>2687</v>
      </c>
      <c r="E222" s="1">
        <v>157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25">
      <c r="A223" t="s">
        <v>420</v>
      </c>
      <c r="B223" s="1" t="s">
        <v>2470</v>
      </c>
      <c r="C223" s="1" t="s">
        <v>1507</v>
      </c>
      <c r="D223" s="1" t="s">
        <v>2688</v>
      </c>
      <c r="E223" s="1">
        <v>155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25">
      <c r="A224" t="s">
        <v>420</v>
      </c>
      <c r="B224" s="1" t="s">
        <v>2470</v>
      </c>
      <c r="C224" s="1" t="s">
        <v>1507</v>
      </c>
      <c r="D224" s="1" t="s">
        <v>2689</v>
      </c>
      <c r="E224" s="1">
        <v>145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3" customFormat="1" x14ac:dyDescent="0.25">
      <c r="A225" s="13" t="s">
        <v>420</v>
      </c>
      <c r="B225" s="17" t="s">
        <v>2470</v>
      </c>
      <c r="C225" s="17" t="s">
        <v>1507</v>
      </c>
      <c r="D225" s="17" t="s">
        <v>2690</v>
      </c>
      <c r="E225" s="17">
        <v>142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</row>
    <row r="226" spans="1:15" x14ac:dyDescent="0.25">
      <c r="A226" t="s">
        <v>420</v>
      </c>
      <c r="B226" s="1" t="s">
        <v>2470</v>
      </c>
      <c r="C226" s="1" t="s">
        <v>1516</v>
      </c>
      <c r="D226" s="1" t="s">
        <v>2677</v>
      </c>
      <c r="E226" s="1">
        <v>39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25">
      <c r="A227" t="s">
        <v>420</v>
      </c>
      <c r="B227" s="1" t="s">
        <v>2470</v>
      </c>
      <c r="C227" s="1" t="s">
        <v>1516</v>
      </c>
      <c r="D227" s="1" t="s">
        <v>2678</v>
      </c>
      <c r="E227" s="1">
        <v>76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3" customFormat="1" x14ac:dyDescent="0.25">
      <c r="A228" s="13" t="s">
        <v>420</v>
      </c>
      <c r="B228" s="17" t="s">
        <v>2470</v>
      </c>
      <c r="C228" s="17" t="s">
        <v>1516</v>
      </c>
      <c r="D228" s="17" t="s">
        <v>2679</v>
      </c>
      <c r="E228" s="17">
        <v>97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spans="1:15" x14ac:dyDescent="0.25">
      <c r="A229" t="s">
        <v>420</v>
      </c>
      <c r="B229" s="1" t="s">
        <v>2470</v>
      </c>
      <c r="C229" s="1" t="s">
        <v>1516</v>
      </c>
      <c r="D229" s="1" t="s">
        <v>2680</v>
      </c>
      <c r="E229" s="1">
        <v>117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25">
      <c r="A230" t="s">
        <v>420</v>
      </c>
      <c r="B230" s="1" t="s">
        <v>2470</v>
      </c>
      <c r="C230" s="1" t="s">
        <v>1516</v>
      </c>
      <c r="D230" s="1" t="s">
        <v>2681</v>
      </c>
      <c r="E230" s="1">
        <v>96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3" customFormat="1" x14ac:dyDescent="0.25">
      <c r="A231" s="13" t="s">
        <v>420</v>
      </c>
      <c r="B231" s="17" t="s">
        <v>2470</v>
      </c>
      <c r="C231" s="17" t="s">
        <v>1516</v>
      </c>
      <c r="D231" s="17" t="s">
        <v>2682</v>
      </c>
      <c r="E231" s="17">
        <v>129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</row>
    <row r="232" spans="1:15" x14ac:dyDescent="0.25">
      <c r="A232" t="s">
        <v>420</v>
      </c>
      <c r="B232" s="1" t="s">
        <v>2470</v>
      </c>
      <c r="C232" s="1" t="s">
        <v>1516</v>
      </c>
      <c r="D232" s="1" t="s">
        <v>2683</v>
      </c>
      <c r="E232" s="1">
        <v>152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25">
      <c r="A233" t="s">
        <v>420</v>
      </c>
      <c r="B233" s="1" t="s">
        <v>2470</v>
      </c>
      <c r="C233" s="1" t="s">
        <v>1516</v>
      </c>
      <c r="D233" s="1" t="s">
        <v>2684</v>
      </c>
      <c r="E233" s="1">
        <v>194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3" customFormat="1" x14ac:dyDescent="0.25">
      <c r="A234" s="13" t="s">
        <v>420</v>
      </c>
      <c r="B234" s="17" t="s">
        <v>2470</v>
      </c>
      <c r="C234" s="17" t="s">
        <v>1516</v>
      </c>
      <c r="D234" s="17" t="s">
        <v>2685</v>
      </c>
      <c r="E234" s="17">
        <v>212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</row>
    <row r="235" spans="1:15" s="13" customFormat="1" x14ac:dyDescent="0.25">
      <c r="A235" s="13" t="s">
        <v>420</v>
      </c>
      <c r="B235" s="17" t="s">
        <v>2470</v>
      </c>
      <c r="C235" s="17" t="s">
        <v>1516</v>
      </c>
      <c r="D235" s="17" t="s">
        <v>2686</v>
      </c>
      <c r="E235" s="17">
        <v>216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1:15" x14ac:dyDescent="0.25">
      <c r="A236" t="s">
        <v>420</v>
      </c>
      <c r="B236" s="1" t="s">
        <v>2470</v>
      </c>
      <c r="C236" s="1" t="s">
        <v>1516</v>
      </c>
      <c r="D236" s="1" t="s">
        <v>2687</v>
      </c>
      <c r="E236" s="1">
        <v>200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25">
      <c r="A237" t="s">
        <v>420</v>
      </c>
      <c r="B237" s="1" t="s">
        <v>2470</v>
      </c>
      <c r="C237" s="1" t="s">
        <v>1516</v>
      </c>
      <c r="D237" s="1" t="s">
        <v>2688</v>
      </c>
      <c r="E237" s="1">
        <v>210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25">
      <c r="A238" t="s">
        <v>420</v>
      </c>
      <c r="B238" t="s">
        <v>2470</v>
      </c>
      <c r="C238" t="s">
        <v>1516</v>
      </c>
      <c r="D238" t="s">
        <v>2689</v>
      </c>
      <c r="E238">
        <v>177</v>
      </c>
    </row>
    <row r="239" spans="1:15" s="13" customFormat="1" x14ac:dyDescent="0.25">
      <c r="A239" s="13" t="s">
        <v>420</v>
      </c>
      <c r="B239" s="17" t="s">
        <v>2470</v>
      </c>
      <c r="C239" s="17" t="s">
        <v>1516</v>
      </c>
      <c r="D239" s="17" t="s">
        <v>2690</v>
      </c>
      <c r="E239" s="17">
        <v>153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</row>
    <row r="240" spans="1:15" x14ac:dyDescent="0.25">
      <c r="A240" t="s">
        <v>420</v>
      </c>
      <c r="B240" s="1" t="s">
        <v>2470</v>
      </c>
      <c r="C240" s="1" t="s">
        <v>2486</v>
      </c>
      <c r="D240" s="1" t="s">
        <v>2677</v>
      </c>
      <c r="E240" s="1">
        <v>10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25">
      <c r="A241" t="s">
        <v>420</v>
      </c>
      <c r="B241" s="1" t="s">
        <v>2470</v>
      </c>
      <c r="C241" s="1" t="s">
        <v>2486</v>
      </c>
      <c r="D241" s="1" t="s">
        <v>2678</v>
      </c>
      <c r="E241" s="1">
        <v>24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25">
      <c r="A242" t="s">
        <v>420</v>
      </c>
      <c r="B242" s="1" t="s">
        <v>2470</v>
      </c>
      <c r="C242" s="1" t="s">
        <v>2486</v>
      </c>
      <c r="D242" s="1" t="s">
        <v>2679</v>
      </c>
      <c r="E242" s="1">
        <v>26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25">
      <c r="A243" t="s">
        <v>420</v>
      </c>
      <c r="B243" s="1" t="s">
        <v>2470</v>
      </c>
      <c r="C243" s="1" t="s">
        <v>2486</v>
      </c>
      <c r="D243" s="1" t="s">
        <v>2680</v>
      </c>
      <c r="E243" s="1">
        <v>22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25">
      <c r="A244" t="s">
        <v>420</v>
      </c>
      <c r="B244" s="1" t="s">
        <v>2470</v>
      </c>
      <c r="C244" s="1" t="s">
        <v>2486</v>
      </c>
      <c r="D244" s="1" t="s">
        <v>2681</v>
      </c>
      <c r="E244" s="1">
        <v>23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25">
      <c r="A245" t="s">
        <v>420</v>
      </c>
      <c r="B245" s="1" t="s">
        <v>2470</v>
      </c>
      <c r="C245" s="1" t="s">
        <v>2486</v>
      </c>
      <c r="D245" s="1" t="s">
        <v>2682</v>
      </c>
      <c r="E245" s="1">
        <v>35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25">
      <c r="A246" t="s">
        <v>420</v>
      </c>
      <c r="B246" s="1" t="s">
        <v>2470</v>
      </c>
      <c r="C246" s="1" t="s">
        <v>2486</v>
      </c>
      <c r="D246" s="1" t="s">
        <v>2683</v>
      </c>
      <c r="E246" s="1">
        <v>36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25">
      <c r="A247" t="s">
        <v>420</v>
      </c>
      <c r="B247" s="1" t="s">
        <v>2470</v>
      </c>
      <c r="C247" s="1" t="s">
        <v>2486</v>
      </c>
      <c r="D247" s="1" t="s">
        <v>2684</v>
      </c>
      <c r="E247" s="1">
        <v>31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25">
      <c r="A248" t="s">
        <v>420</v>
      </c>
      <c r="B248" s="1" t="s">
        <v>2470</v>
      </c>
      <c r="C248" s="1" t="s">
        <v>2486</v>
      </c>
      <c r="D248" s="1" t="s">
        <v>2685</v>
      </c>
      <c r="E248" s="1">
        <v>40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25">
      <c r="A249" t="s">
        <v>420</v>
      </c>
      <c r="B249" s="1" t="s">
        <v>2470</v>
      </c>
      <c r="C249" s="1" t="s">
        <v>2486</v>
      </c>
      <c r="D249" s="1" t="s">
        <v>2686</v>
      </c>
      <c r="E249" s="1">
        <v>52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25">
      <c r="A250" t="s">
        <v>420</v>
      </c>
      <c r="B250" s="1" t="s">
        <v>2470</v>
      </c>
      <c r="C250" s="1" t="s">
        <v>2486</v>
      </c>
      <c r="D250" s="1" t="s">
        <v>2687</v>
      </c>
      <c r="E250" s="1">
        <v>62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25">
      <c r="A251" t="s">
        <v>420</v>
      </c>
      <c r="B251" s="1" t="s">
        <v>2470</v>
      </c>
      <c r="C251" s="1" t="s">
        <v>2486</v>
      </c>
      <c r="D251" s="1" t="s">
        <v>2688</v>
      </c>
      <c r="E251" s="1">
        <v>67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25">
      <c r="A252" t="s">
        <v>420</v>
      </c>
      <c r="B252" s="1" t="s">
        <v>2470</v>
      </c>
      <c r="C252" s="1" t="s">
        <v>2486</v>
      </c>
      <c r="D252" s="1" t="s">
        <v>2689</v>
      </c>
      <c r="E252" s="1">
        <v>44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25">
      <c r="A253" t="s">
        <v>420</v>
      </c>
      <c r="B253" s="1" t="s">
        <v>2470</v>
      </c>
      <c r="C253" s="1" t="s">
        <v>2486</v>
      </c>
      <c r="D253" s="1" t="s">
        <v>2690</v>
      </c>
      <c r="E253" s="1">
        <v>53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25">
      <c r="A254" t="s">
        <v>420</v>
      </c>
      <c r="B254" s="1" t="s">
        <v>2470</v>
      </c>
      <c r="C254" s="1" t="s">
        <v>2485</v>
      </c>
      <c r="D254" s="1" t="s">
        <v>2677</v>
      </c>
      <c r="E254" s="1">
        <v>1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25">
      <c r="A255" t="s">
        <v>420</v>
      </c>
      <c r="B255" s="1" t="s">
        <v>2470</v>
      </c>
      <c r="C255" s="1" t="s">
        <v>2485</v>
      </c>
      <c r="D255" s="1" t="s">
        <v>2678</v>
      </c>
      <c r="E255" s="1">
        <v>8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25">
      <c r="A256" t="s">
        <v>420</v>
      </c>
      <c r="B256" s="1" t="s">
        <v>2470</v>
      </c>
      <c r="C256" s="1" t="s">
        <v>2485</v>
      </c>
      <c r="D256" s="1" t="s">
        <v>2679</v>
      </c>
      <c r="E256" s="1">
        <v>15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25">
      <c r="A257" t="s">
        <v>420</v>
      </c>
      <c r="B257" s="1" t="s">
        <v>2470</v>
      </c>
      <c r="C257" s="1" t="s">
        <v>2485</v>
      </c>
      <c r="D257" s="1" t="s">
        <v>2680</v>
      </c>
      <c r="E257" s="1">
        <v>30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3" customFormat="1" x14ac:dyDescent="0.25">
      <c r="A258" s="13" t="s">
        <v>420</v>
      </c>
      <c r="B258" s="17" t="s">
        <v>2470</v>
      </c>
      <c r="C258" s="17" t="s">
        <v>2485</v>
      </c>
      <c r="D258" s="17" t="s">
        <v>2681</v>
      </c>
      <c r="E258" s="17">
        <v>37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</row>
    <row r="259" spans="1:15" x14ac:dyDescent="0.25">
      <c r="A259" t="s">
        <v>420</v>
      </c>
      <c r="B259" s="1" t="s">
        <v>2470</v>
      </c>
      <c r="C259" s="1" t="s">
        <v>2485</v>
      </c>
      <c r="D259" s="1" t="s">
        <v>2682</v>
      </c>
      <c r="E259" s="1">
        <v>47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25">
      <c r="A260" t="s">
        <v>420</v>
      </c>
      <c r="B260" s="1" t="s">
        <v>2470</v>
      </c>
      <c r="C260" s="1" t="s">
        <v>2485</v>
      </c>
      <c r="D260" s="1" t="s">
        <v>2683</v>
      </c>
      <c r="E260" s="1">
        <v>68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25">
      <c r="A261" t="s">
        <v>420</v>
      </c>
      <c r="B261" s="1" t="s">
        <v>2470</v>
      </c>
      <c r="C261" s="1" t="s">
        <v>2485</v>
      </c>
      <c r="D261" s="1" t="s">
        <v>2684</v>
      </c>
      <c r="E261" s="1">
        <v>93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25">
      <c r="A262" s="13" t="s">
        <v>420</v>
      </c>
      <c r="B262" s="1" t="s">
        <v>2470</v>
      </c>
      <c r="C262" s="1" t="s">
        <v>2485</v>
      </c>
      <c r="D262" s="1" t="s">
        <v>2685</v>
      </c>
      <c r="E262" s="1">
        <v>114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5">
      <c r="A263" t="s">
        <v>420</v>
      </c>
      <c r="B263" s="1" t="s">
        <v>2470</v>
      </c>
      <c r="C263" s="1" t="s">
        <v>2485</v>
      </c>
      <c r="D263" s="1" t="s">
        <v>2686</v>
      </c>
      <c r="E263" s="1">
        <v>115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25">
      <c r="A264" t="s">
        <v>420</v>
      </c>
      <c r="B264" s="1" t="s">
        <v>2470</v>
      </c>
      <c r="C264" s="1" t="s">
        <v>2485</v>
      </c>
      <c r="D264" s="1" t="s">
        <v>2687</v>
      </c>
      <c r="E264" s="1">
        <v>127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3" customFormat="1" x14ac:dyDescent="0.25">
      <c r="A265" s="13" t="s">
        <v>420</v>
      </c>
      <c r="B265" s="17" t="s">
        <v>2470</v>
      </c>
      <c r="C265" s="17" t="s">
        <v>2485</v>
      </c>
      <c r="D265" s="17" t="s">
        <v>2688</v>
      </c>
      <c r="E265" s="17">
        <v>134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</row>
    <row r="266" spans="1:15" x14ac:dyDescent="0.25">
      <c r="A266" t="s">
        <v>420</v>
      </c>
      <c r="B266" s="1" t="s">
        <v>2470</v>
      </c>
      <c r="C266" s="1" t="s">
        <v>2485</v>
      </c>
      <c r="D266" s="1" t="s">
        <v>2689</v>
      </c>
      <c r="E266" s="1">
        <v>143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5">
      <c r="A267" t="s">
        <v>420</v>
      </c>
      <c r="B267" s="1" t="s">
        <v>2470</v>
      </c>
      <c r="C267" s="1" t="s">
        <v>2485</v>
      </c>
      <c r="D267" s="1" t="s">
        <v>2690</v>
      </c>
      <c r="E267" s="1">
        <v>144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5">
      <c r="A268" t="s">
        <v>420</v>
      </c>
      <c r="B268" s="1" t="s">
        <v>2470</v>
      </c>
      <c r="C268" s="1" t="s">
        <v>1597</v>
      </c>
      <c r="D268" s="1" t="s">
        <v>2677</v>
      </c>
      <c r="E268" s="1">
        <v>114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5">
      <c r="A269" t="s">
        <v>420</v>
      </c>
      <c r="B269" s="1" t="s">
        <v>2470</v>
      </c>
      <c r="C269" s="1" t="s">
        <v>1597</v>
      </c>
      <c r="D269" s="1" t="s">
        <v>2678</v>
      </c>
      <c r="E269" s="1">
        <v>205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5">
      <c r="A270" t="s">
        <v>420</v>
      </c>
      <c r="B270" s="1" t="s">
        <v>2470</v>
      </c>
      <c r="C270" s="1" t="s">
        <v>1597</v>
      </c>
      <c r="D270" s="1" t="s">
        <v>2679</v>
      </c>
      <c r="E270" s="1">
        <v>236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5">
      <c r="A271" t="s">
        <v>420</v>
      </c>
      <c r="B271" s="1" t="s">
        <v>2470</v>
      </c>
      <c r="C271" s="1" t="s">
        <v>1597</v>
      </c>
      <c r="D271" s="1" t="s">
        <v>2680</v>
      </c>
      <c r="E271" s="1">
        <v>282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5">
      <c r="A272" t="s">
        <v>420</v>
      </c>
      <c r="B272" t="s">
        <v>2470</v>
      </c>
      <c r="C272" t="s">
        <v>1597</v>
      </c>
      <c r="D272" t="s">
        <v>2681</v>
      </c>
      <c r="E272">
        <v>288</v>
      </c>
    </row>
    <row r="273" spans="1:15" s="13" customFormat="1" x14ac:dyDescent="0.25">
      <c r="A273" s="13" t="s">
        <v>420</v>
      </c>
      <c r="B273" s="13" t="s">
        <v>2470</v>
      </c>
      <c r="C273" s="13" t="s">
        <v>1597</v>
      </c>
      <c r="D273" s="13" t="s">
        <v>2682</v>
      </c>
      <c r="E273" s="13">
        <v>300</v>
      </c>
    </row>
    <row r="274" spans="1:15" x14ac:dyDescent="0.25">
      <c r="A274" t="s">
        <v>420</v>
      </c>
      <c r="B274" s="1" t="s">
        <v>2470</v>
      </c>
      <c r="C274" s="1" t="s">
        <v>1597</v>
      </c>
      <c r="D274" s="1" t="s">
        <v>2683</v>
      </c>
      <c r="E274" s="1">
        <v>344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25">
      <c r="A275" t="s">
        <v>420</v>
      </c>
      <c r="B275" s="1" t="s">
        <v>2470</v>
      </c>
      <c r="C275" s="1" t="s">
        <v>1597</v>
      </c>
      <c r="D275" s="1" t="s">
        <v>2684</v>
      </c>
      <c r="E275" s="1">
        <v>377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25">
      <c r="A276" t="s">
        <v>420</v>
      </c>
      <c r="B276" s="1" t="s">
        <v>2470</v>
      </c>
      <c r="C276" s="1" t="s">
        <v>1597</v>
      </c>
      <c r="D276" s="1" t="s">
        <v>2685</v>
      </c>
      <c r="E276" s="1">
        <v>423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25">
      <c r="A277" t="s">
        <v>420</v>
      </c>
      <c r="B277" s="1" t="s">
        <v>2470</v>
      </c>
      <c r="C277" s="1" t="s">
        <v>1597</v>
      </c>
      <c r="D277" s="1" t="s">
        <v>2686</v>
      </c>
      <c r="E277" s="1">
        <v>514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3" customFormat="1" x14ac:dyDescent="0.25">
      <c r="A278" s="13" t="s">
        <v>420</v>
      </c>
      <c r="B278" s="17" t="s">
        <v>2470</v>
      </c>
      <c r="C278" s="17" t="s">
        <v>1597</v>
      </c>
      <c r="D278" s="17" t="s">
        <v>2687</v>
      </c>
      <c r="E278" s="17">
        <v>556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1:15" x14ac:dyDescent="0.25">
      <c r="A279" t="s">
        <v>420</v>
      </c>
      <c r="B279" s="1" t="s">
        <v>2470</v>
      </c>
      <c r="C279" s="1" t="s">
        <v>1597</v>
      </c>
      <c r="D279" s="1" t="s">
        <v>2688</v>
      </c>
      <c r="E279" s="1">
        <v>555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25">
      <c r="A280" t="s">
        <v>420</v>
      </c>
      <c r="B280" s="1" t="s">
        <v>2470</v>
      </c>
      <c r="C280" s="1" t="s">
        <v>1597</v>
      </c>
      <c r="D280" s="1" t="s">
        <v>2689</v>
      </c>
      <c r="E280" s="1">
        <v>514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25">
      <c r="A281" t="s">
        <v>420</v>
      </c>
      <c r="B281" s="1" t="s">
        <v>2470</v>
      </c>
      <c r="C281" s="1" t="s">
        <v>1597</v>
      </c>
      <c r="D281" s="1" t="s">
        <v>2690</v>
      </c>
      <c r="E281" s="1">
        <v>546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25">
      <c r="A282" t="s">
        <v>420</v>
      </c>
      <c r="B282" s="1" t="s">
        <v>2470</v>
      </c>
      <c r="C282" s="1" t="s">
        <v>2484</v>
      </c>
      <c r="D282" s="1" t="s">
        <v>2677</v>
      </c>
      <c r="E282" s="1">
        <v>35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25">
      <c r="A283" t="s">
        <v>420</v>
      </c>
      <c r="B283" s="1" t="s">
        <v>2470</v>
      </c>
      <c r="C283" s="1" t="s">
        <v>2484</v>
      </c>
      <c r="D283" s="1" t="s">
        <v>2678</v>
      </c>
      <c r="E283" s="1">
        <v>59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5">
      <c r="A284" t="s">
        <v>420</v>
      </c>
      <c r="B284" s="1" t="s">
        <v>2470</v>
      </c>
      <c r="C284" s="1" t="s">
        <v>2484</v>
      </c>
      <c r="D284" s="1" t="s">
        <v>2679</v>
      </c>
      <c r="E284" s="1">
        <v>77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25">
      <c r="A285" t="s">
        <v>420</v>
      </c>
      <c r="B285" s="1" t="s">
        <v>2470</v>
      </c>
      <c r="C285" s="1" t="s">
        <v>2484</v>
      </c>
      <c r="D285" s="1" t="s">
        <v>2680</v>
      </c>
      <c r="E285" s="1">
        <v>60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25">
      <c r="A286" t="s">
        <v>420</v>
      </c>
      <c r="B286" s="1" t="s">
        <v>2470</v>
      </c>
      <c r="C286" s="1" t="s">
        <v>2484</v>
      </c>
      <c r="D286" s="1" t="s">
        <v>2681</v>
      </c>
      <c r="E286" s="1">
        <v>59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25">
      <c r="A287" t="s">
        <v>420</v>
      </c>
      <c r="B287" s="1" t="s">
        <v>2470</v>
      </c>
      <c r="C287" s="1" t="s">
        <v>2484</v>
      </c>
      <c r="D287" s="1" t="s">
        <v>2682</v>
      </c>
      <c r="E287" s="1">
        <v>75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25">
      <c r="A288" t="s">
        <v>420</v>
      </c>
      <c r="B288" t="s">
        <v>2470</v>
      </c>
      <c r="C288" t="s">
        <v>2484</v>
      </c>
      <c r="D288" t="s">
        <v>2683</v>
      </c>
      <c r="E288">
        <v>70</v>
      </c>
    </row>
    <row r="289" spans="1:15" x14ac:dyDescent="0.25">
      <c r="A289" t="s">
        <v>420</v>
      </c>
      <c r="B289" s="3" t="s">
        <v>2470</v>
      </c>
      <c r="C289" s="3" t="s">
        <v>2484</v>
      </c>
      <c r="D289" s="3" t="s">
        <v>2684</v>
      </c>
      <c r="E289" s="3">
        <v>68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x14ac:dyDescent="0.25">
      <c r="A290" t="s">
        <v>420</v>
      </c>
      <c r="B290" t="s">
        <v>2470</v>
      </c>
      <c r="C290" t="s">
        <v>2484</v>
      </c>
      <c r="D290" t="s">
        <v>2685</v>
      </c>
      <c r="E290">
        <v>43</v>
      </c>
    </row>
    <row r="291" spans="1:15" x14ac:dyDescent="0.25">
      <c r="A291" t="s">
        <v>420</v>
      </c>
      <c r="B291" s="3" t="s">
        <v>2470</v>
      </c>
      <c r="C291" s="3" t="s">
        <v>2484</v>
      </c>
      <c r="D291" s="3" t="s">
        <v>2686</v>
      </c>
      <c r="E291" s="3">
        <v>39</v>
      </c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x14ac:dyDescent="0.25">
      <c r="A292" t="s">
        <v>420</v>
      </c>
      <c r="B292" t="s">
        <v>2470</v>
      </c>
      <c r="C292" t="s">
        <v>2484</v>
      </c>
      <c r="D292" t="s">
        <v>2687</v>
      </c>
      <c r="E292">
        <v>38</v>
      </c>
    </row>
    <row r="293" spans="1:15" x14ac:dyDescent="0.25">
      <c r="A293" t="s">
        <v>420</v>
      </c>
      <c r="B293" t="s">
        <v>2470</v>
      </c>
      <c r="C293" t="s">
        <v>2484</v>
      </c>
      <c r="D293" t="s">
        <v>2688</v>
      </c>
      <c r="E293">
        <v>35</v>
      </c>
    </row>
    <row r="294" spans="1:15" x14ac:dyDescent="0.25">
      <c r="A294" t="s">
        <v>420</v>
      </c>
      <c r="B294" t="s">
        <v>2470</v>
      </c>
      <c r="C294" t="s">
        <v>2484</v>
      </c>
      <c r="D294" t="s">
        <v>2689</v>
      </c>
      <c r="E294">
        <v>37</v>
      </c>
    </row>
    <row r="295" spans="1:15" x14ac:dyDescent="0.25">
      <c r="A295" t="s">
        <v>420</v>
      </c>
      <c r="B295" t="s">
        <v>2470</v>
      </c>
      <c r="C295" t="s">
        <v>2484</v>
      </c>
      <c r="D295" t="s">
        <v>2690</v>
      </c>
      <c r="E295">
        <v>34</v>
      </c>
    </row>
    <row r="296" spans="1:15" x14ac:dyDescent="0.25">
      <c r="A296" t="s">
        <v>420</v>
      </c>
      <c r="B296" t="s">
        <v>2470</v>
      </c>
      <c r="C296" t="s">
        <v>2499</v>
      </c>
      <c r="D296" t="s">
        <v>2677</v>
      </c>
      <c r="E296">
        <v>1</v>
      </c>
    </row>
    <row r="297" spans="1:15" x14ac:dyDescent="0.25">
      <c r="A297" t="s">
        <v>420</v>
      </c>
      <c r="B297" t="s">
        <v>2470</v>
      </c>
      <c r="C297" t="s">
        <v>2499</v>
      </c>
      <c r="D297" t="s">
        <v>2683</v>
      </c>
      <c r="E297">
        <v>2</v>
      </c>
    </row>
    <row r="298" spans="1:15" x14ac:dyDescent="0.25">
      <c r="A298" t="s">
        <v>420</v>
      </c>
      <c r="B298" t="s">
        <v>2470</v>
      </c>
      <c r="C298" t="s">
        <v>2499</v>
      </c>
      <c r="D298" t="s">
        <v>2684</v>
      </c>
      <c r="E298">
        <v>1</v>
      </c>
    </row>
    <row r="299" spans="1:15" x14ac:dyDescent="0.25">
      <c r="A299" t="s">
        <v>420</v>
      </c>
      <c r="B299" t="s">
        <v>2470</v>
      </c>
      <c r="C299" t="s">
        <v>2499</v>
      </c>
      <c r="D299" t="s">
        <v>2685</v>
      </c>
      <c r="E299">
        <v>6</v>
      </c>
    </row>
    <row r="300" spans="1:15" x14ac:dyDescent="0.25">
      <c r="A300" t="s">
        <v>420</v>
      </c>
      <c r="B300" t="s">
        <v>2470</v>
      </c>
      <c r="C300" t="s">
        <v>2499</v>
      </c>
      <c r="D300" t="s">
        <v>2686</v>
      </c>
      <c r="E300">
        <v>2</v>
      </c>
    </row>
    <row r="301" spans="1:15" x14ac:dyDescent="0.25">
      <c r="A301" t="s">
        <v>420</v>
      </c>
      <c r="B301" t="s">
        <v>2470</v>
      </c>
      <c r="C301" t="s">
        <v>2499</v>
      </c>
      <c r="D301" t="s">
        <v>2687</v>
      </c>
      <c r="E301">
        <v>8</v>
      </c>
    </row>
    <row r="302" spans="1:15" x14ac:dyDescent="0.25">
      <c r="A302" t="s">
        <v>420</v>
      </c>
      <c r="B302" t="s">
        <v>2470</v>
      </c>
      <c r="C302" t="s">
        <v>2499</v>
      </c>
      <c r="D302" t="s">
        <v>2688</v>
      </c>
      <c r="E302">
        <v>8</v>
      </c>
    </row>
    <row r="303" spans="1:15" x14ac:dyDescent="0.25">
      <c r="A303" t="s">
        <v>420</v>
      </c>
      <c r="B303" t="s">
        <v>2470</v>
      </c>
      <c r="C303" t="s">
        <v>2503</v>
      </c>
      <c r="D303" t="s">
        <v>2678</v>
      </c>
      <c r="E303">
        <v>1</v>
      </c>
    </row>
    <row r="304" spans="1:15" x14ac:dyDescent="0.25">
      <c r="A304" t="s">
        <v>420</v>
      </c>
      <c r="B304" t="s">
        <v>2470</v>
      </c>
      <c r="C304" t="s">
        <v>2503</v>
      </c>
      <c r="D304" t="s">
        <v>2685</v>
      </c>
      <c r="E304">
        <v>1</v>
      </c>
    </row>
    <row r="305" spans="1:5" x14ac:dyDescent="0.25">
      <c r="A305" t="s">
        <v>420</v>
      </c>
      <c r="B305" t="s">
        <v>2470</v>
      </c>
      <c r="C305" t="s">
        <v>2503</v>
      </c>
      <c r="D305" t="s">
        <v>2686</v>
      </c>
      <c r="E305">
        <v>6</v>
      </c>
    </row>
    <row r="306" spans="1:5" x14ac:dyDescent="0.25">
      <c r="A306" t="s">
        <v>420</v>
      </c>
      <c r="B306" t="s">
        <v>2470</v>
      </c>
      <c r="C306" t="s">
        <v>2503</v>
      </c>
      <c r="D306" t="s">
        <v>2687</v>
      </c>
      <c r="E306">
        <v>4</v>
      </c>
    </row>
    <row r="307" spans="1:5" x14ac:dyDescent="0.25">
      <c r="A307" t="s">
        <v>420</v>
      </c>
      <c r="B307" t="s">
        <v>2470</v>
      </c>
      <c r="C307" t="s">
        <v>2483</v>
      </c>
      <c r="D307" t="s">
        <v>2677</v>
      </c>
      <c r="E307">
        <v>24</v>
      </c>
    </row>
    <row r="308" spans="1:5" x14ac:dyDescent="0.25">
      <c r="A308" t="s">
        <v>420</v>
      </c>
      <c r="B308" t="s">
        <v>2470</v>
      </c>
      <c r="C308" t="s">
        <v>2483</v>
      </c>
      <c r="D308" t="s">
        <v>2678</v>
      </c>
      <c r="E308">
        <v>47</v>
      </c>
    </row>
    <row r="309" spans="1:5" x14ac:dyDescent="0.25">
      <c r="A309" t="s">
        <v>420</v>
      </c>
      <c r="B309" t="s">
        <v>2470</v>
      </c>
      <c r="C309" t="s">
        <v>2483</v>
      </c>
      <c r="D309" t="s">
        <v>2679</v>
      </c>
      <c r="E309">
        <v>42</v>
      </c>
    </row>
    <row r="310" spans="1:5" x14ac:dyDescent="0.25">
      <c r="A310" t="s">
        <v>420</v>
      </c>
      <c r="B310" t="s">
        <v>2470</v>
      </c>
      <c r="C310" t="s">
        <v>2483</v>
      </c>
      <c r="D310" t="s">
        <v>2680</v>
      </c>
      <c r="E310">
        <v>69</v>
      </c>
    </row>
    <row r="311" spans="1:5" x14ac:dyDescent="0.25">
      <c r="A311" t="s">
        <v>420</v>
      </c>
      <c r="B311" t="s">
        <v>2470</v>
      </c>
      <c r="C311" t="s">
        <v>2483</v>
      </c>
      <c r="D311" t="s">
        <v>2681</v>
      </c>
      <c r="E311">
        <v>59</v>
      </c>
    </row>
    <row r="312" spans="1:5" x14ac:dyDescent="0.25">
      <c r="A312" t="s">
        <v>420</v>
      </c>
      <c r="B312" t="s">
        <v>2470</v>
      </c>
      <c r="C312" t="s">
        <v>2483</v>
      </c>
      <c r="D312" t="s">
        <v>2682</v>
      </c>
      <c r="E312">
        <v>54</v>
      </c>
    </row>
    <row r="313" spans="1:5" x14ac:dyDescent="0.25">
      <c r="A313" t="s">
        <v>420</v>
      </c>
      <c r="B313" t="s">
        <v>2470</v>
      </c>
      <c r="C313" t="s">
        <v>2483</v>
      </c>
      <c r="D313" t="s">
        <v>2683</v>
      </c>
      <c r="E313">
        <v>57</v>
      </c>
    </row>
    <row r="314" spans="1:5" x14ac:dyDescent="0.25">
      <c r="A314" t="s">
        <v>420</v>
      </c>
      <c r="B314" t="s">
        <v>2470</v>
      </c>
      <c r="C314" t="s">
        <v>2483</v>
      </c>
      <c r="D314" t="s">
        <v>2684</v>
      </c>
      <c r="E314">
        <v>56</v>
      </c>
    </row>
    <row r="315" spans="1:5" x14ac:dyDescent="0.25">
      <c r="A315" t="s">
        <v>420</v>
      </c>
      <c r="B315" t="s">
        <v>2470</v>
      </c>
      <c r="C315" t="s">
        <v>2483</v>
      </c>
      <c r="D315" t="s">
        <v>2685</v>
      </c>
      <c r="E315">
        <v>57</v>
      </c>
    </row>
    <row r="316" spans="1:5" x14ac:dyDescent="0.25">
      <c r="A316" t="s">
        <v>420</v>
      </c>
      <c r="B316" t="s">
        <v>2470</v>
      </c>
      <c r="C316" t="s">
        <v>2483</v>
      </c>
      <c r="D316" t="s">
        <v>2686</v>
      </c>
      <c r="E316">
        <v>61</v>
      </c>
    </row>
    <row r="317" spans="1:5" x14ac:dyDescent="0.25">
      <c r="A317" t="s">
        <v>420</v>
      </c>
      <c r="B317" t="s">
        <v>2470</v>
      </c>
      <c r="C317" t="s">
        <v>2483</v>
      </c>
      <c r="D317" t="s">
        <v>2687</v>
      </c>
      <c r="E317">
        <v>65</v>
      </c>
    </row>
    <row r="318" spans="1:5" x14ac:dyDescent="0.25">
      <c r="A318" t="s">
        <v>420</v>
      </c>
      <c r="B318" t="s">
        <v>2470</v>
      </c>
      <c r="C318" t="s">
        <v>2483</v>
      </c>
      <c r="D318" t="s">
        <v>2688</v>
      </c>
      <c r="E318">
        <v>85</v>
      </c>
    </row>
    <row r="319" spans="1:5" x14ac:dyDescent="0.25">
      <c r="A319" t="s">
        <v>420</v>
      </c>
      <c r="B319" t="s">
        <v>2470</v>
      </c>
      <c r="C319" t="s">
        <v>2483</v>
      </c>
      <c r="D319" t="s">
        <v>2689</v>
      </c>
      <c r="E319">
        <v>99</v>
      </c>
    </row>
    <row r="320" spans="1:5" x14ac:dyDescent="0.25">
      <c r="A320" t="s">
        <v>420</v>
      </c>
      <c r="B320" t="s">
        <v>2470</v>
      </c>
      <c r="C320" t="s">
        <v>2483</v>
      </c>
      <c r="D320" t="s">
        <v>2690</v>
      </c>
      <c r="E320">
        <v>87</v>
      </c>
    </row>
    <row r="321" spans="1:5" x14ac:dyDescent="0.25">
      <c r="A321" t="s">
        <v>420</v>
      </c>
      <c r="B321" t="s">
        <v>2470</v>
      </c>
      <c r="C321" t="s">
        <v>2482</v>
      </c>
      <c r="D321" t="s">
        <v>2677</v>
      </c>
      <c r="E321">
        <v>28</v>
      </c>
    </row>
    <row r="322" spans="1:5" x14ac:dyDescent="0.25">
      <c r="A322" t="s">
        <v>420</v>
      </c>
      <c r="B322" t="s">
        <v>2470</v>
      </c>
      <c r="C322" t="s">
        <v>2482</v>
      </c>
      <c r="D322" t="s">
        <v>2678</v>
      </c>
      <c r="E322">
        <v>28</v>
      </c>
    </row>
    <row r="323" spans="1:5" x14ac:dyDescent="0.25">
      <c r="A323" t="s">
        <v>420</v>
      </c>
      <c r="B323" t="s">
        <v>2470</v>
      </c>
      <c r="C323" t="s">
        <v>2482</v>
      </c>
      <c r="D323" t="s">
        <v>2679</v>
      </c>
      <c r="E323">
        <v>18</v>
      </c>
    </row>
    <row r="324" spans="1:5" x14ac:dyDescent="0.25">
      <c r="A324" t="s">
        <v>420</v>
      </c>
      <c r="B324" t="s">
        <v>2470</v>
      </c>
      <c r="C324" t="s">
        <v>2481</v>
      </c>
      <c r="D324" t="s">
        <v>2677</v>
      </c>
      <c r="E324">
        <v>3</v>
      </c>
    </row>
    <row r="325" spans="1:5" x14ac:dyDescent="0.25">
      <c r="A325" t="s">
        <v>420</v>
      </c>
      <c r="B325" t="s">
        <v>2470</v>
      </c>
      <c r="C325" t="s">
        <v>2481</v>
      </c>
      <c r="D325" t="s">
        <v>2678</v>
      </c>
      <c r="E325">
        <v>7</v>
      </c>
    </row>
    <row r="326" spans="1:5" x14ac:dyDescent="0.25">
      <c r="A326" t="s">
        <v>420</v>
      </c>
      <c r="B326" t="s">
        <v>2470</v>
      </c>
      <c r="C326" t="s">
        <v>2481</v>
      </c>
      <c r="D326" t="s">
        <v>2679</v>
      </c>
      <c r="E326">
        <v>3</v>
      </c>
    </row>
    <row r="327" spans="1:5" x14ac:dyDescent="0.25">
      <c r="A327" t="s">
        <v>420</v>
      </c>
      <c r="B327" t="s">
        <v>2470</v>
      </c>
      <c r="C327" t="s">
        <v>2481</v>
      </c>
      <c r="D327" t="s">
        <v>2680</v>
      </c>
      <c r="E327">
        <v>8</v>
      </c>
    </row>
    <row r="328" spans="1:5" x14ac:dyDescent="0.25">
      <c r="A328" t="s">
        <v>420</v>
      </c>
      <c r="B328" t="s">
        <v>2470</v>
      </c>
      <c r="C328" t="s">
        <v>2481</v>
      </c>
      <c r="D328" t="s">
        <v>2681</v>
      </c>
      <c r="E328">
        <v>2</v>
      </c>
    </row>
    <row r="329" spans="1:5" x14ac:dyDescent="0.25">
      <c r="A329" t="s">
        <v>420</v>
      </c>
      <c r="B329" t="s">
        <v>2470</v>
      </c>
      <c r="C329" t="s">
        <v>2481</v>
      </c>
      <c r="D329" t="s">
        <v>2682</v>
      </c>
      <c r="E329">
        <v>7</v>
      </c>
    </row>
    <row r="330" spans="1:5" x14ac:dyDescent="0.25">
      <c r="A330" t="s">
        <v>420</v>
      </c>
      <c r="B330" t="s">
        <v>2470</v>
      </c>
      <c r="C330" t="s">
        <v>2481</v>
      </c>
      <c r="D330" t="s">
        <v>2683</v>
      </c>
      <c r="E330">
        <v>10</v>
      </c>
    </row>
    <row r="331" spans="1:5" x14ac:dyDescent="0.25">
      <c r="A331" t="s">
        <v>420</v>
      </c>
      <c r="B331" t="s">
        <v>2470</v>
      </c>
      <c r="C331" t="s">
        <v>2481</v>
      </c>
      <c r="D331" t="s">
        <v>2685</v>
      </c>
      <c r="E331">
        <v>2</v>
      </c>
    </row>
    <row r="332" spans="1:5" x14ac:dyDescent="0.25">
      <c r="A332" t="s">
        <v>420</v>
      </c>
      <c r="B332" t="s">
        <v>2470</v>
      </c>
      <c r="C332" t="s">
        <v>2481</v>
      </c>
      <c r="D332" t="s">
        <v>2686</v>
      </c>
      <c r="E332">
        <v>4</v>
      </c>
    </row>
    <row r="333" spans="1:5" x14ac:dyDescent="0.25">
      <c r="A333" t="s">
        <v>420</v>
      </c>
      <c r="B333" t="s">
        <v>2470</v>
      </c>
      <c r="C333" t="s">
        <v>2481</v>
      </c>
      <c r="D333" t="s">
        <v>2687</v>
      </c>
      <c r="E333">
        <v>11</v>
      </c>
    </row>
    <row r="334" spans="1:5" x14ac:dyDescent="0.25">
      <c r="A334" t="s">
        <v>420</v>
      </c>
      <c r="B334" t="s">
        <v>2470</v>
      </c>
      <c r="C334" t="s">
        <v>2481</v>
      </c>
      <c r="D334" t="s">
        <v>2688</v>
      </c>
      <c r="E334">
        <v>11</v>
      </c>
    </row>
    <row r="335" spans="1:5" x14ac:dyDescent="0.25">
      <c r="A335" t="s">
        <v>420</v>
      </c>
      <c r="B335" t="s">
        <v>2470</v>
      </c>
      <c r="C335" t="s">
        <v>2481</v>
      </c>
      <c r="D335" t="s">
        <v>2689</v>
      </c>
      <c r="E335">
        <v>10</v>
      </c>
    </row>
    <row r="336" spans="1:5" x14ac:dyDescent="0.25">
      <c r="A336" t="s">
        <v>420</v>
      </c>
      <c r="B336" t="s">
        <v>2470</v>
      </c>
      <c r="C336" t="s">
        <v>2481</v>
      </c>
      <c r="D336" t="s">
        <v>2690</v>
      </c>
      <c r="E336">
        <v>5</v>
      </c>
    </row>
    <row r="337" spans="1:5" x14ac:dyDescent="0.25">
      <c r="A337" t="s">
        <v>420</v>
      </c>
      <c r="B337" t="s">
        <v>2470</v>
      </c>
      <c r="C337" t="s">
        <v>1689</v>
      </c>
      <c r="D337" t="s">
        <v>2677</v>
      </c>
      <c r="E337">
        <v>53</v>
      </c>
    </row>
    <row r="338" spans="1:5" x14ac:dyDescent="0.25">
      <c r="A338" t="s">
        <v>420</v>
      </c>
      <c r="B338" t="s">
        <v>2470</v>
      </c>
      <c r="C338" t="s">
        <v>1689</v>
      </c>
      <c r="D338" t="s">
        <v>2678</v>
      </c>
      <c r="E338">
        <v>105</v>
      </c>
    </row>
    <row r="339" spans="1:5" x14ac:dyDescent="0.25">
      <c r="A339" t="s">
        <v>420</v>
      </c>
      <c r="B339" t="s">
        <v>2470</v>
      </c>
      <c r="C339" t="s">
        <v>1689</v>
      </c>
      <c r="D339" t="s">
        <v>2679</v>
      </c>
      <c r="E339">
        <v>110</v>
      </c>
    </row>
    <row r="340" spans="1:5" x14ac:dyDescent="0.25">
      <c r="A340" t="s">
        <v>420</v>
      </c>
      <c r="B340" t="s">
        <v>2470</v>
      </c>
      <c r="C340" t="s">
        <v>1689</v>
      </c>
      <c r="D340" t="s">
        <v>2680</v>
      </c>
      <c r="E340">
        <v>140</v>
      </c>
    </row>
    <row r="341" spans="1:5" x14ac:dyDescent="0.25">
      <c r="A341" t="s">
        <v>420</v>
      </c>
      <c r="B341" t="s">
        <v>2470</v>
      </c>
      <c r="C341" t="s">
        <v>1689</v>
      </c>
      <c r="D341" t="s">
        <v>2681</v>
      </c>
      <c r="E341">
        <v>158</v>
      </c>
    </row>
    <row r="342" spans="1:5" x14ac:dyDescent="0.25">
      <c r="A342" t="s">
        <v>420</v>
      </c>
      <c r="B342" t="s">
        <v>2470</v>
      </c>
      <c r="C342" t="s">
        <v>1689</v>
      </c>
      <c r="D342" t="s">
        <v>2682</v>
      </c>
      <c r="E342">
        <v>194</v>
      </c>
    </row>
    <row r="343" spans="1:5" x14ac:dyDescent="0.25">
      <c r="A343" t="s">
        <v>420</v>
      </c>
      <c r="B343" t="s">
        <v>2470</v>
      </c>
      <c r="C343" t="s">
        <v>1689</v>
      </c>
      <c r="D343" t="s">
        <v>2683</v>
      </c>
      <c r="E343">
        <v>190</v>
      </c>
    </row>
    <row r="344" spans="1:5" x14ac:dyDescent="0.25">
      <c r="A344" t="s">
        <v>420</v>
      </c>
      <c r="B344" t="s">
        <v>2470</v>
      </c>
      <c r="C344" t="s">
        <v>1689</v>
      </c>
      <c r="D344" t="s">
        <v>2684</v>
      </c>
      <c r="E344">
        <v>203</v>
      </c>
    </row>
    <row r="345" spans="1:5" x14ac:dyDescent="0.25">
      <c r="A345" t="s">
        <v>420</v>
      </c>
      <c r="B345" t="s">
        <v>2470</v>
      </c>
      <c r="C345" t="s">
        <v>1689</v>
      </c>
      <c r="D345" t="s">
        <v>2685</v>
      </c>
      <c r="E345">
        <v>239</v>
      </c>
    </row>
    <row r="346" spans="1:5" x14ac:dyDescent="0.25">
      <c r="A346" t="s">
        <v>420</v>
      </c>
      <c r="B346" t="s">
        <v>2470</v>
      </c>
      <c r="C346" t="s">
        <v>1689</v>
      </c>
      <c r="D346" t="s">
        <v>2686</v>
      </c>
      <c r="E346">
        <v>211</v>
      </c>
    </row>
    <row r="347" spans="1:5" x14ac:dyDescent="0.25">
      <c r="A347" t="s">
        <v>420</v>
      </c>
      <c r="B347" t="s">
        <v>2470</v>
      </c>
      <c r="C347" t="s">
        <v>1689</v>
      </c>
      <c r="D347" t="s">
        <v>2687</v>
      </c>
      <c r="E347">
        <v>174</v>
      </c>
    </row>
    <row r="348" spans="1:5" x14ac:dyDescent="0.25">
      <c r="A348" t="s">
        <v>420</v>
      </c>
      <c r="B348" t="s">
        <v>2470</v>
      </c>
      <c r="C348" t="s">
        <v>1689</v>
      </c>
      <c r="D348" t="s">
        <v>2688</v>
      </c>
      <c r="E348">
        <v>197</v>
      </c>
    </row>
    <row r="349" spans="1:5" x14ac:dyDescent="0.25">
      <c r="A349" t="s">
        <v>420</v>
      </c>
      <c r="B349" t="s">
        <v>2470</v>
      </c>
      <c r="C349" t="s">
        <v>1689</v>
      </c>
      <c r="D349" t="s">
        <v>2689</v>
      </c>
      <c r="E349">
        <v>167</v>
      </c>
    </row>
    <row r="350" spans="1:5" x14ac:dyDescent="0.25">
      <c r="A350" t="s">
        <v>420</v>
      </c>
      <c r="B350" t="s">
        <v>2470</v>
      </c>
      <c r="C350" t="s">
        <v>1689</v>
      </c>
      <c r="D350" t="s">
        <v>2690</v>
      </c>
      <c r="E350">
        <v>142</v>
      </c>
    </row>
    <row r="351" spans="1:5" x14ac:dyDescent="0.25">
      <c r="A351" t="s">
        <v>420</v>
      </c>
      <c r="B351" t="s">
        <v>2470</v>
      </c>
      <c r="C351" t="s">
        <v>2480</v>
      </c>
      <c r="D351" t="s">
        <v>2677</v>
      </c>
      <c r="E351">
        <v>18</v>
      </c>
    </row>
    <row r="352" spans="1:5" x14ac:dyDescent="0.25">
      <c r="A352" t="s">
        <v>420</v>
      </c>
      <c r="B352" t="s">
        <v>2470</v>
      </c>
      <c r="C352" t="s">
        <v>2480</v>
      </c>
      <c r="D352" t="s">
        <v>2678</v>
      </c>
      <c r="E352">
        <v>36</v>
      </c>
    </row>
    <row r="353" spans="1:5" x14ac:dyDescent="0.25">
      <c r="A353" t="s">
        <v>420</v>
      </c>
      <c r="B353" t="s">
        <v>2470</v>
      </c>
      <c r="C353" t="s">
        <v>2480</v>
      </c>
      <c r="D353" t="s">
        <v>2679</v>
      </c>
      <c r="E353">
        <v>33</v>
      </c>
    </row>
    <row r="354" spans="1:5" x14ac:dyDescent="0.25">
      <c r="A354" t="s">
        <v>420</v>
      </c>
      <c r="B354" t="s">
        <v>2470</v>
      </c>
      <c r="C354" t="s">
        <v>2480</v>
      </c>
      <c r="D354" t="s">
        <v>2680</v>
      </c>
      <c r="E354">
        <v>38</v>
      </c>
    </row>
    <row r="355" spans="1:5" x14ac:dyDescent="0.25">
      <c r="A355" t="s">
        <v>420</v>
      </c>
      <c r="B355" t="s">
        <v>2470</v>
      </c>
      <c r="C355" t="s">
        <v>2480</v>
      </c>
      <c r="D355" t="s">
        <v>2681</v>
      </c>
      <c r="E355">
        <v>30</v>
      </c>
    </row>
    <row r="356" spans="1:5" x14ac:dyDescent="0.25">
      <c r="A356" t="s">
        <v>420</v>
      </c>
      <c r="B356" t="s">
        <v>2470</v>
      </c>
      <c r="C356" t="s">
        <v>2479</v>
      </c>
      <c r="D356" t="s">
        <v>2677</v>
      </c>
      <c r="E356">
        <v>19</v>
      </c>
    </row>
    <row r="357" spans="1:5" x14ac:dyDescent="0.25">
      <c r="A357" t="s">
        <v>420</v>
      </c>
      <c r="B357" t="s">
        <v>2470</v>
      </c>
      <c r="C357" t="s">
        <v>2479</v>
      </c>
      <c r="D357" t="s">
        <v>2678</v>
      </c>
      <c r="E357">
        <v>34</v>
      </c>
    </row>
    <row r="358" spans="1:5" x14ac:dyDescent="0.25">
      <c r="A358" t="s">
        <v>420</v>
      </c>
      <c r="B358" t="s">
        <v>2470</v>
      </c>
      <c r="C358" t="s">
        <v>2479</v>
      </c>
      <c r="D358" t="s">
        <v>2679</v>
      </c>
      <c r="E358">
        <v>52</v>
      </c>
    </row>
    <row r="359" spans="1:5" x14ac:dyDescent="0.25">
      <c r="A359" t="s">
        <v>420</v>
      </c>
      <c r="B359" t="s">
        <v>2470</v>
      </c>
      <c r="C359" t="s">
        <v>2479</v>
      </c>
      <c r="D359" t="s">
        <v>2680</v>
      </c>
      <c r="E359">
        <v>63</v>
      </c>
    </row>
    <row r="360" spans="1:5" x14ac:dyDescent="0.25">
      <c r="A360" t="s">
        <v>420</v>
      </c>
      <c r="B360" t="s">
        <v>2470</v>
      </c>
      <c r="C360" t="s">
        <v>2479</v>
      </c>
      <c r="D360" t="s">
        <v>2681</v>
      </c>
      <c r="E360">
        <v>66</v>
      </c>
    </row>
    <row r="361" spans="1:5" x14ac:dyDescent="0.25">
      <c r="A361" t="s">
        <v>420</v>
      </c>
      <c r="B361" t="s">
        <v>2470</v>
      </c>
      <c r="C361" t="s">
        <v>2479</v>
      </c>
      <c r="D361" t="s">
        <v>2682</v>
      </c>
      <c r="E361">
        <v>78</v>
      </c>
    </row>
    <row r="362" spans="1:5" x14ac:dyDescent="0.25">
      <c r="A362" t="s">
        <v>420</v>
      </c>
      <c r="B362" t="s">
        <v>2470</v>
      </c>
      <c r="C362" t="s">
        <v>2479</v>
      </c>
      <c r="D362" t="s">
        <v>2683</v>
      </c>
      <c r="E362">
        <v>70</v>
      </c>
    </row>
    <row r="363" spans="1:5" x14ac:dyDescent="0.25">
      <c r="A363" t="s">
        <v>420</v>
      </c>
      <c r="B363" t="s">
        <v>2470</v>
      </c>
      <c r="C363" t="s">
        <v>2479</v>
      </c>
      <c r="D363" t="s">
        <v>2684</v>
      </c>
      <c r="E363">
        <v>86</v>
      </c>
    </row>
    <row r="364" spans="1:5" x14ac:dyDescent="0.25">
      <c r="A364" t="s">
        <v>420</v>
      </c>
      <c r="B364" t="s">
        <v>2470</v>
      </c>
      <c r="C364" t="s">
        <v>2479</v>
      </c>
      <c r="D364" t="s">
        <v>2685</v>
      </c>
      <c r="E364">
        <v>90</v>
      </c>
    </row>
    <row r="365" spans="1:5" x14ac:dyDescent="0.25">
      <c r="A365" t="s">
        <v>420</v>
      </c>
      <c r="B365" t="s">
        <v>2470</v>
      </c>
      <c r="C365" t="s">
        <v>2479</v>
      </c>
      <c r="D365" t="s">
        <v>2686</v>
      </c>
      <c r="E365">
        <v>82</v>
      </c>
    </row>
    <row r="366" spans="1:5" x14ac:dyDescent="0.25">
      <c r="A366" t="s">
        <v>420</v>
      </c>
      <c r="B366" t="s">
        <v>2470</v>
      </c>
      <c r="C366" t="s">
        <v>2479</v>
      </c>
      <c r="D366" t="s">
        <v>2687</v>
      </c>
      <c r="E366">
        <v>79</v>
      </c>
    </row>
    <row r="367" spans="1:5" x14ac:dyDescent="0.25">
      <c r="A367" t="s">
        <v>420</v>
      </c>
      <c r="B367" t="s">
        <v>2470</v>
      </c>
      <c r="C367" t="s">
        <v>2479</v>
      </c>
      <c r="D367" t="s">
        <v>2688</v>
      </c>
      <c r="E367">
        <v>69</v>
      </c>
    </row>
    <row r="368" spans="1:5" x14ac:dyDescent="0.25">
      <c r="A368" t="s">
        <v>420</v>
      </c>
      <c r="B368" t="s">
        <v>2470</v>
      </c>
      <c r="C368" t="s">
        <v>2479</v>
      </c>
      <c r="D368" t="s">
        <v>2689</v>
      </c>
      <c r="E368">
        <v>70</v>
      </c>
    </row>
    <row r="369" spans="1:5" x14ac:dyDescent="0.25">
      <c r="A369" t="s">
        <v>420</v>
      </c>
      <c r="B369" t="s">
        <v>2470</v>
      </c>
      <c r="C369" t="s">
        <v>2479</v>
      </c>
      <c r="D369" t="s">
        <v>2690</v>
      </c>
      <c r="E369">
        <v>51</v>
      </c>
    </row>
    <row r="370" spans="1:5" x14ac:dyDescent="0.25">
      <c r="A370" t="s">
        <v>420</v>
      </c>
      <c r="B370" t="s">
        <v>2470</v>
      </c>
      <c r="C370" t="s">
        <v>2692</v>
      </c>
      <c r="D370" t="s">
        <v>2677</v>
      </c>
      <c r="E370">
        <v>7</v>
      </c>
    </row>
    <row r="371" spans="1:5" x14ac:dyDescent="0.25">
      <c r="A371" t="s">
        <v>420</v>
      </c>
      <c r="B371" t="s">
        <v>2470</v>
      </c>
      <c r="C371" t="s">
        <v>2692</v>
      </c>
      <c r="D371" t="s">
        <v>2678</v>
      </c>
      <c r="E371">
        <v>3</v>
      </c>
    </row>
    <row r="372" spans="1:5" x14ac:dyDescent="0.25">
      <c r="A372" t="s">
        <v>420</v>
      </c>
      <c r="B372" t="s">
        <v>2470</v>
      </c>
      <c r="C372" t="s">
        <v>1882</v>
      </c>
      <c r="D372" t="s">
        <v>2677</v>
      </c>
      <c r="E372">
        <v>22</v>
      </c>
    </row>
    <row r="373" spans="1:5" x14ac:dyDescent="0.25">
      <c r="A373" t="s">
        <v>420</v>
      </c>
      <c r="B373" t="s">
        <v>2470</v>
      </c>
      <c r="C373" t="s">
        <v>1882</v>
      </c>
      <c r="D373" t="s">
        <v>2678</v>
      </c>
      <c r="E373">
        <v>40</v>
      </c>
    </row>
    <row r="374" spans="1:5" x14ac:dyDescent="0.25">
      <c r="A374" t="s">
        <v>420</v>
      </c>
      <c r="B374" t="s">
        <v>2470</v>
      </c>
      <c r="C374" t="s">
        <v>1882</v>
      </c>
      <c r="D374" t="s">
        <v>2679</v>
      </c>
      <c r="E374">
        <v>35</v>
      </c>
    </row>
    <row r="375" spans="1:5" x14ac:dyDescent="0.25">
      <c r="A375" t="s">
        <v>420</v>
      </c>
      <c r="B375" t="s">
        <v>2470</v>
      </c>
      <c r="C375" t="s">
        <v>1882</v>
      </c>
      <c r="D375" t="s">
        <v>2680</v>
      </c>
      <c r="E375">
        <v>39</v>
      </c>
    </row>
    <row r="376" spans="1:5" x14ac:dyDescent="0.25">
      <c r="A376" t="s">
        <v>420</v>
      </c>
      <c r="B376" t="s">
        <v>2470</v>
      </c>
      <c r="C376" t="s">
        <v>1882</v>
      </c>
      <c r="D376" t="s">
        <v>2681</v>
      </c>
      <c r="E376">
        <v>42</v>
      </c>
    </row>
    <row r="377" spans="1:5" x14ac:dyDescent="0.25">
      <c r="A377" t="s">
        <v>420</v>
      </c>
      <c r="B377" t="s">
        <v>2470</v>
      </c>
      <c r="C377" t="s">
        <v>1882</v>
      </c>
      <c r="D377" t="s">
        <v>2682</v>
      </c>
      <c r="E377">
        <v>45</v>
      </c>
    </row>
    <row r="378" spans="1:5" x14ac:dyDescent="0.25">
      <c r="A378" t="s">
        <v>420</v>
      </c>
      <c r="B378" t="s">
        <v>2470</v>
      </c>
      <c r="C378" t="s">
        <v>1882</v>
      </c>
      <c r="D378" t="s">
        <v>2683</v>
      </c>
      <c r="E378">
        <v>48</v>
      </c>
    </row>
    <row r="379" spans="1:5" x14ac:dyDescent="0.25">
      <c r="A379" t="s">
        <v>420</v>
      </c>
      <c r="B379" t="s">
        <v>2470</v>
      </c>
      <c r="C379" t="s">
        <v>1882</v>
      </c>
      <c r="D379" t="s">
        <v>2684</v>
      </c>
      <c r="E379">
        <v>51</v>
      </c>
    </row>
    <row r="380" spans="1:5" x14ac:dyDescent="0.25">
      <c r="A380" t="s">
        <v>420</v>
      </c>
      <c r="B380" t="s">
        <v>2470</v>
      </c>
      <c r="C380" t="s">
        <v>1882</v>
      </c>
      <c r="D380" t="s">
        <v>2685</v>
      </c>
      <c r="E380">
        <v>53</v>
      </c>
    </row>
    <row r="381" spans="1:5" x14ac:dyDescent="0.25">
      <c r="A381" t="s">
        <v>420</v>
      </c>
      <c r="B381" t="s">
        <v>2470</v>
      </c>
      <c r="C381" t="s">
        <v>1882</v>
      </c>
      <c r="D381" t="s">
        <v>2686</v>
      </c>
      <c r="E381">
        <v>72</v>
      </c>
    </row>
    <row r="382" spans="1:5" x14ac:dyDescent="0.25">
      <c r="A382" t="s">
        <v>420</v>
      </c>
      <c r="B382" t="s">
        <v>2470</v>
      </c>
      <c r="C382" t="s">
        <v>1882</v>
      </c>
      <c r="D382" t="s">
        <v>2687</v>
      </c>
      <c r="E382">
        <v>73</v>
      </c>
    </row>
    <row r="383" spans="1:5" x14ac:dyDescent="0.25">
      <c r="A383" t="s">
        <v>420</v>
      </c>
      <c r="B383" t="s">
        <v>2470</v>
      </c>
      <c r="C383" t="s">
        <v>1882</v>
      </c>
      <c r="D383" t="s">
        <v>2688</v>
      </c>
      <c r="E383">
        <v>70</v>
      </c>
    </row>
    <row r="384" spans="1:5" x14ac:dyDescent="0.25">
      <c r="A384" t="s">
        <v>420</v>
      </c>
      <c r="B384" t="s">
        <v>2470</v>
      </c>
      <c r="C384" t="s">
        <v>1882</v>
      </c>
      <c r="D384" t="s">
        <v>2689</v>
      </c>
      <c r="E384">
        <v>46</v>
      </c>
    </row>
    <row r="385" spans="1:5" x14ac:dyDescent="0.25">
      <c r="A385" t="s">
        <v>420</v>
      </c>
      <c r="B385" t="s">
        <v>2470</v>
      </c>
      <c r="C385" t="s">
        <v>1882</v>
      </c>
      <c r="D385" t="s">
        <v>2690</v>
      </c>
      <c r="E385">
        <v>52</v>
      </c>
    </row>
    <row r="386" spans="1:5" x14ac:dyDescent="0.25">
      <c r="A386" t="s">
        <v>420</v>
      </c>
      <c r="B386" t="s">
        <v>2470</v>
      </c>
      <c r="C386" t="s">
        <v>2478</v>
      </c>
      <c r="D386" t="s">
        <v>2677</v>
      </c>
      <c r="E386">
        <v>62</v>
      </c>
    </row>
    <row r="387" spans="1:5" x14ac:dyDescent="0.25">
      <c r="A387" t="s">
        <v>420</v>
      </c>
      <c r="B387" t="s">
        <v>2470</v>
      </c>
      <c r="C387" t="s">
        <v>2478</v>
      </c>
      <c r="D387" t="s">
        <v>2678</v>
      </c>
      <c r="E387">
        <v>103</v>
      </c>
    </row>
    <row r="388" spans="1:5" x14ac:dyDescent="0.25">
      <c r="A388" t="s">
        <v>420</v>
      </c>
      <c r="B388" t="s">
        <v>2470</v>
      </c>
      <c r="C388" t="s">
        <v>2478</v>
      </c>
      <c r="D388" t="s">
        <v>2679</v>
      </c>
      <c r="E388">
        <v>108</v>
      </c>
    </row>
    <row r="389" spans="1:5" x14ac:dyDescent="0.25">
      <c r="A389" t="s">
        <v>420</v>
      </c>
      <c r="B389" t="s">
        <v>2470</v>
      </c>
      <c r="C389" t="s">
        <v>2478</v>
      </c>
      <c r="D389" t="s">
        <v>2680</v>
      </c>
      <c r="E389">
        <v>141</v>
      </c>
    </row>
    <row r="390" spans="1:5" x14ac:dyDescent="0.25">
      <c r="A390" t="s">
        <v>420</v>
      </c>
      <c r="B390" t="s">
        <v>2470</v>
      </c>
      <c r="C390" t="s">
        <v>2478</v>
      </c>
      <c r="D390" t="s">
        <v>2681</v>
      </c>
      <c r="E390">
        <v>119</v>
      </c>
    </row>
    <row r="391" spans="1:5" x14ac:dyDescent="0.25">
      <c r="A391" t="s">
        <v>420</v>
      </c>
      <c r="B391" t="s">
        <v>2470</v>
      </c>
      <c r="C391" t="s">
        <v>2478</v>
      </c>
      <c r="D391" t="s">
        <v>2682</v>
      </c>
      <c r="E391">
        <v>89</v>
      </c>
    </row>
    <row r="392" spans="1:5" x14ac:dyDescent="0.25">
      <c r="A392" t="s">
        <v>420</v>
      </c>
      <c r="B392" t="s">
        <v>2470</v>
      </c>
      <c r="C392" t="s">
        <v>2478</v>
      </c>
      <c r="D392" t="s">
        <v>2683</v>
      </c>
      <c r="E392">
        <v>13</v>
      </c>
    </row>
    <row r="393" spans="1:5" x14ac:dyDescent="0.25">
      <c r="A393" t="s">
        <v>420</v>
      </c>
      <c r="B393" t="s">
        <v>2470</v>
      </c>
      <c r="C393" t="s">
        <v>2477</v>
      </c>
      <c r="D393" t="s">
        <v>2677</v>
      </c>
      <c r="E393">
        <v>39</v>
      </c>
    </row>
    <row r="394" spans="1:5" x14ac:dyDescent="0.25">
      <c r="A394" t="s">
        <v>420</v>
      </c>
      <c r="B394" t="s">
        <v>2470</v>
      </c>
      <c r="C394" t="s">
        <v>2477</v>
      </c>
      <c r="D394" t="s">
        <v>2678</v>
      </c>
      <c r="E394">
        <v>78</v>
      </c>
    </row>
    <row r="395" spans="1:5" x14ac:dyDescent="0.25">
      <c r="A395" t="s">
        <v>420</v>
      </c>
      <c r="B395" t="s">
        <v>2470</v>
      </c>
      <c r="C395" t="s">
        <v>2477</v>
      </c>
      <c r="D395" t="s">
        <v>2679</v>
      </c>
      <c r="E395">
        <v>95</v>
      </c>
    </row>
    <row r="396" spans="1:5" x14ac:dyDescent="0.25">
      <c r="A396" t="s">
        <v>420</v>
      </c>
      <c r="B396" t="s">
        <v>2470</v>
      </c>
      <c r="C396" t="s">
        <v>2477</v>
      </c>
      <c r="D396" t="s">
        <v>2680</v>
      </c>
      <c r="E396">
        <v>89</v>
      </c>
    </row>
    <row r="397" spans="1:5" x14ac:dyDescent="0.25">
      <c r="A397" t="s">
        <v>420</v>
      </c>
      <c r="B397" t="s">
        <v>2470</v>
      </c>
      <c r="C397" t="s">
        <v>2477</v>
      </c>
      <c r="D397" t="s">
        <v>2681</v>
      </c>
      <c r="E397">
        <v>78</v>
      </c>
    </row>
    <row r="398" spans="1:5" x14ac:dyDescent="0.25">
      <c r="A398" t="s">
        <v>420</v>
      </c>
      <c r="B398" t="s">
        <v>2470</v>
      </c>
      <c r="C398" t="s">
        <v>2477</v>
      </c>
      <c r="D398" t="s">
        <v>2682</v>
      </c>
      <c r="E398">
        <v>74</v>
      </c>
    </row>
    <row r="399" spans="1:5" x14ac:dyDescent="0.25">
      <c r="A399" t="s">
        <v>420</v>
      </c>
      <c r="B399" t="s">
        <v>2470</v>
      </c>
      <c r="C399" t="s">
        <v>2477</v>
      </c>
      <c r="D399" t="s">
        <v>2683</v>
      </c>
      <c r="E399">
        <v>86</v>
      </c>
    </row>
    <row r="400" spans="1:5" x14ac:dyDescent="0.25">
      <c r="A400" t="s">
        <v>420</v>
      </c>
      <c r="B400" t="s">
        <v>2470</v>
      </c>
      <c r="C400" t="s">
        <v>2477</v>
      </c>
      <c r="D400" t="s">
        <v>2684</v>
      </c>
      <c r="E400">
        <v>100</v>
      </c>
    </row>
    <row r="401" spans="1:5" x14ac:dyDescent="0.25">
      <c r="A401" t="s">
        <v>420</v>
      </c>
      <c r="B401" t="s">
        <v>2470</v>
      </c>
      <c r="C401" t="s">
        <v>2477</v>
      </c>
      <c r="D401" t="s">
        <v>2685</v>
      </c>
      <c r="E401">
        <v>112</v>
      </c>
    </row>
    <row r="402" spans="1:5" x14ac:dyDescent="0.25">
      <c r="A402" t="s">
        <v>420</v>
      </c>
      <c r="B402" t="s">
        <v>2470</v>
      </c>
      <c r="C402" t="s">
        <v>2477</v>
      </c>
      <c r="D402" t="s">
        <v>2686</v>
      </c>
      <c r="E402">
        <v>118</v>
      </c>
    </row>
    <row r="403" spans="1:5" x14ac:dyDescent="0.25">
      <c r="A403" t="s">
        <v>420</v>
      </c>
      <c r="B403" t="s">
        <v>2470</v>
      </c>
      <c r="C403" t="s">
        <v>2477</v>
      </c>
      <c r="D403" t="s">
        <v>2687</v>
      </c>
      <c r="E403">
        <v>87</v>
      </c>
    </row>
    <row r="404" spans="1:5" x14ac:dyDescent="0.25">
      <c r="A404" t="s">
        <v>420</v>
      </c>
      <c r="B404" t="s">
        <v>2470</v>
      </c>
      <c r="C404" t="s">
        <v>2477</v>
      </c>
      <c r="D404" t="s">
        <v>2688</v>
      </c>
      <c r="E404">
        <v>104</v>
      </c>
    </row>
    <row r="405" spans="1:5" x14ac:dyDescent="0.25">
      <c r="A405" t="s">
        <v>420</v>
      </c>
      <c r="B405" t="s">
        <v>2470</v>
      </c>
      <c r="C405" t="s">
        <v>2477</v>
      </c>
      <c r="D405" t="s">
        <v>2689</v>
      </c>
      <c r="E405">
        <v>109</v>
      </c>
    </row>
    <row r="406" spans="1:5" x14ac:dyDescent="0.25">
      <c r="A406" t="s">
        <v>420</v>
      </c>
      <c r="B406" t="s">
        <v>2470</v>
      </c>
      <c r="C406" t="s">
        <v>2477</v>
      </c>
      <c r="D406" t="s">
        <v>2690</v>
      </c>
      <c r="E406">
        <v>109</v>
      </c>
    </row>
    <row r="407" spans="1:5" x14ac:dyDescent="0.25">
      <c r="A407" t="s">
        <v>420</v>
      </c>
      <c r="B407" t="s">
        <v>2470</v>
      </c>
      <c r="C407" t="s">
        <v>2476</v>
      </c>
      <c r="D407" t="s">
        <v>2677</v>
      </c>
      <c r="E407">
        <v>62</v>
      </c>
    </row>
    <row r="408" spans="1:5" x14ac:dyDescent="0.25">
      <c r="A408" t="s">
        <v>420</v>
      </c>
      <c r="B408" t="s">
        <v>2470</v>
      </c>
      <c r="C408" t="s">
        <v>2476</v>
      </c>
      <c r="D408" t="s">
        <v>2678</v>
      </c>
      <c r="E408">
        <v>115</v>
      </c>
    </row>
    <row r="409" spans="1:5" x14ac:dyDescent="0.25">
      <c r="A409" t="s">
        <v>420</v>
      </c>
      <c r="B409" t="s">
        <v>2470</v>
      </c>
      <c r="C409" t="s">
        <v>2476</v>
      </c>
      <c r="D409" t="s">
        <v>2679</v>
      </c>
      <c r="E409">
        <v>131</v>
      </c>
    </row>
    <row r="410" spans="1:5" x14ac:dyDescent="0.25">
      <c r="A410" t="s">
        <v>420</v>
      </c>
      <c r="B410" t="s">
        <v>2470</v>
      </c>
      <c r="C410" t="s">
        <v>2476</v>
      </c>
      <c r="D410" t="s">
        <v>2680</v>
      </c>
      <c r="E410">
        <v>149</v>
      </c>
    </row>
    <row r="411" spans="1:5" x14ac:dyDescent="0.25">
      <c r="A411" t="s">
        <v>420</v>
      </c>
      <c r="B411" t="s">
        <v>2470</v>
      </c>
      <c r="C411" t="s">
        <v>2476</v>
      </c>
      <c r="D411" t="s">
        <v>2681</v>
      </c>
      <c r="E411">
        <v>156</v>
      </c>
    </row>
    <row r="412" spans="1:5" x14ac:dyDescent="0.25">
      <c r="A412" t="s">
        <v>420</v>
      </c>
      <c r="B412" t="s">
        <v>2470</v>
      </c>
      <c r="C412" t="s">
        <v>2476</v>
      </c>
      <c r="D412" t="s">
        <v>2682</v>
      </c>
      <c r="E412">
        <v>160</v>
      </c>
    </row>
    <row r="413" spans="1:5" x14ac:dyDescent="0.25">
      <c r="A413" t="s">
        <v>420</v>
      </c>
      <c r="B413" t="s">
        <v>2470</v>
      </c>
      <c r="C413" t="s">
        <v>2476</v>
      </c>
      <c r="D413" t="s">
        <v>2683</v>
      </c>
      <c r="E413">
        <v>152</v>
      </c>
    </row>
    <row r="414" spans="1:5" x14ac:dyDescent="0.25">
      <c r="A414" t="s">
        <v>420</v>
      </c>
      <c r="B414" t="s">
        <v>2470</v>
      </c>
      <c r="C414" t="s">
        <v>2476</v>
      </c>
      <c r="D414" t="s">
        <v>2684</v>
      </c>
      <c r="E414">
        <v>136</v>
      </c>
    </row>
    <row r="415" spans="1:5" x14ac:dyDescent="0.25">
      <c r="A415" t="s">
        <v>420</v>
      </c>
      <c r="B415" t="s">
        <v>2470</v>
      </c>
      <c r="C415" t="s">
        <v>2476</v>
      </c>
      <c r="D415" t="s">
        <v>2685</v>
      </c>
      <c r="E415">
        <v>143</v>
      </c>
    </row>
    <row r="416" spans="1:5" x14ac:dyDescent="0.25">
      <c r="A416" t="s">
        <v>420</v>
      </c>
      <c r="B416" t="s">
        <v>2470</v>
      </c>
      <c r="C416" t="s">
        <v>2476</v>
      </c>
      <c r="D416" t="s">
        <v>2686</v>
      </c>
      <c r="E416">
        <v>141</v>
      </c>
    </row>
    <row r="417" spans="1:5" x14ac:dyDescent="0.25">
      <c r="A417" t="s">
        <v>420</v>
      </c>
      <c r="B417" t="s">
        <v>2470</v>
      </c>
      <c r="C417" t="s">
        <v>2476</v>
      </c>
      <c r="D417" t="s">
        <v>2687</v>
      </c>
      <c r="E417">
        <v>118</v>
      </c>
    </row>
    <row r="418" spans="1:5" x14ac:dyDescent="0.25">
      <c r="A418" t="s">
        <v>420</v>
      </c>
      <c r="B418" t="s">
        <v>2470</v>
      </c>
      <c r="C418" t="s">
        <v>2476</v>
      </c>
      <c r="D418" t="s">
        <v>2688</v>
      </c>
      <c r="E418">
        <v>131</v>
      </c>
    </row>
    <row r="419" spans="1:5" x14ac:dyDescent="0.25">
      <c r="A419" t="s">
        <v>420</v>
      </c>
      <c r="B419" t="s">
        <v>2470</v>
      </c>
      <c r="C419" t="s">
        <v>2476</v>
      </c>
      <c r="D419" t="s">
        <v>2689</v>
      </c>
      <c r="E419">
        <v>140</v>
      </c>
    </row>
    <row r="420" spans="1:5" x14ac:dyDescent="0.25">
      <c r="A420" t="s">
        <v>420</v>
      </c>
      <c r="B420" t="s">
        <v>2470</v>
      </c>
      <c r="C420" t="s">
        <v>2476</v>
      </c>
      <c r="D420" t="s">
        <v>2690</v>
      </c>
      <c r="E420">
        <v>107</v>
      </c>
    </row>
    <row r="421" spans="1:5" x14ac:dyDescent="0.25">
      <c r="A421" t="s">
        <v>420</v>
      </c>
      <c r="B421" t="s">
        <v>2470</v>
      </c>
      <c r="C421" t="s">
        <v>2475</v>
      </c>
      <c r="D421" t="s">
        <v>2677</v>
      </c>
      <c r="E421">
        <v>143</v>
      </c>
    </row>
    <row r="422" spans="1:5" x14ac:dyDescent="0.25">
      <c r="A422" t="s">
        <v>420</v>
      </c>
      <c r="B422" t="s">
        <v>2470</v>
      </c>
      <c r="C422" t="s">
        <v>2475</v>
      </c>
      <c r="D422" t="s">
        <v>2678</v>
      </c>
      <c r="E422">
        <v>303</v>
      </c>
    </row>
    <row r="423" spans="1:5" x14ac:dyDescent="0.25">
      <c r="A423" t="s">
        <v>420</v>
      </c>
      <c r="B423" t="s">
        <v>2470</v>
      </c>
      <c r="C423" t="s">
        <v>2475</v>
      </c>
      <c r="D423" t="s">
        <v>2679</v>
      </c>
      <c r="E423">
        <v>315</v>
      </c>
    </row>
    <row r="424" spans="1:5" x14ac:dyDescent="0.25">
      <c r="A424" t="s">
        <v>420</v>
      </c>
      <c r="B424" t="s">
        <v>2470</v>
      </c>
      <c r="C424" t="s">
        <v>2475</v>
      </c>
      <c r="D424" t="s">
        <v>2680</v>
      </c>
      <c r="E424">
        <v>341</v>
      </c>
    </row>
    <row r="425" spans="1:5" x14ac:dyDescent="0.25">
      <c r="A425" t="s">
        <v>420</v>
      </c>
      <c r="B425" t="s">
        <v>2470</v>
      </c>
      <c r="C425" t="s">
        <v>2475</v>
      </c>
      <c r="D425" t="s">
        <v>2681</v>
      </c>
      <c r="E425">
        <v>378</v>
      </c>
    </row>
    <row r="426" spans="1:5" x14ac:dyDescent="0.25">
      <c r="A426" t="s">
        <v>420</v>
      </c>
      <c r="B426" t="s">
        <v>2470</v>
      </c>
      <c r="C426" t="s">
        <v>2475</v>
      </c>
      <c r="D426" t="s">
        <v>2682</v>
      </c>
      <c r="E426">
        <v>355</v>
      </c>
    </row>
    <row r="427" spans="1:5" x14ac:dyDescent="0.25">
      <c r="A427" t="s">
        <v>420</v>
      </c>
      <c r="B427" t="s">
        <v>2470</v>
      </c>
      <c r="C427" t="s">
        <v>2475</v>
      </c>
      <c r="D427" t="s">
        <v>2683</v>
      </c>
      <c r="E427">
        <v>355</v>
      </c>
    </row>
    <row r="428" spans="1:5" x14ac:dyDescent="0.25">
      <c r="A428" t="s">
        <v>420</v>
      </c>
      <c r="B428" t="s">
        <v>2470</v>
      </c>
      <c r="C428" t="s">
        <v>2475</v>
      </c>
      <c r="D428" t="s">
        <v>2684</v>
      </c>
      <c r="E428">
        <v>414</v>
      </c>
    </row>
    <row r="429" spans="1:5" x14ac:dyDescent="0.25">
      <c r="A429" t="s">
        <v>420</v>
      </c>
      <c r="B429" t="s">
        <v>2470</v>
      </c>
      <c r="C429" t="s">
        <v>2475</v>
      </c>
      <c r="D429" t="s">
        <v>2685</v>
      </c>
      <c r="E429">
        <v>460</v>
      </c>
    </row>
    <row r="430" spans="1:5" x14ac:dyDescent="0.25">
      <c r="A430" t="s">
        <v>420</v>
      </c>
      <c r="B430" t="s">
        <v>2470</v>
      </c>
      <c r="C430" t="s">
        <v>2475</v>
      </c>
      <c r="D430" t="s">
        <v>2686</v>
      </c>
      <c r="E430">
        <v>511</v>
      </c>
    </row>
    <row r="431" spans="1:5" x14ac:dyDescent="0.25">
      <c r="A431" t="s">
        <v>420</v>
      </c>
      <c r="B431" t="s">
        <v>2470</v>
      </c>
      <c r="C431" t="s">
        <v>2475</v>
      </c>
      <c r="D431" t="s">
        <v>2687</v>
      </c>
      <c r="E431">
        <v>556</v>
      </c>
    </row>
    <row r="432" spans="1:5" x14ac:dyDescent="0.25">
      <c r="A432" t="s">
        <v>420</v>
      </c>
      <c r="B432" t="s">
        <v>2470</v>
      </c>
      <c r="C432" t="s">
        <v>2475</v>
      </c>
      <c r="D432" t="s">
        <v>2688</v>
      </c>
      <c r="E432">
        <v>569</v>
      </c>
    </row>
    <row r="433" spans="1:5" x14ac:dyDescent="0.25">
      <c r="A433" t="s">
        <v>420</v>
      </c>
      <c r="B433" t="s">
        <v>2470</v>
      </c>
      <c r="C433" t="s">
        <v>2475</v>
      </c>
      <c r="D433" t="s">
        <v>2689</v>
      </c>
      <c r="E433">
        <v>564</v>
      </c>
    </row>
    <row r="434" spans="1:5" x14ac:dyDescent="0.25">
      <c r="A434" t="s">
        <v>420</v>
      </c>
      <c r="B434" t="s">
        <v>2470</v>
      </c>
      <c r="C434" t="s">
        <v>2475</v>
      </c>
      <c r="D434" t="s">
        <v>2690</v>
      </c>
      <c r="E434">
        <v>534</v>
      </c>
    </row>
    <row r="435" spans="1:5" x14ac:dyDescent="0.25">
      <c r="A435" t="s">
        <v>420</v>
      </c>
      <c r="B435" t="s">
        <v>2470</v>
      </c>
      <c r="C435" t="s">
        <v>2455</v>
      </c>
      <c r="D435" t="s">
        <v>2679</v>
      </c>
      <c r="E435">
        <v>1</v>
      </c>
    </row>
    <row r="436" spans="1:5" x14ac:dyDescent="0.25">
      <c r="A436" t="s">
        <v>420</v>
      </c>
      <c r="B436" t="s">
        <v>2470</v>
      </c>
      <c r="C436" t="s">
        <v>2455</v>
      </c>
      <c r="D436" t="s">
        <v>2684</v>
      </c>
      <c r="E436">
        <v>2</v>
      </c>
    </row>
    <row r="437" spans="1:5" x14ac:dyDescent="0.25">
      <c r="A437" t="s">
        <v>420</v>
      </c>
      <c r="B437" t="s">
        <v>2470</v>
      </c>
      <c r="C437" t="s">
        <v>2455</v>
      </c>
      <c r="D437" t="s">
        <v>2685</v>
      </c>
      <c r="E437">
        <v>1</v>
      </c>
    </row>
    <row r="438" spans="1:5" x14ac:dyDescent="0.25">
      <c r="A438" t="s">
        <v>420</v>
      </c>
      <c r="B438" t="s">
        <v>2470</v>
      </c>
      <c r="C438" t="s">
        <v>2455</v>
      </c>
      <c r="D438" t="s">
        <v>2687</v>
      </c>
      <c r="E438">
        <v>4</v>
      </c>
    </row>
    <row r="439" spans="1:5" x14ac:dyDescent="0.25">
      <c r="A439" t="s">
        <v>420</v>
      </c>
      <c r="B439" t="s">
        <v>2470</v>
      </c>
      <c r="C439" t="s">
        <v>2455</v>
      </c>
      <c r="D439" t="s">
        <v>2688</v>
      </c>
      <c r="E439">
        <v>8</v>
      </c>
    </row>
    <row r="440" spans="1:5" x14ac:dyDescent="0.25">
      <c r="A440" t="s">
        <v>420</v>
      </c>
      <c r="B440" t="s">
        <v>2470</v>
      </c>
      <c r="C440" t="s">
        <v>2455</v>
      </c>
      <c r="D440" t="s">
        <v>2689</v>
      </c>
      <c r="E440">
        <v>7</v>
      </c>
    </row>
    <row r="441" spans="1:5" x14ac:dyDescent="0.25">
      <c r="A441" t="s">
        <v>420</v>
      </c>
      <c r="B441" t="s">
        <v>2470</v>
      </c>
      <c r="C441" t="s">
        <v>2455</v>
      </c>
      <c r="D441" t="s">
        <v>2690</v>
      </c>
      <c r="E441">
        <v>19</v>
      </c>
    </row>
    <row r="442" spans="1:5" x14ac:dyDescent="0.25">
      <c r="A442" t="s">
        <v>420</v>
      </c>
      <c r="B442" t="s">
        <v>2470</v>
      </c>
      <c r="C442" t="s">
        <v>2454</v>
      </c>
      <c r="D442" t="s">
        <v>2677</v>
      </c>
      <c r="E442">
        <v>22</v>
      </c>
    </row>
    <row r="443" spans="1:5" x14ac:dyDescent="0.25">
      <c r="A443" t="s">
        <v>420</v>
      </c>
      <c r="B443" t="s">
        <v>2470</v>
      </c>
      <c r="C443" t="s">
        <v>2454</v>
      </c>
      <c r="D443" t="s">
        <v>2678</v>
      </c>
      <c r="E443">
        <v>31</v>
      </c>
    </row>
    <row r="444" spans="1:5" x14ac:dyDescent="0.25">
      <c r="A444" t="s">
        <v>420</v>
      </c>
      <c r="B444" t="s">
        <v>2470</v>
      </c>
      <c r="C444" t="s">
        <v>2454</v>
      </c>
      <c r="D444" t="s">
        <v>2679</v>
      </c>
      <c r="E444">
        <v>15</v>
      </c>
    </row>
    <row r="445" spans="1:5" x14ac:dyDescent="0.25">
      <c r="A445" t="s">
        <v>420</v>
      </c>
      <c r="B445" t="s">
        <v>2470</v>
      </c>
      <c r="C445" t="s">
        <v>2454</v>
      </c>
      <c r="D445" t="s">
        <v>2680</v>
      </c>
      <c r="E445">
        <v>27</v>
      </c>
    </row>
    <row r="446" spans="1:5" x14ac:dyDescent="0.25">
      <c r="A446" t="s">
        <v>420</v>
      </c>
      <c r="B446" t="s">
        <v>2470</v>
      </c>
      <c r="C446" t="s">
        <v>2454</v>
      </c>
      <c r="D446" t="s">
        <v>2681</v>
      </c>
      <c r="E446">
        <v>47</v>
      </c>
    </row>
    <row r="447" spans="1:5" x14ac:dyDescent="0.25">
      <c r="A447" t="s">
        <v>420</v>
      </c>
      <c r="B447" t="s">
        <v>2470</v>
      </c>
      <c r="C447" t="s">
        <v>2454</v>
      </c>
      <c r="D447" t="s">
        <v>2682</v>
      </c>
      <c r="E447">
        <v>41</v>
      </c>
    </row>
    <row r="448" spans="1:5" x14ac:dyDescent="0.25">
      <c r="A448" t="s">
        <v>420</v>
      </c>
      <c r="B448" t="s">
        <v>2470</v>
      </c>
      <c r="C448" t="s">
        <v>2454</v>
      </c>
      <c r="D448" t="s">
        <v>2683</v>
      </c>
      <c r="E448">
        <v>52</v>
      </c>
    </row>
    <row r="449" spans="1:5" x14ac:dyDescent="0.25">
      <c r="A449" t="s">
        <v>420</v>
      </c>
      <c r="B449" t="s">
        <v>2470</v>
      </c>
      <c r="C449" t="s">
        <v>2454</v>
      </c>
      <c r="D449" t="s">
        <v>2684</v>
      </c>
      <c r="E449">
        <v>47</v>
      </c>
    </row>
    <row r="450" spans="1:5" x14ac:dyDescent="0.25">
      <c r="A450" t="s">
        <v>420</v>
      </c>
      <c r="B450" t="s">
        <v>2470</v>
      </c>
      <c r="C450" t="s">
        <v>2454</v>
      </c>
      <c r="D450" t="s">
        <v>2685</v>
      </c>
      <c r="E450">
        <v>65</v>
      </c>
    </row>
    <row r="451" spans="1:5" x14ac:dyDescent="0.25">
      <c r="A451" t="s">
        <v>420</v>
      </c>
      <c r="B451" t="s">
        <v>2470</v>
      </c>
      <c r="C451" t="s">
        <v>2454</v>
      </c>
      <c r="D451" t="s">
        <v>2686</v>
      </c>
      <c r="E451">
        <v>59</v>
      </c>
    </row>
    <row r="452" spans="1:5" x14ac:dyDescent="0.25">
      <c r="A452" t="s">
        <v>420</v>
      </c>
      <c r="B452" t="s">
        <v>2470</v>
      </c>
      <c r="C452" t="s">
        <v>2454</v>
      </c>
      <c r="D452" t="s">
        <v>2687</v>
      </c>
      <c r="E452">
        <v>68</v>
      </c>
    </row>
    <row r="453" spans="1:5" x14ac:dyDescent="0.25">
      <c r="A453" t="s">
        <v>420</v>
      </c>
      <c r="B453" t="s">
        <v>2470</v>
      </c>
      <c r="C453" t="s">
        <v>2454</v>
      </c>
      <c r="D453" t="s">
        <v>2688</v>
      </c>
      <c r="E453">
        <v>69</v>
      </c>
    </row>
    <row r="454" spans="1:5" x14ac:dyDescent="0.25">
      <c r="A454" t="s">
        <v>420</v>
      </c>
      <c r="B454" t="s">
        <v>2470</v>
      </c>
      <c r="C454" t="s">
        <v>2454</v>
      </c>
      <c r="D454" t="s">
        <v>2689</v>
      </c>
      <c r="E454">
        <v>89</v>
      </c>
    </row>
    <row r="455" spans="1:5" x14ac:dyDescent="0.25">
      <c r="A455" t="s">
        <v>420</v>
      </c>
      <c r="B455" t="s">
        <v>2470</v>
      </c>
      <c r="C455" t="s">
        <v>2454</v>
      </c>
      <c r="D455" t="s">
        <v>2690</v>
      </c>
      <c r="E455">
        <v>74</v>
      </c>
    </row>
    <row r="456" spans="1:5" x14ac:dyDescent="0.25">
      <c r="A456" t="s">
        <v>420</v>
      </c>
      <c r="B456" t="s">
        <v>2470</v>
      </c>
      <c r="C456" t="s">
        <v>2457</v>
      </c>
      <c r="D456" t="s">
        <v>2677</v>
      </c>
      <c r="E456">
        <v>145</v>
      </c>
    </row>
    <row r="457" spans="1:5" x14ac:dyDescent="0.25">
      <c r="A457" t="s">
        <v>420</v>
      </c>
      <c r="B457" t="s">
        <v>2470</v>
      </c>
      <c r="C457" t="s">
        <v>2457</v>
      </c>
      <c r="D457" t="s">
        <v>2678</v>
      </c>
      <c r="E457">
        <v>276</v>
      </c>
    </row>
    <row r="458" spans="1:5" x14ac:dyDescent="0.25">
      <c r="A458" t="s">
        <v>420</v>
      </c>
      <c r="B458" t="s">
        <v>2470</v>
      </c>
      <c r="C458" t="s">
        <v>2457</v>
      </c>
      <c r="D458" t="s">
        <v>2679</v>
      </c>
      <c r="E458">
        <v>278</v>
      </c>
    </row>
    <row r="459" spans="1:5" x14ac:dyDescent="0.25">
      <c r="A459" t="s">
        <v>420</v>
      </c>
      <c r="B459" t="s">
        <v>2470</v>
      </c>
      <c r="C459" t="s">
        <v>2457</v>
      </c>
      <c r="D459" t="s">
        <v>2680</v>
      </c>
      <c r="E459">
        <v>271</v>
      </c>
    </row>
    <row r="460" spans="1:5" x14ac:dyDescent="0.25">
      <c r="A460" t="s">
        <v>420</v>
      </c>
      <c r="B460" t="s">
        <v>2470</v>
      </c>
      <c r="C460" t="s">
        <v>2457</v>
      </c>
      <c r="D460" t="s">
        <v>2681</v>
      </c>
      <c r="E460">
        <v>225</v>
      </c>
    </row>
    <row r="461" spans="1:5" x14ac:dyDescent="0.25">
      <c r="A461" t="s">
        <v>420</v>
      </c>
      <c r="B461" t="s">
        <v>2470</v>
      </c>
      <c r="C461" t="s">
        <v>2457</v>
      </c>
      <c r="D461" t="s">
        <v>2682</v>
      </c>
      <c r="E461">
        <v>235</v>
      </c>
    </row>
    <row r="462" spans="1:5" x14ac:dyDescent="0.25">
      <c r="A462" t="s">
        <v>420</v>
      </c>
      <c r="B462" t="s">
        <v>2470</v>
      </c>
      <c r="C462" t="s">
        <v>2457</v>
      </c>
      <c r="D462" t="s">
        <v>2683</v>
      </c>
      <c r="E462">
        <v>206</v>
      </c>
    </row>
    <row r="463" spans="1:5" x14ac:dyDescent="0.25">
      <c r="A463" t="s">
        <v>420</v>
      </c>
      <c r="B463" t="s">
        <v>2470</v>
      </c>
      <c r="C463" t="s">
        <v>2457</v>
      </c>
      <c r="D463" t="s">
        <v>2684</v>
      </c>
      <c r="E463">
        <v>174</v>
      </c>
    </row>
    <row r="464" spans="1:5" x14ac:dyDescent="0.25">
      <c r="A464" t="s">
        <v>420</v>
      </c>
      <c r="B464" t="s">
        <v>2470</v>
      </c>
      <c r="C464" t="s">
        <v>2457</v>
      </c>
      <c r="D464" t="s">
        <v>2685</v>
      </c>
      <c r="E464">
        <v>176</v>
      </c>
    </row>
    <row r="465" spans="1:5" x14ac:dyDescent="0.25">
      <c r="A465" t="s">
        <v>420</v>
      </c>
      <c r="B465" t="s">
        <v>2470</v>
      </c>
      <c r="C465" t="s">
        <v>2457</v>
      </c>
      <c r="D465" t="s">
        <v>2686</v>
      </c>
      <c r="E465">
        <v>168</v>
      </c>
    </row>
    <row r="466" spans="1:5" x14ac:dyDescent="0.25">
      <c r="A466" t="s">
        <v>420</v>
      </c>
      <c r="B466" t="s">
        <v>2470</v>
      </c>
      <c r="C466" t="s">
        <v>2457</v>
      </c>
      <c r="D466" t="s">
        <v>2687</v>
      </c>
      <c r="E466">
        <v>179</v>
      </c>
    </row>
    <row r="467" spans="1:5" x14ac:dyDescent="0.25">
      <c r="A467" t="s">
        <v>420</v>
      </c>
      <c r="B467" t="s">
        <v>2470</v>
      </c>
      <c r="C467" t="s">
        <v>2457</v>
      </c>
      <c r="D467" t="s">
        <v>2688</v>
      </c>
      <c r="E467">
        <v>187</v>
      </c>
    </row>
    <row r="468" spans="1:5" x14ac:dyDescent="0.25">
      <c r="A468" t="s">
        <v>420</v>
      </c>
      <c r="B468" t="s">
        <v>2470</v>
      </c>
      <c r="C468" t="s">
        <v>2457</v>
      </c>
      <c r="D468" t="s">
        <v>2689</v>
      </c>
      <c r="E468">
        <v>151</v>
      </c>
    </row>
    <row r="469" spans="1:5" x14ac:dyDescent="0.25">
      <c r="A469" t="s">
        <v>420</v>
      </c>
      <c r="B469" t="s">
        <v>2470</v>
      </c>
      <c r="C469" t="s">
        <v>2457</v>
      </c>
      <c r="D469" t="s">
        <v>2690</v>
      </c>
      <c r="E469">
        <v>132</v>
      </c>
    </row>
    <row r="470" spans="1:5" x14ac:dyDescent="0.25">
      <c r="A470" t="s">
        <v>420</v>
      </c>
      <c r="B470" t="s">
        <v>2470</v>
      </c>
      <c r="C470" t="s">
        <v>2458</v>
      </c>
      <c r="D470" t="s">
        <v>2677</v>
      </c>
      <c r="E470">
        <v>193</v>
      </c>
    </row>
    <row r="471" spans="1:5" x14ac:dyDescent="0.25">
      <c r="A471" t="s">
        <v>420</v>
      </c>
      <c r="B471" t="s">
        <v>2470</v>
      </c>
      <c r="C471" t="s">
        <v>2458</v>
      </c>
      <c r="D471" t="s">
        <v>2678</v>
      </c>
      <c r="E471">
        <v>338</v>
      </c>
    </row>
    <row r="472" spans="1:5" x14ac:dyDescent="0.25">
      <c r="A472" t="s">
        <v>420</v>
      </c>
      <c r="B472" t="s">
        <v>2470</v>
      </c>
      <c r="C472" t="s">
        <v>2458</v>
      </c>
      <c r="D472" t="s">
        <v>2679</v>
      </c>
      <c r="E472">
        <v>377</v>
      </c>
    </row>
    <row r="473" spans="1:5" x14ac:dyDescent="0.25">
      <c r="A473" t="s">
        <v>420</v>
      </c>
      <c r="B473" t="s">
        <v>2470</v>
      </c>
      <c r="C473" t="s">
        <v>2458</v>
      </c>
      <c r="D473" t="s">
        <v>2680</v>
      </c>
      <c r="E473">
        <v>400</v>
      </c>
    </row>
    <row r="474" spans="1:5" x14ac:dyDescent="0.25">
      <c r="A474" t="s">
        <v>420</v>
      </c>
      <c r="B474" t="s">
        <v>2470</v>
      </c>
      <c r="C474" t="s">
        <v>2458</v>
      </c>
      <c r="D474" t="s">
        <v>2681</v>
      </c>
      <c r="E474">
        <v>491</v>
      </c>
    </row>
    <row r="475" spans="1:5" x14ac:dyDescent="0.25">
      <c r="A475" t="s">
        <v>420</v>
      </c>
      <c r="B475" t="s">
        <v>2470</v>
      </c>
      <c r="C475" t="s">
        <v>2458</v>
      </c>
      <c r="D475" t="s">
        <v>2682</v>
      </c>
      <c r="E475">
        <v>497</v>
      </c>
    </row>
    <row r="476" spans="1:5" x14ac:dyDescent="0.25">
      <c r="A476" t="s">
        <v>420</v>
      </c>
      <c r="B476" t="s">
        <v>2470</v>
      </c>
      <c r="C476" t="s">
        <v>2458</v>
      </c>
      <c r="D476" t="s">
        <v>2683</v>
      </c>
      <c r="E476">
        <v>525</v>
      </c>
    </row>
    <row r="477" spans="1:5" x14ac:dyDescent="0.25">
      <c r="A477" t="s">
        <v>420</v>
      </c>
      <c r="B477" t="s">
        <v>2470</v>
      </c>
      <c r="C477" t="s">
        <v>2458</v>
      </c>
      <c r="D477" t="s">
        <v>2684</v>
      </c>
      <c r="E477">
        <v>573</v>
      </c>
    </row>
    <row r="478" spans="1:5" x14ac:dyDescent="0.25">
      <c r="A478" t="s">
        <v>420</v>
      </c>
      <c r="B478" t="s">
        <v>2470</v>
      </c>
      <c r="C478" t="s">
        <v>2458</v>
      </c>
      <c r="D478" t="s">
        <v>2685</v>
      </c>
      <c r="E478">
        <v>520</v>
      </c>
    </row>
    <row r="479" spans="1:5" x14ac:dyDescent="0.25">
      <c r="A479" t="s">
        <v>420</v>
      </c>
      <c r="B479" t="s">
        <v>2470</v>
      </c>
      <c r="C479" t="s">
        <v>2458</v>
      </c>
      <c r="D479" t="s">
        <v>2686</v>
      </c>
      <c r="E479">
        <v>555</v>
      </c>
    </row>
    <row r="480" spans="1:5" x14ac:dyDescent="0.25">
      <c r="A480" t="s">
        <v>420</v>
      </c>
      <c r="B480" t="s">
        <v>2470</v>
      </c>
      <c r="C480" t="s">
        <v>2458</v>
      </c>
      <c r="D480" t="s">
        <v>2687</v>
      </c>
      <c r="E480">
        <v>571</v>
      </c>
    </row>
    <row r="481" spans="1:5" x14ac:dyDescent="0.25">
      <c r="A481" t="s">
        <v>420</v>
      </c>
      <c r="B481" t="s">
        <v>2470</v>
      </c>
      <c r="C481" t="s">
        <v>2458</v>
      </c>
      <c r="D481" t="s">
        <v>2688</v>
      </c>
      <c r="E481">
        <v>566</v>
      </c>
    </row>
    <row r="482" spans="1:5" x14ac:dyDescent="0.25">
      <c r="A482" t="s">
        <v>420</v>
      </c>
      <c r="B482" t="s">
        <v>2470</v>
      </c>
      <c r="C482" t="s">
        <v>2458</v>
      </c>
      <c r="D482" t="s">
        <v>2689</v>
      </c>
      <c r="E482">
        <v>450</v>
      </c>
    </row>
    <row r="483" spans="1:5" x14ac:dyDescent="0.25">
      <c r="A483" t="s">
        <v>420</v>
      </c>
      <c r="B483" t="s">
        <v>2470</v>
      </c>
      <c r="C483" t="s">
        <v>2458</v>
      </c>
      <c r="D483" t="s">
        <v>2690</v>
      </c>
      <c r="E483">
        <v>388</v>
      </c>
    </row>
    <row r="484" spans="1:5" x14ac:dyDescent="0.25">
      <c r="A484" t="s">
        <v>420</v>
      </c>
      <c r="B484" t="s">
        <v>2470</v>
      </c>
      <c r="C484" t="s">
        <v>2456</v>
      </c>
      <c r="D484" t="s">
        <v>2677</v>
      </c>
      <c r="E484">
        <v>79</v>
      </c>
    </row>
    <row r="485" spans="1:5" x14ac:dyDescent="0.25">
      <c r="A485" t="s">
        <v>420</v>
      </c>
      <c r="B485" t="s">
        <v>2470</v>
      </c>
      <c r="C485" t="s">
        <v>2456</v>
      </c>
      <c r="D485" t="s">
        <v>2678</v>
      </c>
      <c r="E485">
        <v>150</v>
      </c>
    </row>
    <row r="486" spans="1:5" x14ac:dyDescent="0.25">
      <c r="A486" t="s">
        <v>420</v>
      </c>
      <c r="B486" t="s">
        <v>2470</v>
      </c>
      <c r="C486" t="s">
        <v>2456</v>
      </c>
      <c r="D486" t="s">
        <v>2679</v>
      </c>
      <c r="E486">
        <v>197</v>
      </c>
    </row>
    <row r="487" spans="1:5" x14ac:dyDescent="0.25">
      <c r="A487" t="s">
        <v>420</v>
      </c>
      <c r="B487" t="s">
        <v>2470</v>
      </c>
      <c r="C487" t="s">
        <v>2456</v>
      </c>
      <c r="D487" t="s">
        <v>2680</v>
      </c>
      <c r="E487">
        <v>231</v>
      </c>
    </row>
    <row r="488" spans="1:5" x14ac:dyDescent="0.25">
      <c r="A488" t="s">
        <v>420</v>
      </c>
      <c r="B488" t="s">
        <v>2470</v>
      </c>
      <c r="C488" t="s">
        <v>2456</v>
      </c>
      <c r="D488" t="s">
        <v>2681</v>
      </c>
      <c r="E488">
        <v>232</v>
      </c>
    </row>
    <row r="489" spans="1:5" x14ac:dyDescent="0.25">
      <c r="A489" t="s">
        <v>420</v>
      </c>
      <c r="B489" t="s">
        <v>2470</v>
      </c>
      <c r="C489" t="s">
        <v>2456</v>
      </c>
      <c r="D489" t="s">
        <v>2682</v>
      </c>
      <c r="E489">
        <v>263</v>
      </c>
    </row>
    <row r="490" spans="1:5" x14ac:dyDescent="0.25">
      <c r="A490" t="s">
        <v>420</v>
      </c>
      <c r="B490" t="s">
        <v>2470</v>
      </c>
      <c r="C490" t="s">
        <v>2456</v>
      </c>
      <c r="D490" t="s">
        <v>2683</v>
      </c>
      <c r="E490">
        <v>366</v>
      </c>
    </row>
    <row r="491" spans="1:5" x14ac:dyDescent="0.25">
      <c r="A491" t="s">
        <v>420</v>
      </c>
      <c r="B491" t="s">
        <v>2470</v>
      </c>
      <c r="C491" t="s">
        <v>2456</v>
      </c>
      <c r="D491" t="s">
        <v>2684</v>
      </c>
      <c r="E491">
        <v>397</v>
      </c>
    </row>
    <row r="492" spans="1:5" x14ac:dyDescent="0.25">
      <c r="A492" t="s">
        <v>420</v>
      </c>
      <c r="B492" t="s">
        <v>2470</v>
      </c>
      <c r="C492" t="s">
        <v>2456</v>
      </c>
      <c r="D492" t="s">
        <v>2685</v>
      </c>
      <c r="E492">
        <v>349</v>
      </c>
    </row>
    <row r="493" spans="1:5" x14ac:dyDescent="0.25">
      <c r="A493" t="s">
        <v>420</v>
      </c>
      <c r="B493" t="s">
        <v>2470</v>
      </c>
      <c r="C493" t="s">
        <v>2456</v>
      </c>
      <c r="D493" t="s">
        <v>2686</v>
      </c>
      <c r="E493">
        <v>384</v>
      </c>
    </row>
    <row r="494" spans="1:5" x14ac:dyDescent="0.25">
      <c r="A494" t="s">
        <v>420</v>
      </c>
      <c r="B494" t="s">
        <v>2470</v>
      </c>
      <c r="C494" t="s">
        <v>2456</v>
      </c>
      <c r="D494" t="s">
        <v>2687</v>
      </c>
      <c r="E494">
        <v>365</v>
      </c>
    </row>
    <row r="495" spans="1:5" x14ac:dyDescent="0.25">
      <c r="A495" t="s">
        <v>420</v>
      </c>
      <c r="B495" t="s">
        <v>2470</v>
      </c>
      <c r="C495" t="s">
        <v>2456</v>
      </c>
      <c r="D495" t="s">
        <v>2688</v>
      </c>
      <c r="E495">
        <v>353</v>
      </c>
    </row>
    <row r="496" spans="1:5" x14ac:dyDescent="0.25">
      <c r="A496" t="s">
        <v>420</v>
      </c>
      <c r="B496" t="s">
        <v>2470</v>
      </c>
      <c r="C496" t="s">
        <v>2456</v>
      </c>
      <c r="D496" t="s">
        <v>2689</v>
      </c>
      <c r="E496">
        <v>282</v>
      </c>
    </row>
    <row r="497" spans="1:5" x14ac:dyDescent="0.25">
      <c r="A497" t="s">
        <v>420</v>
      </c>
      <c r="B497" t="s">
        <v>2470</v>
      </c>
      <c r="C497" t="s">
        <v>2456</v>
      </c>
      <c r="D497" t="s">
        <v>2690</v>
      </c>
      <c r="E497">
        <v>305</v>
      </c>
    </row>
    <row r="498" spans="1:5" x14ac:dyDescent="0.25">
      <c r="A498" t="s">
        <v>420</v>
      </c>
      <c r="B498" t="s">
        <v>2470</v>
      </c>
      <c r="C498" t="s">
        <v>2039</v>
      </c>
      <c r="D498" t="s">
        <v>2677</v>
      </c>
      <c r="E498">
        <v>456</v>
      </c>
    </row>
    <row r="499" spans="1:5" x14ac:dyDescent="0.25">
      <c r="A499" t="s">
        <v>420</v>
      </c>
      <c r="B499" t="s">
        <v>2470</v>
      </c>
      <c r="C499" t="s">
        <v>2039</v>
      </c>
      <c r="D499" t="s">
        <v>2678</v>
      </c>
      <c r="E499">
        <v>818</v>
      </c>
    </row>
    <row r="500" spans="1:5" x14ac:dyDescent="0.25">
      <c r="A500" t="s">
        <v>420</v>
      </c>
      <c r="B500" t="s">
        <v>2470</v>
      </c>
      <c r="C500" t="s">
        <v>2039</v>
      </c>
      <c r="D500" t="s">
        <v>2679</v>
      </c>
      <c r="E500">
        <v>748</v>
      </c>
    </row>
    <row r="501" spans="1:5" x14ac:dyDescent="0.25">
      <c r="A501" t="s">
        <v>420</v>
      </c>
      <c r="B501" t="s">
        <v>2470</v>
      </c>
      <c r="C501" t="s">
        <v>2039</v>
      </c>
      <c r="D501" t="s">
        <v>2680</v>
      </c>
      <c r="E501">
        <v>779</v>
      </c>
    </row>
    <row r="502" spans="1:5" x14ac:dyDescent="0.25">
      <c r="A502" t="s">
        <v>420</v>
      </c>
      <c r="B502" t="s">
        <v>2470</v>
      </c>
      <c r="C502" t="s">
        <v>2039</v>
      </c>
      <c r="D502" t="s">
        <v>2681</v>
      </c>
      <c r="E502">
        <v>831</v>
      </c>
    </row>
    <row r="503" spans="1:5" x14ac:dyDescent="0.25">
      <c r="A503" t="s">
        <v>420</v>
      </c>
      <c r="B503" t="s">
        <v>2470</v>
      </c>
      <c r="C503" t="s">
        <v>2039</v>
      </c>
      <c r="D503" t="s">
        <v>2682</v>
      </c>
      <c r="E503">
        <v>975</v>
      </c>
    </row>
    <row r="504" spans="1:5" x14ac:dyDescent="0.25">
      <c r="A504" t="s">
        <v>420</v>
      </c>
      <c r="B504" t="s">
        <v>2470</v>
      </c>
      <c r="C504" t="s">
        <v>2039</v>
      </c>
      <c r="D504" t="s">
        <v>2683</v>
      </c>
      <c r="E504">
        <v>1066</v>
      </c>
    </row>
    <row r="505" spans="1:5" x14ac:dyDescent="0.25">
      <c r="A505" t="s">
        <v>420</v>
      </c>
      <c r="B505" t="s">
        <v>2470</v>
      </c>
      <c r="C505" t="s">
        <v>2039</v>
      </c>
      <c r="D505" t="s">
        <v>2684</v>
      </c>
      <c r="E505">
        <v>1137</v>
      </c>
    </row>
    <row r="506" spans="1:5" x14ac:dyDescent="0.25">
      <c r="A506" t="s">
        <v>420</v>
      </c>
      <c r="B506" t="s">
        <v>2470</v>
      </c>
      <c r="C506" t="s">
        <v>2039</v>
      </c>
      <c r="D506" t="s">
        <v>2685</v>
      </c>
      <c r="E506">
        <v>1159</v>
      </c>
    </row>
    <row r="507" spans="1:5" x14ac:dyDescent="0.25">
      <c r="A507" t="s">
        <v>420</v>
      </c>
      <c r="B507" t="s">
        <v>2470</v>
      </c>
      <c r="C507" t="s">
        <v>2039</v>
      </c>
      <c r="D507" t="s">
        <v>2686</v>
      </c>
      <c r="E507">
        <v>1182</v>
      </c>
    </row>
    <row r="508" spans="1:5" x14ac:dyDescent="0.25">
      <c r="A508" t="s">
        <v>420</v>
      </c>
      <c r="B508" t="s">
        <v>2470</v>
      </c>
      <c r="C508" t="s">
        <v>2039</v>
      </c>
      <c r="D508" t="s">
        <v>2687</v>
      </c>
      <c r="E508">
        <v>1168</v>
      </c>
    </row>
    <row r="509" spans="1:5" x14ac:dyDescent="0.25">
      <c r="A509" t="s">
        <v>420</v>
      </c>
      <c r="B509" t="s">
        <v>2470</v>
      </c>
      <c r="C509" t="s">
        <v>2039</v>
      </c>
      <c r="D509" t="s">
        <v>2688</v>
      </c>
      <c r="E509">
        <v>1157</v>
      </c>
    </row>
    <row r="510" spans="1:5" x14ac:dyDescent="0.25">
      <c r="A510" t="s">
        <v>420</v>
      </c>
      <c r="B510" t="s">
        <v>2470</v>
      </c>
      <c r="C510" t="s">
        <v>2039</v>
      </c>
      <c r="D510" t="s">
        <v>2689</v>
      </c>
      <c r="E510">
        <v>1033</v>
      </c>
    </row>
    <row r="511" spans="1:5" x14ac:dyDescent="0.25">
      <c r="A511" t="s">
        <v>420</v>
      </c>
      <c r="B511" t="s">
        <v>2470</v>
      </c>
      <c r="C511" t="s">
        <v>2039</v>
      </c>
      <c r="D511" t="s">
        <v>2690</v>
      </c>
      <c r="E511">
        <v>943</v>
      </c>
    </row>
    <row r="512" spans="1:5" x14ac:dyDescent="0.25">
      <c r="A512" t="s">
        <v>420</v>
      </c>
      <c r="B512" t="s">
        <v>2470</v>
      </c>
      <c r="C512" t="s">
        <v>2473</v>
      </c>
      <c r="D512" t="s">
        <v>2677</v>
      </c>
      <c r="E512">
        <v>8</v>
      </c>
    </row>
    <row r="513" spans="1:5" x14ac:dyDescent="0.25">
      <c r="A513" t="s">
        <v>420</v>
      </c>
      <c r="B513" t="s">
        <v>2470</v>
      </c>
      <c r="C513" t="s">
        <v>2473</v>
      </c>
      <c r="D513" t="s">
        <v>2678</v>
      </c>
      <c r="E513">
        <v>13</v>
      </c>
    </row>
    <row r="514" spans="1:5" x14ac:dyDescent="0.25">
      <c r="A514" t="s">
        <v>420</v>
      </c>
      <c r="B514" t="s">
        <v>2470</v>
      </c>
      <c r="C514" t="s">
        <v>2473</v>
      </c>
      <c r="D514" t="s">
        <v>2679</v>
      </c>
      <c r="E514">
        <v>31</v>
      </c>
    </row>
    <row r="515" spans="1:5" x14ac:dyDescent="0.25">
      <c r="A515" t="s">
        <v>420</v>
      </c>
      <c r="B515" t="s">
        <v>2470</v>
      </c>
      <c r="C515" t="s">
        <v>2473</v>
      </c>
      <c r="D515" t="s">
        <v>2680</v>
      </c>
      <c r="E515">
        <v>45</v>
      </c>
    </row>
    <row r="516" spans="1:5" x14ac:dyDescent="0.25">
      <c r="A516" t="s">
        <v>420</v>
      </c>
      <c r="B516" t="s">
        <v>2470</v>
      </c>
      <c r="C516" t="s">
        <v>2473</v>
      </c>
      <c r="D516" t="s">
        <v>2681</v>
      </c>
      <c r="E516">
        <v>40</v>
      </c>
    </row>
    <row r="517" spans="1:5" x14ac:dyDescent="0.25">
      <c r="A517" t="s">
        <v>420</v>
      </c>
      <c r="B517" t="s">
        <v>2470</v>
      </c>
      <c r="C517" t="s">
        <v>2473</v>
      </c>
      <c r="D517" t="s">
        <v>2682</v>
      </c>
      <c r="E517">
        <v>37</v>
      </c>
    </row>
    <row r="518" spans="1:5" x14ac:dyDescent="0.25">
      <c r="A518" t="s">
        <v>420</v>
      </c>
      <c r="B518" t="s">
        <v>2470</v>
      </c>
      <c r="C518" t="s">
        <v>2473</v>
      </c>
      <c r="D518" t="s">
        <v>2683</v>
      </c>
      <c r="E518">
        <v>28</v>
      </c>
    </row>
    <row r="519" spans="1:5" x14ac:dyDescent="0.25">
      <c r="A519" t="s">
        <v>420</v>
      </c>
      <c r="B519" t="s">
        <v>2470</v>
      </c>
      <c r="C519" t="s">
        <v>2473</v>
      </c>
      <c r="D519" t="s">
        <v>2684</v>
      </c>
      <c r="E519">
        <v>31</v>
      </c>
    </row>
    <row r="520" spans="1:5" x14ac:dyDescent="0.25">
      <c r="A520" t="s">
        <v>420</v>
      </c>
      <c r="B520" t="s">
        <v>2470</v>
      </c>
      <c r="C520" t="s">
        <v>2473</v>
      </c>
      <c r="D520" t="s">
        <v>2685</v>
      </c>
      <c r="E520">
        <v>44</v>
      </c>
    </row>
    <row r="521" spans="1:5" x14ac:dyDescent="0.25">
      <c r="A521" t="s">
        <v>420</v>
      </c>
      <c r="B521" t="s">
        <v>2470</v>
      </c>
      <c r="C521" t="s">
        <v>2473</v>
      </c>
      <c r="D521" t="s">
        <v>2686</v>
      </c>
      <c r="E521">
        <v>49</v>
      </c>
    </row>
    <row r="522" spans="1:5" x14ac:dyDescent="0.25">
      <c r="A522" t="s">
        <v>420</v>
      </c>
      <c r="B522" t="s">
        <v>2470</v>
      </c>
      <c r="C522" t="s">
        <v>2473</v>
      </c>
      <c r="D522" t="s">
        <v>2687</v>
      </c>
      <c r="E522">
        <v>43</v>
      </c>
    </row>
    <row r="523" spans="1:5" x14ac:dyDescent="0.25">
      <c r="A523" t="s">
        <v>420</v>
      </c>
      <c r="B523" t="s">
        <v>2470</v>
      </c>
      <c r="C523" t="s">
        <v>2473</v>
      </c>
      <c r="D523" t="s">
        <v>2688</v>
      </c>
      <c r="E523">
        <v>39</v>
      </c>
    </row>
    <row r="524" spans="1:5" x14ac:dyDescent="0.25">
      <c r="A524" t="s">
        <v>420</v>
      </c>
      <c r="B524" t="s">
        <v>2470</v>
      </c>
      <c r="C524" t="s">
        <v>2473</v>
      </c>
      <c r="D524" t="s">
        <v>2689</v>
      </c>
      <c r="E524">
        <v>34</v>
      </c>
    </row>
    <row r="525" spans="1:5" x14ac:dyDescent="0.25">
      <c r="A525" t="s">
        <v>420</v>
      </c>
      <c r="B525" t="s">
        <v>2470</v>
      </c>
      <c r="C525" t="s">
        <v>2473</v>
      </c>
      <c r="D525" t="s">
        <v>2690</v>
      </c>
      <c r="E525">
        <v>26</v>
      </c>
    </row>
    <row r="526" spans="1:5" x14ac:dyDescent="0.25">
      <c r="A526" t="s">
        <v>420</v>
      </c>
      <c r="B526" t="s">
        <v>2470</v>
      </c>
      <c r="C526" t="s">
        <v>2390</v>
      </c>
      <c r="D526" t="s">
        <v>2677</v>
      </c>
      <c r="E526">
        <v>195</v>
      </c>
    </row>
    <row r="527" spans="1:5" x14ac:dyDescent="0.25">
      <c r="A527" t="s">
        <v>420</v>
      </c>
      <c r="B527" t="s">
        <v>2470</v>
      </c>
      <c r="C527" t="s">
        <v>2390</v>
      </c>
      <c r="D527" t="s">
        <v>2678</v>
      </c>
      <c r="E527">
        <v>398</v>
      </c>
    </row>
    <row r="528" spans="1:5" x14ac:dyDescent="0.25">
      <c r="A528" t="s">
        <v>420</v>
      </c>
      <c r="B528" t="s">
        <v>2470</v>
      </c>
      <c r="C528" t="s">
        <v>2390</v>
      </c>
      <c r="D528" t="s">
        <v>2679</v>
      </c>
      <c r="E528">
        <v>364</v>
      </c>
    </row>
    <row r="529" spans="1:5" x14ac:dyDescent="0.25">
      <c r="A529" t="s">
        <v>420</v>
      </c>
      <c r="B529" t="s">
        <v>2470</v>
      </c>
      <c r="C529" t="s">
        <v>2390</v>
      </c>
      <c r="D529" t="s">
        <v>2680</v>
      </c>
      <c r="E529">
        <v>409</v>
      </c>
    </row>
    <row r="530" spans="1:5" x14ac:dyDescent="0.25">
      <c r="A530" t="s">
        <v>420</v>
      </c>
      <c r="B530" t="s">
        <v>2470</v>
      </c>
      <c r="C530" t="s">
        <v>2390</v>
      </c>
      <c r="D530" t="s">
        <v>2681</v>
      </c>
      <c r="E530">
        <v>467</v>
      </c>
    </row>
    <row r="531" spans="1:5" x14ac:dyDescent="0.25">
      <c r="A531" t="s">
        <v>420</v>
      </c>
      <c r="B531" t="s">
        <v>2470</v>
      </c>
      <c r="C531" t="s">
        <v>2390</v>
      </c>
      <c r="D531" t="s">
        <v>2682</v>
      </c>
      <c r="E531">
        <v>556</v>
      </c>
    </row>
    <row r="532" spans="1:5" x14ac:dyDescent="0.25">
      <c r="A532" t="s">
        <v>420</v>
      </c>
      <c r="B532" t="s">
        <v>2470</v>
      </c>
      <c r="C532" t="s">
        <v>2390</v>
      </c>
      <c r="D532" t="s">
        <v>2683</v>
      </c>
      <c r="E532">
        <v>586</v>
      </c>
    </row>
    <row r="533" spans="1:5" x14ac:dyDescent="0.25">
      <c r="A533" t="s">
        <v>420</v>
      </c>
      <c r="B533" t="s">
        <v>2470</v>
      </c>
      <c r="C533" t="s">
        <v>2390</v>
      </c>
      <c r="D533" t="s">
        <v>2684</v>
      </c>
      <c r="E533">
        <v>595</v>
      </c>
    </row>
    <row r="534" spans="1:5" x14ac:dyDescent="0.25">
      <c r="A534" t="s">
        <v>420</v>
      </c>
      <c r="B534" t="s">
        <v>2470</v>
      </c>
      <c r="C534" t="s">
        <v>2390</v>
      </c>
      <c r="D534" t="s">
        <v>2685</v>
      </c>
      <c r="E534">
        <v>655</v>
      </c>
    </row>
    <row r="535" spans="1:5" x14ac:dyDescent="0.25">
      <c r="A535" t="s">
        <v>420</v>
      </c>
      <c r="B535" t="s">
        <v>2470</v>
      </c>
      <c r="C535" t="s">
        <v>2390</v>
      </c>
      <c r="D535" t="s">
        <v>2686</v>
      </c>
      <c r="E535">
        <v>687</v>
      </c>
    </row>
    <row r="536" spans="1:5" x14ac:dyDescent="0.25">
      <c r="A536" t="s">
        <v>420</v>
      </c>
      <c r="B536" t="s">
        <v>2470</v>
      </c>
      <c r="C536" t="s">
        <v>2390</v>
      </c>
      <c r="D536" t="s">
        <v>2687</v>
      </c>
      <c r="E536">
        <v>743</v>
      </c>
    </row>
    <row r="537" spans="1:5" x14ac:dyDescent="0.25">
      <c r="A537" t="s">
        <v>420</v>
      </c>
      <c r="B537" t="s">
        <v>2470</v>
      </c>
      <c r="C537" t="s">
        <v>2390</v>
      </c>
      <c r="D537" t="s">
        <v>2688</v>
      </c>
      <c r="E537">
        <v>745</v>
      </c>
    </row>
    <row r="538" spans="1:5" x14ac:dyDescent="0.25">
      <c r="A538" t="s">
        <v>420</v>
      </c>
      <c r="B538" t="s">
        <v>2470</v>
      </c>
      <c r="C538" t="s">
        <v>2390</v>
      </c>
      <c r="D538" t="s">
        <v>2689</v>
      </c>
      <c r="E538">
        <v>657</v>
      </c>
    </row>
    <row r="539" spans="1:5" x14ac:dyDescent="0.25">
      <c r="A539" t="s">
        <v>420</v>
      </c>
      <c r="B539" t="s">
        <v>2470</v>
      </c>
      <c r="C539" t="s">
        <v>2390</v>
      </c>
      <c r="D539" t="s">
        <v>2690</v>
      </c>
      <c r="E539">
        <v>553</v>
      </c>
    </row>
    <row r="540" spans="1:5" x14ac:dyDescent="0.25">
      <c r="A540" t="s">
        <v>420</v>
      </c>
      <c r="B540" t="s">
        <v>2470</v>
      </c>
      <c r="C540" t="s">
        <v>2472</v>
      </c>
      <c r="D540" t="s">
        <v>2677</v>
      </c>
      <c r="E540">
        <v>23</v>
      </c>
    </row>
    <row r="541" spans="1:5" x14ac:dyDescent="0.25">
      <c r="A541" t="s">
        <v>420</v>
      </c>
      <c r="B541" t="s">
        <v>2470</v>
      </c>
      <c r="C541" t="s">
        <v>2472</v>
      </c>
      <c r="D541" t="s">
        <v>2678</v>
      </c>
      <c r="E541">
        <v>45</v>
      </c>
    </row>
    <row r="542" spans="1:5" x14ac:dyDescent="0.25">
      <c r="A542" t="s">
        <v>420</v>
      </c>
      <c r="B542" t="s">
        <v>2470</v>
      </c>
      <c r="C542" t="s">
        <v>2472</v>
      </c>
      <c r="D542" t="s">
        <v>2679</v>
      </c>
      <c r="E542">
        <v>56</v>
      </c>
    </row>
    <row r="543" spans="1:5" x14ac:dyDescent="0.25">
      <c r="A543" t="s">
        <v>420</v>
      </c>
      <c r="B543" t="s">
        <v>2470</v>
      </c>
      <c r="C543" t="s">
        <v>2472</v>
      </c>
      <c r="D543" t="s">
        <v>2680</v>
      </c>
      <c r="E543">
        <v>55</v>
      </c>
    </row>
    <row r="544" spans="1:5" x14ac:dyDescent="0.25">
      <c r="A544" t="s">
        <v>420</v>
      </c>
      <c r="B544" t="s">
        <v>2470</v>
      </c>
      <c r="C544" t="s">
        <v>2472</v>
      </c>
      <c r="D544" t="s">
        <v>2681</v>
      </c>
      <c r="E544">
        <v>73</v>
      </c>
    </row>
    <row r="545" spans="1:5" x14ac:dyDescent="0.25">
      <c r="A545" t="s">
        <v>420</v>
      </c>
      <c r="B545" t="s">
        <v>2470</v>
      </c>
      <c r="C545" t="s">
        <v>2472</v>
      </c>
      <c r="D545" t="s">
        <v>2682</v>
      </c>
      <c r="E545">
        <v>96</v>
      </c>
    </row>
    <row r="546" spans="1:5" x14ac:dyDescent="0.25">
      <c r="A546" t="s">
        <v>420</v>
      </c>
      <c r="B546" t="s">
        <v>2470</v>
      </c>
      <c r="C546" t="s">
        <v>2472</v>
      </c>
      <c r="D546" t="s">
        <v>2683</v>
      </c>
      <c r="E546">
        <v>104</v>
      </c>
    </row>
    <row r="547" spans="1:5" x14ac:dyDescent="0.25">
      <c r="A547" t="s">
        <v>420</v>
      </c>
      <c r="B547" t="s">
        <v>2470</v>
      </c>
      <c r="C547" t="s">
        <v>2472</v>
      </c>
      <c r="D547" t="s">
        <v>2684</v>
      </c>
      <c r="E547">
        <v>87</v>
      </c>
    </row>
    <row r="548" spans="1:5" x14ac:dyDescent="0.25">
      <c r="A548" t="s">
        <v>420</v>
      </c>
      <c r="B548" t="s">
        <v>2470</v>
      </c>
      <c r="C548" t="s">
        <v>2472</v>
      </c>
      <c r="D548" t="s">
        <v>2685</v>
      </c>
      <c r="E548">
        <v>102</v>
      </c>
    </row>
    <row r="549" spans="1:5" x14ac:dyDescent="0.25">
      <c r="A549" t="s">
        <v>420</v>
      </c>
      <c r="B549" t="s">
        <v>2470</v>
      </c>
      <c r="C549" t="s">
        <v>2472</v>
      </c>
      <c r="D549" t="s">
        <v>2686</v>
      </c>
      <c r="E549">
        <v>121</v>
      </c>
    </row>
    <row r="550" spans="1:5" x14ac:dyDescent="0.25">
      <c r="A550" t="s">
        <v>420</v>
      </c>
      <c r="B550" t="s">
        <v>2470</v>
      </c>
      <c r="C550" t="s">
        <v>2472</v>
      </c>
      <c r="D550" t="s">
        <v>2687</v>
      </c>
      <c r="E550">
        <v>170</v>
      </c>
    </row>
    <row r="551" spans="1:5" x14ac:dyDescent="0.25">
      <c r="A551" t="s">
        <v>420</v>
      </c>
      <c r="B551" t="s">
        <v>2470</v>
      </c>
      <c r="C551" t="s">
        <v>2472</v>
      </c>
      <c r="D551" t="s">
        <v>2688</v>
      </c>
      <c r="E551">
        <v>147</v>
      </c>
    </row>
    <row r="552" spans="1:5" x14ac:dyDescent="0.25">
      <c r="A552" t="s">
        <v>420</v>
      </c>
      <c r="B552" t="s">
        <v>2470</v>
      </c>
      <c r="C552" t="s">
        <v>2472</v>
      </c>
      <c r="D552" t="s">
        <v>2689</v>
      </c>
      <c r="E552">
        <v>112</v>
      </c>
    </row>
    <row r="553" spans="1:5" x14ac:dyDescent="0.25">
      <c r="A553" t="s">
        <v>420</v>
      </c>
      <c r="B553" t="s">
        <v>2470</v>
      </c>
      <c r="C553" t="s">
        <v>2472</v>
      </c>
      <c r="D553" t="s">
        <v>2690</v>
      </c>
      <c r="E553">
        <v>96</v>
      </c>
    </row>
    <row r="554" spans="1:5" x14ac:dyDescent="0.25">
      <c r="A554" t="s">
        <v>420</v>
      </c>
      <c r="B554" t="s">
        <v>2470</v>
      </c>
      <c r="C554" t="s">
        <v>2693</v>
      </c>
      <c r="D554" t="s">
        <v>2677</v>
      </c>
      <c r="E554">
        <v>15</v>
      </c>
    </row>
    <row r="555" spans="1:5" x14ac:dyDescent="0.25">
      <c r="A555" t="s">
        <v>420</v>
      </c>
      <c r="B555" t="s">
        <v>2470</v>
      </c>
      <c r="C555" t="s">
        <v>2693</v>
      </c>
      <c r="D555" t="s">
        <v>2678</v>
      </c>
      <c r="E555">
        <v>10</v>
      </c>
    </row>
    <row r="556" spans="1:5" x14ac:dyDescent="0.25">
      <c r="A556" t="s">
        <v>420</v>
      </c>
      <c r="B556" t="s">
        <v>2470</v>
      </c>
      <c r="C556" t="s">
        <v>2471</v>
      </c>
      <c r="D556" t="s">
        <v>2677</v>
      </c>
      <c r="E556">
        <v>21</v>
      </c>
    </row>
    <row r="557" spans="1:5" x14ac:dyDescent="0.25">
      <c r="A557" t="s">
        <v>420</v>
      </c>
      <c r="B557" t="s">
        <v>2470</v>
      </c>
      <c r="C557" t="s">
        <v>2471</v>
      </c>
      <c r="D557" t="s">
        <v>2678</v>
      </c>
      <c r="E557">
        <v>53</v>
      </c>
    </row>
    <row r="558" spans="1:5" x14ac:dyDescent="0.25">
      <c r="A558" t="s">
        <v>420</v>
      </c>
      <c r="B558" t="s">
        <v>2470</v>
      </c>
      <c r="C558" t="s">
        <v>2471</v>
      </c>
      <c r="D558" t="s">
        <v>2679</v>
      </c>
      <c r="E558">
        <v>49</v>
      </c>
    </row>
    <row r="559" spans="1:5" x14ac:dyDescent="0.25">
      <c r="A559" t="s">
        <v>420</v>
      </c>
      <c r="B559" t="s">
        <v>2470</v>
      </c>
      <c r="C559" t="s">
        <v>2471</v>
      </c>
      <c r="D559" t="s">
        <v>2680</v>
      </c>
      <c r="E559">
        <v>61</v>
      </c>
    </row>
    <row r="560" spans="1:5" x14ac:dyDescent="0.25">
      <c r="A560" t="s">
        <v>420</v>
      </c>
      <c r="B560" t="s">
        <v>2470</v>
      </c>
      <c r="C560" t="s">
        <v>2471</v>
      </c>
      <c r="D560" t="s">
        <v>2681</v>
      </c>
      <c r="E560">
        <v>53</v>
      </c>
    </row>
    <row r="561" spans="1:5" x14ac:dyDescent="0.25">
      <c r="A561" t="s">
        <v>420</v>
      </c>
      <c r="B561" t="s">
        <v>2470</v>
      </c>
      <c r="C561" t="s">
        <v>2471</v>
      </c>
      <c r="D561" t="s">
        <v>2682</v>
      </c>
      <c r="E561">
        <v>55</v>
      </c>
    </row>
    <row r="562" spans="1:5" x14ac:dyDescent="0.25">
      <c r="A562" t="s">
        <v>420</v>
      </c>
      <c r="B562" t="s">
        <v>2470</v>
      </c>
      <c r="C562" t="s">
        <v>2471</v>
      </c>
      <c r="D562" t="s">
        <v>2683</v>
      </c>
      <c r="E562">
        <v>23</v>
      </c>
    </row>
    <row r="563" spans="1:5" x14ac:dyDescent="0.25">
      <c r="A563" t="s">
        <v>420</v>
      </c>
      <c r="B563" t="s">
        <v>2470</v>
      </c>
      <c r="C563" t="s">
        <v>2694</v>
      </c>
      <c r="D563" t="s">
        <v>2677</v>
      </c>
      <c r="E563">
        <v>7</v>
      </c>
    </row>
    <row r="564" spans="1:5" x14ac:dyDescent="0.25">
      <c r="A564" t="s">
        <v>420</v>
      </c>
      <c r="B564" t="s">
        <v>2470</v>
      </c>
      <c r="C564" t="s">
        <v>2694</v>
      </c>
      <c r="D564" t="s">
        <v>2678</v>
      </c>
      <c r="E564">
        <v>1</v>
      </c>
    </row>
    <row r="565" spans="1:5" x14ac:dyDescent="0.25">
      <c r="A565" t="s">
        <v>420</v>
      </c>
      <c r="B565" t="s">
        <v>2518</v>
      </c>
      <c r="C565" t="s">
        <v>459</v>
      </c>
      <c r="D565" t="s">
        <v>2677</v>
      </c>
      <c r="E565">
        <v>31</v>
      </c>
    </row>
    <row r="566" spans="1:5" x14ac:dyDescent="0.25">
      <c r="A566" t="s">
        <v>420</v>
      </c>
      <c r="B566" t="s">
        <v>2518</v>
      </c>
      <c r="C566" t="s">
        <v>459</v>
      </c>
      <c r="D566" t="s">
        <v>2678</v>
      </c>
      <c r="E566">
        <v>50</v>
      </c>
    </row>
    <row r="567" spans="1:5" x14ac:dyDescent="0.25">
      <c r="A567" t="s">
        <v>420</v>
      </c>
      <c r="B567" t="s">
        <v>2518</v>
      </c>
      <c r="C567" t="s">
        <v>459</v>
      </c>
      <c r="D567" t="s">
        <v>2679</v>
      </c>
      <c r="E567">
        <v>64</v>
      </c>
    </row>
    <row r="568" spans="1:5" x14ac:dyDescent="0.25">
      <c r="A568" t="s">
        <v>420</v>
      </c>
      <c r="B568" t="s">
        <v>2518</v>
      </c>
      <c r="C568" t="s">
        <v>459</v>
      </c>
      <c r="D568" t="s">
        <v>2680</v>
      </c>
      <c r="E568">
        <v>57</v>
      </c>
    </row>
    <row r="569" spans="1:5" x14ac:dyDescent="0.25">
      <c r="A569" t="s">
        <v>420</v>
      </c>
      <c r="B569" t="s">
        <v>2518</v>
      </c>
      <c r="C569" t="s">
        <v>459</v>
      </c>
      <c r="D569" t="s">
        <v>2681</v>
      </c>
      <c r="E569">
        <v>50</v>
      </c>
    </row>
    <row r="570" spans="1:5" x14ac:dyDescent="0.25">
      <c r="A570" t="s">
        <v>420</v>
      </c>
      <c r="B570" t="s">
        <v>2518</v>
      </c>
      <c r="C570" t="s">
        <v>459</v>
      </c>
      <c r="D570" t="s">
        <v>2682</v>
      </c>
      <c r="E570">
        <v>51</v>
      </c>
    </row>
    <row r="571" spans="1:5" x14ac:dyDescent="0.25">
      <c r="A571" t="s">
        <v>420</v>
      </c>
      <c r="B571" t="s">
        <v>2518</v>
      </c>
      <c r="C571" t="s">
        <v>459</v>
      </c>
      <c r="D571" t="s">
        <v>2683</v>
      </c>
      <c r="E571">
        <v>52</v>
      </c>
    </row>
    <row r="572" spans="1:5" x14ac:dyDescent="0.25">
      <c r="A572" t="s">
        <v>420</v>
      </c>
      <c r="B572" t="s">
        <v>2518</v>
      </c>
      <c r="C572" t="s">
        <v>459</v>
      </c>
      <c r="D572" t="s">
        <v>2684</v>
      </c>
      <c r="E572">
        <v>44</v>
      </c>
    </row>
    <row r="573" spans="1:5" x14ac:dyDescent="0.25">
      <c r="A573" t="s">
        <v>420</v>
      </c>
      <c r="B573" t="s">
        <v>2518</v>
      </c>
      <c r="C573" t="s">
        <v>459</v>
      </c>
      <c r="D573" t="s">
        <v>2685</v>
      </c>
      <c r="E573">
        <v>59</v>
      </c>
    </row>
    <row r="574" spans="1:5" x14ac:dyDescent="0.25">
      <c r="A574" t="s">
        <v>420</v>
      </c>
      <c r="B574" t="s">
        <v>2518</v>
      </c>
      <c r="C574" t="s">
        <v>459</v>
      </c>
      <c r="D574" t="s">
        <v>2686</v>
      </c>
      <c r="E574">
        <v>63</v>
      </c>
    </row>
    <row r="575" spans="1:5" x14ac:dyDescent="0.25">
      <c r="A575" t="s">
        <v>420</v>
      </c>
      <c r="B575" t="s">
        <v>2518</v>
      </c>
      <c r="C575" t="s">
        <v>459</v>
      </c>
      <c r="D575" t="s">
        <v>2687</v>
      </c>
      <c r="E575">
        <v>66</v>
      </c>
    </row>
    <row r="576" spans="1:5" x14ac:dyDescent="0.25">
      <c r="A576" t="s">
        <v>420</v>
      </c>
      <c r="B576" t="s">
        <v>2518</v>
      </c>
      <c r="C576" t="s">
        <v>459</v>
      </c>
      <c r="D576" t="s">
        <v>2688</v>
      </c>
      <c r="E576">
        <v>60</v>
      </c>
    </row>
    <row r="577" spans="1:5" x14ac:dyDescent="0.25">
      <c r="A577" t="s">
        <v>420</v>
      </c>
      <c r="B577" t="s">
        <v>2518</v>
      </c>
      <c r="C577" t="s">
        <v>459</v>
      </c>
      <c r="D577" t="s">
        <v>2689</v>
      </c>
      <c r="E577">
        <v>52</v>
      </c>
    </row>
    <row r="578" spans="1:5" x14ac:dyDescent="0.25">
      <c r="A578" t="s">
        <v>420</v>
      </c>
      <c r="B578" t="s">
        <v>2518</v>
      </c>
      <c r="C578" t="s">
        <v>459</v>
      </c>
      <c r="D578" t="s">
        <v>2690</v>
      </c>
      <c r="E578">
        <v>60</v>
      </c>
    </row>
    <row r="579" spans="1:5" x14ac:dyDescent="0.25">
      <c r="A579" t="s">
        <v>420</v>
      </c>
      <c r="B579" t="s">
        <v>2518</v>
      </c>
      <c r="C579" t="s">
        <v>2512</v>
      </c>
      <c r="D579" t="s">
        <v>2677</v>
      </c>
      <c r="E579">
        <v>9</v>
      </c>
    </row>
    <row r="580" spans="1:5" x14ac:dyDescent="0.25">
      <c r="A580" t="s">
        <v>420</v>
      </c>
      <c r="B580" t="s">
        <v>2518</v>
      </c>
      <c r="C580" t="s">
        <v>2512</v>
      </c>
      <c r="D580" t="s">
        <v>2678</v>
      </c>
      <c r="E580">
        <v>15</v>
      </c>
    </row>
    <row r="581" spans="1:5" x14ac:dyDescent="0.25">
      <c r="A581" t="s">
        <v>420</v>
      </c>
      <c r="B581" t="s">
        <v>2518</v>
      </c>
      <c r="C581" t="s">
        <v>2512</v>
      </c>
      <c r="D581" t="s">
        <v>2679</v>
      </c>
      <c r="E581">
        <v>16</v>
      </c>
    </row>
    <row r="582" spans="1:5" x14ac:dyDescent="0.25">
      <c r="A582" t="s">
        <v>420</v>
      </c>
      <c r="B582" t="s">
        <v>2518</v>
      </c>
      <c r="C582" t="s">
        <v>2512</v>
      </c>
      <c r="D582" t="s">
        <v>2680</v>
      </c>
      <c r="E582">
        <v>19</v>
      </c>
    </row>
    <row r="583" spans="1:5" x14ac:dyDescent="0.25">
      <c r="A583" t="s">
        <v>420</v>
      </c>
      <c r="B583" t="s">
        <v>2518</v>
      </c>
      <c r="C583" t="s">
        <v>2512</v>
      </c>
      <c r="D583" t="s">
        <v>2681</v>
      </c>
      <c r="E583">
        <v>19</v>
      </c>
    </row>
    <row r="584" spans="1:5" x14ac:dyDescent="0.25">
      <c r="A584" t="s">
        <v>420</v>
      </c>
      <c r="B584" t="s">
        <v>2518</v>
      </c>
      <c r="C584" t="s">
        <v>2512</v>
      </c>
      <c r="D584" t="s">
        <v>2682</v>
      </c>
      <c r="E584">
        <v>16</v>
      </c>
    </row>
    <row r="585" spans="1:5" x14ac:dyDescent="0.25">
      <c r="A585" t="s">
        <v>420</v>
      </c>
      <c r="B585" t="s">
        <v>2518</v>
      </c>
      <c r="C585" t="s">
        <v>2512</v>
      </c>
      <c r="D585" t="s">
        <v>2683</v>
      </c>
      <c r="E585">
        <v>14</v>
      </c>
    </row>
    <row r="586" spans="1:5" x14ac:dyDescent="0.25">
      <c r="A586" t="s">
        <v>420</v>
      </c>
      <c r="B586" t="s">
        <v>2518</v>
      </c>
      <c r="C586" t="s">
        <v>2512</v>
      </c>
      <c r="D586" t="s">
        <v>2684</v>
      </c>
      <c r="E586">
        <v>16</v>
      </c>
    </row>
    <row r="587" spans="1:5" x14ac:dyDescent="0.25">
      <c r="A587" t="s">
        <v>420</v>
      </c>
      <c r="B587" t="s">
        <v>2518</v>
      </c>
      <c r="C587" t="s">
        <v>2512</v>
      </c>
      <c r="D587" t="s">
        <v>2685</v>
      </c>
      <c r="E587">
        <v>10</v>
      </c>
    </row>
    <row r="588" spans="1:5" x14ac:dyDescent="0.25">
      <c r="A588" t="s">
        <v>420</v>
      </c>
      <c r="B588" t="s">
        <v>2518</v>
      </c>
      <c r="C588" t="s">
        <v>2512</v>
      </c>
      <c r="D588" t="s">
        <v>2686</v>
      </c>
      <c r="E588">
        <v>8</v>
      </c>
    </row>
    <row r="589" spans="1:5" x14ac:dyDescent="0.25">
      <c r="A589" t="s">
        <v>420</v>
      </c>
      <c r="B589" t="s">
        <v>2518</v>
      </c>
      <c r="C589" t="s">
        <v>2512</v>
      </c>
      <c r="D589" t="s">
        <v>2687</v>
      </c>
      <c r="E589">
        <v>7</v>
      </c>
    </row>
    <row r="590" spans="1:5" x14ac:dyDescent="0.25">
      <c r="A590" t="s">
        <v>420</v>
      </c>
      <c r="B590" t="s">
        <v>2518</v>
      </c>
      <c r="C590" t="s">
        <v>2512</v>
      </c>
      <c r="D590" t="s">
        <v>2688</v>
      </c>
      <c r="E590">
        <v>12</v>
      </c>
    </row>
    <row r="591" spans="1:5" x14ac:dyDescent="0.25">
      <c r="A591" t="s">
        <v>420</v>
      </c>
      <c r="B591" t="s">
        <v>2518</v>
      </c>
      <c r="C591" t="s">
        <v>2512</v>
      </c>
      <c r="D591" t="s">
        <v>2689</v>
      </c>
      <c r="E591">
        <v>8</v>
      </c>
    </row>
    <row r="592" spans="1:5" x14ac:dyDescent="0.25">
      <c r="A592" t="s">
        <v>420</v>
      </c>
      <c r="B592" t="s">
        <v>2518</v>
      </c>
      <c r="C592" t="s">
        <v>2512</v>
      </c>
      <c r="D592" t="s">
        <v>2690</v>
      </c>
      <c r="E592">
        <v>6</v>
      </c>
    </row>
    <row r="593" spans="1:5" x14ac:dyDescent="0.25">
      <c r="A593" t="s">
        <v>420</v>
      </c>
      <c r="B593" t="s">
        <v>2518</v>
      </c>
      <c r="C593" t="s">
        <v>2511</v>
      </c>
      <c r="D593" t="s">
        <v>2677</v>
      </c>
      <c r="E593">
        <v>23</v>
      </c>
    </row>
    <row r="594" spans="1:5" x14ac:dyDescent="0.25">
      <c r="A594" t="s">
        <v>420</v>
      </c>
      <c r="B594" t="s">
        <v>2518</v>
      </c>
      <c r="C594" t="s">
        <v>2511</v>
      </c>
      <c r="D594" t="s">
        <v>2678</v>
      </c>
      <c r="E594">
        <v>33</v>
      </c>
    </row>
    <row r="595" spans="1:5" x14ac:dyDescent="0.25">
      <c r="A595" t="s">
        <v>420</v>
      </c>
      <c r="B595" t="s">
        <v>2518</v>
      </c>
      <c r="C595" t="s">
        <v>2511</v>
      </c>
      <c r="D595" t="s">
        <v>2679</v>
      </c>
      <c r="E595">
        <v>30</v>
      </c>
    </row>
    <row r="596" spans="1:5" x14ac:dyDescent="0.25">
      <c r="A596" t="s">
        <v>420</v>
      </c>
      <c r="B596" t="s">
        <v>2518</v>
      </c>
      <c r="C596" t="s">
        <v>2511</v>
      </c>
      <c r="D596" t="s">
        <v>2680</v>
      </c>
      <c r="E596">
        <v>35</v>
      </c>
    </row>
    <row r="597" spans="1:5" x14ac:dyDescent="0.25">
      <c r="A597" t="s">
        <v>420</v>
      </c>
      <c r="B597" t="s">
        <v>2518</v>
      </c>
      <c r="C597" t="s">
        <v>2511</v>
      </c>
      <c r="D597" t="s">
        <v>2681</v>
      </c>
      <c r="E597">
        <v>34</v>
      </c>
    </row>
    <row r="598" spans="1:5" x14ac:dyDescent="0.25">
      <c r="A598" t="s">
        <v>420</v>
      </c>
      <c r="B598" t="s">
        <v>2518</v>
      </c>
      <c r="C598" t="s">
        <v>2511</v>
      </c>
      <c r="D598" t="s">
        <v>2682</v>
      </c>
      <c r="E598">
        <v>24</v>
      </c>
    </row>
    <row r="599" spans="1:5" x14ac:dyDescent="0.25">
      <c r="A599" t="s">
        <v>420</v>
      </c>
      <c r="B599" t="s">
        <v>2518</v>
      </c>
      <c r="C599" t="s">
        <v>2511</v>
      </c>
      <c r="D599" t="s">
        <v>2683</v>
      </c>
      <c r="E599">
        <v>30</v>
      </c>
    </row>
    <row r="600" spans="1:5" x14ac:dyDescent="0.25">
      <c r="A600" t="s">
        <v>420</v>
      </c>
      <c r="B600" t="s">
        <v>2518</v>
      </c>
      <c r="C600" t="s">
        <v>2511</v>
      </c>
      <c r="D600" t="s">
        <v>2684</v>
      </c>
      <c r="E600">
        <v>28</v>
      </c>
    </row>
    <row r="601" spans="1:5" x14ac:dyDescent="0.25">
      <c r="A601" t="s">
        <v>420</v>
      </c>
      <c r="B601" t="s">
        <v>2518</v>
      </c>
      <c r="C601" t="s">
        <v>2511</v>
      </c>
      <c r="D601" t="s">
        <v>2685</v>
      </c>
      <c r="E601">
        <v>32</v>
      </c>
    </row>
    <row r="602" spans="1:5" x14ac:dyDescent="0.25">
      <c r="A602" t="s">
        <v>420</v>
      </c>
      <c r="B602" t="s">
        <v>2518</v>
      </c>
      <c r="C602" t="s">
        <v>2511</v>
      </c>
      <c r="D602" t="s">
        <v>2686</v>
      </c>
      <c r="E602">
        <v>32</v>
      </c>
    </row>
    <row r="603" spans="1:5" x14ac:dyDescent="0.25">
      <c r="A603" t="s">
        <v>420</v>
      </c>
      <c r="B603" t="s">
        <v>2518</v>
      </c>
      <c r="C603" t="s">
        <v>2511</v>
      </c>
      <c r="D603" t="s">
        <v>2687</v>
      </c>
      <c r="E603">
        <v>36</v>
      </c>
    </row>
    <row r="604" spans="1:5" x14ac:dyDescent="0.25">
      <c r="A604" t="s">
        <v>420</v>
      </c>
      <c r="B604" t="s">
        <v>2518</v>
      </c>
      <c r="C604" t="s">
        <v>2511</v>
      </c>
      <c r="D604" t="s">
        <v>2688</v>
      </c>
      <c r="E604">
        <v>42</v>
      </c>
    </row>
    <row r="605" spans="1:5" x14ac:dyDescent="0.25">
      <c r="A605" t="s">
        <v>420</v>
      </c>
      <c r="B605" t="s">
        <v>2518</v>
      </c>
      <c r="C605" t="s">
        <v>2511</v>
      </c>
      <c r="D605" t="s">
        <v>2689</v>
      </c>
      <c r="E605">
        <v>38</v>
      </c>
    </row>
    <row r="606" spans="1:5" x14ac:dyDescent="0.25">
      <c r="A606" t="s">
        <v>420</v>
      </c>
      <c r="B606" t="s">
        <v>2518</v>
      </c>
      <c r="C606" t="s">
        <v>2511</v>
      </c>
      <c r="D606" t="s">
        <v>2690</v>
      </c>
      <c r="E606">
        <v>44</v>
      </c>
    </row>
    <row r="607" spans="1:5" x14ac:dyDescent="0.25">
      <c r="A607" t="s">
        <v>420</v>
      </c>
      <c r="B607" t="s">
        <v>2518</v>
      </c>
      <c r="C607" t="s">
        <v>765</v>
      </c>
      <c r="D607" t="s">
        <v>2677</v>
      </c>
      <c r="E607">
        <v>19</v>
      </c>
    </row>
    <row r="608" spans="1:5" x14ac:dyDescent="0.25">
      <c r="A608" t="s">
        <v>420</v>
      </c>
      <c r="B608" t="s">
        <v>2518</v>
      </c>
      <c r="C608" t="s">
        <v>765</v>
      </c>
      <c r="D608" t="s">
        <v>2678</v>
      </c>
      <c r="E608">
        <v>34</v>
      </c>
    </row>
    <row r="609" spans="1:5" x14ac:dyDescent="0.25">
      <c r="A609" t="s">
        <v>420</v>
      </c>
      <c r="B609" t="s">
        <v>2518</v>
      </c>
      <c r="C609" t="s">
        <v>765</v>
      </c>
      <c r="D609" t="s">
        <v>2679</v>
      </c>
      <c r="E609">
        <v>33</v>
      </c>
    </row>
    <row r="610" spans="1:5" x14ac:dyDescent="0.25">
      <c r="A610" t="s">
        <v>420</v>
      </c>
      <c r="B610" t="s">
        <v>2518</v>
      </c>
      <c r="C610" t="s">
        <v>765</v>
      </c>
      <c r="D610" t="s">
        <v>2680</v>
      </c>
      <c r="E610">
        <v>34</v>
      </c>
    </row>
    <row r="611" spans="1:5" x14ac:dyDescent="0.25">
      <c r="A611" t="s">
        <v>420</v>
      </c>
      <c r="B611" t="s">
        <v>2518</v>
      </c>
      <c r="C611" t="s">
        <v>765</v>
      </c>
      <c r="D611" t="s">
        <v>2681</v>
      </c>
      <c r="E611">
        <v>42</v>
      </c>
    </row>
    <row r="612" spans="1:5" x14ac:dyDescent="0.25">
      <c r="A612" t="s">
        <v>420</v>
      </c>
      <c r="B612" t="s">
        <v>2518</v>
      </c>
      <c r="C612" t="s">
        <v>765</v>
      </c>
      <c r="D612" t="s">
        <v>2682</v>
      </c>
      <c r="E612">
        <v>35</v>
      </c>
    </row>
    <row r="613" spans="1:5" x14ac:dyDescent="0.25">
      <c r="A613" t="s">
        <v>420</v>
      </c>
      <c r="B613" t="s">
        <v>2518</v>
      </c>
      <c r="C613" t="s">
        <v>765</v>
      </c>
      <c r="D613" t="s">
        <v>2683</v>
      </c>
      <c r="E613">
        <v>41</v>
      </c>
    </row>
    <row r="614" spans="1:5" x14ac:dyDescent="0.25">
      <c r="A614" t="s">
        <v>420</v>
      </c>
      <c r="B614" t="s">
        <v>2518</v>
      </c>
      <c r="C614" t="s">
        <v>765</v>
      </c>
      <c r="D614" t="s">
        <v>2684</v>
      </c>
      <c r="E614">
        <v>47</v>
      </c>
    </row>
    <row r="615" spans="1:5" x14ac:dyDescent="0.25">
      <c r="A615" t="s">
        <v>420</v>
      </c>
      <c r="B615" t="s">
        <v>2518</v>
      </c>
      <c r="C615" t="s">
        <v>765</v>
      </c>
      <c r="D615" t="s">
        <v>2685</v>
      </c>
      <c r="E615">
        <v>51</v>
      </c>
    </row>
    <row r="616" spans="1:5" x14ac:dyDescent="0.25">
      <c r="A616" t="s">
        <v>420</v>
      </c>
      <c r="B616" t="s">
        <v>2518</v>
      </c>
      <c r="C616" t="s">
        <v>765</v>
      </c>
      <c r="D616" t="s">
        <v>2686</v>
      </c>
      <c r="E616">
        <v>48</v>
      </c>
    </row>
    <row r="617" spans="1:5" x14ac:dyDescent="0.25">
      <c r="A617" t="s">
        <v>420</v>
      </c>
      <c r="B617" t="s">
        <v>2518</v>
      </c>
      <c r="C617" t="s">
        <v>765</v>
      </c>
      <c r="D617" t="s">
        <v>2687</v>
      </c>
      <c r="E617">
        <v>42</v>
      </c>
    </row>
    <row r="618" spans="1:5" x14ac:dyDescent="0.25">
      <c r="A618" t="s">
        <v>420</v>
      </c>
      <c r="B618" t="s">
        <v>2518</v>
      </c>
      <c r="C618" t="s">
        <v>765</v>
      </c>
      <c r="D618" t="s">
        <v>2688</v>
      </c>
      <c r="E618">
        <v>42</v>
      </c>
    </row>
    <row r="619" spans="1:5" x14ac:dyDescent="0.25">
      <c r="A619" t="s">
        <v>420</v>
      </c>
      <c r="B619" t="s">
        <v>2518</v>
      </c>
      <c r="C619" t="s">
        <v>765</v>
      </c>
      <c r="D619" t="s">
        <v>2689</v>
      </c>
      <c r="E619">
        <v>54</v>
      </c>
    </row>
    <row r="620" spans="1:5" x14ac:dyDescent="0.25">
      <c r="A620" t="s">
        <v>420</v>
      </c>
      <c r="B620" t="s">
        <v>2518</v>
      </c>
      <c r="C620" t="s">
        <v>765</v>
      </c>
      <c r="D620" t="s">
        <v>2690</v>
      </c>
      <c r="E620">
        <v>61</v>
      </c>
    </row>
    <row r="621" spans="1:5" x14ac:dyDescent="0.25">
      <c r="A621" t="s">
        <v>420</v>
      </c>
      <c r="B621" t="s">
        <v>2518</v>
      </c>
      <c r="C621" t="s">
        <v>1516</v>
      </c>
      <c r="D621" t="s">
        <v>2677</v>
      </c>
      <c r="E621">
        <v>12</v>
      </c>
    </row>
    <row r="622" spans="1:5" x14ac:dyDescent="0.25">
      <c r="A622" t="s">
        <v>420</v>
      </c>
      <c r="B622" t="s">
        <v>2518</v>
      </c>
      <c r="C622" t="s">
        <v>1516</v>
      </c>
      <c r="D622" t="s">
        <v>2678</v>
      </c>
      <c r="E622">
        <v>23</v>
      </c>
    </row>
    <row r="623" spans="1:5" x14ac:dyDescent="0.25">
      <c r="A623" t="s">
        <v>420</v>
      </c>
      <c r="B623" t="s">
        <v>2518</v>
      </c>
      <c r="C623" t="s">
        <v>1516</v>
      </c>
      <c r="D623" t="s">
        <v>2679</v>
      </c>
      <c r="E623">
        <v>23</v>
      </c>
    </row>
    <row r="624" spans="1:5" x14ac:dyDescent="0.25">
      <c r="A624" t="s">
        <v>420</v>
      </c>
      <c r="B624" t="s">
        <v>2518</v>
      </c>
      <c r="C624" t="s">
        <v>1516</v>
      </c>
      <c r="D624" t="s">
        <v>2680</v>
      </c>
      <c r="E624">
        <v>12</v>
      </c>
    </row>
    <row r="625" spans="1:5" x14ac:dyDescent="0.25">
      <c r="A625" t="s">
        <v>420</v>
      </c>
      <c r="B625" t="s">
        <v>2518</v>
      </c>
      <c r="C625" t="s">
        <v>1516</v>
      </c>
      <c r="D625" t="s">
        <v>2681</v>
      </c>
      <c r="E625">
        <v>19</v>
      </c>
    </row>
    <row r="626" spans="1:5" x14ac:dyDescent="0.25">
      <c r="A626" t="s">
        <v>420</v>
      </c>
      <c r="B626" t="s">
        <v>2518</v>
      </c>
      <c r="C626" t="s">
        <v>1516</v>
      </c>
      <c r="D626" t="s">
        <v>2682</v>
      </c>
      <c r="E626">
        <v>12</v>
      </c>
    </row>
    <row r="627" spans="1:5" x14ac:dyDescent="0.25">
      <c r="A627" t="s">
        <v>420</v>
      </c>
      <c r="B627" t="s">
        <v>2518</v>
      </c>
      <c r="C627" t="s">
        <v>1516</v>
      </c>
      <c r="D627" t="s">
        <v>2683</v>
      </c>
      <c r="E627">
        <v>10</v>
      </c>
    </row>
    <row r="628" spans="1:5" x14ac:dyDescent="0.25">
      <c r="A628" t="s">
        <v>420</v>
      </c>
      <c r="B628" t="s">
        <v>2518</v>
      </c>
      <c r="C628" t="s">
        <v>1516</v>
      </c>
      <c r="D628" t="s">
        <v>2684</v>
      </c>
      <c r="E628">
        <v>21</v>
      </c>
    </row>
    <row r="629" spans="1:5" x14ac:dyDescent="0.25">
      <c r="A629" t="s">
        <v>420</v>
      </c>
      <c r="B629" t="s">
        <v>2518</v>
      </c>
      <c r="C629" t="s">
        <v>1516</v>
      </c>
      <c r="D629" t="s">
        <v>2685</v>
      </c>
      <c r="E629">
        <v>26</v>
      </c>
    </row>
    <row r="630" spans="1:5" x14ac:dyDescent="0.25">
      <c r="A630" t="s">
        <v>420</v>
      </c>
      <c r="B630" t="s">
        <v>2518</v>
      </c>
      <c r="C630" t="s">
        <v>1516</v>
      </c>
      <c r="D630" t="s">
        <v>2686</v>
      </c>
      <c r="E630">
        <v>21</v>
      </c>
    </row>
    <row r="631" spans="1:5" x14ac:dyDescent="0.25">
      <c r="A631" t="s">
        <v>420</v>
      </c>
      <c r="B631" t="s">
        <v>2518</v>
      </c>
      <c r="C631" t="s">
        <v>1516</v>
      </c>
      <c r="D631" t="s">
        <v>2687</v>
      </c>
      <c r="E631">
        <v>25</v>
      </c>
    </row>
    <row r="632" spans="1:5" x14ac:dyDescent="0.25">
      <c r="A632" t="s">
        <v>420</v>
      </c>
      <c r="B632" t="s">
        <v>2518</v>
      </c>
      <c r="C632" t="s">
        <v>1516</v>
      </c>
      <c r="D632" t="s">
        <v>2688</v>
      </c>
      <c r="E632">
        <v>27</v>
      </c>
    </row>
    <row r="633" spans="1:5" x14ac:dyDescent="0.25">
      <c r="A633" t="s">
        <v>420</v>
      </c>
      <c r="B633" t="s">
        <v>2518</v>
      </c>
      <c r="C633" t="s">
        <v>1516</v>
      </c>
      <c r="D633" t="s">
        <v>2689</v>
      </c>
      <c r="E633">
        <v>32</v>
      </c>
    </row>
    <row r="634" spans="1:5" x14ac:dyDescent="0.25">
      <c r="A634" t="s">
        <v>420</v>
      </c>
      <c r="B634" t="s">
        <v>2518</v>
      </c>
      <c r="C634" t="s">
        <v>1516</v>
      </c>
      <c r="D634" t="s">
        <v>2690</v>
      </c>
      <c r="E634">
        <v>28</v>
      </c>
    </row>
    <row r="635" spans="1:5" x14ac:dyDescent="0.25">
      <c r="A635" t="s">
        <v>420</v>
      </c>
      <c r="B635" t="s">
        <v>2518</v>
      </c>
      <c r="C635" t="s">
        <v>1597</v>
      </c>
      <c r="D635" t="s">
        <v>2677</v>
      </c>
      <c r="E635">
        <v>7</v>
      </c>
    </row>
    <row r="636" spans="1:5" x14ac:dyDescent="0.25">
      <c r="A636" t="s">
        <v>420</v>
      </c>
      <c r="B636" t="s">
        <v>2518</v>
      </c>
      <c r="C636" t="s">
        <v>1597</v>
      </c>
      <c r="D636" t="s">
        <v>2678</v>
      </c>
      <c r="E636">
        <v>12</v>
      </c>
    </row>
    <row r="637" spans="1:5" x14ac:dyDescent="0.25">
      <c r="A637" t="s">
        <v>420</v>
      </c>
      <c r="B637" t="s">
        <v>2518</v>
      </c>
      <c r="C637" t="s">
        <v>1597</v>
      </c>
      <c r="D637" t="s">
        <v>2679</v>
      </c>
      <c r="E637">
        <v>13</v>
      </c>
    </row>
    <row r="638" spans="1:5" x14ac:dyDescent="0.25">
      <c r="A638" t="s">
        <v>420</v>
      </c>
      <c r="B638" t="s">
        <v>2518</v>
      </c>
      <c r="C638" t="s">
        <v>1597</v>
      </c>
      <c r="D638" t="s">
        <v>2680</v>
      </c>
      <c r="E638">
        <v>11</v>
      </c>
    </row>
    <row r="639" spans="1:5" x14ac:dyDescent="0.25">
      <c r="A639" t="s">
        <v>420</v>
      </c>
      <c r="B639" t="s">
        <v>2518</v>
      </c>
      <c r="C639" t="s">
        <v>1597</v>
      </c>
      <c r="D639" t="s">
        <v>2681</v>
      </c>
      <c r="E639">
        <v>18</v>
      </c>
    </row>
    <row r="640" spans="1:5" x14ac:dyDescent="0.25">
      <c r="A640" t="s">
        <v>420</v>
      </c>
      <c r="B640" t="s">
        <v>2518</v>
      </c>
      <c r="C640" t="s">
        <v>1597</v>
      </c>
      <c r="D640" t="s">
        <v>2682</v>
      </c>
      <c r="E640">
        <v>17</v>
      </c>
    </row>
    <row r="641" spans="1:5" x14ac:dyDescent="0.25">
      <c r="A641" t="s">
        <v>420</v>
      </c>
      <c r="B641" t="s">
        <v>2518</v>
      </c>
      <c r="C641" t="s">
        <v>1597</v>
      </c>
      <c r="D641" t="s">
        <v>2683</v>
      </c>
      <c r="E641">
        <v>17</v>
      </c>
    </row>
    <row r="642" spans="1:5" x14ac:dyDescent="0.25">
      <c r="A642" t="s">
        <v>420</v>
      </c>
      <c r="B642" t="s">
        <v>2518</v>
      </c>
      <c r="C642" t="s">
        <v>1597</v>
      </c>
      <c r="D642" t="s">
        <v>2684</v>
      </c>
      <c r="E642">
        <v>20</v>
      </c>
    </row>
    <row r="643" spans="1:5" x14ac:dyDescent="0.25">
      <c r="A643" t="s">
        <v>420</v>
      </c>
      <c r="B643" t="s">
        <v>2518</v>
      </c>
      <c r="C643" t="s">
        <v>1597</v>
      </c>
      <c r="D643" t="s">
        <v>2685</v>
      </c>
      <c r="E643">
        <v>19</v>
      </c>
    </row>
    <row r="644" spans="1:5" x14ac:dyDescent="0.25">
      <c r="A644" t="s">
        <v>420</v>
      </c>
      <c r="B644" t="s">
        <v>2518</v>
      </c>
      <c r="C644" t="s">
        <v>1597</v>
      </c>
      <c r="D644" t="s">
        <v>2686</v>
      </c>
      <c r="E644">
        <v>22</v>
      </c>
    </row>
    <row r="645" spans="1:5" x14ac:dyDescent="0.25">
      <c r="A645" t="s">
        <v>420</v>
      </c>
      <c r="B645" t="s">
        <v>2518</v>
      </c>
      <c r="C645" t="s">
        <v>1597</v>
      </c>
      <c r="D645" t="s">
        <v>2687</v>
      </c>
      <c r="E645">
        <v>22</v>
      </c>
    </row>
    <row r="646" spans="1:5" x14ac:dyDescent="0.25">
      <c r="A646" t="s">
        <v>420</v>
      </c>
      <c r="B646" t="s">
        <v>2518</v>
      </c>
      <c r="C646" t="s">
        <v>1597</v>
      </c>
      <c r="D646" t="s">
        <v>2688</v>
      </c>
      <c r="E646">
        <v>22</v>
      </c>
    </row>
    <row r="647" spans="1:5" x14ac:dyDescent="0.25">
      <c r="A647" t="s">
        <v>420</v>
      </c>
      <c r="B647" t="s">
        <v>2518</v>
      </c>
      <c r="C647" t="s">
        <v>1597</v>
      </c>
      <c r="D647" t="s">
        <v>2689</v>
      </c>
      <c r="E647">
        <v>25</v>
      </c>
    </row>
    <row r="648" spans="1:5" x14ac:dyDescent="0.25">
      <c r="A648" t="s">
        <v>420</v>
      </c>
      <c r="B648" t="s">
        <v>2518</v>
      </c>
      <c r="C648" t="s">
        <v>1597</v>
      </c>
      <c r="D648" t="s">
        <v>2690</v>
      </c>
      <c r="E648">
        <v>21</v>
      </c>
    </row>
    <row r="649" spans="1:5" x14ac:dyDescent="0.25">
      <c r="A649" t="s">
        <v>420</v>
      </c>
      <c r="B649" t="s">
        <v>2518</v>
      </c>
      <c r="C649" t="s">
        <v>1689</v>
      </c>
      <c r="D649" t="s">
        <v>2677</v>
      </c>
      <c r="E649">
        <v>16</v>
      </c>
    </row>
    <row r="650" spans="1:5" x14ac:dyDescent="0.25">
      <c r="A650" t="s">
        <v>420</v>
      </c>
      <c r="B650" t="s">
        <v>2518</v>
      </c>
      <c r="C650" t="s">
        <v>1689</v>
      </c>
      <c r="D650" t="s">
        <v>2678</v>
      </c>
      <c r="E650">
        <v>35</v>
      </c>
    </row>
    <row r="651" spans="1:5" x14ac:dyDescent="0.25">
      <c r="A651" t="s">
        <v>420</v>
      </c>
      <c r="B651" t="s">
        <v>2518</v>
      </c>
      <c r="C651" t="s">
        <v>1689</v>
      </c>
      <c r="D651" t="s">
        <v>2679</v>
      </c>
      <c r="E651">
        <v>35</v>
      </c>
    </row>
    <row r="652" spans="1:5" x14ac:dyDescent="0.25">
      <c r="A652" t="s">
        <v>420</v>
      </c>
      <c r="B652" t="s">
        <v>2518</v>
      </c>
      <c r="C652" t="s">
        <v>1689</v>
      </c>
      <c r="D652" t="s">
        <v>2680</v>
      </c>
      <c r="E652">
        <v>31</v>
      </c>
    </row>
    <row r="653" spans="1:5" x14ac:dyDescent="0.25">
      <c r="A653" t="s">
        <v>420</v>
      </c>
      <c r="B653" t="s">
        <v>2518</v>
      </c>
      <c r="C653" t="s">
        <v>1689</v>
      </c>
      <c r="D653" t="s">
        <v>2681</v>
      </c>
      <c r="E653">
        <v>26</v>
      </c>
    </row>
    <row r="654" spans="1:5" x14ac:dyDescent="0.25">
      <c r="A654" t="s">
        <v>420</v>
      </c>
      <c r="B654" t="s">
        <v>2518</v>
      </c>
      <c r="C654" t="s">
        <v>1689</v>
      </c>
      <c r="D654" t="s">
        <v>2682</v>
      </c>
      <c r="E654">
        <v>27</v>
      </c>
    </row>
    <row r="655" spans="1:5" x14ac:dyDescent="0.25">
      <c r="A655" t="s">
        <v>420</v>
      </c>
      <c r="B655" t="s">
        <v>2518</v>
      </c>
      <c r="C655" t="s">
        <v>1689</v>
      </c>
      <c r="D655" t="s">
        <v>2683</v>
      </c>
      <c r="E655">
        <v>23</v>
      </c>
    </row>
    <row r="656" spans="1:5" x14ac:dyDescent="0.25">
      <c r="A656" t="s">
        <v>420</v>
      </c>
      <c r="B656" t="s">
        <v>2518</v>
      </c>
      <c r="C656" t="s">
        <v>1689</v>
      </c>
      <c r="D656" t="s">
        <v>2684</v>
      </c>
      <c r="E656">
        <v>32</v>
      </c>
    </row>
    <row r="657" spans="1:5" x14ac:dyDescent="0.25">
      <c r="A657" t="s">
        <v>420</v>
      </c>
      <c r="B657" t="s">
        <v>2518</v>
      </c>
      <c r="C657" t="s">
        <v>1689</v>
      </c>
      <c r="D657" t="s">
        <v>2685</v>
      </c>
      <c r="E657">
        <v>30</v>
      </c>
    </row>
    <row r="658" spans="1:5" x14ac:dyDescent="0.25">
      <c r="A658" t="s">
        <v>420</v>
      </c>
      <c r="B658" t="s">
        <v>2518</v>
      </c>
      <c r="C658" t="s">
        <v>1689</v>
      </c>
      <c r="D658" t="s">
        <v>2686</v>
      </c>
      <c r="E658">
        <v>31</v>
      </c>
    </row>
    <row r="659" spans="1:5" x14ac:dyDescent="0.25">
      <c r="A659" t="s">
        <v>420</v>
      </c>
      <c r="B659" t="s">
        <v>2518</v>
      </c>
      <c r="C659" t="s">
        <v>1689</v>
      </c>
      <c r="D659" t="s">
        <v>2687</v>
      </c>
      <c r="E659">
        <v>33</v>
      </c>
    </row>
    <row r="660" spans="1:5" x14ac:dyDescent="0.25">
      <c r="A660" t="s">
        <v>420</v>
      </c>
      <c r="B660" t="s">
        <v>2518</v>
      </c>
      <c r="C660" t="s">
        <v>1689</v>
      </c>
      <c r="D660" t="s">
        <v>2688</v>
      </c>
      <c r="E660">
        <v>36</v>
      </c>
    </row>
    <row r="661" spans="1:5" x14ac:dyDescent="0.25">
      <c r="A661" t="s">
        <v>420</v>
      </c>
      <c r="B661" t="s">
        <v>2518</v>
      </c>
      <c r="C661" t="s">
        <v>1689</v>
      </c>
      <c r="D661" t="s">
        <v>2689</v>
      </c>
      <c r="E661">
        <v>38</v>
      </c>
    </row>
    <row r="662" spans="1:5" x14ac:dyDescent="0.25">
      <c r="A662" t="s">
        <v>420</v>
      </c>
      <c r="B662" t="s">
        <v>2518</v>
      </c>
      <c r="C662" t="s">
        <v>1689</v>
      </c>
      <c r="D662" t="s">
        <v>2690</v>
      </c>
      <c r="E662">
        <v>37</v>
      </c>
    </row>
    <row r="663" spans="1:5" x14ac:dyDescent="0.25">
      <c r="A663" t="s">
        <v>420</v>
      </c>
      <c r="B663" t="s">
        <v>2518</v>
      </c>
      <c r="C663" t="s">
        <v>2508</v>
      </c>
      <c r="D663" t="s">
        <v>2677</v>
      </c>
      <c r="E663">
        <v>28</v>
      </c>
    </row>
    <row r="664" spans="1:5" x14ac:dyDescent="0.25">
      <c r="A664" t="s">
        <v>420</v>
      </c>
      <c r="B664" t="s">
        <v>2518</v>
      </c>
      <c r="C664" t="s">
        <v>2508</v>
      </c>
      <c r="D664" t="s">
        <v>2678</v>
      </c>
      <c r="E664">
        <v>51</v>
      </c>
    </row>
    <row r="665" spans="1:5" x14ac:dyDescent="0.25">
      <c r="A665" t="s">
        <v>420</v>
      </c>
      <c r="B665" t="s">
        <v>2518</v>
      </c>
      <c r="C665" t="s">
        <v>2508</v>
      </c>
      <c r="D665" t="s">
        <v>2679</v>
      </c>
      <c r="E665">
        <v>50</v>
      </c>
    </row>
    <row r="666" spans="1:5" x14ac:dyDescent="0.25">
      <c r="A666" t="s">
        <v>420</v>
      </c>
      <c r="B666" t="s">
        <v>2518</v>
      </c>
      <c r="C666" t="s">
        <v>2508</v>
      </c>
      <c r="D666" t="s">
        <v>2680</v>
      </c>
      <c r="E666">
        <v>60</v>
      </c>
    </row>
    <row r="667" spans="1:5" x14ac:dyDescent="0.25">
      <c r="A667" t="s">
        <v>420</v>
      </c>
      <c r="B667" t="s">
        <v>2518</v>
      </c>
      <c r="C667" t="s">
        <v>2508</v>
      </c>
      <c r="D667" t="s">
        <v>2681</v>
      </c>
      <c r="E667">
        <v>55</v>
      </c>
    </row>
    <row r="668" spans="1:5" x14ac:dyDescent="0.25">
      <c r="A668" t="s">
        <v>420</v>
      </c>
      <c r="B668" t="s">
        <v>2518</v>
      </c>
      <c r="C668" t="s">
        <v>2508</v>
      </c>
      <c r="D668" t="s">
        <v>2682</v>
      </c>
      <c r="E668">
        <v>60</v>
      </c>
    </row>
    <row r="669" spans="1:5" x14ac:dyDescent="0.25">
      <c r="A669" t="s">
        <v>420</v>
      </c>
      <c r="B669" t="s">
        <v>2518</v>
      </c>
      <c r="C669" t="s">
        <v>2508</v>
      </c>
      <c r="D669" t="s">
        <v>2683</v>
      </c>
      <c r="E669">
        <v>53</v>
      </c>
    </row>
    <row r="670" spans="1:5" x14ac:dyDescent="0.25">
      <c r="A670" t="s">
        <v>420</v>
      </c>
      <c r="B670" t="s">
        <v>2518</v>
      </c>
      <c r="C670" t="s">
        <v>2508</v>
      </c>
      <c r="D670" t="s">
        <v>2684</v>
      </c>
      <c r="E670">
        <v>44</v>
      </c>
    </row>
    <row r="671" spans="1:5" x14ac:dyDescent="0.25">
      <c r="A671" t="s">
        <v>420</v>
      </c>
      <c r="B671" t="s">
        <v>2518</v>
      </c>
      <c r="C671" t="s">
        <v>2508</v>
      </c>
      <c r="D671" t="s">
        <v>2685</v>
      </c>
      <c r="E671">
        <v>51</v>
      </c>
    </row>
    <row r="672" spans="1:5" x14ac:dyDescent="0.25">
      <c r="A672" t="s">
        <v>420</v>
      </c>
      <c r="B672" t="s">
        <v>2518</v>
      </c>
      <c r="C672" t="s">
        <v>2508</v>
      </c>
      <c r="D672" t="s">
        <v>2686</v>
      </c>
      <c r="E672">
        <v>47</v>
      </c>
    </row>
    <row r="673" spans="1:5" x14ac:dyDescent="0.25">
      <c r="A673" t="s">
        <v>420</v>
      </c>
      <c r="B673" t="s">
        <v>2518</v>
      </c>
      <c r="C673" t="s">
        <v>2508</v>
      </c>
      <c r="D673" t="s">
        <v>2687</v>
      </c>
      <c r="E673">
        <v>47</v>
      </c>
    </row>
    <row r="674" spans="1:5" x14ac:dyDescent="0.25">
      <c r="A674" t="s">
        <v>420</v>
      </c>
      <c r="B674" t="s">
        <v>2518</v>
      </c>
      <c r="C674" t="s">
        <v>2508</v>
      </c>
      <c r="D674" t="s">
        <v>2688</v>
      </c>
      <c r="E674">
        <v>53</v>
      </c>
    </row>
    <row r="675" spans="1:5" x14ac:dyDescent="0.25">
      <c r="A675" t="s">
        <v>420</v>
      </c>
      <c r="B675" t="s">
        <v>2518</v>
      </c>
      <c r="C675" t="s">
        <v>2508</v>
      </c>
      <c r="D675" t="s">
        <v>2689</v>
      </c>
      <c r="E675">
        <v>54</v>
      </c>
    </row>
    <row r="676" spans="1:5" x14ac:dyDescent="0.25">
      <c r="A676" t="s">
        <v>420</v>
      </c>
      <c r="B676" t="s">
        <v>2518</v>
      </c>
      <c r="C676" t="s">
        <v>2508</v>
      </c>
      <c r="D676" t="s">
        <v>2690</v>
      </c>
      <c r="E676">
        <v>64</v>
      </c>
    </row>
    <row r="677" spans="1:5" x14ac:dyDescent="0.25">
      <c r="A677" t="s">
        <v>420</v>
      </c>
      <c r="B677" t="s">
        <v>2518</v>
      </c>
      <c r="C677" t="s">
        <v>2039</v>
      </c>
      <c r="D677" t="s">
        <v>2677</v>
      </c>
      <c r="E677">
        <v>45</v>
      </c>
    </row>
    <row r="678" spans="1:5" x14ac:dyDescent="0.25">
      <c r="A678" t="s">
        <v>420</v>
      </c>
      <c r="B678" t="s">
        <v>2518</v>
      </c>
      <c r="C678" t="s">
        <v>2039</v>
      </c>
      <c r="D678" t="s">
        <v>2678</v>
      </c>
      <c r="E678">
        <v>96</v>
      </c>
    </row>
    <row r="679" spans="1:5" x14ac:dyDescent="0.25">
      <c r="A679" t="s">
        <v>420</v>
      </c>
      <c r="B679" t="s">
        <v>2518</v>
      </c>
      <c r="C679" t="s">
        <v>2039</v>
      </c>
      <c r="D679" t="s">
        <v>2679</v>
      </c>
      <c r="E679">
        <v>98</v>
      </c>
    </row>
    <row r="680" spans="1:5" x14ac:dyDescent="0.25">
      <c r="A680" t="s">
        <v>420</v>
      </c>
      <c r="B680" t="s">
        <v>2518</v>
      </c>
      <c r="C680" t="s">
        <v>2039</v>
      </c>
      <c r="D680" t="s">
        <v>2680</v>
      </c>
      <c r="E680">
        <v>102</v>
      </c>
    </row>
    <row r="681" spans="1:5" x14ac:dyDescent="0.25">
      <c r="A681" t="s">
        <v>420</v>
      </c>
      <c r="B681" t="s">
        <v>2518</v>
      </c>
      <c r="C681" t="s">
        <v>2039</v>
      </c>
      <c r="D681" t="s">
        <v>2681</v>
      </c>
      <c r="E681">
        <v>101</v>
      </c>
    </row>
    <row r="682" spans="1:5" x14ac:dyDescent="0.25">
      <c r="A682" t="s">
        <v>420</v>
      </c>
      <c r="B682" t="s">
        <v>2518</v>
      </c>
      <c r="C682" t="s">
        <v>2039</v>
      </c>
      <c r="D682" t="s">
        <v>2682</v>
      </c>
      <c r="E682">
        <v>101</v>
      </c>
    </row>
    <row r="683" spans="1:5" x14ac:dyDescent="0.25">
      <c r="A683" t="s">
        <v>420</v>
      </c>
      <c r="B683" t="s">
        <v>2518</v>
      </c>
      <c r="C683" t="s">
        <v>2039</v>
      </c>
      <c r="D683" t="s">
        <v>2683</v>
      </c>
      <c r="E683">
        <v>103</v>
      </c>
    </row>
    <row r="684" spans="1:5" x14ac:dyDescent="0.25">
      <c r="A684" t="s">
        <v>420</v>
      </c>
      <c r="B684" t="s">
        <v>2518</v>
      </c>
      <c r="C684" t="s">
        <v>2039</v>
      </c>
      <c r="D684" t="s">
        <v>2684</v>
      </c>
      <c r="E684">
        <v>112</v>
      </c>
    </row>
    <row r="685" spans="1:5" x14ac:dyDescent="0.25">
      <c r="A685" t="s">
        <v>420</v>
      </c>
      <c r="B685" t="s">
        <v>2518</v>
      </c>
      <c r="C685" t="s">
        <v>2039</v>
      </c>
      <c r="D685" t="s">
        <v>2685</v>
      </c>
      <c r="E685">
        <v>116</v>
      </c>
    </row>
    <row r="686" spans="1:5" x14ac:dyDescent="0.25">
      <c r="A686" t="s">
        <v>420</v>
      </c>
      <c r="B686" t="s">
        <v>2518</v>
      </c>
      <c r="C686" t="s">
        <v>2039</v>
      </c>
      <c r="D686" t="s">
        <v>2686</v>
      </c>
      <c r="E686">
        <v>106</v>
      </c>
    </row>
    <row r="687" spans="1:5" x14ac:dyDescent="0.25">
      <c r="A687" t="s">
        <v>420</v>
      </c>
      <c r="B687" t="s">
        <v>2518</v>
      </c>
      <c r="C687" t="s">
        <v>2039</v>
      </c>
      <c r="D687" t="s">
        <v>2687</v>
      </c>
      <c r="E687">
        <v>105</v>
      </c>
    </row>
    <row r="688" spans="1:5" x14ac:dyDescent="0.25">
      <c r="A688" t="s">
        <v>420</v>
      </c>
      <c r="B688" t="s">
        <v>2518</v>
      </c>
      <c r="C688" t="s">
        <v>2039</v>
      </c>
      <c r="D688" t="s">
        <v>2688</v>
      </c>
      <c r="E688">
        <v>97</v>
      </c>
    </row>
    <row r="689" spans="1:5" x14ac:dyDescent="0.25">
      <c r="A689" t="s">
        <v>420</v>
      </c>
      <c r="B689" t="s">
        <v>2518</v>
      </c>
      <c r="C689" t="s">
        <v>2039</v>
      </c>
      <c r="D689" t="s">
        <v>2689</v>
      </c>
      <c r="E689">
        <v>98</v>
      </c>
    </row>
    <row r="690" spans="1:5" x14ac:dyDescent="0.25">
      <c r="A690" t="s">
        <v>420</v>
      </c>
      <c r="B690" t="s">
        <v>2518</v>
      </c>
      <c r="C690" t="s">
        <v>2039</v>
      </c>
      <c r="D690" t="s">
        <v>2690</v>
      </c>
      <c r="E690">
        <v>89</v>
      </c>
    </row>
    <row r="691" spans="1:5" x14ac:dyDescent="0.25">
      <c r="A691" t="s">
        <v>420</v>
      </c>
      <c r="B691" t="s">
        <v>2695</v>
      </c>
      <c r="C691" t="s">
        <v>2696</v>
      </c>
      <c r="D691" t="s">
        <v>2677</v>
      </c>
      <c r="E691">
        <v>1</v>
      </c>
    </row>
    <row r="692" spans="1:5" x14ac:dyDescent="0.25">
      <c r="A692" t="s">
        <v>420</v>
      </c>
      <c r="B692" t="s">
        <v>2695</v>
      </c>
      <c r="C692" t="s">
        <v>2696</v>
      </c>
      <c r="D692" t="s">
        <v>2678</v>
      </c>
      <c r="E692">
        <v>1</v>
      </c>
    </row>
    <row r="693" spans="1:5" x14ac:dyDescent="0.25">
      <c r="A693" t="s">
        <v>420</v>
      </c>
      <c r="B693" t="s">
        <v>2695</v>
      </c>
      <c r="C693" t="s">
        <v>2465</v>
      </c>
      <c r="D693" t="s">
        <v>2677</v>
      </c>
      <c r="E693">
        <v>15</v>
      </c>
    </row>
    <row r="694" spans="1:5" x14ac:dyDescent="0.25">
      <c r="A694" t="s">
        <v>420</v>
      </c>
      <c r="B694" t="s">
        <v>2695</v>
      </c>
      <c r="C694" t="s">
        <v>2465</v>
      </c>
      <c r="D694" t="s">
        <v>2678</v>
      </c>
      <c r="E694">
        <v>34</v>
      </c>
    </row>
    <row r="695" spans="1:5" x14ac:dyDescent="0.25">
      <c r="A695" t="s">
        <v>420</v>
      </c>
      <c r="B695" t="s">
        <v>2695</v>
      </c>
      <c r="C695" t="s">
        <v>2465</v>
      </c>
      <c r="D695" t="s">
        <v>2679</v>
      </c>
      <c r="E695">
        <v>38</v>
      </c>
    </row>
    <row r="696" spans="1:5" x14ac:dyDescent="0.25">
      <c r="A696" t="s">
        <v>420</v>
      </c>
      <c r="B696" t="s">
        <v>2695</v>
      </c>
      <c r="C696" t="s">
        <v>2465</v>
      </c>
      <c r="D696" t="s">
        <v>2680</v>
      </c>
      <c r="E696">
        <v>38</v>
      </c>
    </row>
    <row r="697" spans="1:5" x14ac:dyDescent="0.25">
      <c r="A697" t="s">
        <v>420</v>
      </c>
      <c r="B697" t="s">
        <v>2695</v>
      </c>
      <c r="C697" t="s">
        <v>2465</v>
      </c>
      <c r="D697" t="s">
        <v>2681</v>
      </c>
      <c r="E697">
        <v>39</v>
      </c>
    </row>
    <row r="698" spans="1:5" x14ac:dyDescent="0.25">
      <c r="A698" t="s">
        <v>420</v>
      </c>
      <c r="B698" t="s">
        <v>2695</v>
      </c>
      <c r="C698" t="s">
        <v>2465</v>
      </c>
      <c r="D698" t="s">
        <v>2682</v>
      </c>
      <c r="E698">
        <v>46</v>
      </c>
    </row>
    <row r="699" spans="1:5" x14ac:dyDescent="0.25">
      <c r="A699" t="s">
        <v>420</v>
      </c>
      <c r="B699" t="s">
        <v>2695</v>
      </c>
      <c r="C699" t="s">
        <v>2465</v>
      </c>
      <c r="D699" t="s">
        <v>2683</v>
      </c>
      <c r="E699">
        <v>44</v>
      </c>
    </row>
    <row r="700" spans="1:5" x14ac:dyDescent="0.25">
      <c r="A700" t="s">
        <v>420</v>
      </c>
      <c r="B700" t="s">
        <v>2695</v>
      </c>
      <c r="C700" t="s">
        <v>2465</v>
      </c>
      <c r="D700" t="s">
        <v>2684</v>
      </c>
      <c r="E700">
        <v>36</v>
      </c>
    </row>
    <row r="701" spans="1:5" x14ac:dyDescent="0.25">
      <c r="A701" t="s">
        <v>420</v>
      </c>
      <c r="B701" t="s">
        <v>2695</v>
      </c>
      <c r="C701" t="s">
        <v>2465</v>
      </c>
      <c r="D701" t="s">
        <v>2685</v>
      </c>
      <c r="E701">
        <v>24</v>
      </c>
    </row>
    <row r="702" spans="1:5" x14ac:dyDescent="0.25">
      <c r="A702" t="s">
        <v>420</v>
      </c>
      <c r="B702" t="s">
        <v>2695</v>
      </c>
      <c r="C702" t="s">
        <v>2465</v>
      </c>
      <c r="D702" t="s">
        <v>2686</v>
      </c>
      <c r="E702">
        <v>26</v>
      </c>
    </row>
    <row r="703" spans="1:5" x14ac:dyDescent="0.25">
      <c r="A703" t="s">
        <v>420</v>
      </c>
      <c r="B703" t="s">
        <v>2695</v>
      </c>
      <c r="C703" t="s">
        <v>2465</v>
      </c>
      <c r="D703" t="s">
        <v>2687</v>
      </c>
      <c r="E703">
        <v>18</v>
      </c>
    </row>
    <row r="704" spans="1:5" x14ac:dyDescent="0.25">
      <c r="A704" t="s">
        <v>420</v>
      </c>
      <c r="B704" t="s">
        <v>2695</v>
      </c>
      <c r="C704" t="s">
        <v>2465</v>
      </c>
      <c r="D704" t="s">
        <v>2688</v>
      </c>
      <c r="E704">
        <v>14</v>
      </c>
    </row>
    <row r="705" spans="1:5" x14ac:dyDescent="0.25">
      <c r="A705" t="s">
        <v>420</v>
      </c>
      <c r="B705" t="s">
        <v>2695</v>
      </c>
      <c r="C705" t="s">
        <v>2465</v>
      </c>
      <c r="D705" t="s">
        <v>2689</v>
      </c>
      <c r="E705">
        <v>22</v>
      </c>
    </row>
    <row r="706" spans="1:5" x14ac:dyDescent="0.25">
      <c r="A706" t="s">
        <v>420</v>
      </c>
      <c r="B706" t="s">
        <v>2695</v>
      </c>
      <c r="C706" t="s">
        <v>2465</v>
      </c>
      <c r="D706" t="s">
        <v>2690</v>
      </c>
      <c r="E706">
        <v>29</v>
      </c>
    </row>
    <row r="707" spans="1:5" x14ac:dyDescent="0.25">
      <c r="A707" t="s">
        <v>420</v>
      </c>
      <c r="B707" t="s">
        <v>2505</v>
      </c>
      <c r="C707" t="s">
        <v>459</v>
      </c>
      <c r="D707" t="s">
        <v>2677</v>
      </c>
      <c r="E707">
        <v>39</v>
      </c>
    </row>
    <row r="708" spans="1:5" x14ac:dyDescent="0.25">
      <c r="A708" t="s">
        <v>420</v>
      </c>
      <c r="B708" t="s">
        <v>2505</v>
      </c>
      <c r="C708" t="s">
        <v>459</v>
      </c>
      <c r="D708" t="s">
        <v>2678</v>
      </c>
      <c r="E708">
        <v>80</v>
      </c>
    </row>
    <row r="709" spans="1:5" x14ac:dyDescent="0.25">
      <c r="A709" t="s">
        <v>420</v>
      </c>
      <c r="B709" t="s">
        <v>2505</v>
      </c>
      <c r="C709" t="s">
        <v>459</v>
      </c>
      <c r="D709" t="s">
        <v>2679</v>
      </c>
      <c r="E709">
        <v>67</v>
      </c>
    </row>
    <row r="710" spans="1:5" x14ac:dyDescent="0.25">
      <c r="A710" t="s">
        <v>420</v>
      </c>
      <c r="B710" t="s">
        <v>2505</v>
      </c>
      <c r="C710" t="s">
        <v>459</v>
      </c>
      <c r="D710" t="s">
        <v>2680</v>
      </c>
      <c r="E710">
        <v>75</v>
      </c>
    </row>
    <row r="711" spans="1:5" x14ac:dyDescent="0.25">
      <c r="A711" t="s">
        <v>420</v>
      </c>
      <c r="B711" t="s">
        <v>2505</v>
      </c>
      <c r="C711" t="s">
        <v>459</v>
      </c>
      <c r="D711" t="s">
        <v>2681</v>
      </c>
      <c r="E711">
        <v>84</v>
      </c>
    </row>
    <row r="712" spans="1:5" x14ac:dyDescent="0.25">
      <c r="A712" t="s">
        <v>420</v>
      </c>
      <c r="B712" t="s">
        <v>2505</v>
      </c>
      <c r="C712" t="s">
        <v>459</v>
      </c>
      <c r="D712" t="s">
        <v>2682</v>
      </c>
      <c r="E712">
        <v>78</v>
      </c>
    </row>
    <row r="713" spans="1:5" x14ac:dyDescent="0.25">
      <c r="A713" t="s">
        <v>420</v>
      </c>
      <c r="B713" t="s">
        <v>2505</v>
      </c>
      <c r="C713" t="s">
        <v>459</v>
      </c>
      <c r="D713" t="s">
        <v>2683</v>
      </c>
      <c r="E713">
        <v>80</v>
      </c>
    </row>
    <row r="714" spans="1:5" x14ac:dyDescent="0.25">
      <c r="A714" t="s">
        <v>420</v>
      </c>
      <c r="B714" t="s">
        <v>2505</v>
      </c>
      <c r="C714" t="s">
        <v>459</v>
      </c>
      <c r="D714" t="s">
        <v>2684</v>
      </c>
      <c r="E714">
        <v>95</v>
      </c>
    </row>
    <row r="715" spans="1:5" x14ac:dyDescent="0.25">
      <c r="A715" t="s">
        <v>420</v>
      </c>
      <c r="B715" t="s">
        <v>2505</v>
      </c>
      <c r="C715" t="s">
        <v>459</v>
      </c>
      <c r="D715" t="s">
        <v>2685</v>
      </c>
      <c r="E715">
        <v>89</v>
      </c>
    </row>
    <row r="716" spans="1:5" x14ac:dyDescent="0.25">
      <c r="A716" t="s">
        <v>420</v>
      </c>
      <c r="B716" t="s">
        <v>2505</v>
      </c>
      <c r="C716" t="s">
        <v>459</v>
      </c>
      <c r="D716" t="s">
        <v>2686</v>
      </c>
      <c r="E716">
        <v>92</v>
      </c>
    </row>
    <row r="717" spans="1:5" x14ac:dyDescent="0.25">
      <c r="A717" t="s">
        <v>420</v>
      </c>
      <c r="B717" t="s">
        <v>2505</v>
      </c>
      <c r="C717" t="s">
        <v>459</v>
      </c>
      <c r="D717" t="s">
        <v>2687</v>
      </c>
      <c r="E717">
        <v>103</v>
      </c>
    </row>
    <row r="718" spans="1:5" x14ac:dyDescent="0.25">
      <c r="A718" t="s">
        <v>420</v>
      </c>
      <c r="B718" t="s">
        <v>2505</v>
      </c>
      <c r="C718" t="s">
        <v>459</v>
      </c>
      <c r="D718" t="s">
        <v>2688</v>
      </c>
      <c r="E718">
        <v>120</v>
      </c>
    </row>
    <row r="719" spans="1:5" x14ac:dyDescent="0.25">
      <c r="A719" t="s">
        <v>420</v>
      </c>
      <c r="B719" t="s">
        <v>2505</v>
      </c>
      <c r="C719" t="s">
        <v>459</v>
      </c>
      <c r="D719" t="s">
        <v>2689</v>
      </c>
      <c r="E719">
        <v>123</v>
      </c>
    </row>
    <row r="720" spans="1:5" x14ac:dyDescent="0.25">
      <c r="A720" t="s">
        <v>420</v>
      </c>
      <c r="B720" t="s">
        <v>2505</v>
      </c>
      <c r="C720" t="s">
        <v>459</v>
      </c>
      <c r="D720" t="s">
        <v>2690</v>
      </c>
      <c r="E720">
        <v>120</v>
      </c>
    </row>
    <row r="721" spans="1:5" x14ac:dyDescent="0.25">
      <c r="A721" t="s">
        <v>420</v>
      </c>
      <c r="B721" t="s">
        <v>2505</v>
      </c>
      <c r="C721" t="s">
        <v>2512</v>
      </c>
      <c r="D721" t="s">
        <v>2677</v>
      </c>
      <c r="E721">
        <v>1</v>
      </c>
    </row>
    <row r="722" spans="1:5" x14ac:dyDescent="0.25">
      <c r="A722" t="s">
        <v>420</v>
      </c>
      <c r="B722" t="s">
        <v>2505</v>
      </c>
      <c r="C722" t="s">
        <v>2512</v>
      </c>
      <c r="D722" t="s">
        <v>2678</v>
      </c>
      <c r="E722">
        <v>2</v>
      </c>
    </row>
    <row r="723" spans="1:5" x14ac:dyDescent="0.25">
      <c r="A723" t="s">
        <v>420</v>
      </c>
      <c r="B723" t="s">
        <v>2505</v>
      </c>
      <c r="C723" t="s">
        <v>2512</v>
      </c>
      <c r="D723" t="s">
        <v>2679</v>
      </c>
      <c r="E723">
        <v>4</v>
      </c>
    </row>
    <row r="724" spans="1:5" x14ac:dyDescent="0.25">
      <c r="A724" t="s">
        <v>420</v>
      </c>
      <c r="B724" t="s">
        <v>2505</v>
      </c>
      <c r="C724" t="s">
        <v>2512</v>
      </c>
      <c r="D724" t="s">
        <v>2680</v>
      </c>
      <c r="E724">
        <v>6</v>
      </c>
    </row>
    <row r="725" spans="1:5" x14ac:dyDescent="0.25">
      <c r="A725" t="s">
        <v>420</v>
      </c>
      <c r="B725" t="s">
        <v>2505</v>
      </c>
      <c r="C725" t="s">
        <v>2512</v>
      </c>
      <c r="D725" t="s">
        <v>2681</v>
      </c>
      <c r="E725">
        <v>7</v>
      </c>
    </row>
    <row r="726" spans="1:5" x14ac:dyDescent="0.25">
      <c r="A726" t="s">
        <v>420</v>
      </c>
      <c r="B726" t="s">
        <v>2505</v>
      </c>
      <c r="C726" t="s">
        <v>2512</v>
      </c>
      <c r="D726" t="s">
        <v>2682</v>
      </c>
      <c r="E726">
        <v>4</v>
      </c>
    </row>
    <row r="727" spans="1:5" x14ac:dyDescent="0.25">
      <c r="A727" t="s">
        <v>420</v>
      </c>
      <c r="B727" t="s">
        <v>2505</v>
      </c>
      <c r="C727" t="s">
        <v>2512</v>
      </c>
      <c r="D727" t="s">
        <v>2683</v>
      </c>
      <c r="E727">
        <v>2</v>
      </c>
    </row>
    <row r="728" spans="1:5" x14ac:dyDescent="0.25">
      <c r="A728" t="s">
        <v>420</v>
      </c>
      <c r="B728" t="s">
        <v>2505</v>
      </c>
      <c r="C728" t="s">
        <v>2512</v>
      </c>
      <c r="D728" t="s">
        <v>2684</v>
      </c>
      <c r="E728">
        <v>2</v>
      </c>
    </row>
    <row r="729" spans="1:5" x14ac:dyDescent="0.25">
      <c r="A729" t="s">
        <v>420</v>
      </c>
      <c r="B729" t="s">
        <v>2505</v>
      </c>
      <c r="C729" t="s">
        <v>2512</v>
      </c>
      <c r="D729" t="s">
        <v>2685</v>
      </c>
      <c r="E729">
        <v>2</v>
      </c>
    </row>
    <row r="730" spans="1:5" x14ac:dyDescent="0.25">
      <c r="A730" t="s">
        <v>420</v>
      </c>
      <c r="B730" t="s">
        <v>2505</v>
      </c>
      <c r="C730" t="s">
        <v>2512</v>
      </c>
      <c r="D730" t="s">
        <v>2686</v>
      </c>
      <c r="E730">
        <v>1</v>
      </c>
    </row>
    <row r="731" spans="1:5" x14ac:dyDescent="0.25">
      <c r="A731" t="s">
        <v>420</v>
      </c>
      <c r="B731" t="s">
        <v>2505</v>
      </c>
      <c r="C731" t="s">
        <v>2512</v>
      </c>
      <c r="D731" t="s">
        <v>2687</v>
      </c>
      <c r="E731">
        <v>3</v>
      </c>
    </row>
    <row r="732" spans="1:5" x14ac:dyDescent="0.25">
      <c r="A732" t="s">
        <v>420</v>
      </c>
      <c r="B732" t="s">
        <v>2505</v>
      </c>
      <c r="C732" t="s">
        <v>2512</v>
      </c>
      <c r="D732" t="s">
        <v>2688</v>
      </c>
      <c r="E732">
        <v>2</v>
      </c>
    </row>
    <row r="733" spans="1:5" x14ac:dyDescent="0.25">
      <c r="A733" t="s">
        <v>420</v>
      </c>
      <c r="B733" t="s">
        <v>2505</v>
      </c>
      <c r="C733" t="s">
        <v>2512</v>
      </c>
      <c r="D733" t="s">
        <v>2689</v>
      </c>
      <c r="E733">
        <v>1</v>
      </c>
    </row>
    <row r="734" spans="1:5" x14ac:dyDescent="0.25">
      <c r="A734" t="s">
        <v>420</v>
      </c>
      <c r="B734" t="s">
        <v>2505</v>
      </c>
      <c r="C734" t="s">
        <v>2512</v>
      </c>
      <c r="D734" t="s">
        <v>2690</v>
      </c>
      <c r="E734">
        <v>2</v>
      </c>
    </row>
    <row r="735" spans="1:5" x14ac:dyDescent="0.25">
      <c r="A735" t="s">
        <v>420</v>
      </c>
      <c r="B735" t="s">
        <v>2505</v>
      </c>
      <c r="C735" t="s">
        <v>2511</v>
      </c>
      <c r="D735" t="s">
        <v>2677</v>
      </c>
      <c r="E735">
        <v>2</v>
      </c>
    </row>
    <row r="736" spans="1:5" x14ac:dyDescent="0.25">
      <c r="A736" t="s">
        <v>420</v>
      </c>
      <c r="B736" t="s">
        <v>2505</v>
      </c>
      <c r="C736" t="s">
        <v>2511</v>
      </c>
      <c r="D736" t="s">
        <v>2678</v>
      </c>
      <c r="E736">
        <v>4</v>
      </c>
    </row>
    <row r="737" spans="1:5" x14ac:dyDescent="0.25">
      <c r="A737" t="s">
        <v>420</v>
      </c>
      <c r="B737" t="s">
        <v>2505</v>
      </c>
      <c r="C737" t="s">
        <v>2511</v>
      </c>
      <c r="D737" t="s">
        <v>2679</v>
      </c>
      <c r="E737">
        <v>6</v>
      </c>
    </row>
    <row r="738" spans="1:5" x14ac:dyDescent="0.25">
      <c r="A738" t="s">
        <v>420</v>
      </c>
      <c r="B738" t="s">
        <v>2505</v>
      </c>
      <c r="C738" t="s">
        <v>2511</v>
      </c>
      <c r="D738" t="s">
        <v>2680</v>
      </c>
      <c r="E738">
        <v>7</v>
      </c>
    </row>
    <row r="739" spans="1:5" x14ac:dyDescent="0.25">
      <c r="A739" t="s">
        <v>420</v>
      </c>
      <c r="B739" t="s">
        <v>2505</v>
      </c>
      <c r="C739" t="s">
        <v>2511</v>
      </c>
      <c r="D739" t="s">
        <v>2681</v>
      </c>
      <c r="E739">
        <v>6</v>
      </c>
    </row>
    <row r="740" spans="1:5" x14ac:dyDescent="0.25">
      <c r="A740" t="s">
        <v>420</v>
      </c>
      <c r="B740" t="s">
        <v>2505</v>
      </c>
      <c r="C740" t="s">
        <v>2511</v>
      </c>
      <c r="D740" t="s">
        <v>2682</v>
      </c>
      <c r="E740">
        <v>4</v>
      </c>
    </row>
    <row r="741" spans="1:5" x14ac:dyDescent="0.25">
      <c r="A741" t="s">
        <v>420</v>
      </c>
      <c r="B741" t="s">
        <v>2505</v>
      </c>
      <c r="C741" t="s">
        <v>2511</v>
      </c>
      <c r="D741" t="s">
        <v>2683</v>
      </c>
      <c r="E741">
        <v>4</v>
      </c>
    </row>
    <row r="742" spans="1:5" x14ac:dyDescent="0.25">
      <c r="A742" t="s">
        <v>420</v>
      </c>
      <c r="B742" t="s">
        <v>2505</v>
      </c>
      <c r="C742" t="s">
        <v>765</v>
      </c>
      <c r="D742" t="s">
        <v>2677</v>
      </c>
      <c r="E742">
        <v>1</v>
      </c>
    </row>
    <row r="743" spans="1:5" x14ac:dyDescent="0.25">
      <c r="A743" t="s">
        <v>420</v>
      </c>
      <c r="B743" t="s">
        <v>2505</v>
      </c>
      <c r="C743" t="s">
        <v>765</v>
      </c>
      <c r="D743" t="s">
        <v>2678</v>
      </c>
      <c r="E743">
        <v>5</v>
      </c>
    </row>
    <row r="744" spans="1:5" x14ac:dyDescent="0.25">
      <c r="A744" t="s">
        <v>420</v>
      </c>
      <c r="B744" t="s">
        <v>2505</v>
      </c>
      <c r="C744" t="s">
        <v>765</v>
      </c>
      <c r="D744" t="s">
        <v>2679</v>
      </c>
      <c r="E744">
        <v>4</v>
      </c>
    </row>
    <row r="745" spans="1:5" x14ac:dyDescent="0.25">
      <c r="A745" t="s">
        <v>420</v>
      </c>
      <c r="B745" t="s">
        <v>2505</v>
      </c>
      <c r="C745" t="s">
        <v>765</v>
      </c>
      <c r="D745" t="s">
        <v>2680</v>
      </c>
      <c r="E745">
        <v>8</v>
      </c>
    </row>
    <row r="746" spans="1:5" x14ac:dyDescent="0.25">
      <c r="A746" t="s">
        <v>420</v>
      </c>
      <c r="B746" t="s">
        <v>2505</v>
      </c>
      <c r="C746" t="s">
        <v>765</v>
      </c>
      <c r="D746" t="s">
        <v>2681</v>
      </c>
      <c r="E746">
        <v>7</v>
      </c>
    </row>
    <row r="747" spans="1:5" x14ac:dyDescent="0.25">
      <c r="A747" t="s">
        <v>420</v>
      </c>
      <c r="B747" t="s">
        <v>2505</v>
      </c>
      <c r="C747" t="s">
        <v>765</v>
      </c>
      <c r="D747" t="s">
        <v>2682</v>
      </c>
      <c r="E747">
        <v>6</v>
      </c>
    </row>
    <row r="748" spans="1:5" x14ac:dyDescent="0.25">
      <c r="A748" t="s">
        <v>420</v>
      </c>
      <c r="B748" t="s">
        <v>2505</v>
      </c>
      <c r="C748" t="s">
        <v>765</v>
      </c>
      <c r="D748" t="s">
        <v>2683</v>
      </c>
      <c r="E748">
        <v>3</v>
      </c>
    </row>
    <row r="749" spans="1:5" x14ac:dyDescent="0.25">
      <c r="A749" t="s">
        <v>420</v>
      </c>
      <c r="B749" t="s">
        <v>2505</v>
      </c>
      <c r="C749" t="s">
        <v>765</v>
      </c>
      <c r="D749" t="s">
        <v>2686</v>
      </c>
      <c r="E749">
        <v>1</v>
      </c>
    </row>
    <row r="750" spans="1:5" x14ac:dyDescent="0.25">
      <c r="A750" t="s">
        <v>420</v>
      </c>
      <c r="B750" t="s">
        <v>2505</v>
      </c>
      <c r="C750" t="s">
        <v>765</v>
      </c>
      <c r="D750" t="s">
        <v>2687</v>
      </c>
      <c r="E750">
        <v>2</v>
      </c>
    </row>
    <row r="751" spans="1:5" x14ac:dyDescent="0.25">
      <c r="A751" t="s">
        <v>420</v>
      </c>
      <c r="B751" t="s">
        <v>2505</v>
      </c>
      <c r="C751" t="s">
        <v>765</v>
      </c>
      <c r="D751" t="s">
        <v>2688</v>
      </c>
      <c r="E751">
        <v>2</v>
      </c>
    </row>
    <row r="752" spans="1:5" x14ac:dyDescent="0.25">
      <c r="A752" t="s">
        <v>420</v>
      </c>
      <c r="B752" t="s">
        <v>2505</v>
      </c>
      <c r="C752" t="s">
        <v>765</v>
      </c>
      <c r="D752" t="s">
        <v>2690</v>
      </c>
      <c r="E752">
        <v>3</v>
      </c>
    </row>
    <row r="753" spans="1:5" x14ac:dyDescent="0.25">
      <c r="A753" t="s">
        <v>420</v>
      </c>
      <c r="B753" t="s">
        <v>2505</v>
      </c>
      <c r="C753" t="s">
        <v>1135</v>
      </c>
      <c r="D753" t="s">
        <v>2677</v>
      </c>
      <c r="E753">
        <v>17</v>
      </c>
    </row>
    <row r="754" spans="1:5" x14ac:dyDescent="0.25">
      <c r="A754" t="s">
        <v>420</v>
      </c>
      <c r="B754" t="s">
        <v>2505</v>
      </c>
      <c r="C754" t="s">
        <v>1135</v>
      </c>
      <c r="D754" t="s">
        <v>2678</v>
      </c>
      <c r="E754">
        <v>28</v>
      </c>
    </row>
    <row r="755" spans="1:5" x14ac:dyDescent="0.25">
      <c r="A755" t="s">
        <v>420</v>
      </c>
      <c r="B755" t="s">
        <v>2505</v>
      </c>
      <c r="C755" t="s">
        <v>1135</v>
      </c>
      <c r="D755" t="s">
        <v>2679</v>
      </c>
      <c r="E755">
        <v>24</v>
      </c>
    </row>
    <row r="756" spans="1:5" x14ac:dyDescent="0.25">
      <c r="A756" t="s">
        <v>420</v>
      </c>
      <c r="B756" t="s">
        <v>2505</v>
      </c>
      <c r="C756" t="s">
        <v>1135</v>
      </c>
      <c r="D756" t="s">
        <v>2680</v>
      </c>
      <c r="E756">
        <v>32</v>
      </c>
    </row>
    <row r="757" spans="1:5" x14ac:dyDescent="0.25">
      <c r="A757" t="s">
        <v>420</v>
      </c>
      <c r="B757" t="s">
        <v>2505</v>
      </c>
      <c r="C757" t="s">
        <v>1135</v>
      </c>
      <c r="D757" t="s">
        <v>2681</v>
      </c>
      <c r="E757">
        <v>33</v>
      </c>
    </row>
    <row r="758" spans="1:5" x14ac:dyDescent="0.25">
      <c r="A758" t="s">
        <v>420</v>
      </c>
      <c r="B758" t="s">
        <v>2505</v>
      </c>
      <c r="C758" t="s">
        <v>1135</v>
      </c>
      <c r="D758" t="s">
        <v>2682</v>
      </c>
      <c r="E758">
        <v>26</v>
      </c>
    </row>
    <row r="759" spans="1:5" x14ac:dyDescent="0.25">
      <c r="A759" t="s">
        <v>420</v>
      </c>
      <c r="B759" t="s">
        <v>2505</v>
      </c>
      <c r="C759" t="s">
        <v>1135</v>
      </c>
      <c r="D759" t="s">
        <v>2683</v>
      </c>
      <c r="E759">
        <v>26</v>
      </c>
    </row>
    <row r="760" spans="1:5" x14ac:dyDescent="0.25">
      <c r="A760" t="s">
        <v>420</v>
      </c>
      <c r="B760" t="s">
        <v>2505</v>
      </c>
      <c r="C760" t="s">
        <v>1135</v>
      </c>
      <c r="D760" t="s">
        <v>2684</v>
      </c>
      <c r="E760">
        <v>25</v>
      </c>
    </row>
    <row r="761" spans="1:5" x14ac:dyDescent="0.25">
      <c r="A761" t="s">
        <v>420</v>
      </c>
      <c r="B761" t="s">
        <v>2505</v>
      </c>
      <c r="C761" t="s">
        <v>1135</v>
      </c>
      <c r="D761" t="s">
        <v>2685</v>
      </c>
      <c r="E761">
        <v>24</v>
      </c>
    </row>
    <row r="762" spans="1:5" x14ac:dyDescent="0.25">
      <c r="A762" t="s">
        <v>420</v>
      </c>
      <c r="B762" t="s">
        <v>2505</v>
      </c>
      <c r="C762" t="s">
        <v>1135</v>
      </c>
      <c r="D762" t="s">
        <v>2686</v>
      </c>
      <c r="E762">
        <v>32</v>
      </c>
    </row>
    <row r="763" spans="1:5" x14ac:dyDescent="0.25">
      <c r="A763" t="s">
        <v>420</v>
      </c>
      <c r="B763" t="s">
        <v>2505</v>
      </c>
      <c r="C763" t="s">
        <v>1135</v>
      </c>
      <c r="D763" t="s">
        <v>2687</v>
      </c>
      <c r="E763">
        <v>29</v>
      </c>
    </row>
    <row r="764" spans="1:5" x14ac:dyDescent="0.25">
      <c r="A764" t="s">
        <v>420</v>
      </c>
      <c r="B764" t="s">
        <v>2505</v>
      </c>
      <c r="C764" t="s">
        <v>1135</v>
      </c>
      <c r="D764" t="s">
        <v>2688</v>
      </c>
      <c r="E764">
        <v>34</v>
      </c>
    </row>
    <row r="765" spans="1:5" x14ac:dyDescent="0.25">
      <c r="A765" t="s">
        <v>420</v>
      </c>
      <c r="B765" t="s">
        <v>2505</v>
      </c>
      <c r="C765" t="s">
        <v>1135</v>
      </c>
      <c r="D765" t="s">
        <v>2689</v>
      </c>
      <c r="E765">
        <v>33</v>
      </c>
    </row>
    <row r="766" spans="1:5" x14ac:dyDescent="0.25">
      <c r="A766" t="s">
        <v>420</v>
      </c>
      <c r="B766" t="s">
        <v>2505</v>
      </c>
      <c r="C766" t="s">
        <v>1135</v>
      </c>
      <c r="D766" t="s">
        <v>2690</v>
      </c>
      <c r="E766">
        <v>32</v>
      </c>
    </row>
    <row r="767" spans="1:5" x14ac:dyDescent="0.25">
      <c r="A767" t="s">
        <v>420</v>
      </c>
      <c r="B767" t="s">
        <v>2505</v>
      </c>
      <c r="C767" t="s">
        <v>1158</v>
      </c>
      <c r="D767" t="s">
        <v>2677</v>
      </c>
      <c r="E767">
        <v>17</v>
      </c>
    </row>
    <row r="768" spans="1:5" x14ac:dyDescent="0.25">
      <c r="A768" t="s">
        <v>420</v>
      </c>
      <c r="B768" t="s">
        <v>2505</v>
      </c>
      <c r="C768" t="s">
        <v>1158</v>
      </c>
      <c r="D768" t="s">
        <v>2678</v>
      </c>
      <c r="E768">
        <v>45</v>
      </c>
    </row>
    <row r="769" spans="1:5" x14ac:dyDescent="0.25">
      <c r="A769" t="s">
        <v>420</v>
      </c>
      <c r="B769" t="s">
        <v>2505</v>
      </c>
      <c r="C769" t="s">
        <v>1158</v>
      </c>
      <c r="D769" t="s">
        <v>2679</v>
      </c>
      <c r="E769">
        <v>54</v>
      </c>
    </row>
    <row r="770" spans="1:5" x14ac:dyDescent="0.25">
      <c r="A770" t="s">
        <v>420</v>
      </c>
      <c r="B770" t="s">
        <v>2505</v>
      </c>
      <c r="C770" t="s">
        <v>1158</v>
      </c>
      <c r="D770" t="s">
        <v>2680</v>
      </c>
      <c r="E770">
        <v>51</v>
      </c>
    </row>
    <row r="771" spans="1:5" x14ac:dyDescent="0.25">
      <c r="A771" t="s">
        <v>420</v>
      </c>
      <c r="B771" t="s">
        <v>2505</v>
      </c>
      <c r="C771" t="s">
        <v>1158</v>
      </c>
      <c r="D771" t="s">
        <v>2681</v>
      </c>
      <c r="E771">
        <v>40</v>
      </c>
    </row>
    <row r="772" spans="1:5" x14ac:dyDescent="0.25">
      <c r="A772" t="s">
        <v>420</v>
      </c>
      <c r="B772" t="s">
        <v>2505</v>
      </c>
      <c r="C772" t="s">
        <v>1158</v>
      </c>
      <c r="D772" t="s">
        <v>2682</v>
      </c>
      <c r="E772">
        <v>26</v>
      </c>
    </row>
    <row r="773" spans="1:5" x14ac:dyDescent="0.25">
      <c r="A773" t="s">
        <v>420</v>
      </c>
      <c r="B773" t="s">
        <v>2505</v>
      </c>
      <c r="C773" t="s">
        <v>1158</v>
      </c>
      <c r="D773" t="s">
        <v>2683</v>
      </c>
      <c r="E773">
        <v>27</v>
      </c>
    </row>
    <row r="774" spans="1:5" x14ac:dyDescent="0.25">
      <c r="A774" t="s">
        <v>420</v>
      </c>
      <c r="B774" t="s">
        <v>2505</v>
      </c>
      <c r="C774" t="s">
        <v>1158</v>
      </c>
      <c r="D774" t="s">
        <v>2684</v>
      </c>
      <c r="E774">
        <v>33</v>
      </c>
    </row>
    <row r="775" spans="1:5" x14ac:dyDescent="0.25">
      <c r="A775" t="s">
        <v>420</v>
      </c>
      <c r="B775" t="s">
        <v>2505</v>
      </c>
      <c r="C775" t="s">
        <v>1158</v>
      </c>
      <c r="D775" t="s">
        <v>2685</v>
      </c>
      <c r="E775">
        <v>40</v>
      </c>
    </row>
    <row r="776" spans="1:5" x14ac:dyDescent="0.25">
      <c r="A776" t="s">
        <v>420</v>
      </c>
      <c r="B776" t="s">
        <v>2505</v>
      </c>
      <c r="C776" t="s">
        <v>1158</v>
      </c>
      <c r="D776" t="s">
        <v>2686</v>
      </c>
      <c r="E776">
        <v>38</v>
      </c>
    </row>
    <row r="777" spans="1:5" x14ac:dyDescent="0.25">
      <c r="A777" t="s">
        <v>420</v>
      </c>
      <c r="B777" t="s">
        <v>2505</v>
      </c>
      <c r="C777" t="s">
        <v>1158</v>
      </c>
      <c r="D777" t="s">
        <v>2687</v>
      </c>
      <c r="E777">
        <v>37</v>
      </c>
    </row>
    <row r="778" spans="1:5" x14ac:dyDescent="0.25">
      <c r="A778" t="s">
        <v>420</v>
      </c>
      <c r="B778" t="s">
        <v>2505</v>
      </c>
      <c r="C778" t="s">
        <v>1158</v>
      </c>
      <c r="D778" t="s">
        <v>2688</v>
      </c>
      <c r="E778">
        <v>40</v>
      </c>
    </row>
    <row r="779" spans="1:5" x14ac:dyDescent="0.25">
      <c r="A779" t="s">
        <v>420</v>
      </c>
      <c r="B779" t="s">
        <v>2505</v>
      </c>
      <c r="C779" t="s">
        <v>1158</v>
      </c>
      <c r="D779" t="s">
        <v>2689</v>
      </c>
      <c r="E779">
        <v>37</v>
      </c>
    </row>
    <row r="780" spans="1:5" x14ac:dyDescent="0.25">
      <c r="A780" t="s">
        <v>420</v>
      </c>
      <c r="B780" t="s">
        <v>2505</v>
      </c>
      <c r="C780" t="s">
        <v>1158</v>
      </c>
      <c r="D780" t="s">
        <v>2690</v>
      </c>
      <c r="E780">
        <v>34</v>
      </c>
    </row>
    <row r="781" spans="1:5" x14ac:dyDescent="0.25">
      <c r="A781" t="s">
        <v>420</v>
      </c>
      <c r="B781" t="s">
        <v>2505</v>
      </c>
      <c r="C781" t="s">
        <v>2510</v>
      </c>
      <c r="D781" t="s">
        <v>2677</v>
      </c>
      <c r="E781">
        <v>41</v>
      </c>
    </row>
    <row r="782" spans="1:5" x14ac:dyDescent="0.25">
      <c r="A782" t="s">
        <v>420</v>
      </c>
      <c r="B782" t="s">
        <v>2505</v>
      </c>
      <c r="C782" t="s">
        <v>2510</v>
      </c>
      <c r="D782" t="s">
        <v>2678</v>
      </c>
      <c r="E782">
        <v>81</v>
      </c>
    </row>
    <row r="783" spans="1:5" x14ac:dyDescent="0.25">
      <c r="A783" t="s">
        <v>420</v>
      </c>
      <c r="B783" t="s">
        <v>2505</v>
      </c>
      <c r="C783" t="s">
        <v>2510</v>
      </c>
      <c r="D783" t="s">
        <v>2679</v>
      </c>
      <c r="E783">
        <v>72</v>
      </c>
    </row>
    <row r="784" spans="1:5" x14ac:dyDescent="0.25">
      <c r="A784" t="s">
        <v>420</v>
      </c>
      <c r="B784" t="s">
        <v>2505</v>
      </c>
      <c r="C784" t="s">
        <v>2510</v>
      </c>
      <c r="D784" t="s">
        <v>2680</v>
      </c>
      <c r="E784">
        <v>79</v>
      </c>
    </row>
    <row r="785" spans="1:5" x14ac:dyDescent="0.25">
      <c r="A785" t="s">
        <v>420</v>
      </c>
      <c r="B785" t="s">
        <v>2505</v>
      </c>
      <c r="C785" t="s">
        <v>2510</v>
      </c>
      <c r="D785" t="s">
        <v>2681</v>
      </c>
      <c r="E785">
        <v>88</v>
      </c>
    </row>
    <row r="786" spans="1:5" x14ac:dyDescent="0.25">
      <c r="A786" t="s">
        <v>420</v>
      </c>
      <c r="B786" t="s">
        <v>2505</v>
      </c>
      <c r="C786" t="s">
        <v>2510</v>
      </c>
      <c r="D786" t="s">
        <v>2682</v>
      </c>
      <c r="E786">
        <v>74</v>
      </c>
    </row>
    <row r="787" spans="1:5" x14ac:dyDescent="0.25">
      <c r="A787" t="s">
        <v>420</v>
      </c>
      <c r="B787" t="s">
        <v>2505</v>
      </c>
      <c r="C787" t="s">
        <v>2510</v>
      </c>
      <c r="D787" t="s">
        <v>2683</v>
      </c>
      <c r="E787">
        <v>86</v>
      </c>
    </row>
    <row r="788" spans="1:5" x14ac:dyDescent="0.25">
      <c r="A788" t="s">
        <v>420</v>
      </c>
      <c r="B788" t="s">
        <v>2505</v>
      </c>
      <c r="C788" t="s">
        <v>2510</v>
      </c>
      <c r="D788" t="s">
        <v>2684</v>
      </c>
      <c r="E788">
        <v>93</v>
      </c>
    </row>
    <row r="789" spans="1:5" x14ac:dyDescent="0.25">
      <c r="A789" t="s">
        <v>420</v>
      </c>
      <c r="B789" t="s">
        <v>2505</v>
      </c>
      <c r="C789" t="s">
        <v>2510</v>
      </c>
      <c r="D789" t="s">
        <v>2685</v>
      </c>
      <c r="E789">
        <v>92</v>
      </c>
    </row>
    <row r="790" spans="1:5" x14ac:dyDescent="0.25">
      <c r="A790" t="s">
        <v>420</v>
      </c>
      <c r="B790" t="s">
        <v>2505</v>
      </c>
      <c r="C790" t="s">
        <v>2510</v>
      </c>
      <c r="D790" t="s">
        <v>2686</v>
      </c>
      <c r="E790">
        <v>104</v>
      </c>
    </row>
    <row r="791" spans="1:5" x14ac:dyDescent="0.25">
      <c r="A791" t="s">
        <v>420</v>
      </c>
      <c r="B791" t="s">
        <v>2505</v>
      </c>
      <c r="C791" t="s">
        <v>2510</v>
      </c>
      <c r="D791" t="s">
        <v>2687</v>
      </c>
      <c r="E791">
        <v>101</v>
      </c>
    </row>
    <row r="792" spans="1:5" x14ac:dyDescent="0.25">
      <c r="A792" t="s">
        <v>420</v>
      </c>
      <c r="B792" t="s">
        <v>2505</v>
      </c>
      <c r="C792" t="s">
        <v>2510</v>
      </c>
      <c r="D792" t="s">
        <v>2688</v>
      </c>
      <c r="E792">
        <v>89</v>
      </c>
    </row>
    <row r="793" spans="1:5" x14ac:dyDescent="0.25">
      <c r="A793" t="s">
        <v>420</v>
      </c>
      <c r="B793" t="s">
        <v>2505</v>
      </c>
      <c r="C793" t="s">
        <v>2510</v>
      </c>
      <c r="D793" t="s">
        <v>2689</v>
      </c>
      <c r="E793">
        <v>75</v>
      </c>
    </row>
    <row r="794" spans="1:5" x14ac:dyDescent="0.25">
      <c r="A794" t="s">
        <v>420</v>
      </c>
      <c r="B794" t="s">
        <v>2505</v>
      </c>
      <c r="C794" t="s">
        <v>2510</v>
      </c>
      <c r="D794" t="s">
        <v>2690</v>
      </c>
      <c r="E794">
        <v>78</v>
      </c>
    </row>
    <row r="795" spans="1:5" x14ac:dyDescent="0.25">
      <c r="A795" t="s">
        <v>420</v>
      </c>
      <c r="B795" t="s">
        <v>2505</v>
      </c>
      <c r="C795" t="s">
        <v>2509</v>
      </c>
      <c r="D795" t="s">
        <v>2677</v>
      </c>
      <c r="E795">
        <v>1</v>
      </c>
    </row>
    <row r="796" spans="1:5" x14ac:dyDescent="0.25">
      <c r="A796" t="s">
        <v>420</v>
      </c>
      <c r="B796" t="s">
        <v>2505</v>
      </c>
      <c r="C796" t="s">
        <v>2509</v>
      </c>
      <c r="D796" t="s">
        <v>2678</v>
      </c>
      <c r="E796">
        <v>9</v>
      </c>
    </row>
    <row r="797" spans="1:5" x14ac:dyDescent="0.25">
      <c r="A797" t="s">
        <v>420</v>
      </c>
      <c r="B797" t="s">
        <v>2505</v>
      </c>
      <c r="C797" t="s">
        <v>2509</v>
      </c>
      <c r="D797" t="s">
        <v>2679</v>
      </c>
      <c r="E797">
        <v>12</v>
      </c>
    </row>
    <row r="798" spans="1:5" x14ac:dyDescent="0.25">
      <c r="A798" t="s">
        <v>420</v>
      </c>
      <c r="B798" t="s">
        <v>2505</v>
      </c>
      <c r="C798" t="s">
        <v>2509</v>
      </c>
      <c r="D798" t="s">
        <v>2680</v>
      </c>
      <c r="E798">
        <v>6</v>
      </c>
    </row>
    <row r="799" spans="1:5" x14ac:dyDescent="0.25">
      <c r="A799" t="s">
        <v>420</v>
      </c>
      <c r="B799" t="s">
        <v>2505</v>
      </c>
      <c r="C799" t="s">
        <v>2509</v>
      </c>
      <c r="D799" t="s">
        <v>2681</v>
      </c>
      <c r="E799">
        <v>4</v>
      </c>
    </row>
    <row r="800" spans="1:5" x14ac:dyDescent="0.25">
      <c r="A800" t="s">
        <v>420</v>
      </c>
      <c r="B800" t="s">
        <v>2505</v>
      </c>
      <c r="C800" t="s">
        <v>1434</v>
      </c>
      <c r="D800" t="s">
        <v>2677</v>
      </c>
      <c r="E800">
        <v>9</v>
      </c>
    </row>
    <row r="801" spans="1:5" x14ac:dyDescent="0.25">
      <c r="A801" t="s">
        <v>420</v>
      </c>
      <c r="B801" t="s">
        <v>2505</v>
      </c>
      <c r="C801" t="s">
        <v>1434</v>
      </c>
      <c r="D801" t="s">
        <v>2678</v>
      </c>
      <c r="E801">
        <v>17</v>
      </c>
    </row>
    <row r="802" spans="1:5" x14ac:dyDescent="0.25">
      <c r="A802" t="s">
        <v>420</v>
      </c>
      <c r="B802" t="s">
        <v>2505</v>
      </c>
      <c r="C802" t="s">
        <v>1434</v>
      </c>
      <c r="D802" t="s">
        <v>2679</v>
      </c>
      <c r="E802">
        <v>15</v>
      </c>
    </row>
    <row r="803" spans="1:5" x14ac:dyDescent="0.25">
      <c r="A803" t="s">
        <v>420</v>
      </c>
      <c r="B803" t="s">
        <v>2505</v>
      </c>
      <c r="C803" t="s">
        <v>1434</v>
      </c>
      <c r="D803" t="s">
        <v>2680</v>
      </c>
      <c r="E803">
        <v>19</v>
      </c>
    </row>
    <row r="804" spans="1:5" x14ac:dyDescent="0.25">
      <c r="A804" t="s">
        <v>420</v>
      </c>
      <c r="B804" t="s">
        <v>2505</v>
      </c>
      <c r="C804" t="s">
        <v>1434</v>
      </c>
      <c r="D804" t="s">
        <v>2681</v>
      </c>
      <c r="E804">
        <v>19</v>
      </c>
    </row>
    <row r="805" spans="1:5" x14ac:dyDescent="0.25">
      <c r="A805" t="s">
        <v>420</v>
      </c>
      <c r="B805" t="s">
        <v>2505</v>
      </c>
      <c r="C805" t="s">
        <v>1434</v>
      </c>
      <c r="D805" t="s">
        <v>2682</v>
      </c>
      <c r="E805">
        <v>17</v>
      </c>
    </row>
    <row r="806" spans="1:5" x14ac:dyDescent="0.25">
      <c r="A806" t="s">
        <v>420</v>
      </c>
      <c r="B806" t="s">
        <v>2505</v>
      </c>
      <c r="C806" t="s">
        <v>1434</v>
      </c>
      <c r="D806" t="s">
        <v>2683</v>
      </c>
      <c r="E806">
        <v>15</v>
      </c>
    </row>
    <row r="807" spans="1:5" x14ac:dyDescent="0.25">
      <c r="A807" t="s">
        <v>420</v>
      </c>
      <c r="B807" t="s">
        <v>2505</v>
      </c>
      <c r="C807" t="s">
        <v>1434</v>
      </c>
      <c r="D807" t="s">
        <v>2684</v>
      </c>
      <c r="E807">
        <v>23</v>
      </c>
    </row>
    <row r="808" spans="1:5" x14ac:dyDescent="0.25">
      <c r="A808" t="s">
        <v>420</v>
      </c>
      <c r="B808" t="s">
        <v>2505</v>
      </c>
      <c r="C808" t="s">
        <v>1434</v>
      </c>
      <c r="D808" t="s">
        <v>2685</v>
      </c>
      <c r="E808">
        <v>23</v>
      </c>
    </row>
    <row r="809" spans="1:5" x14ac:dyDescent="0.25">
      <c r="A809" t="s">
        <v>420</v>
      </c>
      <c r="B809" t="s">
        <v>2505</v>
      </c>
      <c r="C809" t="s">
        <v>1434</v>
      </c>
      <c r="D809" t="s">
        <v>2686</v>
      </c>
      <c r="E809">
        <v>21</v>
      </c>
    </row>
    <row r="810" spans="1:5" x14ac:dyDescent="0.25">
      <c r="A810" t="s">
        <v>420</v>
      </c>
      <c r="B810" t="s">
        <v>2505</v>
      </c>
      <c r="C810" t="s">
        <v>1434</v>
      </c>
      <c r="D810" t="s">
        <v>2687</v>
      </c>
      <c r="E810">
        <v>20</v>
      </c>
    </row>
    <row r="811" spans="1:5" x14ac:dyDescent="0.25">
      <c r="A811" t="s">
        <v>420</v>
      </c>
      <c r="B811" t="s">
        <v>2505</v>
      </c>
      <c r="C811" t="s">
        <v>1434</v>
      </c>
      <c r="D811" t="s">
        <v>2688</v>
      </c>
      <c r="E811">
        <v>24</v>
      </c>
    </row>
    <row r="812" spans="1:5" x14ac:dyDescent="0.25">
      <c r="A812" t="s">
        <v>420</v>
      </c>
      <c r="B812" t="s">
        <v>2505</v>
      </c>
      <c r="C812" t="s">
        <v>1434</v>
      </c>
      <c r="D812" t="s">
        <v>2689</v>
      </c>
      <c r="E812">
        <v>24</v>
      </c>
    </row>
    <row r="813" spans="1:5" x14ac:dyDescent="0.25">
      <c r="A813" t="s">
        <v>420</v>
      </c>
      <c r="B813" t="s">
        <v>2505</v>
      </c>
      <c r="C813" t="s">
        <v>1434</v>
      </c>
      <c r="D813" t="s">
        <v>2690</v>
      </c>
      <c r="E813">
        <v>25</v>
      </c>
    </row>
    <row r="814" spans="1:5" x14ac:dyDescent="0.25">
      <c r="A814" t="s">
        <v>420</v>
      </c>
      <c r="B814" t="s">
        <v>2505</v>
      </c>
      <c r="C814" t="s">
        <v>1455</v>
      </c>
      <c r="D814" t="s">
        <v>2677</v>
      </c>
      <c r="E814">
        <v>20</v>
      </c>
    </row>
    <row r="815" spans="1:5" x14ac:dyDescent="0.25">
      <c r="A815" t="s">
        <v>420</v>
      </c>
      <c r="B815" t="s">
        <v>2505</v>
      </c>
      <c r="C815" t="s">
        <v>1455</v>
      </c>
      <c r="D815" t="s">
        <v>2678</v>
      </c>
      <c r="E815">
        <v>33</v>
      </c>
    </row>
    <row r="816" spans="1:5" x14ac:dyDescent="0.25">
      <c r="A816" t="s">
        <v>420</v>
      </c>
      <c r="B816" t="s">
        <v>2505</v>
      </c>
      <c r="C816" t="s">
        <v>1455</v>
      </c>
      <c r="D816" t="s">
        <v>2679</v>
      </c>
      <c r="E816">
        <v>42</v>
      </c>
    </row>
    <row r="817" spans="1:5" x14ac:dyDescent="0.25">
      <c r="A817" t="s">
        <v>420</v>
      </c>
      <c r="B817" t="s">
        <v>2505</v>
      </c>
      <c r="C817" t="s">
        <v>1455</v>
      </c>
      <c r="D817" t="s">
        <v>2680</v>
      </c>
      <c r="E817">
        <v>48</v>
      </c>
    </row>
    <row r="818" spans="1:5" x14ac:dyDescent="0.25">
      <c r="A818" t="s">
        <v>420</v>
      </c>
      <c r="B818" t="s">
        <v>2505</v>
      </c>
      <c r="C818" t="s">
        <v>1455</v>
      </c>
      <c r="D818" t="s">
        <v>2681</v>
      </c>
      <c r="E818">
        <v>38</v>
      </c>
    </row>
    <row r="819" spans="1:5" x14ac:dyDescent="0.25">
      <c r="A819" t="s">
        <v>420</v>
      </c>
      <c r="B819" t="s">
        <v>2505</v>
      </c>
      <c r="C819" t="s">
        <v>1455</v>
      </c>
      <c r="D819" t="s">
        <v>2682</v>
      </c>
      <c r="E819">
        <v>39</v>
      </c>
    </row>
    <row r="820" spans="1:5" x14ac:dyDescent="0.25">
      <c r="A820" t="s">
        <v>420</v>
      </c>
      <c r="B820" t="s">
        <v>2505</v>
      </c>
      <c r="C820" t="s">
        <v>1455</v>
      </c>
      <c r="D820" t="s">
        <v>2683</v>
      </c>
      <c r="E820">
        <v>36</v>
      </c>
    </row>
    <row r="821" spans="1:5" x14ac:dyDescent="0.25">
      <c r="A821" t="s">
        <v>420</v>
      </c>
      <c r="B821" t="s">
        <v>2505</v>
      </c>
      <c r="C821" t="s">
        <v>1455</v>
      </c>
      <c r="D821" t="s">
        <v>2684</v>
      </c>
      <c r="E821">
        <v>42</v>
      </c>
    </row>
    <row r="822" spans="1:5" x14ac:dyDescent="0.25">
      <c r="A822" t="s">
        <v>420</v>
      </c>
      <c r="B822" t="s">
        <v>2505</v>
      </c>
      <c r="C822" t="s">
        <v>1455</v>
      </c>
      <c r="D822" t="s">
        <v>2685</v>
      </c>
      <c r="E822">
        <v>50</v>
      </c>
    </row>
    <row r="823" spans="1:5" x14ac:dyDescent="0.25">
      <c r="A823" t="s">
        <v>420</v>
      </c>
      <c r="B823" t="s">
        <v>2505</v>
      </c>
      <c r="C823" t="s">
        <v>1455</v>
      </c>
      <c r="D823" t="s">
        <v>2686</v>
      </c>
      <c r="E823">
        <v>46</v>
      </c>
    </row>
    <row r="824" spans="1:5" x14ac:dyDescent="0.25">
      <c r="A824" t="s">
        <v>420</v>
      </c>
      <c r="B824" t="s">
        <v>2505</v>
      </c>
      <c r="C824" t="s">
        <v>1455</v>
      </c>
      <c r="D824" t="s">
        <v>2687</v>
      </c>
      <c r="E824">
        <v>55</v>
      </c>
    </row>
    <row r="825" spans="1:5" x14ac:dyDescent="0.25">
      <c r="A825" t="s">
        <v>420</v>
      </c>
      <c r="B825" t="s">
        <v>2505</v>
      </c>
      <c r="C825" t="s">
        <v>1455</v>
      </c>
      <c r="D825" t="s">
        <v>2688</v>
      </c>
      <c r="E825">
        <v>65</v>
      </c>
    </row>
    <row r="826" spans="1:5" x14ac:dyDescent="0.25">
      <c r="A826" t="s">
        <v>420</v>
      </c>
      <c r="B826" t="s">
        <v>2505</v>
      </c>
      <c r="C826" t="s">
        <v>1455</v>
      </c>
      <c r="D826" t="s">
        <v>2689</v>
      </c>
      <c r="E826">
        <v>78</v>
      </c>
    </row>
    <row r="827" spans="1:5" x14ac:dyDescent="0.25">
      <c r="A827" t="s">
        <v>420</v>
      </c>
      <c r="B827" t="s">
        <v>2505</v>
      </c>
      <c r="C827" t="s">
        <v>1455</v>
      </c>
      <c r="D827" t="s">
        <v>2690</v>
      </c>
      <c r="E827">
        <v>76</v>
      </c>
    </row>
    <row r="828" spans="1:5" x14ac:dyDescent="0.25">
      <c r="A828" t="s">
        <v>420</v>
      </c>
      <c r="B828" t="s">
        <v>2505</v>
      </c>
      <c r="C828" t="s">
        <v>2697</v>
      </c>
      <c r="D828" t="s">
        <v>2677</v>
      </c>
      <c r="E828">
        <v>2</v>
      </c>
    </row>
    <row r="829" spans="1:5" x14ac:dyDescent="0.25">
      <c r="A829" t="s">
        <v>420</v>
      </c>
      <c r="B829" t="s">
        <v>2505</v>
      </c>
      <c r="C829" t="s">
        <v>2697</v>
      </c>
      <c r="D829" t="s">
        <v>2678</v>
      </c>
      <c r="E829">
        <v>1</v>
      </c>
    </row>
    <row r="830" spans="1:5" x14ac:dyDescent="0.25">
      <c r="A830" t="s">
        <v>420</v>
      </c>
      <c r="B830" t="s">
        <v>2505</v>
      </c>
      <c r="C830" t="s">
        <v>1463</v>
      </c>
      <c r="D830" t="s">
        <v>2677</v>
      </c>
      <c r="E830">
        <v>46</v>
      </c>
    </row>
    <row r="831" spans="1:5" x14ac:dyDescent="0.25">
      <c r="A831" t="s">
        <v>420</v>
      </c>
      <c r="B831" t="s">
        <v>2505</v>
      </c>
      <c r="C831" t="s">
        <v>1463</v>
      </c>
      <c r="D831" t="s">
        <v>2678</v>
      </c>
      <c r="E831">
        <v>79</v>
      </c>
    </row>
    <row r="832" spans="1:5" x14ac:dyDescent="0.25">
      <c r="A832" t="s">
        <v>420</v>
      </c>
      <c r="B832" t="s">
        <v>2505</v>
      </c>
      <c r="C832" t="s">
        <v>1463</v>
      </c>
      <c r="D832" t="s">
        <v>2679</v>
      </c>
      <c r="E832">
        <v>94</v>
      </c>
    </row>
    <row r="833" spans="1:5" x14ac:dyDescent="0.25">
      <c r="A833" t="s">
        <v>420</v>
      </c>
      <c r="B833" t="s">
        <v>2505</v>
      </c>
      <c r="C833" t="s">
        <v>1463</v>
      </c>
      <c r="D833" t="s">
        <v>2680</v>
      </c>
      <c r="E833">
        <v>112</v>
      </c>
    </row>
    <row r="834" spans="1:5" x14ac:dyDescent="0.25">
      <c r="A834" t="s">
        <v>420</v>
      </c>
      <c r="B834" t="s">
        <v>2505</v>
      </c>
      <c r="C834" t="s">
        <v>1463</v>
      </c>
      <c r="D834" t="s">
        <v>2681</v>
      </c>
      <c r="E834">
        <v>111</v>
      </c>
    </row>
    <row r="835" spans="1:5" x14ac:dyDescent="0.25">
      <c r="A835" t="s">
        <v>420</v>
      </c>
      <c r="B835" t="s">
        <v>2505</v>
      </c>
      <c r="C835" t="s">
        <v>1463</v>
      </c>
      <c r="D835" t="s">
        <v>2682</v>
      </c>
      <c r="E835">
        <v>100</v>
      </c>
    </row>
    <row r="836" spans="1:5" x14ac:dyDescent="0.25">
      <c r="A836" t="s">
        <v>420</v>
      </c>
      <c r="B836" t="s">
        <v>2505</v>
      </c>
      <c r="C836" t="s">
        <v>1463</v>
      </c>
      <c r="D836" t="s">
        <v>2683</v>
      </c>
      <c r="E836">
        <v>98</v>
      </c>
    </row>
    <row r="837" spans="1:5" x14ac:dyDescent="0.25">
      <c r="A837" t="s">
        <v>420</v>
      </c>
      <c r="B837" t="s">
        <v>2505</v>
      </c>
      <c r="C837" t="s">
        <v>1463</v>
      </c>
      <c r="D837" t="s">
        <v>2684</v>
      </c>
      <c r="E837">
        <v>106</v>
      </c>
    </row>
    <row r="838" spans="1:5" x14ac:dyDescent="0.25">
      <c r="A838" t="s">
        <v>420</v>
      </c>
      <c r="B838" t="s">
        <v>2505</v>
      </c>
      <c r="C838" t="s">
        <v>1463</v>
      </c>
      <c r="D838" t="s">
        <v>2685</v>
      </c>
      <c r="E838">
        <v>105</v>
      </c>
    </row>
    <row r="839" spans="1:5" x14ac:dyDescent="0.25">
      <c r="A839" t="s">
        <v>420</v>
      </c>
      <c r="B839" t="s">
        <v>2505</v>
      </c>
      <c r="C839" t="s">
        <v>1463</v>
      </c>
      <c r="D839" t="s">
        <v>2686</v>
      </c>
      <c r="E839">
        <v>101</v>
      </c>
    </row>
    <row r="840" spans="1:5" x14ac:dyDescent="0.25">
      <c r="A840" t="s">
        <v>420</v>
      </c>
      <c r="B840" t="s">
        <v>2505</v>
      </c>
      <c r="C840" t="s">
        <v>1463</v>
      </c>
      <c r="D840" t="s">
        <v>2687</v>
      </c>
      <c r="E840">
        <v>111</v>
      </c>
    </row>
    <row r="841" spans="1:5" x14ac:dyDescent="0.25">
      <c r="A841" t="s">
        <v>420</v>
      </c>
      <c r="B841" t="s">
        <v>2505</v>
      </c>
      <c r="C841" t="s">
        <v>1463</v>
      </c>
      <c r="D841" t="s">
        <v>2688</v>
      </c>
      <c r="E841">
        <v>115</v>
      </c>
    </row>
    <row r="842" spans="1:5" x14ac:dyDescent="0.25">
      <c r="A842" t="s">
        <v>420</v>
      </c>
      <c r="B842" t="s">
        <v>2505</v>
      </c>
      <c r="C842" t="s">
        <v>1463</v>
      </c>
      <c r="D842" t="s">
        <v>2689</v>
      </c>
      <c r="E842">
        <v>134</v>
      </c>
    </row>
    <row r="843" spans="1:5" x14ac:dyDescent="0.25">
      <c r="A843" t="s">
        <v>420</v>
      </c>
      <c r="B843" t="s">
        <v>2505</v>
      </c>
      <c r="C843" t="s">
        <v>1463</v>
      </c>
      <c r="D843" t="s">
        <v>2690</v>
      </c>
      <c r="E843">
        <v>147</v>
      </c>
    </row>
    <row r="844" spans="1:5" x14ac:dyDescent="0.25">
      <c r="A844" t="s">
        <v>420</v>
      </c>
      <c r="B844" t="s">
        <v>2505</v>
      </c>
      <c r="C844" t="s">
        <v>1507</v>
      </c>
      <c r="D844" t="s">
        <v>2681</v>
      </c>
      <c r="E844">
        <v>43</v>
      </c>
    </row>
    <row r="845" spans="1:5" x14ac:dyDescent="0.25">
      <c r="A845" t="s">
        <v>420</v>
      </c>
      <c r="B845" t="s">
        <v>2505</v>
      </c>
      <c r="C845" t="s">
        <v>1507</v>
      </c>
      <c r="D845" t="s">
        <v>2682</v>
      </c>
      <c r="E845">
        <v>39</v>
      </c>
    </row>
    <row r="846" spans="1:5" x14ac:dyDescent="0.25">
      <c r="A846" t="s">
        <v>420</v>
      </c>
      <c r="B846" t="s">
        <v>2505</v>
      </c>
      <c r="C846" t="s">
        <v>1507</v>
      </c>
      <c r="D846" t="s">
        <v>2683</v>
      </c>
      <c r="E846">
        <v>23</v>
      </c>
    </row>
    <row r="847" spans="1:5" x14ac:dyDescent="0.25">
      <c r="A847" t="s">
        <v>420</v>
      </c>
      <c r="B847" t="s">
        <v>2505</v>
      </c>
      <c r="C847" t="s">
        <v>1507</v>
      </c>
      <c r="D847" t="s">
        <v>2684</v>
      </c>
      <c r="E847">
        <v>24</v>
      </c>
    </row>
    <row r="848" spans="1:5" x14ac:dyDescent="0.25">
      <c r="A848" t="s">
        <v>420</v>
      </c>
      <c r="B848" t="s">
        <v>2505</v>
      </c>
      <c r="C848" t="s">
        <v>1507</v>
      </c>
      <c r="D848" t="s">
        <v>2685</v>
      </c>
      <c r="E848">
        <v>22</v>
      </c>
    </row>
    <row r="849" spans="1:5" x14ac:dyDescent="0.25">
      <c r="A849" t="s">
        <v>420</v>
      </c>
      <c r="B849" t="s">
        <v>2505</v>
      </c>
      <c r="C849" t="s">
        <v>1507</v>
      </c>
      <c r="D849" t="s">
        <v>2686</v>
      </c>
      <c r="E849">
        <v>40</v>
      </c>
    </row>
    <row r="850" spans="1:5" x14ac:dyDescent="0.25">
      <c r="A850" t="s">
        <v>420</v>
      </c>
      <c r="B850" t="s">
        <v>2505</v>
      </c>
      <c r="C850" t="s">
        <v>1507</v>
      </c>
      <c r="D850" t="s">
        <v>2687</v>
      </c>
      <c r="E850">
        <v>38</v>
      </c>
    </row>
    <row r="851" spans="1:5" x14ac:dyDescent="0.25">
      <c r="A851" t="s">
        <v>420</v>
      </c>
      <c r="B851" t="s">
        <v>2505</v>
      </c>
      <c r="C851" t="s">
        <v>1507</v>
      </c>
      <c r="D851" t="s">
        <v>2688</v>
      </c>
      <c r="E851">
        <v>45</v>
      </c>
    </row>
    <row r="852" spans="1:5" x14ac:dyDescent="0.25">
      <c r="A852" t="s">
        <v>420</v>
      </c>
      <c r="B852" t="s">
        <v>2505</v>
      </c>
      <c r="C852" t="s">
        <v>1507</v>
      </c>
      <c r="D852" t="s">
        <v>2689</v>
      </c>
      <c r="E852">
        <v>62</v>
      </c>
    </row>
    <row r="853" spans="1:5" x14ac:dyDescent="0.25">
      <c r="A853" t="s">
        <v>420</v>
      </c>
      <c r="B853" t="s">
        <v>2505</v>
      </c>
      <c r="C853" t="s">
        <v>1516</v>
      </c>
      <c r="D853" t="s">
        <v>2677</v>
      </c>
      <c r="E853">
        <v>15</v>
      </c>
    </row>
    <row r="854" spans="1:5" x14ac:dyDescent="0.25">
      <c r="A854" t="s">
        <v>420</v>
      </c>
      <c r="B854" t="s">
        <v>2505</v>
      </c>
      <c r="C854" t="s">
        <v>1516</v>
      </c>
      <c r="D854" t="s">
        <v>2678</v>
      </c>
      <c r="E854">
        <v>28</v>
      </c>
    </row>
    <row r="855" spans="1:5" x14ac:dyDescent="0.25">
      <c r="A855" t="s">
        <v>420</v>
      </c>
      <c r="B855" t="s">
        <v>2505</v>
      </c>
      <c r="C855" t="s">
        <v>1516</v>
      </c>
      <c r="D855" t="s">
        <v>2679</v>
      </c>
      <c r="E855">
        <v>28</v>
      </c>
    </row>
    <row r="856" spans="1:5" x14ac:dyDescent="0.25">
      <c r="A856" t="s">
        <v>420</v>
      </c>
      <c r="B856" t="s">
        <v>2505</v>
      </c>
      <c r="C856" t="s">
        <v>1516</v>
      </c>
      <c r="D856" t="s">
        <v>2680</v>
      </c>
      <c r="E856">
        <v>31</v>
      </c>
    </row>
    <row r="857" spans="1:5" x14ac:dyDescent="0.25">
      <c r="A857" t="s">
        <v>420</v>
      </c>
      <c r="B857" t="s">
        <v>2505</v>
      </c>
      <c r="C857" t="s">
        <v>1516</v>
      </c>
      <c r="D857" t="s">
        <v>2681</v>
      </c>
      <c r="E857">
        <v>30</v>
      </c>
    </row>
    <row r="858" spans="1:5" x14ac:dyDescent="0.25">
      <c r="A858" t="s">
        <v>420</v>
      </c>
      <c r="B858" t="s">
        <v>2505</v>
      </c>
      <c r="C858" t="s">
        <v>1516</v>
      </c>
      <c r="D858" t="s">
        <v>2682</v>
      </c>
      <c r="E858">
        <v>25</v>
      </c>
    </row>
    <row r="859" spans="1:5" x14ac:dyDescent="0.25">
      <c r="A859" t="s">
        <v>420</v>
      </c>
      <c r="B859" t="s">
        <v>2505</v>
      </c>
      <c r="C859" t="s">
        <v>1516</v>
      </c>
      <c r="D859" t="s">
        <v>2683</v>
      </c>
      <c r="E859">
        <v>24</v>
      </c>
    </row>
    <row r="860" spans="1:5" x14ac:dyDescent="0.25">
      <c r="A860" t="s">
        <v>420</v>
      </c>
      <c r="B860" t="s">
        <v>2505</v>
      </c>
      <c r="C860" t="s">
        <v>1516</v>
      </c>
      <c r="D860" t="s">
        <v>2684</v>
      </c>
      <c r="E860">
        <v>22</v>
      </c>
    </row>
    <row r="861" spans="1:5" x14ac:dyDescent="0.25">
      <c r="A861" t="s">
        <v>420</v>
      </c>
      <c r="B861" t="s">
        <v>2505</v>
      </c>
      <c r="C861" t="s">
        <v>1516</v>
      </c>
      <c r="D861" t="s">
        <v>2685</v>
      </c>
      <c r="E861">
        <v>25</v>
      </c>
    </row>
    <row r="862" spans="1:5" x14ac:dyDescent="0.25">
      <c r="A862" t="s">
        <v>420</v>
      </c>
      <c r="B862" t="s">
        <v>2505</v>
      </c>
      <c r="C862" t="s">
        <v>1516</v>
      </c>
      <c r="D862" t="s">
        <v>2686</v>
      </c>
      <c r="E862">
        <v>30</v>
      </c>
    </row>
    <row r="863" spans="1:5" x14ac:dyDescent="0.25">
      <c r="A863" t="s">
        <v>420</v>
      </c>
      <c r="B863" t="s">
        <v>2505</v>
      </c>
      <c r="C863" t="s">
        <v>1516</v>
      </c>
      <c r="D863" t="s">
        <v>2687</v>
      </c>
      <c r="E863">
        <v>43</v>
      </c>
    </row>
    <row r="864" spans="1:5" x14ac:dyDescent="0.25">
      <c r="A864" t="s">
        <v>420</v>
      </c>
      <c r="B864" t="s">
        <v>2505</v>
      </c>
      <c r="C864" t="s">
        <v>1516</v>
      </c>
      <c r="D864" t="s">
        <v>2688</v>
      </c>
      <c r="E864">
        <v>56</v>
      </c>
    </row>
    <row r="865" spans="1:5" x14ac:dyDescent="0.25">
      <c r="A865" t="s">
        <v>420</v>
      </c>
      <c r="B865" t="s">
        <v>2505</v>
      </c>
      <c r="C865" t="s">
        <v>1516</v>
      </c>
      <c r="D865" t="s">
        <v>2689</v>
      </c>
      <c r="E865">
        <v>53</v>
      </c>
    </row>
    <row r="866" spans="1:5" x14ac:dyDescent="0.25">
      <c r="A866" t="s">
        <v>420</v>
      </c>
      <c r="B866" t="s">
        <v>2505</v>
      </c>
      <c r="C866" t="s">
        <v>1516</v>
      </c>
      <c r="D866" t="s">
        <v>2690</v>
      </c>
      <c r="E866">
        <v>42</v>
      </c>
    </row>
    <row r="867" spans="1:5" x14ac:dyDescent="0.25">
      <c r="A867" t="s">
        <v>420</v>
      </c>
      <c r="B867" t="s">
        <v>2505</v>
      </c>
      <c r="C867" t="s">
        <v>1597</v>
      </c>
      <c r="D867" t="s">
        <v>2677</v>
      </c>
      <c r="E867">
        <v>12</v>
      </c>
    </row>
    <row r="868" spans="1:5" x14ac:dyDescent="0.25">
      <c r="A868" t="s">
        <v>420</v>
      </c>
      <c r="B868" t="s">
        <v>2505</v>
      </c>
      <c r="C868" t="s">
        <v>1597</v>
      </c>
      <c r="D868" t="s">
        <v>2678</v>
      </c>
      <c r="E868">
        <v>19</v>
      </c>
    </row>
    <row r="869" spans="1:5" x14ac:dyDescent="0.25">
      <c r="A869" t="s">
        <v>420</v>
      </c>
      <c r="B869" t="s">
        <v>2505</v>
      </c>
      <c r="C869" t="s">
        <v>1597</v>
      </c>
      <c r="D869" t="s">
        <v>2679</v>
      </c>
      <c r="E869">
        <v>20</v>
      </c>
    </row>
    <row r="870" spans="1:5" x14ac:dyDescent="0.25">
      <c r="A870" t="s">
        <v>420</v>
      </c>
      <c r="B870" t="s">
        <v>2505</v>
      </c>
      <c r="C870" t="s">
        <v>1597</v>
      </c>
      <c r="D870" t="s">
        <v>2680</v>
      </c>
      <c r="E870">
        <v>22</v>
      </c>
    </row>
    <row r="871" spans="1:5" x14ac:dyDescent="0.25">
      <c r="A871" t="s">
        <v>420</v>
      </c>
      <c r="B871" t="s">
        <v>2505</v>
      </c>
      <c r="C871" t="s">
        <v>1597</v>
      </c>
      <c r="D871" t="s">
        <v>2681</v>
      </c>
      <c r="E871">
        <v>17</v>
      </c>
    </row>
    <row r="872" spans="1:5" x14ac:dyDescent="0.25">
      <c r="A872" t="s">
        <v>420</v>
      </c>
      <c r="B872" t="s">
        <v>2505</v>
      </c>
      <c r="C872" t="s">
        <v>1597</v>
      </c>
      <c r="D872" t="s">
        <v>2682</v>
      </c>
      <c r="E872">
        <v>16</v>
      </c>
    </row>
    <row r="873" spans="1:5" x14ac:dyDescent="0.25">
      <c r="A873" t="s">
        <v>420</v>
      </c>
      <c r="B873" t="s">
        <v>2505</v>
      </c>
      <c r="C873" t="s">
        <v>1597</v>
      </c>
      <c r="D873" t="s">
        <v>2683</v>
      </c>
      <c r="E873">
        <v>14</v>
      </c>
    </row>
    <row r="874" spans="1:5" x14ac:dyDescent="0.25">
      <c r="A874" t="s">
        <v>420</v>
      </c>
      <c r="B874" t="s">
        <v>2505</v>
      </c>
      <c r="C874" t="s">
        <v>1597</v>
      </c>
      <c r="D874" t="s">
        <v>2684</v>
      </c>
      <c r="E874">
        <v>23</v>
      </c>
    </row>
    <row r="875" spans="1:5" x14ac:dyDescent="0.25">
      <c r="A875" t="s">
        <v>420</v>
      </c>
      <c r="B875" t="s">
        <v>2505</v>
      </c>
      <c r="C875" t="s">
        <v>1597</v>
      </c>
      <c r="D875" t="s">
        <v>2685</v>
      </c>
      <c r="E875">
        <v>23</v>
      </c>
    </row>
    <row r="876" spans="1:5" x14ac:dyDescent="0.25">
      <c r="A876" t="s">
        <v>420</v>
      </c>
      <c r="B876" t="s">
        <v>2505</v>
      </c>
      <c r="C876" t="s">
        <v>1597</v>
      </c>
      <c r="D876" t="s">
        <v>2686</v>
      </c>
      <c r="E876">
        <v>20</v>
      </c>
    </row>
    <row r="877" spans="1:5" x14ac:dyDescent="0.25">
      <c r="A877" t="s">
        <v>420</v>
      </c>
      <c r="B877" t="s">
        <v>2505</v>
      </c>
      <c r="C877" t="s">
        <v>1597</v>
      </c>
      <c r="D877" t="s">
        <v>2687</v>
      </c>
      <c r="E877">
        <v>22</v>
      </c>
    </row>
    <row r="878" spans="1:5" x14ac:dyDescent="0.25">
      <c r="A878" t="s">
        <v>420</v>
      </c>
      <c r="B878" t="s">
        <v>2505</v>
      </c>
      <c r="C878" t="s">
        <v>1597</v>
      </c>
      <c r="D878" t="s">
        <v>2688</v>
      </c>
      <c r="E878">
        <v>27</v>
      </c>
    </row>
    <row r="879" spans="1:5" x14ac:dyDescent="0.25">
      <c r="A879" t="s">
        <v>420</v>
      </c>
      <c r="B879" t="s">
        <v>2505</v>
      </c>
      <c r="C879" t="s">
        <v>1597</v>
      </c>
      <c r="D879" t="s">
        <v>2689</v>
      </c>
      <c r="E879">
        <v>29</v>
      </c>
    </row>
    <row r="880" spans="1:5" x14ac:dyDescent="0.25">
      <c r="A880" t="s">
        <v>420</v>
      </c>
      <c r="B880" t="s">
        <v>2505</v>
      </c>
      <c r="C880" t="s">
        <v>1597</v>
      </c>
      <c r="D880" t="s">
        <v>2690</v>
      </c>
      <c r="E880">
        <v>29</v>
      </c>
    </row>
    <row r="881" spans="1:5" x14ac:dyDescent="0.25">
      <c r="A881" t="s">
        <v>420</v>
      </c>
      <c r="B881" t="s">
        <v>2505</v>
      </c>
      <c r="C881" t="s">
        <v>2482</v>
      </c>
      <c r="D881" t="s">
        <v>2677</v>
      </c>
      <c r="E881">
        <v>8</v>
      </c>
    </row>
    <row r="882" spans="1:5" x14ac:dyDescent="0.25">
      <c r="A882" t="s">
        <v>420</v>
      </c>
      <c r="B882" t="s">
        <v>2505</v>
      </c>
      <c r="C882" t="s">
        <v>2482</v>
      </c>
      <c r="D882" t="s">
        <v>2678</v>
      </c>
      <c r="E882">
        <v>17</v>
      </c>
    </row>
    <row r="883" spans="1:5" x14ac:dyDescent="0.25">
      <c r="A883" t="s">
        <v>420</v>
      </c>
      <c r="B883" t="s">
        <v>2505</v>
      </c>
      <c r="C883" t="s">
        <v>2482</v>
      </c>
      <c r="D883" t="s">
        <v>2679</v>
      </c>
      <c r="E883">
        <v>16</v>
      </c>
    </row>
    <row r="884" spans="1:5" x14ac:dyDescent="0.25">
      <c r="A884" t="s">
        <v>420</v>
      </c>
      <c r="B884" t="s">
        <v>2505</v>
      </c>
      <c r="C884" t="s">
        <v>2482</v>
      </c>
      <c r="D884" t="s">
        <v>2680</v>
      </c>
      <c r="E884">
        <v>16</v>
      </c>
    </row>
    <row r="885" spans="1:5" x14ac:dyDescent="0.25">
      <c r="A885" t="s">
        <v>420</v>
      </c>
      <c r="B885" t="s">
        <v>2505</v>
      </c>
      <c r="C885" t="s">
        <v>2482</v>
      </c>
      <c r="D885" t="s">
        <v>2681</v>
      </c>
      <c r="E885">
        <v>11</v>
      </c>
    </row>
    <row r="886" spans="1:5" x14ac:dyDescent="0.25">
      <c r="A886" t="s">
        <v>420</v>
      </c>
      <c r="B886" t="s">
        <v>2505</v>
      </c>
      <c r="C886" t="s">
        <v>2482</v>
      </c>
      <c r="D886" t="s">
        <v>2682</v>
      </c>
      <c r="E886">
        <v>17</v>
      </c>
    </row>
    <row r="887" spans="1:5" x14ac:dyDescent="0.25">
      <c r="A887" t="s">
        <v>420</v>
      </c>
      <c r="B887" t="s">
        <v>2505</v>
      </c>
      <c r="C887" t="s">
        <v>2482</v>
      </c>
      <c r="D887" t="s">
        <v>2683</v>
      </c>
      <c r="E887">
        <v>22</v>
      </c>
    </row>
    <row r="888" spans="1:5" x14ac:dyDescent="0.25">
      <c r="A888" t="s">
        <v>420</v>
      </c>
      <c r="B888" t="s">
        <v>2505</v>
      </c>
      <c r="C888" t="s">
        <v>2482</v>
      </c>
      <c r="D888" t="s">
        <v>2684</v>
      </c>
      <c r="E888">
        <v>11</v>
      </c>
    </row>
    <row r="889" spans="1:5" x14ac:dyDescent="0.25">
      <c r="A889" t="s">
        <v>420</v>
      </c>
      <c r="B889" t="s">
        <v>2505</v>
      </c>
      <c r="C889" t="s">
        <v>2482</v>
      </c>
      <c r="D889" t="s">
        <v>2685</v>
      </c>
      <c r="E889">
        <v>12</v>
      </c>
    </row>
    <row r="890" spans="1:5" x14ac:dyDescent="0.25">
      <c r="A890" t="s">
        <v>420</v>
      </c>
      <c r="B890" t="s">
        <v>2505</v>
      </c>
      <c r="C890" t="s">
        <v>2482</v>
      </c>
      <c r="D890" t="s">
        <v>2686</v>
      </c>
      <c r="E890">
        <v>15</v>
      </c>
    </row>
    <row r="891" spans="1:5" x14ac:dyDescent="0.25">
      <c r="A891" t="s">
        <v>420</v>
      </c>
      <c r="B891" t="s">
        <v>2505</v>
      </c>
      <c r="C891" t="s">
        <v>2482</v>
      </c>
      <c r="D891" t="s">
        <v>2687</v>
      </c>
      <c r="E891">
        <v>16</v>
      </c>
    </row>
    <row r="892" spans="1:5" x14ac:dyDescent="0.25">
      <c r="A892" t="s">
        <v>420</v>
      </c>
      <c r="B892" t="s">
        <v>2505</v>
      </c>
      <c r="C892" t="s">
        <v>2482</v>
      </c>
      <c r="D892" t="s">
        <v>2688</v>
      </c>
      <c r="E892">
        <v>26</v>
      </c>
    </row>
    <row r="893" spans="1:5" x14ac:dyDescent="0.25">
      <c r="A893" t="s">
        <v>420</v>
      </c>
      <c r="B893" t="s">
        <v>2505</v>
      </c>
      <c r="C893" t="s">
        <v>2482</v>
      </c>
      <c r="D893" t="s">
        <v>2689</v>
      </c>
      <c r="E893">
        <v>26</v>
      </c>
    </row>
    <row r="894" spans="1:5" x14ac:dyDescent="0.25">
      <c r="A894" t="s">
        <v>420</v>
      </c>
      <c r="B894" t="s">
        <v>2505</v>
      </c>
      <c r="C894" t="s">
        <v>2482</v>
      </c>
      <c r="D894" t="s">
        <v>2690</v>
      </c>
      <c r="E894">
        <v>19</v>
      </c>
    </row>
    <row r="895" spans="1:5" x14ac:dyDescent="0.25">
      <c r="A895" t="s">
        <v>420</v>
      </c>
      <c r="B895" t="s">
        <v>2505</v>
      </c>
      <c r="C895" t="s">
        <v>1689</v>
      </c>
      <c r="D895" t="s">
        <v>2677</v>
      </c>
      <c r="E895">
        <v>10</v>
      </c>
    </row>
    <row r="896" spans="1:5" x14ac:dyDescent="0.25">
      <c r="A896" t="s">
        <v>420</v>
      </c>
      <c r="B896" t="s">
        <v>2505</v>
      </c>
      <c r="C896" t="s">
        <v>1689</v>
      </c>
      <c r="D896" t="s">
        <v>2678</v>
      </c>
      <c r="E896">
        <v>19</v>
      </c>
    </row>
    <row r="897" spans="1:5" x14ac:dyDescent="0.25">
      <c r="A897" t="s">
        <v>420</v>
      </c>
      <c r="B897" t="s">
        <v>2505</v>
      </c>
      <c r="C897" t="s">
        <v>1689</v>
      </c>
      <c r="D897" t="s">
        <v>2679</v>
      </c>
      <c r="E897">
        <v>20</v>
      </c>
    </row>
    <row r="898" spans="1:5" x14ac:dyDescent="0.25">
      <c r="A898" t="s">
        <v>420</v>
      </c>
      <c r="B898" t="s">
        <v>2505</v>
      </c>
      <c r="C898" t="s">
        <v>1689</v>
      </c>
      <c r="D898" t="s">
        <v>2680</v>
      </c>
      <c r="E898">
        <v>13</v>
      </c>
    </row>
    <row r="899" spans="1:5" x14ac:dyDescent="0.25">
      <c r="A899" t="s">
        <v>420</v>
      </c>
      <c r="B899" t="s">
        <v>2505</v>
      </c>
      <c r="C899" t="s">
        <v>1689</v>
      </c>
      <c r="D899" t="s">
        <v>2681</v>
      </c>
      <c r="E899">
        <v>14</v>
      </c>
    </row>
    <row r="900" spans="1:5" x14ac:dyDescent="0.25">
      <c r="A900" t="s">
        <v>420</v>
      </c>
      <c r="B900" t="s">
        <v>2505</v>
      </c>
      <c r="C900" t="s">
        <v>1689</v>
      </c>
      <c r="D900" t="s">
        <v>2682</v>
      </c>
      <c r="E900">
        <v>24</v>
      </c>
    </row>
    <row r="901" spans="1:5" x14ac:dyDescent="0.25">
      <c r="A901" t="s">
        <v>420</v>
      </c>
      <c r="B901" t="s">
        <v>2505</v>
      </c>
      <c r="C901" t="s">
        <v>1689</v>
      </c>
      <c r="D901" t="s">
        <v>2683</v>
      </c>
      <c r="E901">
        <v>24</v>
      </c>
    </row>
    <row r="902" spans="1:5" x14ac:dyDescent="0.25">
      <c r="A902" t="s">
        <v>420</v>
      </c>
      <c r="B902" t="s">
        <v>2505</v>
      </c>
      <c r="C902" t="s">
        <v>1689</v>
      </c>
      <c r="D902" t="s">
        <v>2684</v>
      </c>
      <c r="E902">
        <v>24</v>
      </c>
    </row>
    <row r="903" spans="1:5" x14ac:dyDescent="0.25">
      <c r="A903" t="s">
        <v>420</v>
      </c>
      <c r="B903" t="s">
        <v>2505</v>
      </c>
      <c r="C903" t="s">
        <v>1689</v>
      </c>
      <c r="D903" t="s">
        <v>2685</v>
      </c>
      <c r="E903">
        <v>21</v>
      </c>
    </row>
    <row r="904" spans="1:5" x14ac:dyDescent="0.25">
      <c r="A904" t="s">
        <v>420</v>
      </c>
      <c r="B904" t="s">
        <v>2505</v>
      </c>
      <c r="C904" t="s">
        <v>1689</v>
      </c>
      <c r="D904" t="s">
        <v>2686</v>
      </c>
      <c r="E904">
        <v>25</v>
      </c>
    </row>
    <row r="905" spans="1:5" x14ac:dyDescent="0.25">
      <c r="A905" t="s">
        <v>420</v>
      </c>
      <c r="B905" t="s">
        <v>2505</v>
      </c>
      <c r="C905" t="s">
        <v>1689</v>
      </c>
      <c r="D905" t="s">
        <v>2687</v>
      </c>
      <c r="E905">
        <v>15</v>
      </c>
    </row>
    <row r="906" spans="1:5" x14ac:dyDescent="0.25">
      <c r="A906" t="s">
        <v>420</v>
      </c>
      <c r="B906" t="s">
        <v>2505</v>
      </c>
      <c r="C906" t="s">
        <v>1689</v>
      </c>
      <c r="D906" t="s">
        <v>2688</v>
      </c>
      <c r="E906">
        <v>11</v>
      </c>
    </row>
    <row r="907" spans="1:5" x14ac:dyDescent="0.25">
      <c r="A907" t="s">
        <v>420</v>
      </c>
      <c r="B907" t="s">
        <v>2505</v>
      </c>
      <c r="C907" t="s">
        <v>1689</v>
      </c>
      <c r="D907" t="s">
        <v>2689</v>
      </c>
      <c r="E907">
        <v>14</v>
      </c>
    </row>
    <row r="908" spans="1:5" x14ac:dyDescent="0.25">
      <c r="A908" t="s">
        <v>420</v>
      </c>
      <c r="B908" t="s">
        <v>2505</v>
      </c>
      <c r="C908" t="s">
        <v>1689</v>
      </c>
      <c r="D908" t="s">
        <v>2690</v>
      </c>
      <c r="E908">
        <v>29</v>
      </c>
    </row>
    <row r="909" spans="1:5" x14ac:dyDescent="0.25">
      <c r="A909" t="s">
        <v>420</v>
      </c>
      <c r="B909" t="s">
        <v>2505</v>
      </c>
      <c r="C909" t="s">
        <v>2508</v>
      </c>
      <c r="D909" t="s">
        <v>2677</v>
      </c>
      <c r="E909">
        <v>6</v>
      </c>
    </row>
    <row r="910" spans="1:5" x14ac:dyDescent="0.25">
      <c r="A910" t="s">
        <v>420</v>
      </c>
      <c r="B910" t="s">
        <v>2505</v>
      </c>
      <c r="C910" t="s">
        <v>2508</v>
      </c>
      <c r="D910" t="s">
        <v>2678</v>
      </c>
      <c r="E910">
        <v>6</v>
      </c>
    </row>
    <row r="911" spans="1:5" x14ac:dyDescent="0.25">
      <c r="A911" t="s">
        <v>420</v>
      </c>
      <c r="B911" t="s">
        <v>2505</v>
      </c>
      <c r="C911" t="s">
        <v>2508</v>
      </c>
      <c r="D911" t="s">
        <v>2679</v>
      </c>
      <c r="E911">
        <v>7</v>
      </c>
    </row>
    <row r="912" spans="1:5" x14ac:dyDescent="0.25">
      <c r="A912" t="s">
        <v>420</v>
      </c>
      <c r="B912" t="s">
        <v>2505</v>
      </c>
      <c r="C912" t="s">
        <v>2508</v>
      </c>
      <c r="D912" t="s">
        <v>2680</v>
      </c>
      <c r="E912">
        <v>11</v>
      </c>
    </row>
    <row r="913" spans="1:5" x14ac:dyDescent="0.25">
      <c r="A913" t="s">
        <v>420</v>
      </c>
      <c r="B913" t="s">
        <v>2505</v>
      </c>
      <c r="C913" t="s">
        <v>2508</v>
      </c>
      <c r="D913" t="s">
        <v>2681</v>
      </c>
      <c r="E913">
        <v>12</v>
      </c>
    </row>
    <row r="914" spans="1:5" x14ac:dyDescent="0.25">
      <c r="A914" t="s">
        <v>420</v>
      </c>
      <c r="B914" t="s">
        <v>2505</v>
      </c>
      <c r="C914" t="s">
        <v>2508</v>
      </c>
      <c r="D914" t="s">
        <v>2682</v>
      </c>
      <c r="E914">
        <v>10</v>
      </c>
    </row>
    <row r="915" spans="1:5" x14ac:dyDescent="0.25">
      <c r="A915" t="s">
        <v>420</v>
      </c>
      <c r="B915" t="s">
        <v>2505</v>
      </c>
      <c r="C915" t="s">
        <v>2508</v>
      </c>
      <c r="D915" t="s">
        <v>2683</v>
      </c>
      <c r="E915">
        <v>9</v>
      </c>
    </row>
    <row r="916" spans="1:5" x14ac:dyDescent="0.25">
      <c r="A916" t="s">
        <v>420</v>
      </c>
      <c r="B916" t="s">
        <v>2505</v>
      </c>
      <c r="C916" t="s">
        <v>2508</v>
      </c>
      <c r="D916" t="s">
        <v>2684</v>
      </c>
      <c r="E916">
        <v>7</v>
      </c>
    </row>
    <row r="917" spans="1:5" x14ac:dyDescent="0.25">
      <c r="A917" t="s">
        <v>420</v>
      </c>
      <c r="B917" t="s">
        <v>2505</v>
      </c>
      <c r="C917" t="s">
        <v>2508</v>
      </c>
      <c r="D917" t="s">
        <v>2685</v>
      </c>
      <c r="E917">
        <v>4</v>
      </c>
    </row>
    <row r="918" spans="1:5" x14ac:dyDescent="0.25">
      <c r="A918" t="s">
        <v>420</v>
      </c>
      <c r="B918" t="s">
        <v>2505</v>
      </c>
      <c r="C918" t="s">
        <v>2508</v>
      </c>
      <c r="D918" t="s">
        <v>2687</v>
      </c>
      <c r="E918">
        <v>5</v>
      </c>
    </row>
    <row r="919" spans="1:5" x14ac:dyDescent="0.25">
      <c r="A919" t="s">
        <v>420</v>
      </c>
      <c r="B919" t="s">
        <v>2505</v>
      </c>
      <c r="C919" t="s">
        <v>2508</v>
      </c>
      <c r="D919" t="s">
        <v>2688</v>
      </c>
      <c r="E919">
        <v>10</v>
      </c>
    </row>
    <row r="920" spans="1:5" x14ac:dyDescent="0.25">
      <c r="A920" t="s">
        <v>420</v>
      </c>
      <c r="B920" t="s">
        <v>2505</v>
      </c>
      <c r="C920" t="s">
        <v>2508</v>
      </c>
      <c r="D920" t="s">
        <v>2689</v>
      </c>
      <c r="E920">
        <v>12</v>
      </c>
    </row>
    <row r="921" spans="1:5" x14ac:dyDescent="0.25">
      <c r="A921" t="s">
        <v>420</v>
      </c>
      <c r="B921" t="s">
        <v>2505</v>
      </c>
      <c r="C921" t="s">
        <v>2508</v>
      </c>
      <c r="D921" t="s">
        <v>2690</v>
      </c>
      <c r="E921">
        <v>11</v>
      </c>
    </row>
    <row r="922" spans="1:5" x14ac:dyDescent="0.25">
      <c r="A922" t="s">
        <v>420</v>
      </c>
      <c r="B922" t="s">
        <v>2505</v>
      </c>
      <c r="C922" t="s">
        <v>2477</v>
      </c>
      <c r="D922" t="s">
        <v>2677</v>
      </c>
      <c r="E922">
        <v>12</v>
      </c>
    </row>
    <row r="923" spans="1:5" x14ac:dyDescent="0.25">
      <c r="A923" t="s">
        <v>420</v>
      </c>
      <c r="B923" t="s">
        <v>2505</v>
      </c>
      <c r="C923" t="s">
        <v>2477</v>
      </c>
      <c r="D923" t="s">
        <v>2678</v>
      </c>
      <c r="E923">
        <v>23</v>
      </c>
    </row>
    <row r="924" spans="1:5" x14ac:dyDescent="0.25">
      <c r="A924" t="s">
        <v>420</v>
      </c>
      <c r="B924" t="s">
        <v>2505</v>
      </c>
      <c r="C924" t="s">
        <v>2477</v>
      </c>
      <c r="D924" t="s">
        <v>2679</v>
      </c>
      <c r="E924">
        <v>20</v>
      </c>
    </row>
    <row r="925" spans="1:5" x14ac:dyDescent="0.25">
      <c r="A925" t="s">
        <v>420</v>
      </c>
      <c r="B925" t="s">
        <v>2505</v>
      </c>
      <c r="C925" t="s">
        <v>2477</v>
      </c>
      <c r="D925" t="s">
        <v>2680</v>
      </c>
      <c r="E925">
        <v>18</v>
      </c>
    </row>
    <row r="926" spans="1:5" x14ac:dyDescent="0.25">
      <c r="A926" t="s">
        <v>420</v>
      </c>
      <c r="B926" t="s">
        <v>2505</v>
      </c>
      <c r="C926" t="s">
        <v>2477</v>
      </c>
      <c r="D926" t="s">
        <v>2681</v>
      </c>
      <c r="E926">
        <v>16</v>
      </c>
    </row>
    <row r="927" spans="1:5" x14ac:dyDescent="0.25">
      <c r="A927" t="s">
        <v>420</v>
      </c>
      <c r="B927" t="s">
        <v>2505</v>
      </c>
      <c r="C927" t="s">
        <v>2477</v>
      </c>
      <c r="D927" t="s">
        <v>2682</v>
      </c>
      <c r="E927">
        <v>16</v>
      </c>
    </row>
    <row r="928" spans="1:5" x14ac:dyDescent="0.25">
      <c r="A928" t="s">
        <v>420</v>
      </c>
      <c r="B928" t="s">
        <v>2505</v>
      </c>
      <c r="C928" t="s">
        <v>2477</v>
      </c>
      <c r="D928" t="s">
        <v>2683</v>
      </c>
      <c r="E928">
        <v>12</v>
      </c>
    </row>
    <row r="929" spans="1:5" x14ac:dyDescent="0.25">
      <c r="A929" t="s">
        <v>420</v>
      </c>
      <c r="B929" t="s">
        <v>2505</v>
      </c>
      <c r="C929" t="s">
        <v>2477</v>
      </c>
      <c r="D929" t="s">
        <v>2684</v>
      </c>
      <c r="E929">
        <v>11</v>
      </c>
    </row>
    <row r="930" spans="1:5" x14ac:dyDescent="0.25">
      <c r="A930" t="s">
        <v>420</v>
      </c>
      <c r="B930" t="s">
        <v>2505</v>
      </c>
      <c r="C930" t="s">
        <v>2477</v>
      </c>
      <c r="D930" t="s">
        <v>2685</v>
      </c>
      <c r="E930">
        <v>14</v>
      </c>
    </row>
    <row r="931" spans="1:5" x14ac:dyDescent="0.25">
      <c r="A931" t="s">
        <v>420</v>
      </c>
      <c r="B931" t="s">
        <v>2505</v>
      </c>
      <c r="C931" t="s">
        <v>2477</v>
      </c>
      <c r="D931" t="s">
        <v>2686</v>
      </c>
      <c r="E931">
        <v>18</v>
      </c>
    </row>
    <row r="932" spans="1:5" x14ac:dyDescent="0.25">
      <c r="A932" t="s">
        <v>420</v>
      </c>
      <c r="B932" t="s">
        <v>2505</v>
      </c>
      <c r="C932" t="s">
        <v>2477</v>
      </c>
      <c r="D932" t="s">
        <v>2687</v>
      </c>
      <c r="E932">
        <v>16</v>
      </c>
    </row>
    <row r="933" spans="1:5" x14ac:dyDescent="0.25">
      <c r="A933" t="s">
        <v>420</v>
      </c>
      <c r="B933" t="s">
        <v>2505</v>
      </c>
      <c r="C933" t="s">
        <v>2477</v>
      </c>
      <c r="D933" t="s">
        <v>2688</v>
      </c>
      <c r="E933">
        <v>13</v>
      </c>
    </row>
    <row r="934" spans="1:5" x14ac:dyDescent="0.25">
      <c r="A934" t="s">
        <v>420</v>
      </c>
      <c r="B934" t="s">
        <v>2505</v>
      </c>
      <c r="C934" t="s">
        <v>2477</v>
      </c>
      <c r="D934" t="s">
        <v>2689</v>
      </c>
      <c r="E934">
        <v>16</v>
      </c>
    </row>
    <row r="935" spans="1:5" x14ac:dyDescent="0.25">
      <c r="A935" t="s">
        <v>420</v>
      </c>
      <c r="B935" t="s">
        <v>2505</v>
      </c>
      <c r="C935" t="s">
        <v>2477</v>
      </c>
      <c r="D935" t="s">
        <v>2690</v>
      </c>
      <c r="E935">
        <v>16</v>
      </c>
    </row>
    <row r="936" spans="1:5" x14ac:dyDescent="0.25">
      <c r="A936" t="s">
        <v>420</v>
      </c>
      <c r="B936" t="s">
        <v>2505</v>
      </c>
      <c r="C936" t="s">
        <v>2475</v>
      </c>
      <c r="D936" t="s">
        <v>2677</v>
      </c>
      <c r="E936">
        <v>11</v>
      </c>
    </row>
    <row r="937" spans="1:5" x14ac:dyDescent="0.25">
      <c r="A937" t="s">
        <v>420</v>
      </c>
      <c r="B937" t="s">
        <v>2505</v>
      </c>
      <c r="C937" t="s">
        <v>2475</v>
      </c>
      <c r="D937" t="s">
        <v>2678</v>
      </c>
      <c r="E937">
        <v>22</v>
      </c>
    </row>
    <row r="938" spans="1:5" x14ac:dyDescent="0.25">
      <c r="A938" t="s">
        <v>420</v>
      </c>
      <c r="B938" t="s">
        <v>2505</v>
      </c>
      <c r="C938" t="s">
        <v>2475</v>
      </c>
      <c r="D938" t="s">
        <v>2679</v>
      </c>
      <c r="E938">
        <v>20</v>
      </c>
    </row>
    <row r="939" spans="1:5" x14ac:dyDescent="0.25">
      <c r="A939" t="s">
        <v>420</v>
      </c>
      <c r="B939" t="s">
        <v>2505</v>
      </c>
      <c r="C939" t="s">
        <v>2475</v>
      </c>
      <c r="D939" t="s">
        <v>2680</v>
      </c>
      <c r="E939">
        <v>19</v>
      </c>
    </row>
    <row r="940" spans="1:5" x14ac:dyDescent="0.25">
      <c r="A940" t="s">
        <v>420</v>
      </c>
      <c r="B940" t="s">
        <v>2505</v>
      </c>
      <c r="C940" t="s">
        <v>2475</v>
      </c>
      <c r="D940" t="s">
        <v>2681</v>
      </c>
      <c r="E940">
        <v>21</v>
      </c>
    </row>
    <row r="941" spans="1:5" x14ac:dyDescent="0.25">
      <c r="A941" t="s">
        <v>420</v>
      </c>
      <c r="B941" t="s">
        <v>2505</v>
      </c>
      <c r="C941" t="s">
        <v>2475</v>
      </c>
      <c r="D941" t="s">
        <v>2682</v>
      </c>
      <c r="E941">
        <v>24</v>
      </c>
    </row>
    <row r="942" spans="1:5" x14ac:dyDescent="0.25">
      <c r="A942" t="s">
        <v>420</v>
      </c>
      <c r="B942" t="s">
        <v>2505</v>
      </c>
      <c r="C942" t="s">
        <v>2475</v>
      </c>
      <c r="D942" t="s">
        <v>2683</v>
      </c>
      <c r="E942">
        <v>18</v>
      </c>
    </row>
    <row r="943" spans="1:5" x14ac:dyDescent="0.25">
      <c r="A943" t="s">
        <v>420</v>
      </c>
      <c r="B943" t="s">
        <v>2505</v>
      </c>
      <c r="C943" t="s">
        <v>2475</v>
      </c>
      <c r="D943" t="s">
        <v>2684</v>
      </c>
      <c r="E943">
        <v>12</v>
      </c>
    </row>
    <row r="944" spans="1:5" x14ac:dyDescent="0.25">
      <c r="A944" t="s">
        <v>420</v>
      </c>
      <c r="B944" t="s">
        <v>2505</v>
      </c>
      <c r="C944" t="s">
        <v>2475</v>
      </c>
      <c r="D944" t="s">
        <v>2685</v>
      </c>
      <c r="E944">
        <v>15</v>
      </c>
    </row>
    <row r="945" spans="1:5" x14ac:dyDescent="0.25">
      <c r="A945" t="s">
        <v>420</v>
      </c>
      <c r="B945" t="s">
        <v>2505</v>
      </c>
      <c r="C945" t="s">
        <v>2475</v>
      </c>
      <c r="D945" t="s">
        <v>2686</v>
      </c>
      <c r="E945">
        <v>25</v>
      </c>
    </row>
    <row r="946" spans="1:5" x14ac:dyDescent="0.25">
      <c r="A946" t="s">
        <v>420</v>
      </c>
      <c r="B946" t="s">
        <v>2505</v>
      </c>
      <c r="C946" t="s">
        <v>2475</v>
      </c>
      <c r="D946" t="s">
        <v>2687</v>
      </c>
      <c r="E946">
        <v>32</v>
      </c>
    </row>
    <row r="947" spans="1:5" x14ac:dyDescent="0.25">
      <c r="A947" t="s">
        <v>420</v>
      </c>
      <c r="B947" t="s">
        <v>2505</v>
      </c>
      <c r="C947" t="s">
        <v>2475</v>
      </c>
      <c r="D947" t="s">
        <v>2688</v>
      </c>
      <c r="E947">
        <v>16</v>
      </c>
    </row>
    <row r="948" spans="1:5" x14ac:dyDescent="0.25">
      <c r="A948" t="s">
        <v>420</v>
      </c>
      <c r="B948" t="s">
        <v>2505</v>
      </c>
      <c r="C948" t="s">
        <v>2475</v>
      </c>
      <c r="D948" t="s">
        <v>2689</v>
      </c>
      <c r="E948">
        <v>22</v>
      </c>
    </row>
    <row r="949" spans="1:5" x14ac:dyDescent="0.25">
      <c r="A949" t="s">
        <v>420</v>
      </c>
      <c r="B949" t="s">
        <v>2505</v>
      </c>
      <c r="C949" t="s">
        <v>2475</v>
      </c>
      <c r="D949" t="s">
        <v>2690</v>
      </c>
      <c r="E949">
        <v>26</v>
      </c>
    </row>
    <row r="950" spans="1:5" x14ac:dyDescent="0.25">
      <c r="A950" t="s">
        <v>420</v>
      </c>
      <c r="B950" t="s">
        <v>2505</v>
      </c>
      <c r="C950" t="s">
        <v>2465</v>
      </c>
      <c r="D950" t="s">
        <v>2679</v>
      </c>
      <c r="E950">
        <v>2</v>
      </c>
    </row>
    <row r="951" spans="1:5" x14ac:dyDescent="0.25">
      <c r="A951" t="s">
        <v>420</v>
      </c>
      <c r="B951" t="s">
        <v>2505</v>
      </c>
      <c r="C951" t="s">
        <v>2465</v>
      </c>
      <c r="D951" t="s">
        <v>2680</v>
      </c>
      <c r="E951">
        <v>2</v>
      </c>
    </row>
    <row r="952" spans="1:5" x14ac:dyDescent="0.25">
      <c r="A952" t="s">
        <v>420</v>
      </c>
      <c r="B952" t="s">
        <v>2505</v>
      </c>
      <c r="C952" t="s">
        <v>2465</v>
      </c>
      <c r="D952" t="s">
        <v>2681</v>
      </c>
      <c r="E952">
        <v>2</v>
      </c>
    </row>
    <row r="953" spans="1:5" x14ac:dyDescent="0.25">
      <c r="A953" t="s">
        <v>420</v>
      </c>
      <c r="B953" t="s">
        <v>2505</v>
      </c>
      <c r="C953" t="s">
        <v>2465</v>
      </c>
      <c r="D953" t="s">
        <v>2682</v>
      </c>
      <c r="E953">
        <v>2</v>
      </c>
    </row>
    <row r="954" spans="1:5" x14ac:dyDescent="0.25">
      <c r="A954" t="s">
        <v>420</v>
      </c>
      <c r="B954" t="s">
        <v>2505</v>
      </c>
      <c r="C954" t="s">
        <v>2465</v>
      </c>
      <c r="D954" t="s">
        <v>2686</v>
      </c>
      <c r="E954">
        <v>2</v>
      </c>
    </row>
    <row r="955" spans="1:5" x14ac:dyDescent="0.25">
      <c r="A955" t="s">
        <v>420</v>
      </c>
      <c r="B955" t="s">
        <v>2505</v>
      </c>
      <c r="C955" t="s">
        <v>2465</v>
      </c>
      <c r="D955" t="s">
        <v>2687</v>
      </c>
      <c r="E955">
        <v>2</v>
      </c>
    </row>
    <row r="956" spans="1:5" x14ac:dyDescent="0.25">
      <c r="A956" t="s">
        <v>420</v>
      </c>
      <c r="B956" t="s">
        <v>2505</v>
      </c>
      <c r="C956" t="s">
        <v>2465</v>
      </c>
      <c r="D956" t="s">
        <v>2688</v>
      </c>
      <c r="E956">
        <v>2</v>
      </c>
    </row>
    <row r="957" spans="1:5" x14ac:dyDescent="0.25">
      <c r="A957" t="s">
        <v>420</v>
      </c>
      <c r="B957" t="s">
        <v>2505</v>
      </c>
      <c r="C957" t="s">
        <v>2390</v>
      </c>
      <c r="D957" t="s">
        <v>2677</v>
      </c>
      <c r="E957">
        <v>8</v>
      </c>
    </row>
    <row r="958" spans="1:5" x14ac:dyDescent="0.25">
      <c r="A958" t="s">
        <v>420</v>
      </c>
      <c r="B958" t="s">
        <v>2505</v>
      </c>
      <c r="C958" t="s">
        <v>2390</v>
      </c>
      <c r="D958" t="s">
        <v>2678</v>
      </c>
      <c r="E958">
        <v>16</v>
      </c>
    </row>
    <row r="959" spans="1:5" x14ac:dyDescent="0.25">
      <c r="A959" t="s">
        <v>420</v>
      </c>
      <c r="B959" t="s">
        <v>2505</v>
      </c>
      <c r="C959" t="s">
        <v>2390</v>
      </c>
      <c r="D959" t="s">
        <v>2679</v>
      </c>
      <c r="E959">
        <v>13</v>
      </c>
    </row>
    <row r="960" spans="1:5" x14ac:dyDescent="0.25">
      <c r="A960" t="s">
        <v>420</v>
      </c>
      <c r="B960" t="s">
        <v>2505</v>
      </c>
      <c r="C960" t="s">
        <v>2390</v>
      </c>
      <c r="D960" t="s">
        <v>2680</v>
      </c>
      <c r="E960">
        <v>13</v>
      </c>
    </row>
    <row r="961" spans="1:5" x14ac:dyDescent="0.25">
      <c r="A961" t="s">
        <v>420</v>
      </c>
      <c r="B961" t="s">
        <v>2505</v>
      </c>
      <c r="C961" t="s">
        <v>2390</v>
      </c>
      <c r="D961" t="s">
        <v>2681</v>
      </c>
      <c r="E961">
        <v>20</v>
      </c>
    </row>
    <row r="962" spans="1:5" x14ac:dyDescent="0.25">
      <c r="A962" t="s">
        <v>420</v>
      </c>
      <c r="B962" t="s">
        <v>2505</v>
      </c>
      <c r="C962" t="s">
        <v>2390</v>
      </c>
      <c r="D962" t="s">
        <v>2682</v>
      </c>
      <c r="E962">
        <v>14</v>
      </c>
    </row>
    <row r="963" spans="1:5" x14ac:dyDescent="0.25">
      <c r="A963" t="s">
        <v>420</v>
      </c>
      <c r="B963" t="s">
        <v>2505</v>
      </c>
      <c r="C963" t="s">
        <v>2390</v>
      </c>
      <c r="D963" t="s">
        <v>2683</v>
      </c>
      <c r="E963">
        <v>22</v>
      </c>
    </row>
    <row r="964" spans="1:5" x14ac:dyDescent="0.25">
      <c r="A964" t="s">
        <v>420</v>
      </c>
      <c r="B964" t="s">
        <v>2505</v>
      </c>
      <c r="C964" t="s">
        <v>2390</v>
      </c>
      <c r="D964" t="s">
        <v>2684</v>
      </c>
      <c r="E964">
        <v>25</v>
      </c>
    </row>
    <row r="965" spans="1:5" x14ac:dyDescent="0.25">
      <c r="A965" t="s">
        <v>420</v>
      </c>
      <c r="B965" t="s">
        <v>2505</v>
      </c>
      <c r="C965" t="s">
        <v>2390</v>
      </c>
      <c r="D965" t="s">
        <v>2685</v>
      </c>
      <c r="E965">
        <v>25</v>
      </c>
    </row>
    <row r="966" spans="1:5" x14ac:dyDescent="0.25">
      <c r="A966" t="s">
        <v>420</v>
      </c>
      <c r="B966" t="s">
        <v>2505</v>
      </c>
      <c r="C966" t="s">
        <v>2390</v>
      </c>
      <c r="D966" t="s">
        <v>2686</v>
      </c>
      <c r="E966">
        <v>23</v>
      </c>
    </row>
    <row r="967" spans="1:5" x14ac:dyDescent="0.25">
      <c r="A967" t="s">
        <v>420</v>
      </c>
      <c r="B967" t="s">
        <v>2505</v>
      </c>
      <c r="C967" t="s">
        <v>2390</v>
      </c>
      <c r="D967" t="s">
        <v>2687</v>
      </c>
      <c r="E967">
        <v>33</v>
      </c>
    </row>
    <row r="968" spans="1:5" x14ac:dyDescent="0.25">
      <c r="A968" t="s">
        <v>420</v>
      </c>
      <c r="B968" t="s">
        <v>2505</v>
      </c>
      <c r="C968" t="s">
        <v>2390</v>
      </c>
      <c r="D968" t="s">
        <v>2688</v>
      </c>
      <c r="E968">
        <v>39</v>
      </c>
    </row>
    <row r="969" spans="1:5" x14ac:dyDescent="0.25">
      <c r="A969" t="s">
        <v>420</v>
      </c>
      <c r="B969" t="s">
        <v>2505</v>
      </c>
      <c r="C969" t="s">
        <v>2390</v>
      </c>
      <c r="D969" t="s">
        <v>2689</v>
      </c>
      <c r="E969">
        <v>41</v>
      </c>
    </row>
    <row r="970" spans="1:5" x14ac:dyDescent="0.25">
      <c r="A970" t="s">
        <v>420</v>
      </c>
      <c r="B970" t="s">
        <v>2505</v>
      </c>
      <c r="C970" t="s">
        <v>2390</v>
      </c>
      <c r="D970" t="s">
        <v>2690</v>
      </c>
      <c r="E970">
        <v>19</v>
      </c>
    </row>
    <row r="971" spans="1:5" x14ac:dyDescent="0.25">
      <c r="A971" t="s">
        <v>420</v>
      </c>
      <c r="B971" t="s">
        <v>2505</v>
      </c>
      <c r="C971" t="s">
        <v>2506</v>
      </c>
      <c r="D971" t="s">
        <v>2677</v>
      </c>
      <c r="E971">
        <v>5</v>
      </c>
    </row>
    <row r="972" spans="1:5" x14ac:dyDescent="0.25">
      <c r="A972" t="s">
        <v>420</v>
      </c>
      <c r="B972" t="s">
        <v>2505</v>
      </c>
      <c r="C972" t="s">
        <v>2506</v>
      </c>
      <c r="D972" t="s">
        <v>2678</v>
      </c>
      <c r="E972">
        <v>3</v>
      </c>
    </row>
    <row r="973" spans="1:5" x14ac:dyDescent="0.25">
      <c r="A973" t="s">
        <v>420</v>
      </c>
      <c r="B973" t="s">
        <v>2698</v>
      </c>
      <c r="C973" t="s">
        <v>2495</v>
      </c>
      <c r="D973" t="s">
        <v>2677</v>
      </c>
      <c r="E973">
        <v>1</v>
      </c>
    </row>
    <row r="974" spans="1:5" x14ac:dyDescent="0.25">
      <c r="A974" t="s">
        <v>420</v>
      </c>
      <c r="B974" t="s">
        <v>2698</v>
      </c>
      <c r="C974" t="s">
        <v>2495</v>
      </c>
      <c r="D974" t="s">
        <v>2678</v>
      </c>
      <c r="E974">
        <v>2</v>
      </c>
    </row>
    <row r="975" spans="1:5" x14ac:dyDescent="0.25">
      <c r="A975" t="s">
        <v>420</v>
      </c>
      <c r="B975" t="s">
        <v>2698</v>
      </c>
      <c r="C975" t="s">
        <v>2495</v>
      </c>
      <c r="D975" t="s">
        <v>2679</v>
      </c>
      <c r="E975">
        <v>1</v>
      </c>
    </row>
    <row r="976" spans="1:5" x14ac:dyDescent="0.25">
      <c r="A976" t="s">
        <v>420</v>
      </c>
      <c r="B976" t="s">
        <v>2698</v>
      </c>
      <c r="C976" t="s">
        <v>2699</v>
      </c>
      <c r="D976" t="s">
        <v>2677</v>
      </c>
      <c r="E976">
        <v>1</v>
      </c>
    </row>
    <row r="977" spans="1:5" x14ac:dyDescent="0.25">
      <c r="A977" t="s">
        <v>420</v>
      </c>
      <c r="B977" t="s">
        <v>2698</v>
      </c>
      <c r="C977" t="s">
        <v>2469</v>
      </c>
      <c r="D977" t="s">
        <v>2679</v>
      </c>
      <c r="E977">
        <v>1</v>
      </c>
    </row>
    <row r="978" spans="1:5" x14ac:dyDescent="0.25">
      <c r="A978" t="s">
        <v>420</v>
      </c>
      <c r="B978" t="s">
        <v>2698</v>
      </c>
      <c r="C978" t="s">
        <v>2469</v>
      </c>
      <c r="D978" t="s">
        <v>2680</v>
      </c>
      <c r="E978">
        <v>1</v>
      </c>
    </row>
    <row r="979" spans="1:5" x14ac:dyDescent="0.25">
      <c r="A979" t="s">
        <v>420</v>
      </c>
      <c r="B979" t="s">
        <v>2698</v>
      </c>
      <c r="C979" t="s">
        <v>2469</v>
      </c>
      <c r="D979" t="s">
        <v>2682</v>
      </c>
      <c r="E979">
        <v>2</v>
      </c>
    </row>
    <row r="980" spans="1:5" x14ac:dyDescent="0.25">
      <c r="A980" t="s">
        <v>420</v>
      </c>
      <c r="B980" t="s">
        <v>2698</v>
      </c>
      <c r="C980" t="s">
        <v>2700</v>
      </c>
      <c r="D980" t="s">
        <v>2677</v>
      </c>
      <c r="E980">
        <v>1</v>
      </c>
    </row>
    <row r="981" spans="1:5" x14ac:dyDescent="0.25">
      <c r="A981" t="s">
        <v>420</v>
      </c>
      <c r="B981" t="s">
        <v>2698</v>
      </c>
      <c r="C981" t="s">
        <v>2700</v>
      </c>
      <c r="D981" t="s">
        <v>2679</v>
      </c>
      <c r="E981">
        <v>3</v>
      </c>
    </row>
    <row r="982" spans="1:5" x14ac:dyDescent="0.25">
      <c r="A982" t="s">
        <v>420</v>
      </c>
      <c r="B982" t="s">
        <v>2698</v>
      </c>
      <c r="C982" t="s">
        <v>2700</v>
      </c>
      <c r="D982" t="s">
        <v>2681</v>
      </c>
      <c r="E982">
        <v>1</v>
      </c>
    </row>
    <row r="983" spans="1:5" x14ac:dyDescent="0.25">
      <c r="A983" t="s">
        <v>420</v>
      </c>
      <c r="B983" t="s">
        <v>2698</v>
      </c>
      <c r="C983" t="s">
        <v>2701</v>
      </c>
      <c r="D983" t="s">
        <v>2677</v>
      </c>
      <c r="E983">
        <v>8</v>
      </c>
    </row>
    <row r="984" spans="1:5" x14ac:dyDescent="0.25">
      <c r="A984" t="s">
        <v>420</v>
      </c>
      <c r="B984" t="s">
        <v>2698</v>
      </c>
      <c r="C984" t="s">
        <v>2701</v>
      </c>
      <c r="D984" t="s">
        <v>2678</v>
      </c>
      <c r="E984">
        <v>28</v>
      </c>
    </row>
    <row r="985" spans="1:5" x14ac:dyDescent="0.25">
      <c r="A985" t="s">
        <v>420</v>
      </c>
      <c r="B985" t="s">
        <v>2698</v>
      </c>
      <c r="C985" t="s">
        <v>2701</v>
      </c>
      <c r="D985" t="s">
        <v>2679</v>
      </c>
      <c r="E985">
        <v>17</v>
      </c>
    </row>
    <row r="986" spans="1:5" x14ac:dyDescent="0.25">
      <c r="A986" t="s">
        <v>420</v>
      </c>
      <c r="B986" t="s">
        <v>2698</v>
      </c>
      <c r="C986" t="s">
        <v>2701</v>
      </c>
      <c r="D986" t="s">
        <v>2680</v>
      </c>
      <c r="E986">
        <v>5</v>
      </c>
    </row>
    <row r="987" spans="1:5" x14ac:dyDescent="0.25">
      <c r="A987" t="s">
        <v>420</v>
      </c>
      <c r="B987" t="s">
        <v>2698</v>
      </c>
      <c r="C987" t="s">
        <v>2468</v>
      </c>
      <c r="D987" t="s">
        <v>2677</v>
      </c>
      <c r="E987">
        <v>58</v>
      </c>
    </row>
    <row r="988" spans="1:5" x14ac:dyDescent="0.25">
      <c r="A988" t="s">
        <v>420</v>
      </c>
      <c r="B988" t="s">
        <v>2698</v>
      </c>
      <c r="C988" t="s">
        <v>2468</v>
      </c>
      <c r="D988" t="s">
        <v>2678</v>
      </c>
      <c r="E988">
        <v>89</v>
      </c>
    </row>
    <row r="989" spans="1:5" x14ac:dyDescent="0.25">
      <c r="A989" t="s">
        <v>420</v>
      </c>
      <c r="B989" t="s">
        <v>2698</v>
      </c>
      <c r="C989" t="s">
        <v>2468</v>
      </c>
      <c r="D989" t="s">
        <v>2679</v>
      </c>
      <c r="E989">
        <v>59</v>
      </c>
    </row>
    <row r="990" spans="1:5" x14ac:dyDescent="0.25">
      <c r="A990" t="s">
        <v>420</v>
      </c>
      <c r="B990" t="s">
        <v>2698</v>
      </c>
      <c r="C990" t="s">
        <v>2468</v>
      </c>
      <c r="D990" t="s">
        <v>2680</v>
      </c>
      <c r="E990">
        <v>20</v>
      </c>
    </row>
    <row r="991" spans="1:5" x14ac:dyDescent="0.25">
      <c r="A991" t="s">
        <v>420</v>
      </c>
      <c r="B991" t="s">
        <v>2698</v>
      </c>
      <c r="C991" t="s">
        <v>2468</v>
      </c>
      <c r="D991" t="s">
        <v>2681</v>
      </c>
      <c r="E991">
        <v>18</v>
      </c>
    </row>
    <row r="992" spans="1:5" x14ac:dyDescent="0.25">
      <c r="A992" t="s">
        <v>420</v>
      </c>
      <c r="B992" t="s">
        <v>2698</v>
      </c>
      <c r="C992" t="s">
        <v>2468</v>
      </c>
      <c r="D992" t="s">
        <v>2682</v>
      </c>
      <c r="E992">
        <v>2</v>
      </c>
    </row>
    <row r="993" spans="1:5" x14ac:dyDescent="0.25">
      <c r="A993" t="s">
        <v>420</v>
      </c>
      <c r="B993" t="s">
        <v>2698</v>
      </c>
      <c r="C993" t="s">
        <v>2468</v>
      </c>
      <c r="D993" t="s">
        <v>2683</v>
      </c>
      <c r="E993">
        <v>2</v>
      </c>
    </row>
    <row r="994" spans="1:5" x14ac:dyDescent="0.25">
      <c r="A994" t="s">
        <v>420</v>
      </c>
      <c r="B994" t="s">
        <v>2698</v>
      </c>
      <c r="C994" t="s">
        <v>2468</v>
      </c>
      <c r="D994" t="s">
        <v>2684</v>
      </c>
      <c r="E994">
        <v>5</v>
      </c>
    </row>
    <row r="995" spans="1:5" x14ac:dyDescent="0.25">
      <c r="A995" t="s">
        <v>420</v>
      </c>
      <c r="B995" t="s">
        <v>2698</v>
      </c>
      <c r="C995" t="s">
        <v>2468</v>
      </c>
      <c r="D995" t="s">
        <v>2685</v>
      </c>
      <c r="E995">
        <v>3</v>
      </c>
    </row>
    <row r="996" spans="1:5" x14ac:dyDescent="0.25">
      <c r="A996" t="s">
        <v>420</v>
      </c>
      <c r="B996" t="s">
        <v>2698</v>
      </c>
      <c r="C996" t="s">
        <v>2468</v>
      </c>
      <c r="D996" t="s">
        <v>2686</v>
      </c>
      <c r="E996">
        <v>3</v>
      </c>
    </row>
    <row r="997" spans="1:5" x14ac:dyDescent="0.25">
      <c r="A997" t="s">
        <v>420</v>
      </c>
      <c r="B997" t="s">
        <v>2698</v>
      </c>
      <c r="C997" t="s">
        <v>2468</v>
      </c>
      <c r="D997" t="s">
        <v>2687</v>
      </c>
      <c r="E997">
        <v>9</v>
      </c>
    </row>
    <row r="998" spans="1:5" x14ac:dyDescent="0.25">
      <c r="A998" t="s">
        <v>420</v>
      </c>
      <c r="B998" t="s">
        <v>2698</v>
      </c>
      <c r="C998" t="s">
        <v>2468</v>
      </c>
      <c r="D998" t="s">
        <v>2688</v>
      </c>
      <c r="E998">
        <v>4</v>
      </c>
    </row>
    <row r="999" spans="1:5" x14ac:dyDescent="0.25">
      <c r="A999" t="s">
        <v>420</v>
      </c>
      <c r="B999" t="s">
        <v>2698</v>
      </c>
      <c r="C999" t="s">
        <v>2468</v>
      </c>
      <c r="D999" t="s">
        <v>2689</v>
      </c>
      <c r="E999">
        <v>1</v>
      </c>
    </row>
    <row r="1000" spans="1:5" x14ac:dyDescent="0.25">
      <c r="A1000" t="s">
        <v>420</v>
      </c>
      <c r="B1000" t="s">
        <v>2698</v>
      </c>
      <c r="C1000" t="s">
        <v>2468</v>
      </c>
      <c r="D1000" t="s">
        <v>2690</v>
      </c>
      <c r="E1000">
        <v>5</v>
      </c>
    </row>
    <row r="1001" spans="1:5" x14ac:dyDescent="0.25">
      <c r="A1001" t="s">
        <v>420</v>
      </c>
      <c r="B1001" t="s">
        <v>2698</v>
      </c>
      <c r="C1001" t="s">
        <v>2467</v>
      </c>
      <c r="D1001" t="s">
        <v>2681</v>
      </c>
      <c r="E1001">
        <v>14</v>
      </c>
    </row>
    <row r="1002" spans="1:5" x14ac:dyDescent="0.25">
      <c r="A1002" t="s">
        <v>420</v>
      </c>
      <c r="B1002" t="s">
        <v>2698</v>
      </c>
      <c r="C1002" t="s">
        <v>2467</v>
      </c>
      <c r="D1002" t="s">
        <v>2682</v>
      </c>
      <c r="E1002">
        <v>11</v>
      </c>
    </row>
    <row r="1003" spans="1:5" x14ac:dyDescent="0.25">
      <c r="A1003" t="s">
        <v>420</v>
      </c>
      <c r="B1003" t="s">
        <v>2698</v>
      </c>
      <c r="C1003" t="s">
        <v>2467</v>
      </c>
      <c r="D1003" t="s">
        <v>2683</v>
      </c>
      <c r="E1003">
        <v>11</v>
      </c>
    </row>
    <row r="1004" spans="1:5" x14ac:dyDescent="0.25">
      <c r="A1004" t="s">
        <v>420</v>
      </c>
      <c r="B1004" t="s">
        <v>2698</v>
      </c>
      <c r="C1004" t="s">
        <v>2467</v>
      </c>
      <c r="D1004" t="s">
        <v>2684</v>
      </c>
      <c r="E1004">
        <v>6</v>
      </c>
    </row>
    <row r="1005" spans="1:5" x14ac:dyDescent="0.25">
      <c r="A1005" t="s">
        <v>420</v>
      </c>
      <c r="B1005" t="s">
        <v>2698</v>
      </c>
      <c r="C1005" t="s">
        <v>2467</v>
      </c>
      <c r="D1005" t="s">
        <v>2685</v>
      </c>
      <c r="E1005">
        <v>4</v>
      </c>
    </row>
    <row r="1006" spans="1:5" x14ac:dyDescent="0.25">
      <c r="A1006" t="s">
        <v>420</v>
      </c>
      <c r="B1006" t="s">
        <v>2698</v>
      </c>
      <c r="C1006" t="s">
        <v>2467</v>
      </c>
      <c r="D1006" t="s">
        <v>2686</v>
      </c>
      <c r="E1006">
        <v>7</v>
      </c>
    </row>
    <row r="1007" spans="1:5" x14ac:dyDescent="0.25">
      <c r="A1007" t="s">
        <v>420</v>
      </c>
      <c r="B1007" t="s">
        <v>2698</v>
      </c>
      <c r="C1007" t="s">
        <v>2467</v>
      </c>
      <c r="D1007" t="s">
        <v>2687</v>
      </c>
      <c r="E1007">
        <v>2</v>
      </c>
    </row>
    <row r="1008" spans="1:5" x14ac:dyDescent="0.25">
      <c r="A1008" t="s">
        <v>420</v>
      </c>
      <c r="B1008" t="s">
        <v>2698</v>
      </c>
      <c r="C1008" t="s">
        <v>2467</v>
      </c>
      <c r="D1008" t="s">
        <v>2688</v>
      </c>
      <c r="E1008">
        <v>1</v>
      </c>
    </row>
    <row r="1009" spans="1:5" x14ac:dyDescent="0.25">
      <c r="A1009" t="s">
        <v>420</v>
      </c>
      <c r="B1009" t="s">
        <v>2698</v>
      </c>
      <c r="C1009" t="s">
        <v>2702</v>
      </c>
      <c r="D1009" t="s">
        <v>2677</v>
      </c>
      <c r="E1009">
        <v>398</v>
      </c>
    </row>
    <row r="1010" spans="1:5" x14ac:dyDescent="0.25">
      <c r="A1010" t="s">
        <v>420</v>
      </c>
      <c r="B1010" t="s">
        <v>2698</v>
      </c>
      <c r="C1010" t="s">
        <v>2702</v>
      </c>
      <c r="D1010" t="s">
        <v>2678</v>
      </c>
      <c r="E1010">
        <v>693</v>
      </c>
    </row>
    <row r="1011" spans="1:5" x14ac:dyDescent="0.25">
      <c r="A1011" t="s">
        <v>420</v>
      </c>
      <c r="B1011" t="s">
        <v>2698</v>
      </c>
      <c r="C1011" t="s">
        <v>2702</v>
      </c>
      <c r="D1011" t="s">
        <v>2679</v>
      </c>
      <c r="E1011">
        <v>580</v>
      </c>
    </row>
    <row r="1012" spans="1:5" x14ac:dyDescent="0.25">
      <c r="A1012" t="s">
        <v>420</v>
      </c>
      <c r="B1012" t="s">
        <v>2698</v>
      </c>
      <c r="C1012" t="s">
        <v>2702</v>
      </c>
      <c r="D1012" t="s">
        <v>2680</v>
      </c>
      <c r="E1012">
        <v>448</v>
      </c>
    </row>
    <row r="1013" spans="1:5" x14ac:dyDescent="0.25">
      <c r="A1013" t="s">
        <v>420</v>
      </c>
      <c r="B1013" t="s">
        <v>2698</v>
      </c>
      <c r="C1013" t="s">
        <v>2702</v>
      </c>
      <c r="D1013" t="s">
        <v>2681</v>
      </c>
      <c r="E1013">
        <v>497</v>
      </c>
    </row>
    <row r="1014" spans="1:5" x14ac:dyDescent="0.25">
      <c r="A1014" t="s">
        <v>420</v>
      </c>
      <c r="B1014" t="s">
        <v>2698</v>
      </c>
      <c r="C1014" t="s">
        <v>2702</v>
      </c>
      <c r="D1014" t="s">
        <v>2682</v>
      </c>
      <c r="E1014">
        <v>252</v>
      </c>
    </row>
    <row r="1015" spans="1:5" x14ac:dyDescent="0.25">
      <c r="A1015" t="s">
        <v>420</v>
      </c>
      <c r="B1015" t="s">
        <v>2698</v>
      </c>
      <c r="C1015" t="s">
        <v>2703</v>
      </c>
      <c r="D1015" t="s">
        <v>2677</v>
      </c>
      <c r="E1015">
        <v>12</v>
      </c>
    </row>
    <row r="1016" spans="1:5" x14ac:dyDescent="0.25">
      <c r="A1016" t="s">
        <v>420</v>
      </c>
      <c r="B1016" t="s">
        <v>2698</v>
      </c>
      <c r="C1016" t="s">
        <v>2703</v>
      </c>
      <c r="D1016" t="s">
        <v>2678</v>
      </c>
      <c r="E1016">
        <v>21</v>
      </c>
    </row>
    <row r="1017" spans="1:5" x14ac:dyDescent="0.25">
      <c r="A1017" t="s">
        <v>420</v>
      </c>
      <c r="B1017" t="s">
        <v>2698</v>
      </c>
      <c r="C1017" t="s">
        <v>2703</v>
      </c>
      <c r="D1017" t="s">
        <v>2679</v>
      </c>
      <c r="E1017">
        <v>3</v>
      </c>
    </row>
    <row r="1018" spans="1:5" x14ac:dyDescent="0.25">
      <c r="A1018" t="s">
        <v>420</v>
      </c>
      <c r="B1018" t="s">
        <v>2698</v>
      </c>
      <c r="C1018" t="s">
        <v>2704</v>
      </c>
      <c r="D1018" t="s">
        <v>2678</v>
      </c>
      <c r="E1018">
        <v>2</v>
      </c>
    </row>
    <row r="1019" spans="1:5" x14ac:dyDescent="0.25">
      <c r="A1019" t="s">
        <v>420</v>
      </c>
      <c r="B1019" t="s">
        <v>2698</v>
      </c>
      <c r="C1019" t="s">
        <v>2704</v>
      </c>
      <c r="D1019" t="s">
        <v>2679</v>
      </c>
      <c r="E1019">
        <v>1</v>
      </c>
    </row>
    <row r="1020" spans="1:5" x14ac:dyDescent="0.25">
      <c r="A1020" t="s">
        <v>420</v>
      </c>
      <c r="B1020" t="s">
        <v>2698</v>
      </c>
      <c r="C1020" t="s">
        <v>2705</v>
      </c>
      <c r="D1020" t="s">
        <v>2677</v>
      </c>
      <c r="E1020">
        <v>1</v>
      </c>
    </row>
    <row r="1021" spans="1:5" x14ac:dyDescent="0.25">
      <c r="A1021" t="s">
        <v>420</v>
      </c>
      <c r="B1021" t="s">
        <v>2698</v>
      </c>
      <c r="C1021" t="s">
        <v>2706</v>
      </c>
      <c r="D1021" t="s">
        <v>2677</v>
      </c>
      <c r="E1021">
        <v>2</v>
      </c>
    </row>
    <row r="1022" spans="1:5" x14ac:dyDescent="0.25">
      <c r="A1022" t="s">
        <v>420</v>
      </c>
      <c r="B1022" t="s">
        <v>2698</v>
      </c>
      <c r="C1022" t="s">
        <v>2706</v>
      </c>
      <c r="D1022" t="s">
        <v>2678</v>
      </c>
      <c r="E1022">
        <v>4</v>
      </c>
    </row>
    <row r="1023" spans="1:5" x14ac:dyDescent="0.25">
      <c r="A1023" t="s">
        <v>420</v>
      </c>
      <c r="B1023" t="s">
        <v>2698</v>
      </c>
      <c r="C1023" t="s">
        <v>2706</v>
      </c>
      <c r="D1023" t="s">
        <v>2679</v>
      </c>
      <c r="E1023">
        <v>2</v>
      </c>
    </row>
    <row r="1024" spans="1:5" x14ac:dyDescent="0.25">
      <c r="A1024" t="s">
        <v>420</v>
      </c>
      <c r="B1024" t="s">
        <v>2698</v>
      </c>
      <c r="C1024" t="s">
        <v>2707</v>
      </c>
      <c r="D1024" t="s">
        <v>2677</v>
      </c>
      <c r="E1024">
        <v>4</v>
      </c>
    </row>
    <row r="1025" spans="1:5" x14ac:dyDescent="0.25">
      <c r="A1025" t="s">
        <v>420</v>
      </c>
      <c r="B1025" t="s">
        <v>2698</v>
      </c>
      <c r="C1025" t="s">
        <v>2707</v>
      </c>
      <c r="D1025" t="s">
        <v>2678</v>
      </c>
      <c r="E1025">
        <v>7</v>
      </c>
    </row>
    <row r="1026" spans="1:5" x14ac:dyDescent="0.25">
      <c r="A1026" t="s">
        <v>420</v>
      </c>
      <c r="B1026" t="s">
        <v>2698</v>
      </c>
      <c r="C1026" t="s">
        <v>1882</v>
      </c>
      <c r="D1026" t="s">
        <v>2677</v>
      </c>
      <c r="E1026">
        <v>2</v>
      </c>
    </row>
    <row r="1027" spans="1:5" x14ac:dyDescent="0.25">
      <c r="A1027" t="s">
        <v>420</v>
      </c>
      <c r="B1027" t="s">
        <v>2698</v>
      </c>
      <c r="C1027" t="s">
        <v>1882</v>
      </c>
      <c r="D1027" t="s">
        <v>2678</v>
      </c>
      <c r="E1027">
        <v>1</v>
      </c>
    </row>
    <row r="1028" spans="1:5" x14ac:dyDescent="0.25">
      <c r="A1028" t="s">
        <v>420</v>
      </c>
      <c r="B1028" t="s">
        <v>2698</v>
      </c>
      <c r="C1028" t="s">
        <v>1882</v>
      </c>
      <c r="D1028" t="s">
        <v>2679</v>
      </c>
      <c r="E1028">
        <v>1</v>
      </c>
    </row>
    <row r="1029" spans="1:5" x14ac:dyDescent="0.25">
      <c r="A1029" t="s">
        <v>420</v>
      </c>
      <c r="B1029" t="s">
        <v>2698</v>
      </c>
      <c r="C1029" t="s">
        <v>2708</v>
      </c>
      <c r="D1029" t="s">
        <v>2677</v>
      </c>
      <c r="E1029">
        <v>42</v>
      </c>
    </row>
    <row r="1030" spans="1:5" x14ac:dyDescent="0.25">
      <c r="A1030" t="s">
        <v>420</v>
      </c>
      <c r="B1030" t="s">
        <v>2698</v>
      </c>
      <c r="C1030" t="s">
        <v>2708</v>
      </c>
      <c r="D1030" t="s">
        <v>2678</v>
      </c>
      <c r="E1030">
        <v>19</v>
      </c>
    </row>
    <row r="1031" spans="1:5" x14ac:dyDescent="0.25">
      <c r="A1031" t="s">
        <v>420</v>
      </c>
      <c r="B1031" t="s">
        <v>2698</v>
      </c>
      <c r="C1031" t="s">
        <v>2709</v>
      </c>
      <c r="D1031" t="s">
        <v>2677</v>
      </c>
      <c r="E1031">
        <v>10</v>
      </c>
    </row>
    <row r="1032" spans="1:5" x14ac:dyDescent="0.25">
      <c r="A1032" t="s">
        <v>420</v>
      </c>
      <c r="B1032" t="s">
        <v>2698</v>
      </c>
      <c r="C1032" t="s">
        <v>2710</v>
      </c>
      <c r="D1032" t="s">
        <v>2677</v>
      </c>
      <c r="E1032">
        <v>2</v>
      </c>
    </row>
    <row r="1033" spans="1:5" x14ac:dyDescent="0.25">
      <c r="A1033" t="s">
        <v>420</v>
      </c>
      <c r="B1033" t="s">
        <v>2698</v>
      </c>
      <c r="C1033" t="s">
        <v>2710</v>
      </c>
      <c r="D1033" t="s">
        <v>2678</v>
      </c>
      <c r="E1033">
        <v>2</v>
      </c>
    </row>
    <row r="1034" spans="1:5" x14ac:dyDescent="0.25">
      <c r="A1034" t="s">
        <v>420</v>
      </c>
      <c r="B1034" t="s">
        <v>2698</v>
      </c>
      <c r="C1034" t="s">
        <v>2711</v>
      </c>
      <c r="D1034" t="s">
        <v>2677</v>
      </c>
      <c r="E1034">
        <v>4</v>
      </c>
    </row>
    <row r="1035" spans="1:5" x14ac:dyDescent="0.25">
      <c r="A1035" t="s">
        <v>420</v>
      </c>
      <c r="B1035" t="s">
        <v>2698</v>
      </c>
      <c r="C1035" t="s">
        <v>2711</v>
      </c>
      <c r="D1035" t="s">
        <v>2678</v>
      </c>
      <c r="E1035">
        <v>3</v>
      </c>
    </row>
    <row r="1036" spans="1:5" x14ac:dyDescent="0.25">
      <c r="A1036" t="s">
        <v>87</v>
      </c>
      <c r="B1036" t="s">
        <v>2470</v>
      </c>
      <c r="C1036" t="s">
        <v>2532</v>
      </c>
      <c r="D1036" t="s">
        <v>2677</v>
      </c>
      <c r="E1036">
        <v>55</v>
      </c>
    </row>
    <row r="1037" spans="1:5" x14ac:dyDescent="0.25">
      <c r="A1037" t="s">
        <v>87</v>
      </c>
      <c r="B1037" t="s">
        <v>2470</v>
      </c>
      <c r="C1037" t="s">
        <v>2532</v>
      </c>
      <c r="D1037" t="s">
        <v>2678</v>
      </c>
      <c r="E1037">
        <v>148</v>
      </c>
    </row>
    <row r="1038" spans="1:5" x14ac:dyDescent="0.25">
      <c r="A1038" t="s">
        <v>87</v>
      </c>
      <c r="B1038" t="s">
        <v>2470</v>
      </c>
      <c r="C1038" t="s">
        <v>2532</v>
      </c>
      <c r="D1038" t="s">
        <v>2679</v>
      </c>
      <c r="E1038">
        <v>190</v>
      </c>
    </row>
    <row r="1039" spans="1:5" x14ac:dyDescent="0.25">
      <c r="A1039" t="s">
        <v>87</v>
      </c>
      <c r="B1039" t="s">
        <v>2470</v>
      </c>
      <c r="C1039" t="s">
        <v>2532</v>
      </c>
      <c r="D1039" t="s">
        <v>2680</v>
      </c>
      <c r="E1039">
        <v>193</v>
      </c>
    </row>
    <row r="1040" spans="1:5" x14ac:dyDescent="0.25">
      <c r="A1040" t="s">
        <v>87</v>
      </c>
      <c r="B1040" t="s">
        <v>2470</v>
      </c>
      <c r="C1040" t="s">
        <v>2532</v>
      </c>
      <c r="D1040" t="s">
        <v>2681</v>
      </c>
      <c r="E1040">
        <v>216</v>
      </c>
    </row>
    <row r="1041" spans="1:5" x14ac:dyDescent="0.25">
      <c r="A1041" t="s">
        <v>87</v>
      </c>
      <c r="B1041" t="s">
        <v>2470</v>
      </c>
      <c r="C1041" t="s">
        <v>2532</v>
      </c>
      <c r="D1041" t="s">
        <v>2682</v>
      </c>
      <c r="E1041">
        <v>283</v>
      </c>
    </row>
    <row r="1042" spans="1:5" x14ac:dyDescent="0.25">
      <c r="A1042" t="s">
        <v>87</v>
      </c>
      <c r="B1042" t="s">
        <v>2470</v>
      </c>
      <c r="C1042" t="s">
        <v>2532</v>
      </c>
      <c r="D1042" t="s">
        <v>2683</v>
      </c>
      <c r="E1042">
        <v>304</v>
      </c>
    </row>
    <row r="1043" spans="1:5" x14ac:dyDescent="0.25">
      <c r="A1043" t="s">
        <v>87</v>
      </c>
      <c r="B1043" t="s">
        <v>2470</v>
      </c>
      <c r="C1043" t="s">
        <v>2532</v>
      </c>
      <c r="D1043" t="s">
        <v>2684</v>
      </c>
      <c r="E1043">
        <v>301</v>
      </c>
    </row>
    <row r="1044" spans="1:5" x14ac:dyDescent="0.25">
      <c r="A1044" t="s">
        <v>87</v>
      </c>
      <c r="B1044" t="s">
        <v>2470</v>
      </c>
      <c r="C1044" t="s">
        <v>2532</v>
      </c>
      <c r="D1044" t="s">
        <v>2685</v>
      </c>
      <c r="E1044">
        <v>312</v>
      </c>
    </row>
    <row r="1045" spans="1:5" x14ac:dyDescent="0.25">
      <c r="A1045" t="s">
        <v>87</v>
      </c>
      <c r="B1045" t="s">
        <v>2470</v>
      </c>
      <c r="C1045" t="s">
        <v>2532</v>
      </c>
      <c r="D1045" t="s">
        <v>2686</v>
      </c>
      <c r="E1045">
        <v>348</v>
      </c>
    </row>
    <row r="1046" spans="1:5" x14ac:dyDescent="0.25">
      <c r="A1046" t="s">
        <v>87</v>
      </c>
      <c r="B1046" t="s">
        <v>2470</v>
      </c>
      <c r="C1046" t="s">
        <v>2532</v>
      </c>
      <c r="D1046" t="s">
        <v>2687</v>
      </c>
      <c r="E1046">
        <v>356</v>
      </c>
    </row>
    <row r="1047" spans="1:5" x14ac:dyDescent="0.25">
      <c r="A1047" t="s">
        <v>87</v>
      </c>
      <c r="B1047" t="s">
        <v>2470</v>
      </c>
      <c r="C1047" t="s">
        <v>2532</v>
      </c>
      <c r="D1047" t="s">
        <v>2688</v>
      </c>
      <c r="E1047">
        <v>392</v>
      </c>
    </row>
    <row r="1048" spans="1:5" x14ac:dyDescent="0.25">
      <c r="A1048" t="s">
        <v>87</v>
      </c>
      <c r="B1048" t="s">
        <v>2470</v>
      </c>
      <c r="C1048" t="s">
        <v>2532</v>
      </c>
      <c r="D1048" t="s">
        <v>2689</v>
      </c>
      <c r="E1048">
        <v>351</v>
      </c>
    </row>
    <row r="1049" spans="1:5" x14ac:dyDescent="0.25">
      <c r="A1049" t="s">
        <v>87</v>
      </c>
      <c r="B1049" t="s">
        <v>2470</v>
      </c>
      <c r="C1049" t="s">
        <v>2532</v>
      </c>
      <c r="D1049" t="s">
        <v>2690</v>
      </c>
      <c r="E1049">
        <v>306</v>
      </c>
    </row>
    <row r="1050" spans="1:5" x14ac:dyDescent="0.25">
      <c r="A1050" t="s">
        <v>87</v>
      </c>
      <c r="B1050" t="s">
        <v>2470</v>
      </c>
      <c r="C1050" t="s">
        <v>2524</v>
      </c>
      <c r="D1050" t="s">
        <v>2677</v>
      </c>
      <c r="E1050">
        <v>408</v>
      </c>
    </row>
    <row r="1051" spans="1:5" x14ac:dyDescent="0.25">
      <c r="A1051" t="s">
        <v>87</v>
      </c>
      <c r="B1051" t="s">
        <v>2470</v>
      </c>
      <c r="C1051" t="s">
        <v>2524</v>
      </c>
      <c r="D1051" t="s">
        <v>2678</v>
      </c>
      <c r="E1051">
        <v>800</v>
      </c>
    </row>
    <row r="1052" spans="1:5" x14ac:dyDescent="0.25">
      <c r="A1052" t="s">
        <v>87</v>
      </c>
      <c r="B1052" t="s">
        <v>2470</v>
      </c>
      <c r="C1052" t="s">
        <v>2524</v>
      </c>
      <c r="D1052" t="s">
        <v>2679</v>
      </c>
      <c r="E1052">
        <v>785</v>
      </c>
    </row>
    <row r="1053" spans="1:5" x14ac:dyDescent="0.25">
      <c r="A1053" t="s">
        <v>87</v>
      </c>
      <c r="B1053" t="s">
        <v>2470</v>
      </c>
      <c r="C1053" t="s">
        <v>2524</v>
      </c>
      <c r="D1053" t="s">
        <v>2680</v>
      </c>
      <c r="E1053">
        <v>802</v>
      </c>
    </row>
    <row r="1054" spans="1:5" x14ac:dyDescent="0.25">
      <c r="A1054" t="s">
        <v>87</v>
      </c>
      <c r="B1054" t="s">
        <v>2470</v>
      </c>
      <c r="C1054" t="s">
        <v>2524</v>
      </c>
      <c r="D1054" t="s">
        <v>2681</v>
      </c>
      <c r="E1054">
        <v>921</v>
      </c>
    </row>
    <row r="1055" spans="1:5" x14ac:dyDescent="0.25">
      <c r="A1055" t="s">
        <v>87</v>
      </c>
      <c r="B1055" t="s">
        <v>2470</v>
      </c>
      <c r="C1055" t="s">
        <v>2524</v>
      </c>
      <c r="D1055" t="s">
        <v>2682</v>
      </c>
      <c r="E1055">
        <v>1043</v>
      </c>
    </row>
    <row r="1056" spans="1:5" x14ac:dyDescent="0.25">
      <c r="A1056" t="s">
        <v>87</v>
      </c>
      <c r="B1056" t="s">
        <v>2470</v>
      </c>
      <c r="C1056" t="s">
        <v>2524</v>
      </c>
      <c r="D1056" t="s">
        <v>2683</v>
      </c>
      <c r="E1056">
        <v>1287</v>
      </c>
    </row>
    <row r="1057" spans="1:5" x14ac:dyDescent="0.25">
      <c r="A1057" t="s">
        <v>87</v>
      </c>
      <c r="B1057" t="s">
        <v>2470</v>
      </c>
      <c r="C1057" t="s">
        <v>2524</v>
      </c>
      <c r="D1057" t="s">
        <v>2684</v>
      </c>
      <c r="E1057">
        <v>1378</v>
      </c>
    </row>
    <row r="1058" spans="1:5" x14ac:dyDescent="0.25">
      <c r="A1058" t="s">
        <v>87</v>
      </c>
      <c r="B1058" t="s">
        <v>2470</v>
      </c>
      <c r="C1058" t="s">
        <v>2524</v>
      </c>
      <c r="D1058" t="s">
        <v>2685</v>
      </c>
      <c r="E1058">
        <v>1303</v>
      </c>
    </row>
    <row r="1059" spans="1:5" x14ac:dyDescent="0.25">
      <c r="A1059" t="s">
        <v>87</v>
      </c>
      <c r="B1059" t="s">
        <v>2470</v>
      </c>
      <c r="C1059" t="s">
        <v>2524</v>
      </c>
      <c r="D1059" t="s">
        <v>2686</v>
      </c>
      <c r="E1059">
        <v>1351</v>
      </c>
    </row>
    <row r="1060" spans="1:5" x14ac:dyDescent="0.25">
      <c r="A1060" t="s">
        <v>87</v>
      </c>
      <c r="B1060" t="s">
        <v>2470</v>
      </c>
      <c r="C1060" t="s">
        <v>2524</v>
      </c>
      <c r="D1060" t="s">
        <v>2687</v>
      </c>
      <c r="E1060">
        <v>1455</v>
      </c>
    </row>
    <row r="1061" spans="1:5" x14ac:dyDescent="0.25">
      <c r="A1061" t="s">
        <v>87</v>
      </c>
      <c r="B1061" t="s">
        <v>2470</v>
      </c>
      <c r="C1061" t="s">
        <v>2524</v>
      </c>
      <c r="D1061" t="s">
        <v>2688</v>
      </c>
      <c r="E1061">
        <v>1510</v>
      </c>
    </row>
    <row r="1062" spans="1:5" x14ac:dyDescent="0.25">
      <c r="A1062" t="s">
        <v>87</v>
      </c>
      <c r="B1062" t="s">
        <v>2470</v>
      </c>
      <c r="C1062" t="s">
        <v>2524</v>
      </c>
      <c r="D1062" t="s">
        <v>2689</v>
      </c>
      <c r="E1062">
        <v>1715</v>
      </c>
    </row>
    <row r="1063" spans="1:5" x14ac:dyDescent="0.25">
      <c r="A1063" t="s">
        <v>87</v>
      </c>
      <c r="B1063" t="s">
        <v>2470</v>
      </c>
      <c r="C1063" t="s">
        <v>2524</v>
      </c>
      <c r="D1063" t="s">
        <v>2690</v>
      </c>
      <c r="E1063">
        <v>1919</v>
      </c>
    </row>
    <row r="1064" spans="1:5" x14ac:dyDescent="0.25">
      <c r="A1064" t="s">
        <v>87</v>
      </c>
      <c r="B1064" t="s">
        <v>2470</v>
      </c>
      <c r="C1064" t="s">
        <v>2531</v>
      </c>
      <c r="D1064" t="s">
        <v>2677</v>
      </c>
      <c r="E1064">
        <v>61</v>
      </c>
    </row>
    <row r="1065" spans="1:5" x14ac:dyDescent="0.25">
      <c r="A1065" t="s">
        <v>87</v>
      </c>
      <c r="B1065" t="s">
        <v>2470</v>
      </c>
      <c r="C1065" t="s">
        <v>2531</v>
      </c>
      <c r="D1065" t="s">
        <v>2678</v>
      </c>
      <c r="E1065">
        <v>107</v>
      </c>
    </row>
    <row r="1066" spans="1:5" x14ac:dyDescent="0.25">
      <c r="A1066" t="s">
        <v>87</v>
      </c>
      <c r="B1066" t="s">
        <v>2470</v>
      </c>
      <c r="C1066" t="s">
        <v>2531</v>
      </c>
      <c r="D1066" t="s">
        <v>2679</v>
      </c>
      <c r="E1066">
        <v>113</v>
      </c>
    </row>
    <row r="1067" spans="1:5" x14ac:dyDescent="0.25">
      <c r="A1067" t="s">
        <v>87</v>
      </c>
      <c r="B1067" t="s">
        <v>2470</v>
      </c>
      <c r="C1067" t="s">
        <v>2531</v>
      </c>
      <c r="D1067" t="s">
        <v>2680</v>
      </c>
      <c r="E1067">
        <v>165</v>
      </c>
    </row>
    <row r="1068" spans="1:5" x14ac:dyDescent="0.25">
      <c r="A1068" t="s">
        <v>87</v>
      </c>
      <c r="B1068" t="s">
        <v>2470</v>
      </c>
      <c r="C1068" t="s">
        <v>2531</v>
      </c>
      <c r="D1068" t="s">
        <v>2681</v>
      </c>
      <c r="E1068">
        <v>245</v>
      </c>
    </row>
    <row r="1069" spans="1:5" x14ac:dyDescent="0.25">
      <c r="A1069" t="s">
        <v>87</v>
      </c>
      <c r="B1069" t="s">
        <v>2470</v>
      </c>
      <c r="C1069" t="s">
        <v>2531</v>
      </c>
      <c r="D1069" t="s">
        <v>2682</v>
      </c>
      <c r="E1069">
        <v>289</v>
      </c>
    </row>
    <row r="1070" spans="1:5" x14ac:dyDescent="0.25">
      <c r="A1070" t="s">
        <v>87</v>
      </c>
      <c r="B1070" t="s">
        <v>2470</v>
      </c>
      <c r="C1070" t="s">
        <v>2531</v>
      </c>
      <c r="D1070" t="s">
        <v>2683</v>
      </c>
      <c r="E1070">
        <v>221</v>
      </c>
    </row>
    <row r="1071" spans="1:5" x14ac:dyDescent="0.25">
      <c r="A1071" t="s">
        <v>87</v>
      </c>
      <c r="B1071" t="s">
        <v>2470</v>
      </c>
      <c r="C1071" t="s">
        <v>2531</v>
      </c>
      <c r="D1071" t="s">
        <v>2684</v>
      </c>
      <c r="E1071">
        <v>197</v>
      </c>
    </row>
    <row r="1072" spans="1:5" x14ac:dyDescent="0.25">
      <c r="A1072" t="s">
        <v>87</v>
      </c>
      <c r="B1072" t="s">
        <v>2470</v>
      </c>
      <c r="C1072" t="s">
        <v>2531</v>
      </c>
      <c r="D1072" t="s">
        <v>2685</v>
      </c>
      <c r="E1072">
        <v>146</v>
      </c>
    </row>
    <row r="1073" spans="1:5" x14ac:dyDescent="0.25">
      <c r="A1073" t="s">
        <v>87</v>
      </c>
      <c r="B1073" t="s">
        <v>2470</v>
      </c>
      <c r="C1073" t="s">
        <v>2531</v>
      </c>
      <c r="D1073" t="s">
        <v>2686</v>
      </c>
      <c r="E1073">
        <v>170</v>
      </c>
    </row>
    <row r="1074" spans="1:5" x14ac:dyDescent="0.25">
      <c r="A1074" t="s">
        <v>87</v>
      </c>
      <c r="B1074" t="s">
        <v>2470</v>
      </c>
      <c r="C1074" t="s">
        <v>2531</v>
      </c>
      <c r="D1074" t="s">
        <v>2687</v>
      </c>
      <c r="E1074">
        <v>230</v>
      </c>
    </row>
    <row r="1075" spans="1:5" x14ac:dyDescent="0.25">
      <c r="A1075" t="s">
        <v>87</v>
      </c>
      <c r="B1075" t="s">
        <v>2470</v>
      </c>
      <c r="C1075" t="s">
        <v>2531</v>
      </c>
      <c r="D1075" t="s">
        <v>2688</v>
      </c>
      <c r="E1075">
        <v>292</v>
      </c>
    </row>
    <row r="1076" spans="1:5" x14ac:dyDescent="0.25">
      <c r="A1076" t="s">
        <v>87</v>
      </c>
      <c r="B1076" t="s">
        <v>2470</v>
      </c>
      <c r="C1076" t="s">
        <v>2531</v>
      </c>
      <c r="D1076" t="s">
        <v>2689</v>
      </c>
      <c r="E1076">
        <v>231</v>
      </c>
    </row>
    <row r="1077" spans="1:5" x14ac:dyDescent="0.25">
      <c r="A1077" t="s">
        <v>87</v>
      </c>
      <c r="B1077" t="s">
        <v>2470</v>
      </c>
      <c r="C1077" t="s">
        <v>2531</v>
      </c>
      <c r="D1077" t="s">
        <v>2690</v>
      </c>
      <c r="E1077">
        <v>218</v>
      </c>
    </row>
    <row r="1078" spans="1:5" x14ac:dyDescent="0.25">
      <c r="A1078" t="s">
        <v>87</v>
      </c>
      <c r="B1078" t="s">
        <v>2470</v>
      </c>
      <c r="C1078" t="s">
        <v>2530</v>
      </c>
      <c r="D1078" t="s">
        <v>2677</v>
      </c>
      <c r="E1078">
        <v>40</v>
      </c>
    </row>
    <row r="1079" spans="1:5" x14ac:dyDescent="0.25">
      <c r="A1079" t="s">
        <v>87</v>
      </c>
      <c r="B1079" t="s">
        <v>2470</v>
      </c>
      <c r="C1079" t="s">
        <v>2530</v>
      </c>
      <c r="D1079" t="s">
        <v>2678</v>
      </c>
      <c r="E1079">
        <v>70</v>
      </c>
    </row>
    <row r="1080" spans="1:5" x14ac:dyDescent="0.25">
      <c r="A1080" t="s">
        <v>87</v>
      </c>
      <c r="B1080" t="s">
        <v>2470</v>
      </c>
      <c r="C1080" t="s">
        <v>2530</v>
      </c>
      <c r="D1080" t="s">
        <v>2679</v>
      </c>
      <c r="E1080">
        <v>75</v>
      </c>
    </row>
    <row r="1081" spans="1:5" x14ac:dyDescent="0.25">
      <c r="A1081" t="s">
        <v>87</v>
      </c>
      <c r="B1081" t="s">
        <v>2470</v>
      </c>
      <c r="C1081" t="s">
        <v>2530</v>
      </c>
      <c r="D1081" t="s">
        <v>2680</v>
      </c>
      <c r="E1081">
        <v>87</v>
      </c>
    </row>
    <row r="1082" spans="1:5" x14ac:dyDescent="0.25">
      <c r="A1082" t="s">
        <v>87</v>
      </c>
      <c r="B1082" t="s">
        <v>2470</v>
      </c>
      <c r="C1082" t="s">
        <v>2530</v>
      </c>
      <c r="D1082" t="s">
        <v>2681</v>
      </c>
      <c r="E1082">
        <v>100</v>
      </c>
    </row>
    <row r="1083" spans="1:5" x14ac:dyDescent="0.25">
      <c r="A1083" t="s">
        <v>87</v>
      </c>
      <c r="B1083" t="s">
        <v>2470</v>
      </c>
      <c r="C1083" t="s">
        <v>2530</v>
      </c>
      <c r="D1083" t="s">
        <v>2682</v>
      </c>
      <c r="E1083">
        <v>113</v>
      </c>
    </row>
    <row r="1084" spans="1:5" x14ac:dyDescent="0.25">
      <c r="A1084" t="s">
        <v>87</v>
      </c>
      <c r="B1084" t="s">
        <v>2470</v>
      </c>
      <c r="C1084" t="s">
        <v>2530</v>
      </c>
      <c r="D1084" t="s">
        <v>2683</v>
      </c>
      <c r="E1084">
        <v>74</v>
      </c>
    </row>
    <row r="1085" spans="1:5" x14ac:dyDescent="0.25">
      <c r="A1085" t="s">
        <v>87</v>
      </c>
      <c r="B1085" t="s">
        <v>2470</v>
      </c>
      <c r="C1085" t="s">
        <v>2530</v>
      </c>
      <c r="D1085" t="s">
        <v>2684</v>
      </c>
      <c r="E1085">
        <v>73</v>
      </c>
    </row>
    <row r="1086" spans="1:5" x14ac:dyDescent="0.25">
      <c r="A1086" t="s">
        <v>87</v>
      </c>
      <c r="B1086" t="s">
        <v>2470</v>
      </c>
      <c r="C1086" t="s">
        <v>2530</v>
      </c>
      <c r="D1086" t="s">
        <v>2685</v>
      </c>
      <c r="E1086">
        <v>75</v>
      </c>
    </row>
    <row r="1087" spans="1:5" x14ac:dyDescent="0.25">
      <c r="A1087" t="s">
        <v>87</v>
      </c>
      <c r="B1087" t="s">
        <v>2470</v>
      </c>
      <c r="C1087" t="s">
        <v>2530</v>
      </c>
      <c r="D1087" t="s">
        <v>2686</v>
      </c>
      <c r="E1087">
        <v>77</v>
      </c>
    </row>
    <row r="1088" spans="1:5" x14ac:dyDescent="0.25">
      <c r="A1088" t="s">
        <v>87</v>
      </c>
      <c r="B1088" t="s">
        <v>2470</v>
      </c>
      <c r="C1088" t="s">
        <v>2530</v>
      </c>
      <c r="D1088" t="s">
        <v>2687</v>
      </c>
      <c r="E1088">
        <v>104</v>
      </c>
    </row>
    <row r="1089" spans="1:5" x14ac:dyDescent="0.25">
      <c r="A1089" t="s">
        <v>87</v>
      </c>
      <c r="B1089" t="s">
        <v>2470</v>
      </c>
      <c r="C1089" t="s">
        <v>2530</v>
      </c>
      <c r="D1089" t="s">
        <v>2688</v>
      </c>
      <c r="E1089">
        <v>118</v>
      </c>
    </row>
    <row r="1090" spans="1:5" x14ac:dyDescent="0.25">
      <c r="A1090" t="s">
        <v>87</v>
      </c>
      <c r="B1090" t="s">
        <v>2470</v>
      </c>
      <c r="C1090" t="s">
        <v>2530</v>
      </c>
      <c r="D1090" t="s">
        <v>2689</v>
      </c>
      <c r="E1090">
        <v>39</v>
      </c>
    </row>
    <row r="1091" spans="1:5" x14ac:dyDescent="0.25">
      <c r="A1091" t="s">
        <v>87</v>
      </c>
      <c r="B1091" t="s">
        <v>2470</v>
      </c>
      <c r="C1091" t="s">
        <v>2530</v>
      </c>
      <c r="D1091" t="s">
        <v>2690</v>
      </c>
      <c r="E1091">
        <v>53</v>
      </c>
    </row>
    <row r="1092" spans="1:5" x14ac:dyDescent="0.25">
      <c r="A1092" t="s">
        <v>87</v>
      </c>
      <c r="B1092" t="s">
        <v>2470</v>
      </c>
      <c r="C1092" t="s">
        <v>2529</v>
      </c>
      <c r="D1092" t="s">
        <v>2677</v>
      </c>
      <c r="E1092">
        <v>95</v>
      </c>
    </row>
    <row r="1093" spans="1:5" x14ac:dyDescent="0.25">
      <c r="A1093" t="s">
        <v>87</v>
      </c>
      <c r="B1093" t="s">
        <v>2470</v>
      </c>
      <c r="C1093" t="s">
        <v>2529</v>
      </c>
      <c r="D1093" t="s">
        <v>2678</v>
      </c>
      <c r="E1093">
        <v>181</v>
      </c>
    </row>
    <row r="1094" spans="1:5" x14ac:dyDescent="0.25">
      <c r="A1094" t="s">
        <v>87</v>
      </c>
      <c r="B1094" t="s">
        <v>2470</v>
      </c>
      <c r="C1094" t="s">
        <v>2529</v>
      </c>
      <c r="D1094" t="s">
        <v>2679</v>
      </c>
      <c r="E1094">
        <v>182</v>
      </c>
    </row>
    <row r="1095" spans="1:5" x14ac:dyDescent="0.25">
      <c r="A1095" t="s">
        <v>87</v>
      </c>
      <c r="B1095" t="s">
        <v>2470</v>
      </c>
      <c r="C1095" t="s">
        <v>2529</v>
      </c>
      <c r="D1095" t="s">
        <v>2680</v>
      </c>
      <c r="E1095">
        <v>258</v>
      </c>
    </row>
    <row r="1096" spans="1:5" x14ac:dyDescent="0.25">
      <c r="A1096" t="s">
        <v>87</v>
      </c>
      <c r="B1096" t="s">
        <v>2470</v>
      </c>
      <c r="C1096" t="s">
        <v>2529</v>
      </c>
      <c r="D1096" t="s">
        <v>2681</v>
      </c>
      <c r="E1096">
        <v>339</v>
      </c>
    </row>
    <row r="1097" spans="1:5" x14ac:dyDescent="0.25">
      <c r="A1097" t="s">
        <v>87</v>
      </c>
      <c r="B1097" t="s">
        <v>2470</v>
      </c>
      <c r="C1097" t="s">
        <v>2529</v>
      </c>
      <c r="D1097" t="s">
        <v>2682</v>
      </c>
      <c r="E1097">
        <v>337</v>
      </c>
    </row>
    <row r="1098" spans="1:5" x14ac:dyDescent="0.25">
      <c r="A1098" t="s">
        <v>87</v>
      </c>
      <c r="B1098" t="s">
        <v>2470</v>
      </c>
      <c r="C1098" t="s">
        <v>2529</v>
      </c>
      <c r="D1098" t="s">
        <v>2683</v>
      </c>
      <c r="E1098">
        <v>315</v>
      </c>
    </row>
    <row r="1099" spans="1:5" x14ac:dyDescent="0.25">
      <c r="A1099" t="s">
        <v>87</v>
      </c>
      <c r="B1099" t="s">
        <v>2470</v>
      </c>
      <c r="C1099" t="s">
        <v>2529</v>
      </c>
      <c r="D1099" t="s">
        <v>2684</v>
      </c>
      <c r="E1099">
        <v>333</v>
      </c>
    </row>
    <row r="1100" spans="1:5" x14ac:dyDescent="0.25">
      <c r="A1100" t="s">
        <v>87</v>
      </c>
      <c r="B1100" t="s">
        <v>2470</v>
      </c>
      <c r="C1100" t="s">
        <v>2529</v>
      </c>
      <c r="D1100" t="s">
        <v>2685</v>
      </c>
      <c r="E1100">
        <v>357</v>
      </c>
    </row>
    <row r="1101" spans="1:5" x14ac:dyDescent="0.25">
      <c r="A1101" t="s">
        <v>87</v>
      </c>
      <c r="B1101" t="s">
        <v>2470</v>
      </c>
      <c r="C1101" t="s">
        <v>2529</v>
      </c>
      <c r="D1101" t="s">
        <v>2686</v>
      </c>
      <c r="E1101">
        <v>373</v>
      </c>
    </row>
    <row r="1102" spans="1:5" x14ac:dyDescent="0.25">
      <c r="A1102" t="s">
        <v>87</v>
      </c>
      <c r="B1102" t="s">
        <v>2470</v>
      </c>
      <c r="C1102" t="s">
        <v>2529</v>
      </c>
      <c r="D1102" t="s">
        <v>2687</v>
      </c>
      <c r="E1102">
        <v>412</v>
      </c>
    </row>
    <row r="1103" spans="1:5" x14ac:dyDescent="0.25">
      <c r="A1103" t="s">
        <v>87</v>
      </c>
      <c r="B1103" t="s">
        <v>2470</v>
      </c>
      <c r="C1103" t="s">
        <v>2529</v>
      </c>
      <c r="D1103" t="s">
        <v>2688</v>
      </c>
      <c r="E1103">
        <v>393</v>
      </c>
    </row>
    <row r="1104" spans="1:5" x14ac:dyDescent="0.25">
      <c r="A1104" t="s">
        <v>87</v>
      </c>
      <c r="B1104" t="s">
        <v>2470</v>
      </c>
      <c r="C1104" t="s">
        <v>2529</v>
      </c>
      <c r="D1104" t="s">
        <v>2689</v>
      </c>
      <c r="E1104">
        <v>378</v>
      </c>
    </row>
    <row r="1105" spans="1:5" x14ac:dyDescent="0.25">
      <c r="A1105" t="s">
        <v>87</v>
      </c>
      <c r="B1105" t="s">
        <v>2470</v>
      </c>
      <c r="C1105" t="s">
        <v>2529</v>
      </c>
      <c r="D1105" t="s">
        <v>2690</v>
      </c>
      <c r="E1105">
        <v>354</v>
      </c>
    </row>
    <row r="1106" spans="1:5" x14ac:dyDescent="0.25">
      <c r="A1106" t="s">
        <v>87</v>
      </c>
      <c r="B1106" t="s">
        <v>2470</v>
      </c>
      <c r="C1106" t="s">
        <v>2528</v>
      </c>
      <c r="D1106" t="s">
        <v>2677</v>
      </c>
      <c r="E1106">
        <v>152</v>
      </c>
    </row>
    <row r="1107" spans="1:5" x14ac:dyDescent="0.25">
      <c r="A1107" t="s">
        <v>87</v>
      </c>
      <c r="B1107" t="s">
        <v>2470</v>
      </c>
      <c r="C1107" t="s">
        <v>2528</v>
      </c>
      <c r="D1107" t="s">
        <v>2678</v>
      </c>
      <c r="E1107">
        <v>305</v>
      </c>
    </row>
    <row r="1108" spans="1:5" x14ac:dyDescent="0.25">
      <c r="A1108" t="s">
        <v>87</v>
      </c>
      <c r="B1108" t="s">
        <v>2470</v>
      </c>
      <c r="C1108" t="s">
        <v>2528</v>
      </c>
      <c r="D1108" t="s">
        <v>2679</v>
      </c>
      <c r="E1108">
        <v>285</v>
      </c>
    </row>
    <row r="1109" spans="1:5" x14ac:dyDescent="0.25">
      <c r="A1109" t="s">
        <v>87</v>
      </c>
      <c r="B1109" t="s">
        <v>2470</v>
      </c>
      <c r="C1109" t="s">
        <v>2528</v>
      </c>
      <c r="D1109" t="s">
        <v>2680</v>
      </c>
      <c r="E1109">
        <v>246</v>
      </c>
    </row>
    <row r="1110" spans="1:5" x14ac:dyDescent="0.25">
      <c r="A1110" t="s">
        <v>87</v>
      </c>
      <c r="B1110" t="s">
        <v>2470</v>
      </c>
      <c r="C1110" t="s">
        <v>2528</v>
      </c>
      <c r="D1110" t="s">
        <v>2681</v>
      </c>
      <c r="E1110">
        <v>229</v>
      </c>
    </row>
    <row r="1111" spans="1:5" x14ac:dyDescent="0.25">
      <c r="A1111" t="s">
        <v>87</v>
      </c>
      <c r="B1111" t="s">
        <v>2470</v>
      </c>
      <c r="C1111" t="s">
        <v>2528</v>
      </c>
      <c r="D1111" t="s">
        <v>2682</v>
      </c>
      <c r="E1111">
        <v>289</v>
      </c>
    </row>
    <row r="1112" spans="1:5" x14ac:dyDescent="0.25">
      <c r="A1112" t="s">
        <v>87</v>
      </c>
      <c r="B1112" t="s">
        <v>2470</v>
      </c>
      <c r="C1112" t="s">
        <v>2528</v>
      </c>
      <c r="D1112" t="s">
        <v>2683</v>
      </c>
      <c r="E1112">
        <v>259</v>
      </c>
    </row>
    <row r="1113" spans="1:5" x14ac:dyDescent="0.25">
      <c r="A1113" t="s">
        <v>87</v>
      </c>
      <c r="B1113" t="s">
        <v>2470</v>
      </c>
      <c r="C1113" t="s">
        <v>2528</v>
      </c>
      <c r="D1113" t="s">
        <v>2684</v>
      </c>
      <c r="E1113">
        <v>257</v>
      </c>
    </row>
    <row r="1114" spans="1:5" x14ac:dyDescent="0.25">
      <c r="A1114" t="s">
        <v>87</v>
      </c>
      <c r="B1114" t="s">
        <v>2470</v>
      </c>
      <c r="C1114" t="s">
        <v>2528</v>
      </c>
      <c r="D1114" t="s">
        <v>2685</v>
      </c>
      <c r="E1114">
        <v>304</v>
      </c>
    </row>
    <row r="1115" spans="1:5" x14ac:dyDescent="0.25">
      <c r="A1115" t="s">
        <v>87</v>
      </c>
      <c r="B1115" t="s">
        <v>2470</v>
      </c>
      <c r="C1115" t="s">
        <v>2528</v>
      </c>
      <c r="D1115" t="s">
        <v>2686</v>
      </c>
      <c r="E1115">
        <v>268</v>
      </c>
    </row>
    <row r="1116" spans="1:5" x14ac:dyDescent="0.25">
      <c r="A1116" t="s">
        <v>87</v>
      </c>
      <c r="B1116" t="s">
        <v>2470</v>
      </c>
      <c r="C1116" t="s">
        <v>2528</v>
      </c>
      <c r="D1116" t="s">
        <v>2687</v>
      </c>
      <c r="E1116">
        <v>306</v>
      </c>
    </row>
    <row r="1117" spans="1:5" x14ac:dyDescent="0.25">
      <c r="A1117" t="s">
        <v>87</v>
      </c>
      <c r="B1117" t="s">
        <v>2470</v>
      </c>
      <c r="C1117" t="s">
        <v>2528</v>
      </c>
      <c r="D1117" t="s">
        <v>2688</v>
      </c>
      <c r="E1117">
        <v>345</v>
      </c>
    </row>
    <row r="1118" spans="1:5" x14ac:dyDescent="0.25">
      <c r="A1118" t="s">
        <v>87</v>
      </c>
      <c r="B1118" t="s">
        <v>2470</v>
      </c>
      <c r="C1118" t="s">
        <v>2528</v>
      </c>
      <c r="D1118" t="s">
        <v>2689</v>
      </c>
      <c r="E1118">
        <v>288</v>
      </c>
    </row>
    <row r="1119" spans="1:5" x14ac:dyDescent="0.25">
      <c r="A1119" t="s">
        <v>87</v>
      </c>
      <c r="B1119" t="s">
        <v>2470</v>
      </c>
      <c r="C1119" t="s">
        <v>2528</v>
      </c>
      <c r="D1119" t="s">
        <v>2690</v>
      </c>
      <c r="E1119">
        <v>211</v>
      </c>
    </row>
    <row r="1120" spans="1:5" x14ac:dyDescent="0.25">
      <c r="A1120" t="s">
        <v>87</v>
      </c>
      <c r="B1120" t="s">
        <v>2470</v>
      </c>
      <c r="C1120" t="s">
        <v>2527</v>
      </c>
      <c r="D1120" t="s">
        <v>2677</v>
      </c>
      <c r="E1120">
        <v>99</v>
      </c>
    </row>
    <row r="1121" spans="1:5" x14ac:dyDescent="0.25">
      <c r="A1121" t="s">
        <v>87</v>
      </c>
      <c r="B1121" t="s">
        <v>2470</v>
      </c>
      <c r="C1121" t="s">
        <v>2527</v>
      </c>
      <c r="D1121" t="s">
        <v>2678</v>
      </c>
      <c r="E1121">
        <v>201</v>
      </c>
    </row>
    <row r="1122" spans="1:5" x14ac:dyDescent="0.25">
      <c r="A1122" t="s">
        <v>87</v>
      </c>
      <c r="B1122" t="s">
        <v>2470</v>
      </c>
      <c r="C1122" t="s">
        <v>2527</v>
      </c>
      <c r="D1122" t="s">
        <v>2679</v>
      </c>
      <c r="E1122">
        <v>173</v>
      </c>
    </row>
    <row r="1123" spans="1:5" x14ac:dyDescent="0.25">
      <c r="A1123" t="s">
        <v>87</v>
      </c>
      <c r="B1123" t="s">
        <v>2470</v>
      </c>
      <c r="C1123" t="s">
        <v>2527</v>
      </c>
      <c r="D1123" t="s">
        <v>2680</v>
      </c>
      <c r="E1123">
        <v>219</v>
      </c>
    </row>
    <row r="1124" spans="1:5" x14ac:dyDescent="0.25">
      <c r="A1124" t="s">
        <v>87</v>
      </c>
      <c r="B1124" t="s">
        <v>2470</v>
      </c>
      <c r="C1124" t="s">
        <v>2527</v>
      </c>
      <c r="D1124" t="s">
        <v>2681</v>
      </c>
      <c r="E1124">
        <v>274</v>
      </c>
    </row>
    <row r="1125" spans="1:5" x14ac:dyDescent="0.25">
      <c r="A1125" t="s">
        <v>87</v>
      </c>
      <c r="B1125" t="s">
        <v>2470</v>
      </c>
      <c r="C1125" t="s">
        <v>2527</v>
      </c>
      <c r="D1125" t="s">
        <v>2682</v>
      </c>
      <c r="E1125">
        <v>303</v>
      </c>
    </row>
    <row r="1126" spans="1:5" x14ac:dyDescent="0.25">
      <c r="A1126" t="s">
        <v>87</v>
      </c>
      <c r="B1126" t="s">
        <v>2470</v>
      </c>
      <c r="C1126" t="s">
        <v>2527</v>
      </c>
      <c r="D1126" t="s">
        <v>2683</v>
      </c>
      <c r="E1126">
        <v>322</v>
      </c>
    </row>
    <row r="1127" spans="1:5" x14ac:dyDescent="0.25">
      <c r="A1127" t="s">
        <v>87</v>
      </c>
      <c r="B1127" t="s">
        <v>2470</v>
      </c>
      <c r="C1127" t="s">
        <v>2527</v>
      </c>
      <c r="D1127" t="s">
        <v>2684</v>
      </c>
      <c r="E1127">
        <v>340</v>
      </c>
    </row>
    <row r="1128" spans="1:5" x14ac:dyDescent="0.25">
      <c r="A1128" t="s">
        <v>87</v>
      </c>
      <c r="B1128" t="s">
        <v>2470</v>
      </c>
      <c r="C1128" t="s">
        <v>2527</v>
      </c>
      <c r="D1128" t="s">
        <v>2685</v>
      </c>
      <c r="E1128">
        <v>342</v>
      </c>
    </row>
    <row r="1129" spans="1:5" x14ac:dyDescent="0.25">
      <c r="A1129" t="s">
        <v>87</v>
      </c>
      <c r="B1129" t="s">
        <v>2470</v>
      </c>
      <c r="C1129" t="s">
        <v>2527</v>
      </c>
      <c r="D1129" t="s">
        <v>2686</v>
      </c>
      <c r="E1129">
        <v>276</v>
      </c>
    </row>
    <row r="1130" spans="1:5" x14ac:dyDescent="0.25">
      <c r="A1130" t="s">
        <v>87</v>
      </c>
      <c r="B1130" t="s">
        <v>2470</v>
      </c>
      <c r="C1130" t="s">
        <v>2527</v>
      </c>
      <c r="D1130" t="s">
        <v>2687</v>
      </c>
      <c r="E1130">
        <v>374</v>
      </c>
    </row>
    <row r="1131" spans="1:5" x14ac:dyDescent="0.25">
      <c r="A1131" t="s">
        <v>87</v>
      </c>
      <c r="B1131" t="s">
        <v>2470</v>
      </c>
      <c r="C1131" t="s">
        <v>2527</v>
      </c>
      <c r="D1131" t="s">
        <v>2688</v>
      </c>
      <c r="E1131">
        <v>417</v>
      </c>
    </row>
    <row r="1132" spans="1:5" x14ac:dyDescent="0.25">
      <c r="A1132" t="s">
        <v>87</v>
      </c>
      <c r="B1132" t="s">
        <v>2470</v>
      </c>
      <c r="C1132" t="s">
        <v>2527</v>
      </c>
      <c r="D1132" t="s">
        <v>2689</v>
      </c>
      <c r="E1132">
        <v>304</v>
      </c>
    </row>
    <row r="1133" spans="1:5" x14ac:dyDescent="0.25">
      <c r="A1133" t="s">
        <v>87</v>
      </c>
      <c r="B1133" t="s">
        <v>2470</v>
      </c>
      <c r="C1133" t="s">
        <v>2527</v>
      </c>
      <c r="D1133" t="s">
        <v>2690</v>
      </c>
      <c r="E1133">
        <v>244</v>
      </c>
    </row>
    <row r="1134" spans="1:5" x14ac:dyDescent="0.25">
      <c r="A1134" t="s">
        <v>87</v>
      </c>
      <c r="B1134" t="s">
        <v>2470</v>
      </c>
      <c r="C1134" t="s">
        <v>2523</v>
      </c>
      <c r="D1134" t="s">
        <v>2678</v>
      </c>
      <c r="E1134">
        <v>2</v>
      </c>
    </row>
    <row r="1135" spans="1:5" x14ac:dyDescent="0.25">
      <c r="A1135" t="s">
        <v>87</v>
      </c>
      <c r="B1135" t="s">
        <v>2470</v>
      </c>
      <c r="C1135" t="s">
        <v>2523</v>
      </c>
      <c r="D1135" t="s">
        <v>2679</v>
      </c>
      <c r="E1135">
        <v>4</v>
      </c>
    </row>
    <row r="1136" spans="1:5" x14ac:dyDescent="0.25">
      <c r="A1136" t="s">
        <v>87</v>
      </c>
      <c r="B1136" t="s">
        <v>2470</v>
      </c>
      <c r="C1136" t="s">
        <v>2523</v>
      </c>
      <c r="D1136" t="s">
        <v>2680</v>
      </c>
      <c r="E1136">
        <v>7</v>
      </c>
    </row>
    <row r="1137" spans="1:5" x14ac:dyDescent="0.25">
      <c r="A1137" t="s">
        <v>87</v>
      </c>
      <c r="B1137" t="s">
        <v>2470</v>
      </c>
      <c r="C1137" t="s">
        <v>2523</v>
      </c>
      <c r="D1137" t="s">
        <v>2681</v>
      </c>
      <c r="E1137">
        <v>16</v>
      </c>
    </row>
    <row r="1138" spans="1:5" x14ac:dyDescent="0.25">
      <c r="A1138" t="s">
        <v>87</v>
      </c>
      <c r="B1138" t="s">
        <v>2470</v>
      </c>
      <c r="C1138" t="s">
        <v>2523</v>
      </c>
      <c r="D1138" t="s">
        <v>2682</v>
      </c>
      <c r="E1138">
        <v>28</v>
      </c>
    </row>
    <row r="1139" spans="1:5" x14ac:dyDescent="0.25">
      <c r="A1139" t="s">
        <v>87</v>
      </c>
      <c r="B1139" t="s">
        <v>2470</v>
      </c>
      <c r="C1139" t="s">
        <v>2523</v>
      </c>
      <c r="D1139" t="s">
        <v>2683</v>
      </c>
      <c r="E1139">
        <v>21</v>
      </c>
    </row>
    <row r="1140" spans="1:5" x14ac:dyDescent="0.25">
      <c r="A1140" t="s">
        <v>87</v>
      </c>
      <c r="B1140" t="s">
        <v>2470</v>
      </c>
      <c r="C1140" t="s">
        <v>2523</v>
      </c>
      <c r="D1140" t="s">
        <v>2684</v>
      </c>
      <c r="E1140">
        <v>14</v>
      </c>
    </row>
    <row r="1141" spans="1:5" x14ac:dyDescent="0.25">
      <c r="A1141" t="s">
        <v>87</v>
      </c>
      <c r="B1141" t="s">
        <v>2470</v>
      </c>
      <c r="C1141" t="s">
        <v>2523</v>
      </c>
      <c r="D1141" t="s">
        <v>2685</v>
      </c>
      <c r="E1141">
        <v>20</v>
      </c>
    </row>
    <row r="1142" spans="1:5" x14ac:dyDescent="0.25">
      <c r="A1142" t="s">
        <v>87</v>
      </c>
      <c r="B1142" t="s">
        <v>2470</v>
      </c>
      <c r="C1142" t="s">
        <v>2523</v>
      </c>
      <c r="D1142" t="s">
        <v>2686</v>
      </c>
      <c r="E1142">
        <v>28</v>
      </c>
    </row>
    <row r="1143" spans="1:5" x14ac:dyDescent="0.25">
      <c r="A1143" t="s">
        <v>87</v>
      </c>
      <c r="B1143" t="s">
        <v>2470</v>
      </c>
      <c r="C1143" t="s">
        <v>2523</v>
      </c>
      <c r="D1143" t="s">
        <v>2687</v>
      </c>
      <c r="E1143">
        <v>29</v>
      </c>
    </row>
    <row r="1144" spans="1:5" x14ac:dyDescent="0.25">
      <c r="A1144" t="s">
        <v>87</v>
      </c>
      <c r="B1144" t="s">
        <v>2470</v>
      </c>
      <c r="C1144" t="s">
        <v>2523</v>
      </c>
      <c r="D1144" t="s">
        <v>2688</v>
      </c>
      <c r="E1144">
        <v>34</v>
      </c>
    </row>
    <row r="1145" spans="1:5" x14ac:dyDescent="0.25">
      <c r="A1145" t="s">
        <v>87</v>
      </c>
      <c r="B1145" t="s">
        <v>2470</v>
      </c>
      <c r="C1145" t="s">
        <v>2523</v>
      </c>
      <c r="D1145" t="s">
        <v>2689</v>
      </c>
      <c r="E1145">
        <v>21</v>
      </c>
    </row>
    <row r="1146" spans="1:5" x14ac:dyDescent="0.25">
      <c r="A1146" t="s">
        <v>87</v>
      </c>
      <c r="B1146" t="s">
        <v>2470</v>
      </c>
      <c r="C1146" t="s">
        <v>2523</v>
      </c>
      <c r="D1146" t="s">
        <v>2690</v>
      </c>
      <c r="E1146">
        <v>3</v>
      </c>
    </row>
    <row r="1147" spans="1:5" x14ac:dyDescent="0.25">
      <c r="A1147" t="s">
        <v>87</v>
      </c>
      <c r="B1147" t="s">
        <v>2470</v>
      </c>
      <c r="C1147" t="s">
        <v>2522</v>
      </c>
      <c r="D1147" t="s">
        <v>2678</v>
      </c>
      <c r="E1147">
        <v>6</v>
      </c>
    </row>
    <row r="1148" spans="1:5" x14ac:dyDescent="0.25">
      <c r="A1148" t="s">
        <v>87</v>
      </c>
      <c r="B1148" t="s">
        <v>2470</v>
      </c>
      <c r="C1148" t="s">
        <v>2522</v>
      </c>
      <c r="D1148" t="s">
        <v>2679</v>
      </c>
      <c r="E1148">
        <v>6</v>
      </c>
    </row>
    <row r="1149" spans="1:5" x14ac:dyDescent="0.25">
      <c r="A1149" t="s">
        <v>87</v>
      </c>
      <c r="B1149" t="s">
        <v>2470</v>
      </c>
      <c r="C1149" t="s">
        <v>2522</v>
      </c>
      <c r="D1149" t="s">
        <v>2680</v>
      </c>
      <c r="E1149">
        <v>13</v>
      </c>
    </row>
    <row r="1150" spans="1:5" x14ac:dyDescent="0.25">
      <c r="A1150" t="s">
        <v>87</v>
      </c>
      <c r="B1150" t="s">
        <v>2470</v>
      </c>
      <c r="C1150" t="s">
        <v>2522</v>
      </c>
      <c r="D1150" t="s">
        <v>2681</v>
      </c>
      <c r="E1150">
        <v>12</v>
      </c>
    </row>
    <row r="1151" spans="1:5" x14ac:dyDescent="0.25">
      <c r="A1151" t="s">
        <v>87</v>
      </c>
      <c r="B1151" t="s">
        <v>2470</v>
      </c>
      <c r="C1151" t="s">
        <v>2522</v>
      </c>
      <c r="D1151" t="s">
        <v>2682</v>
      </c>
      <c r="E1151">
        <v>24</v>
      </c>
    </row>
    <row r="1152" spans="1:5" x14ac:dyDescent="0.25">
      <c r="A1152" t="s">
        <v>87</v>
      </c>
      <c r="B1152" t="s">
        <v>2470</v>
      </c>
      <c r="C1152" t="s">
        <v>2522</v>
      </c>
      <c r="D1152" t="s">
        <v>2683</v>
      </c>
      <c r="E1152">
        <v>24</v>
      </c>
    </row>
    <row r="1153" spans="1:5" x14ac:dyDescent="0.25">
      <c r="A1153" t="s">
        <v>87</v>
      </c>
      <c r="B1153" t="s">
        <v>2470</v>
      </c>
      <c r="C1153" t="s">
        <v>2522</v>
      </c>
      <c r="D1153" t="s">
        <v>2684</v>
      </c>
      <c r="E1153">
        <v>22</v>
      </c>
    </row>
    <row r="1154" spans="1:5" x14ac:dyDescent="0.25">
      <c r="A1154" t="s">
        <v>87</v>
      </c>
      <c r="B1154" t="s">
        <v>2470</v>
      </c>
      <c r="C1154" t="s">
        <v>2522</v>
      </c>
      <c r="D1154" t="s">
        <v>2685</v>
      </c>
      <c r="E1154">
        <v>20</v>
      </c>
    </row>
    <row r="1155" spans="1:5" x14ac:dyDescent="0.25">
      <c r="A1155" t="s">
        <v>87</v>
      </c>
      <c r="B1155" t="s">
        <v>2470</v>
      </c>
      <c r="C1155" t="s">
        <v>2522</v>
      </c>
      <c r="D1155" t="s">
        <v>2686</v>
      </c>
      <c r="E1155">
        <v>38</v>
      </c>
    </row>
    <row r="1156" spans="1:5" x14ac:dyDescent="0.25">
      <c r="A1156" t="s">
        <v>87</v>
      </c>
      <c r="B1156" t="s">
        <v>2470</v>
      </c>
      <c r="C1156" t="s">
        <v>2522</v>
      </c>
      <c r="D1156" t="s">
        <v>2687</v>
      </c>
      <c r="E1156">
        <v>23</v>
      </c>
    </row>
    <row r="1157" spans="1:5" x14ac:dyDescent="0.25">
      <c r="A1157" t="s">
        <v>87</v>
      </c>
      <c r="B1157" t="s">
        <v>2470</v>
      </c>
      <c r="C1157" t="s">
        <v>2522</v>
      </c>
      <c r="D1157" t="s">
        <v>2688</v>
      </c>
      <c r="E1157">
        <v>34</v>
      </c>
    </row>
    <row r="1158" spans="1:5" x14ac:dyDescent="0.25">
      <c r="A1158" t="s">
        <v>87</v>
      </c>
      <c r="B1158" t="s">
        <v>2470</v>
      </c>
      <c r="C1158" t="s">
        <v>2522</v>
      </c>
      <c r="D1158" t="s">
        <v>2689</v>
      </c>
      <c r="E1158">
        <v>23</v>
      </c>
    </row>
    <row r="1159" spans="1:5" x14ac:dyDescent="0.25">
      <c r="A1159" t="s">
        <v>87</v>
      </c>
      <c r="B1159" t="s">
        <v>2470</v>
      </c>
      <c r="C1159" t="s">
        <v>2525</v>
      </c>
      <c r="D1159" t="s">
        <v>2680</v>
      </c>
      <c r="E1159">
        <v>3</v>
      </c>
    </row>
    <row r="1160" spans="1:5" x14ac:dyDescent="0.25">
      <c r="A1160" t="s">
        <v>87</v>
      </c>
      <c r="B1160" t="s">
        <v>2470</v>
      </c>
      <c r="C1160" t="s">
        <v>2525</v>
      </c>
      <c r="D1160" t="s">
        <v>2681</v>
      </c>
      <c r="E1160">
        <v>3</v>
      </c>
    </row>
    <row r="1161" spans="1:5" x14ac:dyDescent="0.25">
      <c r="A1161" t="s">
        <v>87</v>
      </c>
      <c r="B1161" t="s">
        <v>2695</v>
      </c>
      <c r="C1161" t="s">
        <v>2712</v>
      </c>
      <c r="D1161" t="s">
        <v>2678</v>
      </c>
      <c r="E1161">
        <v>1</v>
      </c>
    </row>
    <row r="1162" spans="1:5" x14ac:dyDescent="0.25">
      <c r="A1162" t="s">
        <v>87</v>
      </c>
      <c r="B1162" t="s">
        <v>2695</v>
      </c>
      <c r="C1162" t="s">
        <v>2526</v>
      </c>
      <c r="D1162" t="s">
        <v>2679</v>
      </c>
      <c r="E1162">
        <v>1</v>
      </c>
    </row>
    <row r="1163" spans="1:5" x14ac:dyDescent="0.25">
      <c r="A1163" t="s">
        <v>87</v>
      </c>
      <c r="B1163" t="s">
        <v>2505</v>
      </c>
      <c r="C1163" t="s">
        <v>2532</v>
      </c>
      <c r="D1163" t="s">
        <v>2677</v>
      </c>
      <c r="E1163">
        <v>26</v>
      </c>
    </row>
    <row r="1164" spans="1:5" x14ac:dyDescent="0.25">
      <c r="A1164" t="s">
        <v>87</v>
      </c>
      <c r="B1164" t="s">
        <v>2505</v>
      </c>
      <c r="C1164" t="s">
        <v>2532</v>
      </c>
      <c r="D1164" t="s">
        <v>2678</v>
      </c>
      <c r="E1164">
        <v>47</v>
      </c>
    </row>
    <row r="1165" spans="1:5" x14ac:dyDescent="0.25">
      <c r="A1165" t="s">
        <v>87</v>
      </c>
      <c r="B1165" t="s">
        <v>2505</v>
      </c>
      <c r="C1165" t="s">
        <v>2532</v>
      </c>
      <c r="D1165" t="s">
        <v>2679</v>
      </c>
      <c r="E1165">
        <v>37</v>
      </c>
    </row>
    <row r="1166" spans="1:5" x14ac:dyDescent="0.25">
      <c r="A1166" t="s">
        <v>87</v>
      </c>
      <c r="B1166" t="s">
        <v>2505</v>
      </c>
      <c r="C1166" t="s">
        <v>2532</v>
      </c>
      <c r="D1166" t="s">
        <v>2680</v>
      </c>
      <c r="E1166">
        <v>54</v>
      </c>
    </row>
    <row r="1167" spans="1:5" x14ac:dyDescent="0.25">
      <c r="A1167" t="s">
        <v>87</v>
      </c>
      <c r="B1167" t="s">
        <v>2505</v>
      </c>
      <c r="C1167" t="s">
        <v>2532</v>
      </c>
      <c r="D1167" t="s">
        <v>2681</v>
      </c>
      <c r="E1167">
        <v>52</v>
      </c>
    </row>
    <row r="1168" spans="1:5" x14ac:dyDescent="0.25">
      <c r="A1168" t="s">
        <v>87</v>
      </c>
      <c r="B1168" t="s">
        <v>2505</v>
      </c>
      <c r="C1168" t="s">
        <v>2532</v>
      </c>
      <c r="D1168" t="s">
        <v>2682</v>
      </c>
      <c r="E1168">
        <v>64</v>
      </c>
    </row>
    <row r="1169" spans="1:5" x14ac:dyDescent="0.25">
      <c r="A1169" t="s">
        <v>87</v>
      </c>
      <c r="B1169" t="s">
        <v>2505</v>
      </c>
      <c r="C1169" t="s">
        <v>2532</v>
      </c>
      <c r="D1169" t="s">
        <v>2683</v>
      </c>
      <c r="E1169">
        <v>62</v>
      </c>
    </row>
    <row r="1170" spans="1:5" x14ac:dyDescent="0.25">
      <c r="A1170" t="s">
        <v>87</v>
      </c>
      <c r="B1170" t="s">
        <v>2505</v>
      </c>
      <c r="C1170" t="s">
        <v>2532</v>
      </c>
      <c r="D1170" t="s">
        <v>2684</v>
      </c>
      <c r="E1170">
        <v>48</v>
      </c>
    </row>
    <row r="1171" spans="1:5" x14ac:dyDescent="0.25">
      <c r="A1171" t="s">
        <v>87</v>
      </c>
      <c r="B1171" t="s">
        <v>2505</v>
      </c>
      <c r="C1171" t="s">
        <v>2532</v>
      </c>
      <c r="D1171" t="s">
        <v>2685</v>
      </c>
      <c r="E1171">
        <v>63</v>
      </c>
    </row>
    <row r="1172" spans="1:5" x14ac:dyDescent="0.25">
      <c r="A1172" t="s">
        <v>87</v>
      </c>
      <c r="B1172" t="s">
        <v>2505</v>
      </c>
      <c r="C1172" t="s">
        <v>2532</v>
      </c>
      <c r="D1172" t="s">
        <v>2686</v>
      </c>
      <c r="E1172">
        <v>72</v>
      </c>
    </row>
    <row r="1173" spans="1:5" x14ac:dyDescent="0.25">
      <c r="A1173" t="s">
        <v>87</v>
      </c>
      <c r="B1173" t="s">
        <v>2505</v>
      </c>
      <c r="C1173" t="s">
        <v>2532</v>
      </c>
      <c r="D1173" t="s">
        <v>2687</v>
      </c>
      <c r="E1173">
        <v>60</v>
      </c>
    </row>
    <row r="1174" spans="1:5" x14ac:dyDescent="0.25">
      <c r="A1174" t="s">
        <v>87</v>
      </c>
      <c r="B1174" t="s">
        <v>2505</v>
      </c>
      <c r="C1174" t="s">
        <v>2532</v>
      </c>
      <c r="D1174" t="s">
        <v>2688</v>
      </c>
      <c r="E1174">
        <v>68</v>
      </c>
    </row>
    <row r="1175" spans="1:5" x14ac:dyDescent="0.25">
      <c r="A1175" t="s">
        <v>87</v>
      </c>
      <c r="B1175" t="s">
        <v>2505</v>
      </c>
      <c r="C1175" t="s">
        <v>2532</v>
      </c>
      <c r="D1175" t="s">
        <v>2689</v>
      </c>
      <c r="E1175">
        <v>55</v>
      </c>
    </row>
    <row r="1176" spans="1:5" x14ac:dyDescent="0.25">
      <c r="A1176" t="s">
        <v>87</v>
      </c>
      <c r="B1176" t="s">
        <v>2505</v>
      </c>
      <c r="C1176" t="s">
        <v>2532</v>
      </c>
      <c r="D1176" t="s">
        <v>2690</v>
      </c>
      <c r="E1176">
        <v>44</v>
      </c>
    </row>
    <row r="1177" spans="1:5" x14ac:dyDescent="0.25">
      <c r="A1177" t="s">
        <v>87</v>
      </c>
      <c r="B1177" t="s">
        <v>2505</v>
      </c>
      <c r="C1177" t="s">
        <v>2524</v>
      </c>
      <c r="D1177" t="s">
        <v>2677</v>
      </c>
      <c r="E1177">
        <v>105</v>
      </c>
    </row>
    <row r="1178" spans="1:5" x14ac:dyDescent="0.25">
      <c r="A1178" t="s">
        <v>87</v>
      </c>
      <c r="B1178" t="s">
        <v>2505</v>
      </c>
      <c r="C1178" t="s">
        <v>2524</v>
      </c>
      <c r="D1178" t="s">
        <v>2678</v>
      </c>
      <c r="E1178">
        <v>200</v>
      </c>
    </row>
    <row r="1179" spans="1:5" x14ac:dyDescent="0.25">
      <c r="A1179" t="s">
        <v>87</v>
      </c>
      <c r="B1179" t="s">
        <v>2505</v>
      </c>
      <c r="C1179" t="s">
        <v>2524</v>
      </c>
      <c r="D1179" t="s">
        <v>2679</v>
      </c>
      <c r="E1179">
        <v>181</v>
      </c>
    </row>
    <row r="1180" spans="1:5" x14ac:dyDescent="0.25">
      <c r="A1180" t="s">
        <v>87</v>
      </c>
      <c r="B1180" t="s">
        <v>2505</v>
      </c>
      <c r="C1180" t="s">
        <v>2524</v>
      </c>
      <c r="D1180" t="s">
        <v>2680</v>
      </c>
      <c r="E1180">
        <v>148</v>
      </c>
    </row>
    <row r="1181" spans="1:5" x14ac:dyDescent="0.25">
      <c r="A1181" t="s">
        <v>87</v>
      </c>
      <c r="B1181" t="s">
        <v>2505</v>
      </c>
      <c r="C1181" t="s">
        <v>2524</v>
      </c>
      <c r="D1181" t="s">
        <v>2681</v>
      </c>
      <c r="E1181">
        <v>129</v>
      </c>
    </row>
    <row r="1182" spans="1:5" x14ac:dyDescent="0.25">
      <c r="A1182" t="s">
        <v>87</v>
      </c>
      <c r="B1182" t="s">
        <v>2505</v>
      </c>
      <c r="C1182" t="s">
        <v>2524</v>
      </c>
      <c r="D1182" t="s">
        <v>2682</v>
      </c>
      <c r="E1182">
        <v>176</v>
      </c>
    </row>
    <row r="1183" spans="1:5" x14ac:dyDescent="0.25">
      <c r="A1183" t="s">
        <v>87</v>
      </c>
      <c r="B1183" t="s">
        <v>2505</v>
      </c>
      <c r="C1183" t="s">
        <v>2524</v>
      </c>
      <c r="D1183" t="s">
        <v>2683</v>
      </c>
      <c r="E1183">
        <v>167</v>
      </c>
    </row>
    <row r="1184" spans="1:5" x14ac:dyDescent="0.25">
      <c r="A1184" t="s">
        <v>87</v>
      </c>
      <c r="B1184" t="s">
        <v>2505</v>
      </c>
      <c r="C1184" t="s">
        <v>2524</v>
      </c>
      <c r="D1184" t="s">
        <v>2684</v>
      </c>
      <c r="E1184">
        <v>178</v>
      </c>
    </row>
    <row r="1185" spans="1:5" x14ac:dyDescent="0.25">
      <c r="A1185" t="s">
        <v>87</v>
      </c>
      <c r="B1185" t="s">
        <v>2505</v>
      </c>
      <c r="C1185" t="s">
        <v>2524</v>
      </c>
      <c r="D1185" t="s">
        <v>2685</v>
      </c>
      <c r="E1185">
        <v>155</v>
      </c>
    </row>
    <row r="1186" spans="1:5" x14ac:dyDescent="0.25">
      <c r="A1186" t="s">
        <v>87</v>
      </c>
      <c r="B1186" t="s">
        <v>2505</v>
      </c>
      <c r="C1186" t="s">
        <v>2524</v>
      </c>
      <c r="D1186" t="s">
        <v>2686</v>
      </c>
      <c r="E1186">
        <v>122</v>
      </c>
    </row>
    <row r="1187" spans="1:5" x14ac:dyDescent="0.25">
      <c r="A1187" t="s">
        <v>87</v>
      </c>
      <c r="B1187" t="s">
        <v>2505</v>
      </c>
      <c r="C1187" t="s">
        <v>2524</v>
      </c>
      <c r="D1187" t="s">
        <v>2687</v>
      </c>
      <c r="E1187">
        <v>113</v>
      </c>
    </row>
    <row r="1188" spans="1:5" x14ac:dyDescent="0.25">
      <c r="A1188" t="s">
        <v>87</v>
      </c>
      <c r="B1188" t="s">
        <v>2505</v>
      </c>
      <c r="C1188" t="s">
        <v>2524</v>
      </c>
      <c r="D1188" t="s">
        <v>2688</v>
      </c>
      <c r="E1188">
        <v>81</v>
      </c>
    </row>
    <row r="1189" spans="1:5" x14ac:dyDescent="0.25">
      <c r="A1189" t="s">
        <v>87</v>
      </c>
      <c r="B1189" t="s">
        <v>2505</v>
      </c>
      <c r="C1189" t="s">
        <v>2524</v>
      </c>
      <c r="D1189" t="s">
        <v>2689</v>
      </c>
      <c r="E1189">
        <v>84</v>
      </c>
    </row>
    <row r="1190" spans="1:5" x14ac:dyDescent="0.25">
      <c r="A1190" t="s">
        <v>87</v>
      </c>
      <c r="B1190" t="s">
        <v>2505</v>
      </c>
      <c r="C1190" t="s">
        <v>2524</v>
      </c>
      <c r="D1190" t="s">
        <v>2690</v>
      </c>
      <c r="E1190">
        <v>82</v>
      </c>
    </row>
    <row r="1191" spans="1:5" x14ac:dyDescent="0.25">
      <c r="A1191" t="s">
        <v>87</v>
      </c>
      <c r="B1191" t="s">
        <v>2505</v>
      </c>
      <c r="C1191" t="s">
        <v>2535</v>
      </c>
      <c r="D1191" t="s">
        <v>2677</v>
      </c>
      <c r="E1191">
        <v>80</v>
      </c>
    </row>
    <row r="1192" spans="1:5" x14ac:dyDescent="0.25">
      <c r="A1192" t="s">
        <v>87</v>
      </c>
      <c r="B1192" t="s">
        <v>2505</v>
      </c>
      <c r="C1192" t="s">
        <v>2535</v>
      </c>
      <c r="D1192" t="s">
        <v>2678</v>
      </c>
      <c r="E1192">
        <v>168</v>
      </c>
    </row>
    <row r="1193" spans="1:5" x14ac:dyDescent="0.25">
      <c r="A1193" t="s">
        <v>87</v>
      </c>
      <c r="B1193" t="s">
        <v>2505</v>
      </c>
      <c r="C1193" t="s">
        <v>2535</v>
      </c>
      <c r="D1193" t="s">
        <v>2679</v>
      </c>
      <c r="E1193">
        <v>163</v>
      </c>
    </row>
    <row r="1194" spans="1:5" x14ac:dyDescent="0.25">
      <c r="A1194" t="s">
        <v>87</v>
      </c>
      <c r="B1194" t="s">
        <v>2505</v>
      </c>
      <c r="C1194" t="s">
        <v>2535</v>
      </c>
      <c r="D1194" t="s">
        <v>2680</v>
      </c>
      <c r="E1194">
        <v>177</v>
      </c>
    </row>
    <row r="1195" spans="1:5" x14ac:dyDescent="0.25">
      <c r="A1195" t="s">
        <v>87</v>
      </c>
      <c r="B1195" t="s">
        <v>2505</v>
      </c>
      <c r="C1195" t="s">
        <v>2535</v>
      </c>
      <c r="D1195" t="s">
        <v>2681</v>
      </c>
      <c r="E1195">
        <v>187</v>
      </c>
    </row>
    <row r="1196" spans="1:5" x14ac:dyDescent="0.25">
      <c r="A1196" t="s">
        <v>87</v>
      </c>
      <c r="B1196" t="s">
        <v>2505</v>
      </c>
      <c r="C1196" t="s">
        <v>2535</v>
      </c>
      <c r="D1196" t="s">
        <v>2682</v>
      </c>
      <c r="E1196">
        <v>133</v>
      </c>
    </row>
    <row r="1197" spans="1:5" x14ac:dyDescent="0.25">
      <c r="A1197" t="s">
        <v>87</v>
      </c>
      <c r="B1197" t="s">
        <v>2505</v>
      </c>
      <c r="C1197" t="s">
        <v>2535</v>
      </c>
      <c r="D1197" t="s">
        <v>2683</v>
      </c>
      <c r="E1197">
        <v>97</v>
      </c>
    </row>
    <row r="1198" spans="1:5" x14ac:dyDescent="0.25">
      <c r="A1198" t="s">
        <v>87</v>
      </c>
      <c r="B1198" t="s">
        <v>2505</v>
      </c>
      <c r="C1198" t="s">
        <v>2535</v>
      </c>
      <c r="D1198" t="s">
        <v>2684</v>
      </c>
      <c r="E1198">
        <v>58</v>
      </c>
    </row>
    <row r="1199" spans="1:5" x14ac:dyDescent="0.25">
      <c r="A1199" t="s">
        <v>87</v>
      </c>
      <c r="B1199" t="s">
        <v>2505</v>
      </c>
      <c r="C1199" t="s">
        <v>2535</v>
      </c>
      <c r="D1199" t="s">
        <v>2685</v>
      </c>
      <c r="E1199">
        <v>78</v>
      </c>
    </row>
    <row r="1200" spans="1:5" x14ac:dyDescent="0.25">
      <c r="A1200" t="s">
        <v>87</v>
      </c>
      <c r="B1200" t="s">
        <v>2505</v>
      </c>
      <c r="C1200" t="s">
        <v>2535</v>
      </c>
      <c r="D1200" t="s">
        <v>2686</v>
      </c>
      <c r="E1200">
        <v>95</v>
      </c>
    </row>
    <row r="1201" spans="1:5" x14ac:dyDescent="0.25">
      <c r="A1201" t="s">
        <v>87</v>
      </c>
      <c r="B1201" t="s">
        <v>2505</v>
      </c>
      <c r="C1201" t="s">
        <v>2535</v>
      </c>
      <c r="D1201" t="s">
        <v>2687</v>
      </c>
      <c r="E1201">
        <v>88</v>
      </c>
    </row>
    <row r="1202" spans="1:5" x14ac:dyDescent="0.25">
      <c r="A1202" t="s">
        <v>87</v>
      </c>
      <c r="B1202" t="s">
        <v>2505</v>
      </c>
      <c r="C1202" t="s">
        <v>2535</v>
      </c>
      <c r="D1202" t="s">
        <v>2688</v>
      </c>
      <c r="E1202">
        <v>78</v>
      </c>
    </row>
    <row r="1203" spans="1:5" x14ac:dyDescent="0.25">
      <c r="A1203" t="s">
        <v>87</v>
      </c>
      <c r="B1203" t="s">
        <v>2505</v>
      </c>
      <c r="C1203" t="s">
        <v>2535</v>
      </c>
      <c r="D1203" t="s">
        <v>2689</v>
      </c>
      <c r="E1203">
        <v>61</v>
      </c>
    </row>
    <row r="1204" spans="1:5" x14ac:dyDescent="0.25">
      <c r="A1204" t="s">
        <v>87</v>
      </c>
      <c r="B1204" t="s">
        <v>2505</v>
      </c>
      <c r="C1204" t="s">
        <v>2535</v>
      </c>
      <c r="D1204" t="s">
        <v>2690</v>
      </c>
      <c r="E1204">
        <v>73</v>
      </c>
    </row>
    <row r="1205" spans="1:5" x14ac:dyDescent="0.25">
      <c r="A1205" t="s">
        <v>87</v>
      </c>
      <c r="B1205" t="s">
        <v>2505</v>
      </c>
      <c r="C1205" t="s">
        <v>2534</v>
      </c>
      <c r="D1205" t="s">
        <v>2677</v>
      </c>
      <c r="E1205">
        <v>31</v>
      </c>
    </row>
    <row r="1206" spans="1:5" x14ac:dyDescent="0.25">
      <c r="A1206" t="s">
        <v>87</v>
      </c>
      <c r="B1206" t="s">
        <v>2505</v>
      </c>
      <c r="C1206" t="s">
        <v>2534</v>
      </c>
      <c r="D1206" t="s">
        <v>2678</v>
      </c>
      <c r="E1206">
        <v>73</v>
      </c>
    </row>
    <row r="1207" spans="1:5" x14ac:dyDescent="0.25">
      <c r="A1207" t="s">
        <v>87</v>
      </c>
      <c r="B1207" t="s">
        <v>2505</v>
      </c>
      <c r="C1207" t="s">
        <v>2534</v>
      </c>
      <c r="D1207" t="s">
        <v>2679</v>
      </c>
      <c r="E1207">
        <v>59</v>
      </c>
    </row>
    <row r="1208" spans="1:5" x14ac:dyDescent="0.25">
      <c r="A1208" t="s">
        <v>87</v>
      </c>
      <c r="B1208" t="s">
        <v>2505</v>
      </c>
      <c r="C1208" t="s">
        <v>2534</v>
      </c>
      <c r="D1208" t="s">
        <v>2680</v>
      </c>
      <c r="E1208">
        <v>40</v>
      </c>
    </row>
    <row r="1209" spans="1:5" x14ac:dyDescent="0.25">
      <c r="A1209" t="s">
        <v>87</v>
      </c>
      <c r="B1209" t="s">
        <v>2505</v>
      </c>
      <c r="C1209" t="s">
        <v>2534</v>
      </c>
      <c r="D1209" t="s">
        <v>2681</v>
      </c>
      <c r="E1209">
        <v>46</v>
      </c>
    </row>
    <row r="1210" spans="1:5" x14ac:dyDescent="0.25">
      <c r="A1210" t="s">
        <v>87</v>
      </c>
      <c r="B1210" t="s">
        <v>2505</v>
      </c>
      <c r="C1210" t="s">
        <v>2534</v>
      </c>
      <c r="D1210" t="s">
        <v>2682</v>
      </c>
      <c r="E1210">
        <v>30</v>
      </c>
    </row>
    <row r="1211" spans="1:5" x14ac:dyDescent="0.25">
      <c r="A1211" t="s">
        <v>87</v>
      </c>
      <c r="B1211" t="s">
        <v>2698</v>
      </c>
      <c r="C1211" t="s">
        <v>2713</v>
      </c>
      <c r="D1211" t="s">
        <v>2677</v>
      </c>
      <c r="E1211">
        <v>5</v>
      </c>
    </row>
    <row r="1212" spans="1:5" x14ac:dyDescent="0.25">
      <c r="A1212" t="s">
        <v>87</v>
      </c>
      <c r="B1212" t="s">
        <v>2698</v>
      </c>
      <c r="C1212" t="s">
        <v>2713</v>
      </c>
      <c r="D1212" t="s">
        <v>2678</v>
      </c>
      <c r="E1212">
        <v>20</v>
      </c>
    </row>
    <row r="1213" spans="1:5" x14ac:dyDescent="0.25">
      <c r="A1213" t="s">
        <v>87</v>
      </c>
      <c r="B1213" t="s">
        <v>2698</v>
      </c>
      <c r="C1213" t="s">
        <v>2713</v>
      </c>
      <c r="D1213" t="s">
        <v>2680</v>
      </c>
      <c r="E1213">
        <v>2</v>
      </c>
    </row>
    <row r="1214" spans="1:5" x14ac:dyDescent="0.25">
      <c r="A1214" t="s">
        <v>87</v>
      </c>
      <c r="B1214" t="s">
        <v>2698</v>
      </c>
      <c r="C1214" t="s">
        <v>2713</v>
      </c>
      <c r="D1214" t="s">
        <v>2681</v>
      </c>
      <c r="E1214">
        <v>2</v>
      </c>
    </row>
    <row r="1215" spans="1:5" x14ac:dyDescent="0.25">
      <c r="A1215" t="s">
        <v>87</v>
      </c>
      <c r="B1215" t="s">
        <v>2698</v>
      </c>
      <c r="C1215" t="s">
        <v>2714</v>
      </c>
      <c r="D1215" t="s">
        <v>2677</v>
      </c>
      <c r="E1215">
        <v>20</v>
      </c>
    </row>
    <row r="1216" spans="1:5" x14ac:dyDescent="0.25">
      <c r="A1216" t="s">
        <v>87</v>
      </c>
      <c r="B1216" t="s">
        <v>2698</v>
      </c>
      <c r="C1216" t="s">
        <v>2714</v>
      </c>
      <c r="D1216" t="s">
        <v>2678</v>
      </c>
      <c r="E1216">
        <v>42</v>
      </c>
    </row>
    <row r="1217" spans="1:5" x14ac:dyDescent="0.25">
      <c r="A1217" t="s">
        <v>87</v>
      </c>
      <c r="B1217" t="s">
        <v>2698</v>
      </c>
      <c r="C1217" t="s">
        <v>2714</v>
      </c>
      <c r="D1217" t="s">
        <v>2679</v>
      </c>
      <c r="E1217">
        <v>16</v>
      </c>
    </row>
    <row r="1218" spans="1:5" x14ac:dyDescent="0.25">
      <c r="A1218" t="s">
        <v>87</v>
      </c>
      <c r="B1218" t="s">
        <v>2698</v>
      </c>
      <c r="C1218" t="s">
        <v>2714</v>
      </c>
      <c r="D1218" t="s">
        <v>2680</v>
      </c>
      <c r="E1218">
        <v>12</v>
      </c>
    </row>
    <row r="1219" spans="1:5" x14ac:dyDescent="0.25">
      <c r="A1219" t="s">
        <v>87</v>
      </c>
      <c r="B1219" t="s">
        <v>2698</v>
      </c>
      <c r="C1219" t="s">
        <v>2714</v>
      </c>
      <c r="D1219" t="s">
        <v>2681</v>
      </c>
      <c r="E1219">
        <v>13</v>
      </c>
    </row>
    <row r="1220" spans="1:5" x14ac:dyDescent="0.25">
      <c r="A1220" t="s">
        <v>87</v>
      </c>
      <c r="B1220" t="s">
        <v>2698</v>
      </c>
      <c r="C1220" t="s">
        <v>2712</v>
      </c>
      <c r="D1220" t="s">
        <v>2677</v>
      </c>
      <c r="E1220">
        <v>12</v>
      </c>
    </row>
    <row r="1221" spans="1:5" x14ac:dyDescent="0.25">
      <c r="A1221" t="s">
        <v>87</v>
      </c>
      <c r="B1221" t="s">
        <v>2698</v>
      </c>
      <c r="C1221" t="s">
        <v>2712</v>
      </c>
      <c r="D1221" t="s">
        <v>2678</v>
      </c>
      <c r="E1221">
        <v>27</v>
      </c>
    </row>
    <row r="1222" spans="1:5" x14ac:dyDescent="0.25">
      <c r="A1222" t="s">
        <v>87</v>
      </c>
      <c r="B1222" t="s">
        <v>2698</v>
      </c>
      <c r="C1222" t="s">
        <v>2712</v>
      </c>
      <c r="D1222" t="s">
        <v>2679</v>
      </c>
      <c r="E1222">
        <v>15</v>
      </c>
    </row>
    <row r="1223" spans="1:5" x14ac:dyDescent="0.25">
      <c r="A1223" t="s">
        <v>87</v>
      </c>
      <c r="B1223" t="s">
        <v>2698</v>
      </c>
      <c r="C1223" t="s">
        <v>2715</v>
      </c>
      <c r="D1223" t="s">
        <v>2677</v>
      </c>
      <c r="E1223">
        <v>13</v>
      </c>
    </row>
    <row r="1224" spans="1:5" x14ac:dyDescent="0.25">
      <c r="A1224" t="s">
        <v>87</v>
      </c>
      <c r="B1224" t="s">
        <v>2698</v>
      </c>
      <c r="C1224" t="s">
        <v>2715</v>
      </c>
      <c r="D1224" t="s">
        <v>2678</v>
      </c>
      <c r="E1224">
        <v>23</v>
      </c>
    </row>
    <row r="1225" spans="1:5" x14ac:dyDescent="0.25">
      <c r="A1225" t="s">
        <v>87</v>
      </c>
      <c r="B1225" t="s">
        <v>2698</v>
      </c>
      <c r="C1225" t="s">
        <v>2715</v>
      </c>
      <c r="D1225" t="s">
        <v>2679</v>
      </c>
      <c r="E1225">
        <v>13</v>
      </c>
    </row>
    <row r="1226" spans="1:5" x14ac:dyDescent="0.25">
      <c r="A1226" t="s">
        <v>87</v>
      </c>
      <c r="B1226" t="s">
        <v>2698</v>
      </c>
      <c r="C1226" t="s">
        <v>2715</v>
      </c>
      <c r="D1226" t="s">
        <v>2680</v>
      </c>
      <c r="E1226">
        <v>16</v>
      </c>
    </row>
    <row r="1227" spans="1:5" x14ac:dyDescent="0.25">
      <c r="A1227" t="s">
        <v>87</v>
      </c>
      <c r="B1227" t="s">
        <v>2698</v>
      </c>
      <c r="C1227" t="s">
        <v>2715</v>
      </c>
      <c r="D1227" t="s">
        <v>2681</v>
      </c>
      <c r="E1227">
        <v>13</v>
      </c>
    </row>
    <row r="1228" spans="1:5" x14ac:dyDescent="0.25">
      <c r="A1228" t="s">
        <v>87</v>
      </c>
      <c r="B1228" t="s">
        <v>2698</v>
      </c>
      <c r="C1228" t="s">
        <v>2526</v>
      </c>
      <c r="D1228" t="s">
        <v>2677</v>
      </c>
      <c r="E1228">
        <v>37</v>
      </c>
    </row>
    <row r="1229" spans="1:5" x14ac:dyDescent="0.25">
      <c r="A1229" t="s">
        <v>87</v>
      </c>
      <c r="B1229" t="s">
        <v>2698</v>
      </c>
      <c r="C1229" t="s">
        <v>2526</v>
      </c>
      <c r="D1229" t="s">
        <v>2678</v>
      </c>
      <c r="E1229">
        <v>56</v>
      </c>
    </row>
    <row r="1230" spans="1:5" x14ac:dyDescent="0.25">
      <c r="A1230" t="s">
        <v>87</v>
      </c>
      <c r="B1230" t="s">
        <v>2698</v>
      </c>
      <c r="C1230" t="s">
        <v>2526</v>
      </c>
      <c r="D1230" t="s">
        <v>2679</v>
      </c>
      <c r="E1230">
        <v>26</v>
      </c>
    </row>
    <row r="1231" spans="1:5" x14ac:dyDescent="0.25">
      <c r="A1231" t="s">
        <v>87</v>
      </c>
      <c r="B1231" t="s">
        <v>2698</v>
      </c>
      <c r="C1231" t="s">
        <v>2526</v>
      </c>
      <c r="D1231" t="s">
        <v>2680</v>
      </c>
      <c r="E1231">
        <v>40</v>
      </c>
    </row>
    <row r="1232" spans="1:5" x14ac:dyDescent="0.25">
      <c r="A1232" t="s">
        <v>87</v>
      </c>
      <c r="B1232" t="s">
        <v>2698</v>
      </c>
      <c r="C1232" t="s">
        <v>2526</v>
      </c>
      <c r="D1232" t="s">
        <v>2681</v>
      </c>
      <c r="E1232">
        <v>42</v>
      </c>
    </row>
    <row r="1233" spans="1:5" x14ac:dyDescent="0.25">
      <c r="A1233" t="s">
        <v>87</v>
      </c>
      <c r="B1233" t="s">
        <v>2698</v>
      </c>
      <c r="C1233" t="s">
        <v>2526</v>
      </c>
      <c r="D1233" t="s">
        <v>2682</v>
      </c>
      <c r="E1233">
        <v>3</v>
      </c>
    </row>
    <row r="1234" spans="1:5" x14ac:dyDescent="0.25">
      <c r="A1234" t="s">
        <v>87</v>
      </c>
      <c r="B1234" t="s">
        <v>2698</v>
      </c>
      <c r="C1234" t="s">
        <v>2526</v>
      </c>
      <c r="D1234" t="s">
        <v>2683</v>
      </c>
      <c r="E1234">
        <v>2</v>
      </c>
    </row>
    <row r="1235" spans="1:5" x14ac:dyDescent="0.25">
      <c r="A1235" t="s">
        <v>87</v>
      </c>
      <c r="B1235" t="s">
        <v>2698</v>
      </c>
      <c r="C1235" t="s">
        <v>2526</v>
      </c>
      <c r="D1235" t="s">
        <v>2684</v>
      </c>
      <c r="E1235">
        <v>4</v>
      </c>
    </row>
    <row r="1236" spans="1:5" x14ac:dyDescent="0.25">
      <c r="A1236" t="s">
        <v>87</v>
      </c>
      <c r="B1236" t="s">
        <v>2698</v>
      </c>
      <c r="C1236" t="s">
        <v>2716</v>
      </c>
      <c r="D1236" t="s">
        <v>2677</v>
      </c>
      <c r="E1236">
        <v>3</v>
      </c>
    </row>
    <row r="1237" spans="1:5" x14ac:dyDescent="0.25">
      <c r="A1237" t="s">
        <v>87</v>
      </c>
      <c r="B1237" t="s">
        <v>2698</v>
      </c>
      <c r="C1237" t="s">
        <v>2716</v>
      </c>
      <c r="D1237" t="s">
        <v>2678</v>
      </c>
      <c r="E1237">
        <v>3</v>
      </c>
    </row>
    <row r="1238" spans="1:5" x14ac:dyDescent="0.25">
      <c r="A1238" t="s">
        <v>87</v>
      </c>
      <c r="B1238" t="s">
        <v>2698</v>
      </c>
      <c r="C1238" t="s">
        <v>2716</v>
      </c>
      <c r="D1238" t="s">
        <v>2679</v>
      </c>
      <c r="E1238">
        <v>3</v>
      </c>
    </row>
    <row r="1239" spans="1:5" x14ac:dyDescent="0.25">
      <c r="A1239" t="s">
        <v>87</v>
      </c>
      <c r="B1239" t="s">
        <v>2698</v>
      </c>
      <c r="C1239" t="s">
        <v>2716</v>
      </c>
      <c r="D1239" t="s">
        <v>2680</v>
      </c>
      <c r="E1239">
        <v>6</v>
      </c>
    </row>
    <row r="1240" spans="1:5" x14ac:dyDescent="0.25">
      <c r="A1240" t="s">
        <v>87</v>
      </c>
      <c r="B1240" t="s">
        <v>2698</v>
      </c>
      <c r="C1240" t="s">
        <v>2716</v>
      </c>
      <c r="D1240" t="s">
        <v>2681</v>
      </c>
      <c r="E1240">
        <v>5</v>
      </c>
    </row>
    <row r="1241" spans="1:5" x14ac:dyDescent="0.25">
      <c r="A1241" t="s">
        <v>87</v>
      </c>
      <c r="B1241" t="s">
        <v>2698</v>
      </c>
      <c r="C1241" t="s">
        <v>2717</v>
      </c>
      <c r="D1241" t="s">
        <v>2677</v>
      </c>
      <c r="E1241">
        <v>1</v>
      </c>
    </row>
    <row r="1242" spans="1:5" x14ac:dyDescent="0.25">
      <c r="A1242" t="s">
        <v>87</v>
      </c>
      <c r="B1242" t="s">
        <v>2698</v>
      </c>
      <c r="C1242" t="s">
        <v>2717</v>
      </c>
      <c r="D1242" t="s">
        <v>2678</v>
      </c>
      <c r="E1242">
        <v>2</v>
      </c>
    </row>
    <row r="1243" spans="1:5" x14ac:dyDescent="0.25">
      <c r="A1243" t="s">
        <v>87</v>
      </c>
      <c r="B1243" t="s">
        <v>2698</v>
      </c>
      <c r="C1243" t="s">
        <v>2717</v>
      </c>
      <c r="D1243" t="s">
        <v>2679</v>
      </c>
      <c r="E1243">
        <v>7</v>
      </c>
    </row>
    <row r="1244" spans="1:5" x14ac:dyDescent="0.25">
      <c r="A1244" t="s">
        <v>87</v>
      </c>
      <c r="B1244" t="s">
        <v>2698</v>
      </c>
      <c r="C1244" t="s">
        <v>2717</v>
      </c>
      <c r="D1244" t="s">
        <v>2680</v>
      </c>
      <c r="E1244">
        <v>8</v>
      </c>
    </row>
    <row r="1245" spans="1:5" x14ac:dyDescent="0.25">
      <c r="A1245" t="s">
        <v>87</v>
      </c>
      <c r="B1245" t="s">
        <v>2698</v>
      </c>
      <c r="C1245" t="s">
        <v>2717</v>
      </c>
      <c r="D1245" t="s">
        <v>2681</v>
      </c>
      <c r="E1245">
        <v>5</v>
      </c>
    </row>
    <row r="1246" spans="1:5" x14ac:dyDescent="0.25">
      <c r="A1246" t="s">
        <v>75</v>
      </c>
      <c r="B1246" t="s">
        <v>2470</v>
      </c>
      <c r="C1246" t="s">
        <v>2500</v>
      </c>
      <c r="D1246" t="s">
        <v>2681</v>
      </c>
      <c r="E1246">
        <v>176</v>
      </c>
    </row>
    <row r="1247" spans="1:5" x14ac:dyDescent="0.25">
      <c r="A1247" t="s">
        <v>75</v>
      </c>
      <c r="B1247" t="s">
        <v>2470</v>
      </c>
      <c r="C1247" t="s">
        <v>2500</v>
      </c>
      <c r="D1247" t="s">
        <v>2682</v>
      </c>
      <c r="E1247">
        <v>209</v>
      </c>
    </row>
    <row r="1248" spans="1:5" x14ac:dyDescent="0.25">
      <c r="A1248" t="s">
        <v>75</v>
      </c>
      <c r="B1248" t="s">
        <v>2470</v>
      </c>
      <c r="C1248" t="s">
        <v>2500</v>
      </c>
      <c r="D1248" t="s">
        <v>2683</v>
      </c>
      <c r="E1248">
        <v>226</v>
      </c>
    </row>
    <row r="1249" spans="1:5" x14ac:dyDescent="0.25">
      <c r="A1249" t="s">
        <v>75</v>
      </c>
      <c r="B1249" t="s">
        <v>2470</v>
      </c>
      <c r="C1249" t="s">
        <v>2500</v>
      </c>
      <c r="D1249" t="s">
        <v>2684</v>
      </c>
      <c r="E1249">
        <v>267</v>
      </c>
    </row>
    <row r="1250" spans="1:5" x14ac:dyDescent="0.25">
      <c r="A1250" t="s">
        <v>75</v>
      </c>
      <c r="B1250" t="s">
        <v>2470</v>
      </c>
      <c r="C1250" t="s">
        <v>2500</v>
      </c>
      <c r="D1250" t="s">
        <v>2685</v>
      </c>
      <c r="E1250">
        <v>254</v>
      </c>
    </row>
    <row r="1251" spans="1:5" x14ac:dyDescent="0.25">
      <c r="A1251" t="s">
        <v>75</v>
      </c>
      <c r="B1251" t="s">
        <v>2470</v>
      </c>
      <c r="C1251" t="s">
        <v>2500</v>
      </c>
      <c r="D1251" t="s">
        <v>2686</v>
      </c>
      <c r="E1251">
        <v>245</v>
      </c>
    </row>
    <row r="1252" spans="1:5" x14ac:dyDescent="0.25">
      <c r="A1252" t="s">
        <v>75</v>
      </c>
      <c r="B1252" t="s">
        <v>2470</v>
      </c>
      <c r="C1252" t="s">
        <v>2500</v>
      </c>
      <c r="D1252" t="s">
        <v>2687</v>
      </c>
      <c r="E1252">
        <v>228</v>
      </c>
    </row>
    <row r="1253" spans="1:5" x14ac:dyDescent="0.25">
      <c r="A1253" t="s">
        <v>75</v>
      </c>
      <c r="B1253" t="s">
        <v>2470</v>
      </c>
      <c r="C1253" t="s">
        <v>2500</v>
      </c>
      <c r="D1253" t="s">
        <v>2688</v>
      </c>
      <c r="E1253">
        <v>213</v>
      </c>
    </row>
    <row r="1254" spans="1:5" x14ac:dyDescent="0.25">
      <c r="A1254" t="s">
        <v>75</v>
      </c>
      <c r="B1254" t="s">
        <v>2470</v>
      </c>
      <c r="C1254" t="s">
        <v>2500</v>
      </c>
      <c r="D1254" t="s">
        <v>2689</v>
      </c>
      <c r="E1254">
        <v>183</v>
      </c>
    </row>
    <row r="1255" spans="1:5" x14ac:dyDescent="0.25">
      <c r="A1255" t="s">
        <v>75</v>
      </c>
      <c r="B1255" t="s">
        <v>2470</v>
      </c>
      <c r="C1255" t="s">
        <v>2500</v>
      </c>
      <c r="D1255" t="s">
        <v>2690</v>
      </c>
      <c r="E1255">
        <v>49</v>
      </c>
    </row>
    <row r="1256" spans="1:5" x14ac:dyDescent="0.25">
      <c r="A1256" t="s">
        <v>75</v>
      </c>
      <c r="B1256" t="s">
        <v>2470</v>
      </c>
      <c r="C1256" t="s">
        <v>2540</v>
      </c>
      <c r="D1256" t="s">
        <v>2677</v>
      </c>
      <c r="E1256">
        <v>38</v>
      </c>
    </row>
    <row r="1257" spans="1:5" x14ac:dyDescent="0.25">
      <c r="A1257" t="s">
        <v>75</v>
      </c>
      <c r="B1257" t="s">
        <v>2470</v>
      </c>
      <c r="C1257" t="s">
        <v>2540</v>
      </c>
      <c r="D1257" t="s">
        <v>2678</v>
      </c>
      <c r="E1257">
        <v>67</v>
      </c>
    </row>
    <row r="1258" spans="1:5" x14ac:dyDescent="0.25">
      <c r="A1258" t="s">
        <v>75</v>
      </c>
      <c r="B1258" t="s">
        <v>2470</v>
      </c>
      <c r="C1258" t="s">
        <v>2540</v>
      </c>
      <c r="D1258" t="s">
        <v>2679</v>
      </c>
      <c r="E1258">
        <v>65</v>
      </c>
    </row>
    <row r="1259" spans="1:5" x14ac:dyDescent="0.25">
      <c r="A1259" t="s">
        <v>75</v>
      </c>
      <c r="B1259" t="s">
        <v>2470</v>
      </c>
      <c r="C1259" t="s">
        <v>2540</v>
      </c>
      <c r="D1259" t="s">
        <v>2680</v>
      </c>
      <c r="E1259">
        <v>60</v>
      </c>
    </row>
    <row r="1260" spans="1:5" x14ac:dyDescent="0.25">
      <c r="A1260" t="s">
        <v>75</v>
      </c>
      <c r="B1260" t="s">
        <v>2470</v>
      </c>
      <c r="C1260" t="s">
        <v>2540</v>
      </c>
      <c r="D1260" t="s">
        <v>2681</v>
      </c>
      <c r="E1260">
        <v>51</v>
      </c>
    </row>
    <row r="1261" spans="1:5" x14ac:dyDescent="0.25">
      <c r="A1261" t="s">
        <v>75</v>
      </c>
      <c r="B1261" t="s">
        <v>2470</v>
      </c>
      <c r="C1261" t="s">
        <v>2540</v>
      </c>
      <c r="D1261" t="s">
        <v>2682</v>
      </c>
      <c r="E1261">
        <v>5</v>
      </c>
    </row>
    <row r="1262" spans="1:5" x14ac:dyDescent="0.25">
      <c r="A1262" t="s">
        <v>75</v>
      </c>
      <c r="B1262" t="s">
        <v>2470</v>
      </c>
      <c r="C1262" t="s">
        <v>76</v>
      </c>
      <c r="D1262" t="s">
        <v>2677</v>
      </c>
      <c r="E1262">
        <v>1</v>
      </c>
    </row>
    <row r="1263" spans="1:5" x14ac:dyDescent="0.25">
      <c r="A1263" t="s">
        <v>75</v>
      </c>
      <c r="B1263" t="s">
        <v>2470</v>
      </c>
      <c r="C1263" t="s">
        <v>76</v>
      </c>
      <c r="D1263" t="s">
        <v>2678</v>
      </c>
      <c r="E1263">
        <v>1</v>
      </c>
    </row>
    <row r="1264" spans="1:5" x14ac:dyDescent="0.25">
      <c r="A1264" t="s">
        <v>75</v>
      </c>
      <c r="B1264" t="s">
        <v>2470</v>
      </c>
      <c r="C1264" t="s">
        <v>76</v>
      </c>
      <c r="D1264" t="s">
        <v>2679</v>
      </c>
      <c r="E1264">
        <v>1</v>
      </c>
    </row>
    <row r="1265" spans="1:5" x14ac:dyDescent="0.25">
      <c r="A1265" t="s">
        <v>75</v>
      </c>
      <c r="B1265" t="s">
        <v>2470</v>
      </c>
      <c r="C1265" t="s">
        <v>76</v>
      </c>
      <c r="D1265" t="s">
        <v>2680</v>
      </c>
      <c r="E1265">
        <v>10</v>
      </c>
    </row>
    <row r="1266" spans="1:5" x14ac:dyDescent="0.25">
      <c r="A1266" t="s">
        <v>75</v>
      </c>
      <c r="B1266" t="s">
        <v>2470</v>
      </c>
      <c r="C1266" t="s">
        <v>76</v>
      </c>
      <c r="D1266" t="s">
        <v>2681</v>
      </c>
      <c r="E1266">
        <v>152</v>
      </c>
    </row>
    <row r="1267" spans="1:5" x14ac:dyDescent="0.25">
      <c r="A1267" t="s">
        <v>75</v>
      </c>
      <c r="B1267" t="s">
        <v>2470</v>
      </c>
      <c r="C1267" t="s">
        <v>76</v>
      </c>
      <c r="D1267" t="s">
        <v>2682</v>
      </c>
      <c r="E1267">
        <v>305</v>
      </c>
    </row>
    <row r="1268" spans="1:5" x14ac:dyDescent="0.25">
      <c r="A1268" t="s">
        <v>75</v>
      </c>
      <c r="B1268" t="s">
        <v>2470</v>
      </c>
      <c r="C1268" t="s">
        <v>76</v>
      </c>
      <c r="D1268" t="s">
        <v>2683</v>
      </c>
      <c r="E1268">
        <v>310</v>
      </c>
    </row>
    <row r="1269" spans="1:5" x14ac:dyDescent="0.25">
      <c r="A1269" t="s">
        <v>75</v>
      </c>
      <c r="B1269" t="s">
        <v>2470</v>
      </c>
      <c r="C1269" t="s">
        <v>76</v>
      </c>
      <c r="D1269" t="s">
        <v>2684</v>
      </c>
      <c r="E1269">
        <v>317</v>
      </c>
    </row>
    <row r="1270" spans="1:5" x14ac:dyDescent="0.25">
      <c r="A1270" t="s">
        <v>75</v>
      </c>
      <c r="B1270" t="s">
        <v>2470</v>
      </c>
      <c r="C1270" t="s">
        <v>76</v>
      </c>
      <c r="D1270" t="s">
        <v>2685</v>
      </c>
      <c r="E1270">
        <v>433</v>
      </c>
    </row>
    <row r="1271" spans="1:5" x14ac:dyDescent="0.25">
      <c r="A1271" t="s">
        <v>75</v>
      </c>
      <c r="B1271" t="s">
        <v>2470</v>
      </c>
      <c r="C1271" t="s">
        <v>76</v>
      </c>
      <c r="D1271" t="s">
        <v>2686</v>
      </c>
      <c r="E1271">
        <v>467</v>
      </c>
    </row>
    <row r="1272" spans="1:5" x14ac:dyDescent="0.25">
      <c r="A1272" t="s">
        <v>75</v>
      </c>
      <c r="B1272" t="s">
        <v>2470</v>
      </c>
      <c r="C1272" t="s">
        <v>76</v>
      </c>
      <c r="D1272" t="s">
        <v>2687</v>
      </c>
      <c r="E1272">
        <v>492</v>
      </c>
    </row>
    <row r="1273" spans="1:5" x14ac:dyDescent="0.25">
      <c r="A1273" t="s">
        <v>75</v>
      </c>
      <c r="B1273" t="s">
        <v>2470</v>
      </c>
      <c r="C1273" t="s">
        <v>76</v>
      </c>
      <c r="D1273" t="s">
        <v>2688</v>
      </c>
      <c r="E1273">
        <v>533</v>
      </c>
    </row>
    <row r="1274" spans="1:5" x14ac:dyDescent="0.25">
      <c r="A1274" t="s">
        <v>75</v>
      </c>
      <c r="B1274" t="s">
        <v>2470</v>
      </c>
      <c r="C1274" t="s">
        <v>76</v>
      </c>
      <c r="D1274" t="s">
        <v>2689</v>
      </c>
      <c r="E1274">
        <v>487</v>
      </c>
    </row>
    <row r="1275" spans="1:5" x14ac:dyDescent="0.25">
      <c r="A1275" t="s">
        <v>75</v>
      </c>
      <c r="B1275" t="s">
        <v>2470</v>
      </c>
      <c r="C1275" t="s">
        <v>76</v>
      </c>
      <c r="D1275" t="s">
        <v>2690</v>
      </c>
      <c r="E1275">
        <v>507</v>
      </c>
    </row>
    <row r="1276" spans="1:5" x14ac:dyDescent="0.25">
      <c r="A1276" t="s">
        <v>75</v>
      </c>
      <c r="B1276" t="s">
        <v>2470</v>
      </c>
      <c r="C1276" t="s">
        <v>2542</v>
      </c>
      <c r="D1276" t="s">
        <v>2677</v>
      </c>
      <c r="E1276">
        <v>136</v>
      </c>
    </row>
    <row r="1277" spans="1:5" x14ac:dyDescent="0.25">
      <c r="A1277" t="s">
        <v>75</v>
      </c>
      <c r="B1277" t="s">
        <v>2470</v>
      </c>
      <c r="C1277" t="s">
        <v>2542</v>
      </c>
      <c r="D1277" t="s">
        <v>2678</v>
      </c>
      <c r="E1277">
        <v>283</v>
      </c>
    </row>
    <row r="1278" spans="1:5" x14ac:dyDescent="0.25">
      <c r="A1278" t="s">
        <v>75</v>
      </c>
      <c r="B1278" t="s">
        <v>2470</v>
      </c>
      <c r="C1278" t="s">
        <v>2542</v>
      </c>
      <c r="D1278" t="s">
        <v>2679</v>
      </c>
      <c r="E1278">
        <v>300</v>
      </c>
    </row>
    <row r="1279" spans="1:5" x14ac:dyDescent="0.25">
      <c r="A1279" t="s">
        <v>75</v>
      </c>
      <c r="B1279" t="s">
        <v>2470</v>
      </c>
      <c r="C1279" t="s">
        <v>2542</v>
      </c>
      <c r="D1279" t="s">
        <v>2680</v>
      </c>
      <c r="E1279">
        <v>346</v>
      </c>
    </row>
    <row r="1280" spans="1:5" x14ac:dyDescent="0.25">
      <c r="A1280" t="s">
        <v>75</v>
      </c>
      <c r="B1280" t="s">
        <v>2470</v>
      </c>
      <c r="C1280" t="s">
        <v>2542</v>
      </c>
      <c r="D1280" t="s">
        <v>2681</v>
      </c>
      <c r="E1280">
        <v>393</v>
      </c>
    </row>
    <row r="1281" spans="1:5" x14ac:dyDescent="0.25">
      <c r="A1281" t="s">
        <v>75</v>
      </c>
      <c r="B1281" t="s">
        <v>2470</v>
      </c>
      <c r="C1281" t="s">
        <v>2542</v>
      </c>
      <c r="D1281" t="s">
        <v>2682</v>
      </c>
      <c r="E1281">
        <v>390</v>
      </c>
    </row>
    <row r="1282" spans="1:5" x14ac:dyDescent="0.25">
      <c r="A1282" t="s">
        <v>75</v>
      </c>
      <c r="B1282" t="s">
        <v>2470</v>
      </c>
      <c r="C1282" t="s">
        <v>2542</v>
      </c>
      <c r="D1282" t="s">
        <v>2683</v>
      </c>
      <c r="E1282">
        <v>354</v>
      </c>
    </row>
    <row r="1283" spans="1:5" x14ac:dyDescent="0.25">
      <c r="A1283" t="s">
        <v>75</v>
      </c>
      <c r="B1283" t="s">
        <v>2470</v>
      </c>
      <c r="C1283" t="s">
        <v>2542</v>
      </c>
      <c r="D1283" t="s">
        <v>2684</v>
      </c>
      <c r="E1283">
        <v>373</v>
      </c>
    </row>
    <row r="1284" spans="1:5" x14ac:dyDescent="0.25">
      <c r="A1284" t="s">
        <v>75</v>
      </c>
      <c r="B1284" t="s">
        <v>2470</v>
      </c>
      <c r="C1284" t="s">
        <v>2542</v>
      </c>
      <c r="D1284" t="s">
        <v>2685</v>
      </c>
      <c r="E1284">
        <v>465</v>
      </c>
    </row>
    <row r="1285" spans="1:5" x14ac:dyDescent="0.25">
      <c r="A1285" t="s">
        <v>75</v>
      </c>
      <c r="B1285" t="s">
        <v>2470</v>
      </c>
      <c r="C1285" t="s">
        <v>2542</v>
      </c>
      <c r="D1285" t="s">
        <v>2686</v>
      </c>
      <c r="E1285">
        <v>517</v>
      </c>
    </row>
    <row r="1286" spans="1:5" x14ac:dyDescent="0.25">
      <c r="A1286" t="s">
        <v>75</v>
      </c>
      <c r="B1286" t="s">
        <v>2470</v>
      </c>
      <c r="C1286" t="s">
        <v>2542</v>
      </c>
      <c r="D1286" t="s">
        <v>2687</v>
      </c>
      <c r="E1286">
        <v>541</v>
      </c>
    </row>
    <row r="1287" spans="1:5" x14ac:dyDescent="0.25">
      <c r="A1287" t="s">
        <v>75</v>
      </c>
      <c r="B1287" t="s">
        <v>2470</v>
      </c>
      <c r="C1287" t="s">
        <v>2542</v>
      </c>
      <c r="D1287" t="s">
        <v>2688</v>
      </c>
      <c r="E1287">
        <v>571</v>
      </c>
    </row>
    <row r="1288" spans="1:5" x14ac:dyDescent="0.25">
      <c r="A1288" t="s">
        <v>75</v>
      </c>
      <c r="B1288" t="s">
        <v>2470</v>
      </c>
      <c r="C1288" t="s">
        <v>2542</v>
      </c>
      <c r="D1288" t="s">
        <v>2689</v>
      </c>
      <c r="E1288">
        <v>55</v>
      </c>
    </row>
    <row r="1289" spans="1:5" x14ac:dyDescent="0.25">
      <c r="A1289" t="s">
        <v>75</v>
      </c>
      <c r="B1289" t="s">
        <v>2470</v>
      </c>
      <c r="C1289" t="s">
        <v>2542</v>
      </c>
      <c r="D1289" t="s">
        <v>2690</v>
      </c>
      <c r="E1289">
        <v>30</v>
      </c>
    </row>
    <row r="1290" spans="1:5" x14ac:dyDescent="0.25">
      <c r="A1290" t="s">
        <v>75</v>
      </c>
      <c r="B1290" t="s">
        <v>2470</v>
      </c>
      <c r="C1290" t="s">
        <v>2541</v>
      </c>
      <c r="D1290" t="s">
        <v>2677</v>
      </c>
      <c r="E1290">
        <v>227</v>
      </c>
    </row>
    <row r="1291" spans="1:5" x14ac:dyDescent="0.25">
      <c r="A1291" t="s">
        <v>75</v>
      </c>
      <c r="B1291" t="s">
        <v>2470</v>
      </c>
      <c r="C1291" t="s">
        <v>2541</v>
      </c>
      <c r="D1291" t="s">
        <v>2678</v>
      </c>
      <c r="E1291">
        <v>447</v>
      </c>
    </row>
    <row r="1292" spans="1:5" x14ac:dyDescent="0.25">
      <c r="A1292" t="s">
        <v>75</v>
      </c>
      <c r="B1292" t="s">
        <v>2470</v>
      </c>
      <c r="C1292" t="s">
        <v>2541</v>
      </c>
      <c r="D1292" t="s">
        <v>2679</v>
      </c>
      <c r="E1292">
        <v>453</v>
      </c>
    </row>
    <row r="1293" spans="1:5" x14ac:dyDescent="0.25">
      <c r="A1293" t="s">
        <v>75</v>
      </c>
      <c r="B1293" t="s">
        <v>2470</v>
      </c>
      <c r="C1293" t="s">
        <v>2541</v>
      </c>
      <c r="D1293" t="s">
        <v>2680</v>
      </c>
      <c r="E1293">
        <v>530</v>
      </c>
    </row>
    <row r="1294" spans="1:5" x14ac:dyDescent="0.25">
      <c r="A1294" t="s">
        <v>75</v>
      </c>
      <c r="B1294" t="s">
        <v>2470</v>
      </c>
      <c r="C1294" t="s">
        <v>2541</v>
      </c>
      <c r="D1294" t="s">
        <v>2681</v>
      </c>
      <c r="E1294">
        <v>475</v>
      </c>
    </row>
    <row r="1295" spans="1:5" x14ac:dyDescent="0.25">
      <c r="A1295" t="s">
        <v>75</v>
      </c>
      <c r="B1295" t="s">
        <v>2470</v>
      </c>
      <c r="C1295" t="s">
        <v>2541</v>
      </c>
      <c r="D1295" t="s">
        <v>2682</v>
      </c>
      <c r="E1295">
        <v>422</v>
      </c>
    </row>
    <row r="1296" spans="1:5" x14ac:dyDescent="0.25">
      <c r="A1296" t="s">
        <v>75</v>
      </c>
      <c r="B1296" t="s">
        <v>2470</v>
      </c>
      <c r="C1296" t="s">
        <v>2718</v>
      </c>
      <c r="D1296" t="s">
        <v>2681</v>
      </c>
      <c r="E1296">
        <v>932</v>
      </c>
    </row>
    <row r="1297" spans="1:5" x14ac:dyDescent="0.25">
      <c r="A1297" t="s">
        <v>75</v>
      </c>
      <c r="B1297" t="s">
        <v>2470</v>
      </c>
      <c r="C1297" t="s">
        <v>2718</v>
      </c>
      <c r="D1297" t="s">
        <v>2682</v>
      </c>
      <c r="E1297">
        <v>1026</v>
      </c>
    </row>
    <row r="1298" spans="1:5" x14ac:dyDescent="0.25">
      <c r="A1298" t="s">
        <v>75</v>
      </c>
      <c r="B1298" t="s">
        <v>2470</v>
      </c>
      <c r="C1298" t="s">
        <v>2718</v>
      </c>
      <c r="D1298" t="s">
        <v>2683</v>
      </c>
      <c r="E1298">
        <v>1080</v>
      </c>
    </row>
    <row r="1299" spans="1:5" x14ac:dyDescent="0.25">
      <c r="A1299" t="s">
        <v>75</v>
      </c>
      <c r="B1299" t="s">
        <v>2470</v>
      </c>
      <c r="C1299" t="s">
        <v>2718</v>
      </c>
      <c r="D1299" t="s">
        <v>2684</v>
      </c>
      <c r="E1299">
        <v>1117</v>
      </c>
    </row>
    <row r="1300" spans="1:5" x14ac:dyDescent="0.25">
      <c r="A1300" t="s">
        <v>75</v>
      </c>
      <c r="B1300" t="s">
        <v>2470</v>
      </c>
      <c r="C1300" t="s">
        <v>2718</v>
      </c>
      <c r="D1300" t="s">
        <v>2685</v>
      </c>
      <c r="E1300">
        <v>1100</v>
      </c>
    </row>
    <row r="1301" spans="1:5" x14ac:dyDescent="0.25">
      <c r="A1301" t="s">
        <v>75</v>
      </c>
      <c r="B1301" t="s">
        <v>2470</v>
      </c>
      <c r="C1301" t="s">
        <v>2718</v>
      </c>
      <c r="D1301" t="s">
        <v>2686</v>
      </c>
      <c r="E1301">
        <v>1088</v>
      </c>
    </row>
    <row r="1302" spans="1:5" x14ac:dyDescent="0.25">
      <c r="A1302" t="s">
        <v>75</v>
      </c>
      <c r="B1302" t="s">
        <v>2470</v>
      </c>
      <c r="C1302" t="s">
        <v>2718</v>
      </c>
      <c r="D1302" t="s">
        <v>2687</v>
      </c>
      <c r="E1302">
        <v>1113</v>
      </c>
    </row>
    <row r="1303" spans="1:5" x14ac:dyDescent="0.25">
      <c r="A1303" t="s">
        <v>75</v>
      </c>
      <c r="B1303" t="s">
        <v>2470</v>
      </c>
      <c r="C1303" t="s">
        <v>2718</v>
      </c>
      <c r="D1303" t="s">
        <v>2688</v>
      </c>
      <c r="E1303">
        <v>1132</v>
      </c>
    </row>
    <row r="1304" spans="1:5" x14ac:dyDescent="0.25">
      <c r="A1304" t="s">
        <v>75</v>
      </c>
      <c r="B1304" t="s">
        <v>2470</v>
      </c>
      <c r="C1304" t="s">
        <v>2718</v>
      </c>
      <c r="D1304" t="s">
        <v>2689</v>
      </c>
      <c r="E1304">
        <v>1052</v>
      </c>
    </row>
    <row r="1305" spans="1:5" x14ac:dyDescent="0.25">
      <c r="A1305" t="s">
        <v>75</v>
      </c>
      <c r="B1305" t="s">
        <v>2470</v>
      </c>
      <c r="C1305" t="s">
        <v>2718</v>
      </c>
      <c r="D1305" t="s">
        <v>2690</v>
      </c>
      <c r="E1305">
        <v>987</v>
      </c>
    </row>
    <row r="1306" spans="1:5" x14ac:dyDescent="0.25">
      <c r="A1306" t="s">
        <v>75</v>
      </c>
      <c r="B1306" t="s">
        <v>2470</v>
      </c>
      <c r="C1306" t="s">
        <v>2463</v>
      </c>
      <c r="D1306" t="s">
        <v>2679</v>
      </c>
      <c r="E1306">
        <v>1</v>
      </c>
    </row>
    <row r="1307" spans="1:5" x14ac:dyDescent="0.25">
      <c r="A1307" t="s">
        <v>75</v>
      </c>
      <c r="B1307" t="s">
        <v>2470</v>
      </c>
      <c r="C1307" t="s">
        <v>2463</v>
      </c>
      <c r="D1307" t="s">
        <v>2680</v>
      </c>
      <c r="E1307">
        <v>2</v>
      </c>
    </row>
    <row r="1308" spans="1:5" x14ac:dyDescent="0.25">
      <c r="A1308" t="s">
        <v>75</v>
      </c>
      <c r="B1308" t="s">
        <v>2470</v>
      </c>
      <c r="C1308" t="s">
        <v>2463</v>
      </c>
      <c r="D1308" t="s">
        <v>2681</v>
      </c>
      <c r="E1308">
        <v>3</v>
      </c>
    </row>
    <row r="1309" spans="1:5" x14ac:dyDescent="0.25">
      <c r="A1309" t="s">
        <v>75</v>
      </c>
      <c r="B1309" t="s">
        <v>2470</v>
      </c>
      <c r="C1309" t="s">
        <v>2463</v>
      </c>
      <c r="D1309" t="s">
        <v>2682</v>
      </c>
      <c r="E1309">
        <v>12</v>
      </c>
    </row>
    <row r="1310" spans="1:5" x14ac:dyDescent="0.25">
      <c r="A1310" t="s">
        <v>75</v>
      </c>
      <c r="B1310" t="s">
        <v>2470</v>
      </c>
      <c r="C1310" t="s">
        <v>2463</v>
      </c>
      <c r="D1310" t="s">
        <v>2683</v>
      </c>
      <c r="E1310">
        <v>454</v>
      </c>
    </row>
    <row r="1311" spans="1:5" x14ac:dyDescent="0.25">
      <c r="A1311" t="s">
        <v>75</v>
      </c>
      <c r="B1311" t="s">
        <v>2470</v>
      </c>
      <c r="C1311" t="s">
        <v>2463</v>
      </c>
      <c r="D1311" t="s">
        <v>2684</v>
      </c>
      <c r="E1311">
        <v>459</v>
      </c>
    </row>
    <row r="1312" spans="1:5" x14ac:dyDescent="0.25">
      <c r="A1312" t="s">
        <v>75</v>
      </c>
      <c r="B1312" t="s">
        <v>2470</v>
      </c>
      <c r="C1312" t="s">
        <v>2463</v>
      </c>
      <c r="D1312" t="s">
        <v>2685</v>
      </c>
      <c r="E1312">
        <v>494</v>
      </c>
    </row>
    <row r="1313" spans="1:5" x14ac:dyDescent="0.25">
      <c r="A1313" t="s">
        <v>75</v>
      </c>
      <c r="B1313" t="s">
        <v>2470</v>
      </c>
      <c r="C1313" t="s">
        <v>2463</v>
      </c>
      <c r="D1313" t="s">
        <v>2686</v>
      </c>
      <c r="E1313">
        <v>534</v>
      </c>
    </row>
    <row r="1314" spans="1:5" x14ac:dyDescent="0.25">
      <c r="A1314" t="s">
        <v>75</v>
      </c>
      <c r="B1314" t="s">
        <v>2470</v>
      </c>
      <c r="C1314" t="s">
        <v>2463</v>
      </c>
      <c r="D1314" t="s">
        <v>2687</v>
      </c>
      <c r="E1314">
        <v>612</v>
      </c>
    </row>
    <row r="1315" spans="1:5" x14ac:dyDescent="0.25">
      <c r="A1315" t="s">
        <v>75</v>
      </c>
      <c r="B1315" t="s">
        <v>2470</v>
      </c>
      <c r="C1315" t="s">
        <v>2463</v>
      </c>
      <c r="D1315" t="s">
        <v>2688</v>
      </c>
      <c r="E1315">
        <v>655</v>
      </c>
    </row>
    <row r="1316" spans="1:5" x14ac:dyDescent="0.25">
      <c r="A1316" t="s">
        <v>75</v>
      </c>
      <c r="B1316" t="s">
        <v>2470</v>
      </c>
      <c r="C1316" t="s">
        <v>2463</v>
      </c>
      <c r="D1316" t="s">
        <v>2689</v>
      </c>
      <c r="E1316">
        <v>651</v>
      </c>
    </row>
    <row r="1317" spans="1:5" x14ac:dyDescent="0.25">
      <c r="A1317" t="s">
        <v>75</v>
      </c>
      <c r="B1317" t="s">
        <v>2470</v>
      </c>
      <c r="C1317" t="s">
        <v>2463</v>
      </c>
      <c r="D1317" t="s">
        <v>2690</v>
      </c>
      <c r="E1317">
        <v>611</v>
      </c>
    </row>
    <row r="1318" spans="1:5" x14ac:dyDescent="0.25">
      <c r="A1318" t="s">
        <v>75</v>
      </c>
      <c r="B1318" t="s">
        <v>2470</v>
      </c>
      <c r="C1318" t="s">
        <v>2501</v>
      </c>
      <c r="D1318" t="s">
        <v>2677</v>
      </c>
      <c r="E1318">
        <v>87</v>
      </c>
    </row>
    <row r="1319" spans="1:5" x14ac:dyDescent="0.25">
      <c r="A1319" t="s">
        <v>75</v>
      </c>
      <c r="B1319" t="s">
        <v>2470</v>
      </c>
      <c r="C1319" t="s">
        <v>2501</v>
      </c>
      <c r="D1319" t="s">
        <v>2678</v>
      </c>
      <c r="E1319">
        <v>198</v>
      </c>
    </row>
    <row r="1320" spans="1:5" x14ac:dyDescent="0.25">
      <c r="A1320" t="s">
        <v>75</v>
      </c>
      <c r="B1320" t="s">
        <v>2470</v>
      </c>
      <c r="C1320" t="s">
        <v>2501</v>
      </c>
      <c r="D1320" t="s">
        <v>2679</v>
      </c>
      <c r="E1320">
        <v>218</v>
      </c>
    </row>
    <row r="1321" spans="1:5" x14ac:dyDescent="0.25">
      <c r="A1321" t="s">
        <v>75</v>
      </c>
      <c r="B1321" t="s">
        <v>2470</v>
      </c>
      <c r="C1321" t="s">
        <v>2501</v>
      </c>
      <c r="D1321" t="s">
        <v>2680</v>
      </c>
      <c r="E1321">
        <v>223</v>
      </c>
    </row>
    <row r="1322" spans="1:5" x14ac:dyDescent="0.25">
      <c r="A1322" t="s">
        <v>75</v>
      </c>
      <c r="B1322" t="s">
        <v>2470</v>
      </c>
      <c r="C1322" t="s">
        <v>2501</v>
      </c>
      <c r="D1322" t="s">
        <v>2681</v>
      </c>
      <c r="E1322">
        <v>239</v>
      </c>
    </row>
    <row r="1323" spans="1:5" x14ac:dyDescent="0.25">
      <c r="A1323" t="s">
        <v>75</v>
      </c>
      <c r="B1323" t="s">
        <v>2470</v>
      </c>
      <c r="C1323" t="s">
        <v>2501</v>
      </c>
      <c r="D1323" t="s">
        <v>2682</v>
      </c>
      <c r="E1323">
        <v>308</v>
      </c>
    </row>
    <row r="1324" spans="1:5" x14ac:dyDescent="0.25">
      <c r="A1324" t="s">
        <v>75</v>
      </c>
      <c r="B1324" t="s">
        <v>2470</v>
      </c>
      <c r="C1324" t="s">
        <v>2501</v>
      </c>
      <c r="D1324" t="s">
        <v>2683</v>
      </c>
      <c r="E1324">
        <v>307</v>
      </c>
    </row>
    <row r="1325" spans="1:5" x14ac:dyDescent="0.25">
      <c r="A1325" t="s">
        <v>75</v>
      </c>
      <c r="B1325" t="s">
        <v>2470</v>
      </c>
      <c r="C1325" t="s">
        <v>2501</v>
      </c>
      <c r="D1325" t="s">
        <v>2684</v>
      </c>
      <c r="E1325">
        <v>294</v>
      </c>
    </row>
    <row r="1326" spans="1:5" x14ac:dyDescent="0.25">
      <c r="A1326" t="s">
        <v>75</v>
      </c>
      <c r="B1326" t="s">
        <v>2470</v>
      </c>
      <c r="C1326" t="s">
        <v>2501</v>
      </c>
      <c r="D1326" t="s">
        <v>2685</v>
      </c>
      <c r="E1326">
        <v>339</v>
      </c>
    </row>
    <row r="1327" spans="1:5" x14ac:dyDescent="0.25">
      <c r="A1327" t="s">
        <v>75</v>
      </c>
      <c r="B1327" t="s">
        <v>2470</v>
      </c>
      <c r="C1327" t="s">
        <v>2501</v>
      </c>
      <c r="D1327" t="s">
        <v>2686</v>
      </c>
      <c r="E1327">
        <v>376</v>
      </c>
    </row>
    <row r="1328" spans="1:5" x14ac:dyDescent="0.25">
      <c r="A1328" t="s">
        <v>75</v>
      </c>
      <c r="B1328" t="s">
        <v>2470</v>
      </c>
      <c r="C1328" t="s">
        <v>2501</v>
      </c>
      <c r="D1328" t="s">
        <v>2687</v>
      </c>
      <c r="E1328">
        <v>396</v>
      </c>
    </row>
    <row r="1329" spans="1:5" x14ac:dyDescent="0.25">
      <c r="A1329" t="s">
        <v>75</v>
      </c>
      <c r="B1329" t="s">
        <v>2470</v>
      </c>
      <c r="C1329" t="s">
        <v>2501</v>
      </c>
      <c r="D1329" t="s">
        <v>2688</v>
      </c>
      <c r="E1329">
        <v>440</v>
      </c>
    </row>
    <row r="1330" spans="1:5" x14ac:dyDescent="0.25">
      <c r="A1330" t="s">
        <v>75</v>
      </c>
      <c r="B1330" t="s">
        <v>2470</v>
      </c>
      <c r="C1330" t="s">
        <v>2501</v>
      </c>
      <c r="D1330" t="s">
        <v>2689</v>
      </c>
      <c r="E1330">
        <v>75</v>
      </c>
    </row>
    <row r="1331" spans="1:5" x14ac:dyDescent="0.25">
      <c r="A1331" t="s">
        <v>75</v>
      </c>
      <c r="B1331" t="s">
        <v>2470</v>
      </c>
      <c r="C1331" t="s">
        <v>2501</v>
      </c>
      <c r="D1331" t="s">
        <v>2690</v>
      </c>
      <c r="E1331">
        <v>72</v>
      </c>
    </row>
    <row r="1332" spans="1:5" x14ac:dyDescent="0.25">
      <c r="A1332" t="s">
        <v>75</v>
      </c>
      <c r="B1332" t="s">
        <v>2518</v>
      </c>
      <c r="C1332" t="s">
        <v>2548</v>
      </c>
      <c r="D1332" t="s">
        <v>2677</v>
      </c>
      <c r="E1332">
        <v>11</v>
      </c>
    </row>
    <row r="1333" spans="1:5" x14ac:dyDescent="0.25">
      <c r="A1333" t="s">
        <v>75</v>
      </c>
      <c r="B1333" t="s">
        <v>2518</v>
      </c>
      <c r="C1333" t="s">
        <v>2548</v>
      </c>
      <c r="D1333" t="s">
        <v>2678</v>
      </c>
      <c r="E1333">
        <v>18</v>
      </c>
    </row>
    <row r="1334" spans="1:5" x14ac:dyDescent="0.25">
      <c r="A1334" t="s">
        <v>75</v>
      </c>
      <c r="B1334" t="s">
        <v>2518</v>
      </c>
      <c r="C1334" t="s">
        <v>2548</v>
      </c>
      <c r="D1334" t="s">
        <v>2679</v>
      </c>
      <c r="E1334">
        <v>12</v>
      </c>
    </row>
    <row r="1335" spans="1:5" x14ac:dyDescent="0.25">
      <c r="A1335" t="s">
        <v>75</v>
      </c>
      <c r="B1335" t="s">
        <v>2518</v>
      </c>
      <c r="C1335" t="s">
        <v>2548</v>
      </c>
      <c r="D1335" t="s">
        <v>2680</v>
      </c>
      <c r="E1335">
        <v>6</v>
      </c>
    </row>
    <row r="1336" spans="1:5" x14ac:dyDescent="0.25">
      <c r="A1336" t="s">
        <v>75</v>
      </c>
      <c r="B1336" t="s">
        <v>2518</v>
      </c>
      <c r="C1336" t="s">
        <v>2548</v>
      </c>
      <c r="D1336" t="s">
        <v>2681</v>
      </c>
      <c r="E1336">
        <v>4</v>
      </c>
    </row>
    <row r="1337" spans="1:5" x14ac:dyDescent="0.25">
      <c r="A1337" t="s">
        <v>75</v>
      </c>
      <c r="B1337" t="s">
        <v>2518</v>
      </c>
      <c r="C1337" t="s">
        <v>2548</v>
      </c>
      <c r="D1337" t="s">
        <v>2682</v>
      </c>
      <c r="E1337">
        <v>10</v>
      </c>
    </row>
    <row r="1338" spans="1:5" x14ac:dyDescent="0.25">
      <c r="A1338" t="s">
        <v>75</v>
      </c>
      <c r="B1338" t="s">
        <v>2518</v>
      </c>
      <c r="C1338" t="s">
        <v>2548</v>
      </c>
      <c r="D1338" t="s">
        <v>2683</v>
      </c>
      <c r="E1338">
        <v>17</v>
      </c>
    </row>
    <row r="1339" spans="1:5" x14ac:dyDescent="0.25">
      <c r="A1339" t="s">
        <v>75</v>
      </c>
      <c r="B1339" t="s">
        <v>2518</v>
      </c>
      <c r="C1339" t="s">
        <v>2548</v>
      </c>
      <c r="D1339" t="s">
        <v>2684</v>
      </c>
      <c r="E1339">
        <v>15</v>
      </c>
    </row>
    <row r="1340" spans="1:5" x14ac:dyDescent="0.25">
      <c r="A1340" t="s">
        <v>75</v>
      </c>
      <c r="B1340" t="s">
        <v>2518</v>
      </c>
      <c r="C1340" t="s">
        <v>2548</v>
      </c>
      <c r="D1340" t="s">
        <v>2685</v>
      </c>
      <c r="E1340">
        <v>12</v>
      </c>
    </row>
    <row r="1341" spans="1:5" x14ac:dyDescent="0.25">
      <c r="A1341" t="s">
        <v>75</v>
      </c>
      <c r="B1341" t="s">
        <v>2518</v>
      </c>
      <c r="C1341" t="s">
        <v>2548</v>
      </c>
      <c r="D1341" t="s">
        <v>2686</v>
      </c>
      <c r="E1341">
        <v>16</v>
      </c>
    </row>
    <row r="1342" spans="1:5" x14ac:dyDescent="0.25">
      <c r="A1342" t="s">
        <v>75</v>
      </c>
      <c r="B1342" t="s">
        <v>2518</v>
      </c>
      <c r="C1342" t="s">
        <v>2548</v>
      </c>
      <c r="D1342" t="s">
        <v>2687</v>
      </c>
      <c r="E1342">
        <v>12</v>
      </c>
    </row>
    <row r="1343" spans="1:5" x14ac:dyDescent="0.25">
      <c r="A1343" t="s">
        <v>75</v>
      </c>
      <c r="B1343" t="s">
        <v>2518</v>
      </c>
      <c r="C1343" t="s">
        <v>2548</v>
      </c>
      <c r="D1343" t="s">
        <v>2688</v>
      </c>
      <c r="E1343">
        <v>6</v>
      </c>
    </row>
    <row r="1344" spans="1:5" x14ac:dyDescent="0.25">
      <c r="A1344" t="s">
        <v>75</v>
      </c>
      <c r="B1344" t="s">
        <v>2518</v>
      </c>
      <c r="C1344" t="s">
        <v>2548</v>
      </c>
      <c r="D1344" t="s">
        <v>2689</v>
      </c>
      <c r="E1344">
        <v>6</v>
      </c>
    </row>
    <row r="1345" spans="1:5" x14ac:dyDescent="0.25">
      <c r="A1345" t="s">
        <v>75</v>
      </c>
      <c r="B1345" t="s">
        <v>2518</v>
      </c>
      <c r="C1345" t="s">
        <v>2548</v>
      </c>
      <c r="D1345" t="s">
        <v>2690</v>
      </c>
      <c r="E1345">
        <v>8</v>
      </c>
    </row>
    <row r="1346" spans="1:5" x14ac:dyDescent="0.25">
      <c r="A1346" t="s">
        <v>75</v>
      </c>
      <c r="B1346" t="s">
        <v>2518</v>
      </c>
      <c r="C1346" t="s">
        <v>2539</v>
      </c>
      <c r="D1346" t="s">
        <v>2678</v>
      </c>
      <c r="E1346">
        <v>2</v>
      </c>
    </row>
    <row r="1347" spans="1:5" x14ac:dyDescent="0.25">
      <c r="A1347" t="s">
        <v>75</v>
      </c>
      <c r="B1347" t="s">
        <v>2518</v>
      </c>
      <c r="C1347" t="s">
        <v>2539</v>
      </c>
      <c r="D1347" t="s">
        <v>2679</v>
      </c>
      <c r="E1347">
        <v>10</v>
      </c>
    </row>
    <row r="1348" spans="1:5" x14ac:dyDescent="0.25">
      <c r="A1348" t="s">
        <v>75</v>
      </c>
      <c r="B1348" t="s">
        <v>2518</v>
      </c>
      <c r="C1348" t="s">
        <v>2539</v>
      </c>
      <c r="D1348" t="s">
        <v>2680</v>
      </c>
      <c r="E1348">
        <v>14</v>
      </c>
    </row>
    <row r="1349" spans="1:5" x14ac:dyDescent="0.25">
      <c r="A1349" t="s">
        <v>75</v>
      </c>
      <c r="B1349" t="s">
        <v>2518</v>
      </c>
      <c r="C1349" t="s">
        <v>2539</v>
      </c>
      <c r="D1349" t="s">
        <v>2681</v>
      </c>
      <c r="E1349">
        <v>13</v>
      </c>
    </row>
    <row r="1350" spans="1:5" x14ac:dyDescent="0.25">
      <c r="A1350" t="s">
        <v>75</v>
      </c>
      <c r="B1350" t="s">
        <v>2518</v>
      </c>
      <c r="C1350" t="s">
        <v>2539</v>
      </c>
      <c r="D1350" t="s">
        <v>2682</v>
      </c>
      <c r="E1350">
        <v>12</v>
      </c>
    </row>
    <row r="1351" spans="1:5" x14ac:dyDescent="0.25">
      <c r="A1351" t="s">
        <v>75</v>
      </c>
      <c r="B1351" t="s">
        <v>2518</v>
      </c>
      <c r="C1351" t="s">
        <v>2539</v>
      </c>
      <c r="D1351" t="s">
        <v>2683</v>
      </c>
      <c r="E1351">
        <v>3</v>
      </c>
    </row>
    <row r="1352" spans="1:5" x14ac:dyDescent="0.25">
      <c r="A1352" t="s">
        <v>75</v>
      </c>
      <c r="B1352" t="s">
        <v>2518</v>
      </c>
      <c r="C1352" t="s">
        <v>2539</v>
      </c>
      <c r="D1352" t="s">
        <v>2684</v>
      </c>
      <c r="E1352">
        <v>4</v>
      </c>
    </row>
    <row r="1353" spans="1:5" x14ac:dyDescent="0.25">
      <c r="A1353" t="s">
        <v>75</v>
      </c>
      <c r="B1353" t="s">
        <v>2518</v>
      </c>
      <c r="C1353" t="s">
        <v>2539</v>
      </c>
      <c r="D1353" t="s">
        <v>2685</v>
      </c>
      <c r="E1353">
        <v>2</v>
      </c>
    </row>
    <row r="1354" spans="1:5" x14ac:dyDescent="0.25">
      <c r="A1354" t="s">
        <v>75</v>
      </c>
      <c r="B1354" t="s">
        <v>2518</v>
      </c>
      <c r="C1354" t="s">
        <v>2539</v>
      </c>
      <c r="D1354" t="s">
        <v>2686</v>
      </c>
      <c r="E1354">
        <v>3</v>
      </c>
    </row>
    <row r="1355" spans="1:5" x14ac:dyDescent="0.25">
      <c r="A1355" t="s">
        <v>75</v>
      </c>
      <c r="B1355" t="s">
        <v>2518</v>
      </c>
      <c r="C1355" t="s">
        <v>2539</v>
      </c>
      <c r="D1355" t="s">
        <v>2687</v>
      </c>
      <c r="E1355">
        <v>3</v>
      </c>
    </row>
    <row r="1356" spans="1:5" x14ac:dyDescent="0.25">
      <c r="A1356" t="s">
        <v>75</v>
      </c>
      <c r="B1356" t="s">
        <v>2518</v>
      </c>
      <c r="C1356" t="s">
        <v>2539</v>
      </c>
      <c r="D1356" t="s">
        <v>2688</v>
      </c>
      <c r="E1356">
        <v>3</v>
      </c>
    </row>
    <row r="1357" spans="1:5" x14ac:dyDescent="0.25">
      <c r="A1357" t="s">
        <v>75</v>
      </c>
      <c r="B1357" t="s">
        <v>2518</v>
      </c>
      <c r="C1357" t="s">
        <v>2539</v>
      </c>
      <c r="D1357" t="s">
        <v>2689</v>
      </c>
      <c r="E1357">
        <v>2</v>
      </c>
    </row>
    <row r="1358" spans="1:5" x14ac:dyDescent="0.25">
      <c r="A1358" t="s">
        <v>75</v>
      </c>
      <c r="B1358" t="s">
        <v>2518</v>
      </c>
      <c r="C1358" t="s">
        <v>2539</v>
      </c>
      <c r="D1358" t="s">
        <v>2690</v>
      </c>
      <c r="E1358">
        <v>2</v>
      </c>
    </row>
    <row r="1359" spans="1:5" x14ac:dyDescent="0.25">
      <c r="A1359" t="s">
        <v>75</v>
      </c>
      <c r="B1359" t="s">
        <v>2518</v>
      </c>
      <c r="C1359" t="s">
        <v>2538</v>
      </c>
      <c r="D1359" t="s">
        <v>2677</v>
      </c>
      <c r="E1359">
        <v>30</v>
      </c>
    </row>
    <row r="1360" spans="1:5" x14ac:dyDescent="0.25">
      <c r="A1360" t="s">
        <v>75</v>
      </c>
      <c r="B1360" t="s">
        <v>2518</v>
      </c>
      <c r="C1360" t="s">
        <v>2538</v>
      </c>
      <c r="D1360" t="s">
        <v>2678</v>
      </c>
      <c r="E1360">
        <v>66</v>
      </c>
    </row>
    <row r="1361" spans="1:5" x14ac:dyDescent="0.25">
      <c r="A1361" t="s">
        <v>75</v>
      </c>
      <c r="B1361" t="s">
        <v>2518</v>
      </c>
      <c r="C1361" t="s">
        <v>2538</v>
      </c>
      <c r="D1361" t="s">
        <v>2679</v>
      </c>
      <c r="E1361">
        <v>67</v>
      </c>
    </row>
    <row r="1362" spans="1:5" x14ac:dyDescent="0.25">
      <c r="A1362" t="s">
        <v>75</v>
      </c>
      <c r="B1362" t="s">
        <v>2518</v>
      </c>
      <c r="C1362" t="s">
        <v>2538</v>
      </c>
      <c r="D1362" t="s">
        <v>2680</v>
      </c>
      <c r="E1362">
        <v>62</v>
      </c>
    </row>
    <row r="1363" spans="1:5" x14ac:dyDescent="0.25">
      <c r="A1363" t="s">
        <v>75</v>
      </c>
      <c r="B1363" t="s">
        <v>2518</v>
      </c>
      <c r="C1363" t="s">
        <v>2538</v>
      </c>
      <c r="D1363" t="s">
        <v>2681</v>
      </c>
      <c r="E1363">
        <v>78</v>
      </c>
    </row>
    <row r="1364" spans="1:5" x14ac:dyDescent="0.25">
      <c r="A1364" t="s">
        <v>75</v>
      </c>
      <c r="B1364" t="s">
        <v>2518</v>
      </c>
      <c r="C1364" t="s">
        <v>2538</v>
      </c>
      <c r="D1364" t="s">
        <v>2682</v>
      </c>
      <c r="E1364">
        <v>84</v>
      </c>
    </row>
    <row r="1365" spans="1:5" x14ac:dyDescent="0.25">
      <c r="A1365" t="s">
        <v>75</v>
      </c>
      <c r="B1365" t="s">
        <v>2518</v>
      </c>
      <c r="C1365" t="s">
        <v>2538</v>
      </c>
      <c r="D1365" t="s">
        <v>2683</v>
      </c>
      <c r="E1365">
        <v>87</v>
      </c>
    </row>
    <row r="1366" spans="1:5" x14ac:dyDescent="0.25">
      <c r="A1366" t="s">
        <v>75</v>
      </c>
      <c r="B1366" t="s">
        <v>2518</v>
      </c>
      <c r="C1366" t="s">
        <v>2538</v>
      </c>
      <c r="D1366" t="s">
        <v>2684</v>
      </c>
      <c r="E1366">
        <v>111</v>
      </c>
    </row>
    <row r="1367" spans="1:5" x14ac:dyDescent="0.25">
      <c r="A1367" t="s">
        <v>75</v>
      </c>
      <c r="B1367" t="s">
        <v>2518</v>
      </c>
      <c r="C1367" t="s">
        <v>2538</v>
      </c>
      <c r="D1367" t="s">
        <v>2685</v>
      </c>
      <c r="E1367">
        <v>114</v>
      </c>
    </row>
    <row r="1368" spans="1:5" x14ac:dyDescent="0.25">
      <c r="A1368" t="s">
        <v>75</v>
      </c>
      <c r="B1368" t="s">
        <v>2518</v>
      </c>
      <c r="C1368" t="s">
        <v>2538</v>
      </c>
      <c r="D1368" t="s">
        <v>2686</v>
      </c>
      <c r="E1368">
        <v>119</v>
      </c>
    </row>
    <row r="1369" spans="1:5" x14ac:dyDescent="0.25">
      <c r="A1369" t="s">
        <v>75</v>
      </c>
      <c r="B1369" t="s">
        <v>2518</v>
      </c>
      <c r="C1369" t="s">
        <v>2538</v>
      </c>
      <c r="D1369" t="s">
        <v>2687</v>
      </c>
      <c r="E1369">
        <v>133</v>
      </c>
    </row>
    <row r="1370" spans="1:5" x14ac:dyDescent="0.25">
      <c r="A1370" t="s">
        <v>75</v>
      </c>
      <c r="B1370" t="s">
        <v>2518</v>
      </c>
      <c r="C1370" t="s">
        <v>2538</v>
      </c>
      <c r="D1370" t="s">
        <v>2688</v>
      </c>
      <c r="E1370">
        <v>112</v>
      </c>
    </row>
    <row r="1371" spans="1:5" x14ac:dyDescent="0.25">
      <c r="A1371" t="s">
        <v>75</v>
      </c>
      <c r="B1371" t="s">
        <v>2518</v>
      </c>
      <c r="C1371" t="s">
        <v>2538</v>
      </c>
      <c r="D1371" t="s">
        <v>2689</v>
      </c>
      <c r="E1371">
        <v>96</v>
      </c>
    </row>
    <row r="1372" spans="1:5" x14ac:dyDescent="0.25">
      <c r="A1372" t="s">
        <v>75</v>
      </c>
      <c r="B1372" t="s">
        <v>2518</v>
      </c>
      <c r="C1372" t="s">
        <v>2538</v>
      </c>
      <c r="D1372" t="s">
        <v>2690</v>
      </c>
      <c r="E1372">
        <v>104</v>
      </c>
    </row>
    <row r="1373" spans="1:5" x14ac:dyDescent="0.25">
      <c r="A1373" t="s">
        <v>75</v>
      </c>
      <c r="B1373" t="s">
        <v>2518</v>
      </c>
      <c r="C1373" t="s">
        <v>2543</v>
      </c>
      <c r="D1373" t="s">
        <v>2677</v>
      </c>
      <c r="E1373">
        <v>30</v>
      </c>
    </row>
    <row r="1374" spans="1:5" x14ac:dyDescent="0.25">
      <c r="A1374" t="s">
        <v>75</v>
      </c>
      <c r="B1374" t="s">
        <v>2518</v>
      </c>
      <c r="C1374" t="s">
        <v>2543</v>
      </c>
      <c r="D1374" t="s">
        <v>2678</v>
      </c>
      <c r="E1374">
        <v>49</v>
      </c>
    </row>
    <row r="1375" spans="1:5" x14ac:dyDescent="0.25">
      <c r="A1375" t="s">
        <v>75</v>
      </c>
      <c r="B1375" t="s">
        <v>2518</v>
      </c>
      <c r="C1375" t="s">
        <v>2543</v>
      </c>
      <c r="D1375" t="s">
        <v>2679</v>
      </c>
      <c r="E1375">
        <v>26</v>
      </c>
    </row>
    <row r="1376" spans="1:5" x14ac:dyDescent="0.25">
      <c r="A1376" t="s">
        <v>75</v>
      </c>
      <c r="B1376" t="s">
        <v>2518</v>
      </c>
      <c r="C1376" t="s">
        <v>2543</v>
      </c>
      <c r="D1376" t="s">
        <v>2680</v>
      </c>
      <c r="E1376">
        <v>33</v>
      </c>
    </row>
    <row r="1377" spans="1:5" x14ac:dyDescent="0.25">
      <c r="A1377" t="s">
        <v>75</v>
      </c>
      <c r="B1377" t="s">
        <v>2518</v>
      </c>
      <c r="C1377" t="s">
        <v>2543</v>
      </c>
      <c r="D1377" t="s">
        <v>2681</v>
      </c>
      <c r="E1377">
        <v>31</v>
      </c>
    </row>
    <row r="1378" spans="1:5" x14ac:dyDescent="0.25">
      <c r="A1378" t="s">
        <v>75</v>
      </c>
      <c r="B1378" t="s">
        <v>2518</v>
      </c>
      <c r="C1378" t="s">
        <v>2543</v>
      </c>
      <c r="D1378" t="s">
        <v>2682</v>
      </c>
      <c r="E1378">
        <v>22</v>
      </c>
    </row>
    <row r="1379" spans="1:5" x14ac:dyDescent="0.25">
      <c r="A1379" t="s">
        <v>75</v>
      </c>
      <c r="B1379" t="s">
        <v>2518</v>
      </c>
      <c r="C1379" t="s">
        <v>2543</v>
      </c>
      <c r="D1379" t="s">
        <v>2683</v>
      </c>
      <c r="E1379">
        <v>2</v>
      </c>
    </row>
    <row r="1380" spans="1:5" x14ac:dyDescent="0.25">
      <c r="A1380" t="s">
        <v>75</v>
      </c>
      <c r="B1380" t="s">
        <v>2518</v>
      </c>
      <c r="C1380" t="s">
        <v>2501</v>
      </c>
      <c r="D1380" t="s">
        <v>2685</v>
      </c>
      <c r="E1380">
        <v>2</v>
      </c>
    </row>
    <row r="1381" spans="1:5" x14ac:dyDescent="0.25">
      <c r="A1381" t="s">
        <v>75</v>
      </c>
      <c r="B1381" t="s">
        <v>2518</v>
      </c>
      <c r="C1381" t="s">
        <v>2501</v>
      </c>
      <c r="D1381" t="s">
        <v>2686</v>
      </c>
      <c r="E1381">
        <v>2</v>
      </c>
    </row>
    <row r="1382" spans="1:5" x14ac:dyDescent="0.25">
      <c r="A1382" t="s">
        <v>75</v>
      </c>
      <c r="B1382" t="s">
        <v>2518</v>
      </c>
      <c r="C1382" t="s">
        <v>2501</v>
      </c>
      <c r="D1382" t="s">
        <v>2687</v>
      </c>
      <c r="E1382">
        <v>1</v>
      </c>
    </row>
    <row r="1383" spans="1:5" x14ac:dyDescent="0.25">
      <c r="A1383" t="s">
        <v>75</v>
      </c>
      <c r="B1383" t="s">
        <v>2518</v>
      </c>
      <c r="C1383" t="s">
        <v>2501</v>
      </c>
      <c r="D1383" t="s">
        <v>2688</v>
      </c>
      <c r="E1383">
        <v>2</v>
      </c>
    </row>
    <row r="1384" spans="1:5" x14ac:dyDescent="0.25">
      <c r="A1384" t="s">
        <v>75</v>
      </c>
      <c r="B1384" t="s">
        <v>2518</v>
      </c>
      <c r="C1384" t="s">
        <v>2402</v>
      </c>
      <c r="D1384" t="s">
        <v>2677</v>
      </c>
      <c r="E1384">
        <v>11</v>
      </c>
    </row>
    <row r="1385" spans="1:5" x14ac:dyDescent="0.25">
      <c r="A1385" t="s">
        <v>75</v>
      </c>
      <c r="B1385" t="s">
        <v>2518</v>
      </c>
      <c r="C1385" t="s">
        <v>2402</v>
      </c>
      <c r="D1385" t="s">
        <v>2678</v>
      </c>
      <c r="E1385">
        <v>22</v>
      </c>
    </row>
    <row r="1386" spans="1:5" x14ac:dyDescent="0.25">
      <c r="A1386" t="s">
        <v>75</v>
      </c>
      <c r="B1386" t="s">
        <v>2518</v>
      </c>
      <c r="C1386" t="s">
        <v>2402</v>
      </c>
      <c r="D1386" t="s">
        <v>2679</v>
      </c>
      <c r="E1386">
        <v>24</v>
      </c>
    </row>
    <row r="1387" spans="1:5" x14ac:dyDescent="0.25">
      <c r="A1387" t="s">
        <v>75</v>
      </c>
      <c r="B1387" t="s">
        <v>2518</v>
      </c>
      <c r="C1387" t="s">
        <v>2402</v>
      </c>
      <c r="D1387" t="s">
        <v>2680</v>
      </c>
      <c r="E1387">
        <v>21</v>
      </c>
    </row>
    <row r="1388" spans="1:5" x14ac:dyDescent="0.25">
      <c r="A1388" t="s">
        <v>75</v>
      </c>
      <c r="B1388" t="s">
        <v>2518</v>
      </c>
      <c r="C1388" t="s">
        <v>2402</v>
      </c>
      <c r="D1388" t="s">
        <v>2681</v>
      </c>
      <c r="E1388">
        <v>24</v>
      </c>
    </row>
    <row r="1389" spans="1:5" x14ac:dyDescent="0.25">
      <c r="A1389" t="s">
        <v>75</v>
      </c>
      <c r="B1389" t="s">
        <v>2518</v>
      </c>
      <c r="C1389" t="s">
        <v>2402</v>
      </c>
      <c r="D1389" t="s">
        <v>2682</v>
      </c>
      <c r="E1389">
        <v>24</v>
      </c>
    </row>
    <row r="1390" spans="1:5" x14ac:dyDescent="0.25">
      <c r="A1390" t="s">
        <v>75</v>
      </c>
      <c r="B1390" t="s">
        <v>2518</v>
      </c>
      <c r="C1390" t="s">
        <v>2402</v>
      </c>
      <c r="D1390" t="s">
        <v>2683</v>
      </c>
      <c r="E1390">
        <v>23</v>
      </c>
    </row>
    <row r="1391" spans="1:5" x14ac:dyDescent="0.25">
      <c r="A1391" t="s">
        <v>75</v>
      </c>
      <c r="B1391" t="s">
        <v>2518</v>
      </c>
      <c r="C1391" t="s">
        <v>2402</v>
      </c>
      <c r="D1391" t="s">
        <v>2684</v>
      </c>
      <c r="E1391">
        <v>23</v>
      </c>
    </row>
    <row r="1392" spans="1:5" x14ac:dyDescent="0.25">
      <c r="A1392" t="s">
        <v>75</v>
      </c>
      <c r="B1392" t="s">
        <v>2518</v>
      </c>
      <c r="C1392" t="s">
        <v>2402</v>
      </c>
      <c r="D1392" t="s">
        <v>2685</v>
      </c>
      <c r="E1392">
        <v>35</v>
      </c>
    </row>
    <row r="1393" spans="1:5" x14ac:dyDescent="0.25">
      <c r="A1393" t="s">
        <v>75</v>
      </c>
      <c r="B1393" t="s">
        <v>2518</v>
      </c>
      <c r="C1393" t="s">
        <v>2402</v>
      </c>
      <c r="D1393" t="s">
        <v>2686</v>
      </c>
      <c r="E1393">
        <v>35</v>
      </c>
    </row>
    <row r="1394" spans="1:5" x14ac:dyDescent="0.25">
      <c r="A1394" t="s">
        <v>75</v>
      </c>
      <c r="B1394" t="s">
        <v>2518</v>
      </c>
      <c r="C1394" t="s">
        <v>2402</v>
      </c>
      <c r="D1394" t="s">
        <v>2687</v>
      </c>
      <c r="E1394">
        <v>36</v>
      </c>
    </row>
    <row r="1395" spans="1:5" x14ac:dyDescent="0.25">
      <c r="A1395" t="s">
        <v>75</v>
      </c>
      <c r="B1395" t="s">
        <v>2518</v>
      </c>
      <c r="C1395" t="s">
        <v>2402</v>
      </c>
      <c r="D1395" t="s">
        <v>2688</v>
      </c>
      <c r="E1395">
        <v>37</v>
      </c>
    </row>
    <row r="1396" spans="1:5" x14ac:dyDescent="0.25">
      <c r="A1396" t="s">
        <v>75</v>
      </c>
      <c r="B1396" t="s">
        <v>2518</v>
      </c>
      <c r="C1396" t="s">
        <v>2402</v>
      </c>
      <c r="D1396" t="s">
        <v>2689</v>
      </c>
      <c r="E1396">
        <v>32</v>
      </c>
    </row>
    <row r="1397" spans="1:5" x14ac:dyDescent="0.25">
      <c r="A1397" t="s">
        <v>75</v>
      </c>
      <c r="B1397" t="s">
        <v>2518</v>
      </c>
      <c r="C1397" t="s">
        <v>2402</v>
      </c>
      <c r="D1397" t="s">
        <v>2690</v>
      </c>
      <c r="E1397">
        <v>37</v>
      </c>
    </row>
    <row r="1398" spans="1:5" x14ac:dyDescent="0.25">
      <c r="A1398" t="s">
        <v>75</v>
      </c>
      <c r="B1398" t="s">
        <v>2695</v>
      </c>
      <c r="C1398" t="s">
        <v>2539</v>
      </c>
      <c r="D1398" t="s">
        <v>2678</v>
      </c>
      <c r="E1398">
        <v>6</v>
      </c>
    </row>
    <row r="1399" spans="1:5" x14ac:dyDescent="0.25">
      <c r="A1399" t="s">
        <v>75</v>
      </c>
      <c r="B1399" t="s">
        <v>2695</v>
      </c>
      <c r="C1399" t="s">
        <v>2539</v>
      </c>
      <c r="D1399" t="s">
        <v>2679</v>
      </c>
      <c r="E1399">
        <v>2</v>
      </c>
    </row>
    <row r="1400" spans="1:5" x14ac:dyDescent="0.25">
      <c r="A1400" t="s">
        <v>75</v>
      </c>
      <c r="B1400" t="s">
        <v>2695</v>
      </c>
      <c r="C1400" t="s">
        <v>2539</v>
      </c>
      <c r="D1400" t="s">
        <v>2681</v>
      </c>
      <c r="E1400">
        <v>3</v>
      </c>
    </row>
    <row r="1401" spans="1:5" x14ac:dyDescent="0.25">
      <c r="A1401" t="s">
        <v>75</v>
      </c>
      <c r="B1401" t="s">
        <v>2695</v>
      </c>
      <c r="C1401" t="s">
        <v>2539</v>
      </c>
      <c r="D1401" t="s">
        <v>2682</v>
      </c>
      <c r="E1401">
        <v>2</v>
      </c>
    </row>
    <row r="1402" spans="1:5" x14ac:dyDescent="0.25">
      <c r="A1402" t="s">
        <v>75</v>
      </c>
      <c r="B1402" t="s">
        <v>2695</v>
      </c>
      <c r="C1402" t="s">
        <v>2539</v>
      </c>
      <c r="D1402" t="s">
        <v>2683</v>
      </c>
      <c r="E1402">
        <v>9</v>
      </c>
    </row>
    <row r="1403" spans="1:5" x14ac:dyDescent="0.25">
      <c r="A1403" t="s">
        <v>75</v>
      </c>
      <c r="B1403" t="s">
        <v>2695</v>
      </c>
      <c r="C1403" t="s">
        <v>2539</v>
      </c>
      <c r="D1403" t="s">
        <v>2684</v>
      </c>
      <c r="E1403">
        <v>6</v>
      </c>
    </row>
    <row r="1404" spans="1:5" x14ac:dyDescent="0.25">
      <c r="A1404" t="s">
        <v>75</v>
      </c>
      <c r="B1404" t="s">
        <v>2695</v>
      </c>
      <c r="C1404" t="s">
        <v>2539</v>
      </c>
      <c r="D1404" t="s">
        <v>2685</v>
      </c>
      <c r="E1404">
        <v>6</v>
      </c>
    </row>
    <row r="1405" spans="1:5" x14ac:dyDescent="0.25">
      <c r="A1405" t="s">
        <v>75</v>
      </c>
      <c r="B1405" t="s">
        <v>2695</v>
      </c>
      <c r="C1405" t="s">
        <v>2539</v>
      </c>
      <c r="D1405" t="s">
        <v>2686</v>
      </c>
      <c r="E1405">
        <v>6</v>
      </c>
    </row>
    <row r="1406" spans="1:5" x14ac:dyDescent="0.25">
      <c r="A1406" t="s">
        <v>75</v>
      </c>
      <c r="B1406" t="s">
        <v>2695</v>
      </c>
      <c r="C1406" t="s">
        <v>2539</v>
      </c>
      <c r="D1406" t="s">
        <v>2687</v>
      </c>
      <c r="E1406">
        <v>5</v>
      </c>
    </row>
    <row r="1407" spans="1:5" x14ac:dyDescent="0.25">
      <c r="A1407" t="s">
        <v>75</v>
      </c>
      <c r="B1407" t="s">
        <v>2695</v>
      </c>
      <c r="C1407" t="s">
        <v>2539</v>
      </c>
      <c r="D1407" t="s">
        <v>2688</v>
      </c>
      <c r="E1407">
        <v>2</v>
      </c>
    </row>
    <row r="1408" spans="1:5" x14ac:dyDescent="0.25">
      <c r="A1408" t="s">
        <v>75</v>
      </c>
      <c r="B1408" t="s">
        <v>2695</v>
      </c>
      <c r="C1408" t="s">
        <v>2539</v>
      </c>
      <c r="D1408" t="s">
        <v>2690</v>
      </c>
      <c r="E1408">
        <v>6</v>
      </c>
    </row>
    <row r="1409" spans="1:5" x14ac:dyDescent="0.25">
      <c r="A1409" t="s">
        <v>75</v>
      </c>
      <c r="B1409" t="s">
        <v>2695</v>
      </c>
      <c r="C1409" t="s">
        <v>2540</v>
      </c>
      <c r="D1409" t="s">
        <v>2677</v>
      </c>
      <c r="E1409">
        <v>1</v>
      </c>
    </row>
    <row r="1410" spans="1:5" x14ac:dyDescent="0.25">
      <c r="A1410" t="s">
        <v>75</v>
      </c>
      <c r="B1410" t="s">
        <v>2695</v>
      </c>
      <c r="C1410" t="s">
        <v>2540</v>
      </c>
      <c r="D1410" t="s">
        <v>2681</v>
      </c>
      <c r="E1410">
        <v>9</v>
      </c>
    </row>
    <row r="1411" spans="1:5" x14ac:dyDescent="0.25">
      <c r="A1411" t="s">
        <v>75</v>
      </c>
      <c r="B1411" t="s">
        <v>2695</v>
      </c>
      <c r="C1411" t="s">
        <v>2540</v>
      </c>
      <c r="D1411" t="s">
        <v>2682</v>
      </c>
      <c r="E1411">
        <v>8</v>
      </c>
    </row>
    <row r="1412" spans="1:5" x14ac:dyDescent="0.25">
      <c r="A1412" t="s">
        <v>75</v>
      </c>
      <c r="B1412" t="s">
        <v>2695</v>
      </c>
      <c r="C1412" t="s">
        <v>2538</v>
      </c>
      <c r="D1412" t="s">
        <v>2677</v>
      </c>
      <c r="E1412">
        <v>2</v>
      </c>
    </row>
    <row r="1413" spans="1:5" x14ac:dyDescent="0.25">
      <c r="A1413" t="s">
        <v>75</v>
      </c>
      <c r="B1413" t="s">
        <v>2695</v>
      </c>
      <c r="C1413" t="s">
        <v>2538</v>
      </c>
      <c r="D1413" t="s">
        <v>2678</v>
      </c>
      <c r="E1413">
        <v>8</v>
      </c>
    </row>
    <row r="1414" spans="1:5" x14ac:dyDescent="0.25">
      <c r="A1414" t="s">
        <v>75</v>
      </c>
      <c r="B1414" t="s">
        <v>2695</v>
      </c>
      <c r="C1414" t="s">
        <v>2538</v>
      </c>
      <c r="D1414" t="s">
        <v>2679</v>
      </c>
      <c r="E1414">
        <v>5</v>
      </c>
    </row>
    <row r="1415" spans="1:5" x14ac:dyDescent="0.25">
      <c r="A1415" t="s">
        <v>75</v>
      </c>
      <c r="B1415" t="s">
        <v>2695</v>
      </c>
      <c r="C1415" t="s">
        <v>2538</v>
      </c>
      <c r="D1415" t="s">
        <v>2680</v>
      </c>
      <c r="E1415">
        <v>12</v>
      </c>
    </row>
    <row r="1416" spans="1:5" x14ac:dyDescent="0.25">
      <c r="A1416" t="s">
        <v>75</v>
      </c>
      <c r="B1416" t="s">
        <v>2695</v>
      </c>
      <c r="C1416" t="s">
        <v>2538</v>
      </c>
      <c r="D1416" t="s">
        <v>2681</v>
      </c>
      <c r="E1416">
        <v>4</v>
      </c>
    </row>
    <row r="1417" spans="1:5" x14ac:dyDescent="0.25">
      <c r="A1417" t="s">
        <v>75</v>
      </c>
      <c r="B1417" t="s">
        <v>2695</v>
      </c>
      <c r="C1417" t="s">
        <v>2538</v>
      </c>
      <c r="D1417" t="s">
        <v>2682</v>
      </c>
      <c r="E1417">
        <v>5</v>
      </c>
    </row>
    <row r="1418" spans="1:5" x14ac:dyDescent="0.25">
      <c r="A1418" t="s">
        <v>75</v>
      </c>
      <c r="B1418" t="s">
        <v>2695</v>
      </c>
      <c r="C1418" t="s">
        <v>2538</v>
      </c>
      <c r="D1418" t="s">
        <v>2683</v>
      </c>
      <c r="E1418">
        <v>5</v>
      </c>
    </row>
    <row r="1419" spans="1:5" x14ac:dyDescent="0.25">
      <c r="A1419" t="s">
        <v>75</v>
      </c>
      <c r="B1419" t="s">
        <v>2695</v>
      </c>
      <c r="C1419" t="s">
        <v>2538</v>
      </c>
      <c r="D1419" t="s">
        <v>2684</v>
      </c>
      <c r="E1419">
        <v>2</v>
      </c>
    </row>
    <row r="1420" spans="1:5" x14ac:dyDescent="0.25">
      <c r="A1420" t="s">
        <v>75</v>
      </c>
      <c r="B1420" t="s">
        <v>2695</v>
      </c>
      <c r="C1420" t="s">
        <v>2538</v>
      </c>
      <c r="D1420" t="s">
        <v>2685</v>
      </c>
      <c r="E1420">
        <v>1</v>
      </c>
    </row>
    <row r="1421" spans="1:5" x14ac:dyDescent="0.25">
      <c r="A1421" t="s">
        <v>75</v>
      </c>
      <c r="B1421" t="s">
        <v>2695</v>
      </c>
      <c r="C1421" t="s">
        <v>2538</v>
      </c>
      <c r="D1421" t="s">
        <v>2688</v>
      </c>
      <c r="E1421">
        <v>1</v>
      </c>
    </row>
    <row r="1422" spans="1:5" x14ac:dyDescent="0.25">
      <c r="A1422" t="s">
        <v>75</v>
      </c>
      <c r="B1422" t="s">
        <v>2695</v>
      </c>
      <c r="C1422" t="s">
        <v>2538</v>
      </c>
      <c r="D1422" t="s">
        <v>2689</v>
      </c>
      <c r="E1422">
        <v>2</v>
      </c>
    </row>
    <row r="1423" spans="1:5" x14ac:dyDescent="0.25">
      <c r="A1423" t="s">
        <v>75</v>
      </c>
      <c r="B1423" t="s">
        <v>2695</v>
      </c>
      <c r="C1423" t="s">
        <v>2538</v>
      </c>
      <c r="D1423" t="s">
        <v>2690</v>
      </c>
      <c r="E1423">
        <v>1</v>
      </c>
    </row>
    <row r="1424" spans="1:5" x14ac:dyDescent="0.25">
      <c r="A1424" t="s">
        <v>75</v>
      </c>
      <c r="B1424" t="s">
        <v>2695</v>
      </c>
      <c r="C1424" t="s">
        <v>2537</v>
      </c>
      <c r="D1424" t="s">
        <v>2677</v>
      </c>
      <c r="E1424">
        <v>23</v>
      </c>
    </row>
    <row r="1425" spans="1:5" x14ac:dyDescent="0.25">
      <c r="A1425" t="s">
        <v>75</v>
      </c>
      <c r="B1425" t="s">
        <v>2695</v>
      </c>
      <c r="C1425" t="s">
        <v>2537</v>
      </c>
      <c r="D1425" t="s">
        <v>2678</v>
      </c>
      <c r="E1425">
        <v>46</v>
      </c>
    </row>
    <row r="1426" spans="1:5" x14ac:dyDescent="0.25">
      <c r="A1426" t="s">
        <v>75</v>
      </c>
      <c r="B1426" t="s">
        <v>2695</v>
      </c>
      <c r="C1426" t="s">
        <v>2537</v>
      </c>
      <c r="D1426" t="s">
        <v>2679</v>
      </c>
      <c r="E1426">
        <v>30</v>
      </c>
    </row>
    <row r="1427" spans="1:5" x14ac:dyDescent="0.25">
      <c r="A1427" t="s">
        <v>75</v>
      </c>
      <c r="B1427" t="s">
        <v>2695</v>
      </c>
      <c r="C1427" t="s">
        <v>2537</v>
      </c>
      <c r="D1427" t="s">
        <v>2680</v>
      </c>
      <c r="E1427">
        <v>34</v>
      </c>
    </row>
    <row r="1428" spans="1:5" x14ac:dyDescent="0.25">
      <c r="A1428" t="s">
        <v>75</v>
      </c>
      <c r="B1428" t="s">
        <v>2695</v>
      </c>
      <c r="C1428" t="s">
        <v>2537</v>
      </c>
      <c r="D1428" t="s">
        <v>2681</v>
      </c>
      <c r="E1428">
        <v>24</v>
      </c>
    </row>
    <row r="1429" spans="1:5" x14ac:dyDescent="0.25">
      <c r="A1429" t="s">
        <v>75</v>
      </c>
      <c r="B1429" t="s">
        <v>2695</v>
      </c>
      <c r="C1429" t="s">
        <v>2537</v>
      </c>
      <c r="D1429" t="s">
        <v>2682</v>
      </c>
      <c r="E1429">
        <v>25</v>
      </c>
    </row>
    <row r="1430" spans="1:5" x14ac:dyDescent="0.25">
      <c r="A1430" t="s">
        <v>75</v>
      </c>
      <c r="B1430" t="s">
        <v>2695</v>
      </c>
      <c r="C1430" t="s">
        <v>2536</v>
      </c>
      <c r="D1430" t="s">
        <v>2677</v>
      </c>
      <c r="E1430">
        <v>17</v>
      </c>
    </row>
    <row r="1431" spans="1:5" x14ac:dyDescent="0.25">
      <c r="A1431" t="s">
        <v>75</v>
      </c>
      <c r="B1431" t="s">
        <v>2695</v>
      </c>
      <c r="C1431" t="s">
        <v>2536</v>
      </c>
      <c r="D1431" t="s">
        <v>2678</v>
      </c>
      <c r="E1431">
        <v>13</v>
      </c>
    </row>
    <row r="1432" spans="1:5" x14ac:dyDescent="0.25">
      <c r="A1432" t="s">
        <v>75</v>
      </c>
      <c r="B1432" t="s">
        <v>2695</v>
      </c>
      <c r="C1432" t="s">
        <v>2536</v>
      </c>
      <c r="D1432" t="s">
        <v>2679</v>
      </c>
      <c r="E1432">
        <v>10</v>
      </c>
    </row>
    <row r="1433" spans="1:5" x14ac:dyDescent="0.25">
      <c r="A1433" t="s">
        <v>75</v>
      </c>
      <c r="B1433" t="s">
        <v>2695</v>
      </c>
      <c r="C1433" t="s">
        <v>2536</v>
      </c>
      <c r="D1433" t="s">
        <v>2680</v>
      </c>
      <c r="E1433">
        <v>16</v>
      </c>
    </row>
    <row r="1434" spans="1:5" x14ac:dyDescent="0.25">
      <c r="A1434" t="s">
        <v>75</v>
      </c>
      <c r="B1434" t="s">
        <v>2695</v>
      </c>
      <c r="C1434" t="s">
        <v>2536</v>
      </c>
      <c r="D1434" t="s">
        <v>2681</v>
      </c>
      <c r="E1434">
        <v>27</v>
      </c>
    </row>
    <row r="1435" spans="1:5" x14ac:dyDescent="0.25">
      <c r="A1435" t="s">
        <v>75</v>
      </c>
      <c r="B1435" t="s">
        <v>2695</v>
      </c>
      <c r="C1435" t="s">
        <v>2536</v>
      </c>
      <c r="D1435" t="s">
        <v>2682</v>
      </c>
      <c r="E1435">
        <v>8</v>
      </c>
    </row>
    <row r="1436" spans="1:5" x14ac:dyDescent="0.25">
      <c r="A1436" t="s">
        <v>75</v>
      </c>
      <c r="B1436" t="s">
        <v>2505</v>
      </c>
      <c r="C1436" t="s">
        <v>106</v>
      </c>
      <c r="D1436" t="s">
        <v>2681</v>
      </c>
      <c r="E1436">
        <v>103</v>
      </c>
    </row>
    <row r="1437" spans="1:5" x14ac:dyDescent="0.25">
      <c r="A1437" t="s">
        <v>75</v>
      </c>
      <c r="B1437" t="s">
        <v>2505</v>
      </c>
      <c r="C1437" t="s">
        <v>106</v>
      </c>
      <c r="D1437" t="s">
        <v>2682</v>
      </c>
      <c r="E1437">
        <v>85</v>
      </c>
    </row>
    <row r="1438" spans="1:5" x14ac:dyDescent="0.25">
      <c r="A1438" t="s">
        <v>75</v>
      </c>
      <c r="B1438" t="s">
        <v>2505</v>
      </c>
      <c r="C1438" t="s">
        <v>106</v>
      </c>
      <c r="D1438" t="s">
        <v>2683</v>
      </c>
      <c r="E1438">
        <v>78</v>
      </c>
    </row>
    <row r="1439" spans="1:5" x14ac:dyDescent="0.25">
      <c r="A1439" t="s">
        <v>75</v>
      </c>
      <c r="B1439" t="s">
        <v>2505</v>
      </c>
      <c r="C1439" t="s">
        <v>106</v>
      </c>
      <c r="D1439" t="s">
        <v>2684</v>
      </c>
      <c r="E1439">
        <v>71</v>
      </c>
    </row>
    <row r="1440" spans="1:5" x14ac:dyDescent="0.25">
      <c r="A1440" t="s">
        <v>75</v>
      </c>
      <c r="B1440" t="s">
        <v>2505</v>
      </c>
      <c r="C1440" t="s">
        <v>106</v>
      </c>
      <c r="D1440" t="s">
        <v>2685</v>
      </c>
      <c r="E1440">
        <v>61</v>
      </c>
    </row>
    <row r="1441" spans="1:5" x14ac:dyDescent="0.25">
      <c r="A1441" t="s">
        <v>75</v>
      </c>
      <c r="B1441" t="s">
        <v>2505</v>
      </c>
      <c r="C1441" t="s">
        <v>106</v>
      </c>
      <c r="D1441" t="s">
        <v>2686</v>
      </c>
      <c r="E1441">
        <v>55</v>
      </c>
    </row>
    <row r="1442" spans="1:5" x14ac:dyDescent="0.25">
      <c r="A1442" t="s">
        <v>75</v>
      </c>
      <c r="B1442" t="s">
        <v>2505</v>
      </c>
      <c r="C1442" t="s">
        <v>106</v>
      </c>
      <c r="D1442" t="s">
        <v>2687</v>
      </c>
      <c r="E1442">
        <v>46</v>
      </c>
    </row>
    <row r="1443" spans="1:5" x14ac:dyDescent="0.25">
      <c r="A1443" t="s">
        <v>75</v>
      </c>
      <c r="B1443" t="s">
        <v>2505</v>
      </c>
      <c r="C1443" t="s">
        <v>106</v>
      </c>
      <c r="D1443" t="s">
        <v>2688</v>
      </c>
      <c r="E1443">
        <v>40</v>
      </c>
    </row>
    <row r="1444" spans="1:5" x14ac:dyDescent="0.25">
      <c r="A1444" t="s">
        <v>75</v>
      </c>
      <c r="B1444" t="s">
        <v>2505</v>
      </c>
      <c r="C1444" t="s">
        <v>106</v>
      </c>
      <c r="D1444" t="s">
        <v>2689</v>
      </c>
      <c r="E1444">
        <v>38</v>
      </c>
    </row>
    <row r="1445" spans="1:5" x14ac:dyDescent="0.25">
      <c r="A1445" t="s">
        <v>75</v>
      </c>
      <c r="B1445" t="s">
        <v>2505</v>
      </c>
      <c r="C1445" t="s">
        <v>106</v>
      </c>
      <c r="D1445" t="s">
        <v>2690</v>
      </c>
      <c r="E1445">
        <v>37</v>
      </c>
    </row>
    <row r="1446" spans="1:5" x14ac:dyDescent="0.25">
      <c r="A1446" t="s">
        <v>75</v>
      </c>
      <c r="B1446" t="s">
        <v>2505</v>
      </c>
      <c r="C1446" t="s">
        <v>2539</v>
      </c>
      <c r="D1446" t="s">
        <v>2677</v>
      </c>
      <c r="E1446">
        <v>58</v>
      </c>
    </row>
    <row r="1447" spans="1:5" x14ac:dyDescent="0.25">
      <c r="A1447" t="s">
        <v>75</v>
      </c>
      <c r="B1447" t="s">
        <v>2505</v>
      </c>
      <c r="C1447" t="s">
        <v>2539</v>
      </c>
      <c r="D1447" t="s">
        <v>2678</v>
      </c>
      <c r="E1447">
        <v>108</v>
      </c>
    </row>
    <row r="1448" spans="1:5" x14ac:dyDescent="0.25">
      <c r="A1448" t="s">
        <v>75</v>
      </c>
      <c r="B1448" t="s">
        <v>2505</v>
      </c>
      <c r="C1448" t="s">
        <v>2539</v>
      </c>
      <c r="D1448" t="s">
        <v>2679</v>
      </c>
      <c r="E1448">
        <v>120</v>
      </c>
    </row>
    <row r="1449" spans="1:5" x14ac:dyDescent="0.25">
      <c r="A1449" t="s">
        <v>75</v>
      </c>
      <c r="B1449" t="s">
        <v>2505</v>
      </c>
      <c r="C1449" t="s">
        <v>2539</v>
      </c>
      <c r="D1449" t="s">
        <v>2680</v>
      </c>
      <c r="E1449">
        <v>117</v>
      </c>
    </row>
    <row r="1450" spans="1:5" x14ac:dyDescent="0.25">
      <c r="A1450" t="s">
        <v>75</v>
      </c>
      <c r="B1450" t="s">
        <v>2505</v>
      </c>
      <c r="C1450" t="s">
        <v>2539</v>
      </c>
      <c r="D1450" t="s">
        <v>2681</v>
      </c>
      <c r="E1450">
        <v>109</v>
      </c>
    </row>
    <row r="1451" spans="1:5" x14ac:dyDescent="0.25">
      <c r="A1451" t="s">
        <v>75</v>
      </c>
      <c r="B1451" t="s">
        <v>2505</v>
      </c>
      <c r="C1451" t="s">
        <v>2539</v>
      </c>
      <c r="D1451" t="s">
        <v>2682</v>
      </c>
      <c r="E1451">
        <v>92</v>
      </c>
    </row>
    <row r="1452" spans="1:5" x14ac:dyDescent="0.25">
      <c r="A1452" t="s">
        <v>75</v>
      </c>
      <c r="B1452" t="s">
        <v>2505</v>
      </c>
      <c r="C1452" t="s">
        <v>2539</v>
      </c>
      <c r="D1452" t="s">
        <v>2683</v>
      </c>
      <c r="E1452">
        <v>79</v>
      </c>
    </row>
    <row r="1453" spans="1:5" x14ac:dyDescent="0.25">
      <c r="A1453" t="s">
        <v>75</v>
      </c>
      <c r="B1453" t="s">
        <v>2505</v>
      </c>
      <c r="C1453" t="s">
        <v>2539</v>
      </c>
      <c r="D1453" t="s">
        <v>2684</v>
      </c>
      <c r="E1453">
        <v>75</v>
      </c>
    </row>
    <row r="1454" spans="1:5" x14ac:dyDescent="0.25">
      <c r="A1454" t="s">
        <v>75</v>
      </c>
      <c r="B1454" t="s">
        <v>2505</v>
      </c>
      <c r="C1454" t="s">
        <v>2539</v>
      </c>
      <c r="D1454" t="s">
        <v>2685</v>
      </c>
      <c r="E1454">
        <v>71</v>
      </c>
    </row>
    <row r="1455" spans="1:5" x14ac:dyDescent="0.25">
      <c r="A1455" t="s">
        <v>75</v>
      </c>
      <c r="B1455" t="s">
        <v>2505</v>
      </c>
      <c r="C1455" t="s">
        <v>2539</v>
      </c>
      <c r="D1455" t="s">
        <v>2686</v>
      </c>
      <c r="E1455">
        <v>64</v>
      </c>
    </row>
    <row r="1456" spans="1:5" x14ac:dyDescent="0.25">
      <c r="A1456" t="s">
        <v>75</v>
      </c>
      <c r="B1456" t="s">
        <v>2505</v>
      </c>
      <c r="C1456" t="s">
        <v>2539</v>
      </c>
      <c r="D1456" t="s">
        <v>2687</v>
      </c>
      <c r="E1456">
        <v>63</v>
      </c>
    </row>
    <row r="1457" spans="1:5" x14ac:dyDescent="0.25">
      <c r="A1457" t="s">
        <v>75</v>
      </c>
      <c r="B1457" t="s">
        <v>2505</v>
      </c>
      <c r="C1457" t="s">
        <v>2539</v>
      </c>
      <c r="D1457" t="s">
        <v>2688</v>
      </c>
      <c r="E1457">
        <v>61</v>
      </c>
    </row>
    <row r="1458" spans="1:5" x14ac:dyDescent="0.25">
      <c r="A1458" t="s">
        <v>75</v>
      </c>
      <c r="B1458" t="s">
        <v>2505</v>
      </c>
      <c r="C1458" t="s">
        <v>2539</v>
      </c>
      <c r="D1458" t="s">
        <v>2689</v>
      </c>
      <c r="E1458">
        <v>60</v>
      </c>
    </row>
    <row r="1459" spans="1:5" x14ac:dyDescent="0.25">
      <c r="A1459" t="s">
        <v>75</v>
      </c>
      <c r="B1459" t="s">
        <v>2505</v>
      </c>
      <c r="C1459" t="s">
        <v>2539</v>
      </c>
      <c r="D1459" t="s">
        <v>2690</v>
      </c>
      <c r="E1459">
        <v>54</v>
      </c>
    </row>
    <row r="1460" spans="1:5" x14ac:dyDescent="0.25">
      <c r="A1460" t="s">
        <v>75</v>
      </c>
      <c r="B1460" t="s">
        <v>2505</v>
      </c>
      <c r="C1460" t="s">
        <v>2544</v>
      </c>
      <c r="D1460" t="s">
        <v>2677</v>
      </c>
      <c r="E1460">
        <v>43</v>
      </c>
    </row>
    <row r="1461" spans="1:5" x14ac:dyDescent="0.25">
      <c r="A1461" t="s">
        <v>75</v>
      </c>
      <c r="B1461" t="s">
        <v>2505</v>
      </c>
      <c r="C1461" t="s">
        <v>2544</v>
      </c>
      <c r="D1461" t="s">
        <v>2678</v>
      </c>
      <c r="E1461">
        <v>133</v>
      </c>
    </row>
    <row r="1462" spans="1:5" x14ac:dyDescent="0.25">
      <c r="A1462" t="s">
        <v>75</v>
      </c>
      <c r="B1462" t="s">
        <v>2505</v>
      </c>
      <c r="C1462" t="s">
        <v>2544</v>
      </c>
      <c r="D1462" t="s">
        <v>2679</v>
      </c>
      <c r="E1462">
        <v>173</v>
      </c>
    </row>
    <row r="1463" spans="1:5" x14ac:dyDescent="0.25">
      <c r="A1463" t="s">
        <v>75</v>
      </c>
      <c r="B1463" t="s">
        <v>2505</v>
      </c>
      <c r="C1463" t="s">
        <v>2544</v>
      </c>
      <c r="D1463" t="s">
        <v>2680</v>
      </c>
      <c r="E1463">
        <v>181</v>
      </c>
    </row>
    <row r="1464" spans="1:5" x14ac:dyDescent="0.25">
      <c r="A1464" t="s">
        <v>75</v>
      </c>
      <c r="B1464" t="s">
        <v>2505</v>
      </c>
      <c r="C1464" t="s">
        <v>2544</v>
      </c>
      <c r="D1464" t="s">
        <v>2681</v>
      </c>
      <c r="E1464">
        <v>243</v>
      </c>
    </row>
    <row r="1465" spans="1:5" x14ac:dyDescent="0.25">
      <c r="A1465" t="s">
        <v>75</v>
      </c>
      <c r="B1465" t="s">
        <v>2505</v>
      </c>
      <c r="C1465" t="s">
        <v>2544</v>
      </c>
      <c r="D1465" t="s">
        <v>2682</v>
      </c>
      <c r="E1465">
        <v>288</v>
      </c>
    </row>
    <row r="1466" spans="1:5" x14ac:dyDescent="0.25">
      <c r="A1466" t="s">
        <v>75</v>
      </c>
      <c r="B1466" t="s">
        <v>2505</v>
      </c>
      <c r="C1466" t="s">
        <v>2544</v>
      </c>
      <c r="D1466" t="s">
        <v>2683</v>
      </c>
      <c r="E1466">
        <v>256</v>
      </c>
    </row>
    <row r="1467" spans="1:5" x14ac:dyDescent="0.25">
      <c r="A1467" t="s">
        <v>75</v>
      </c>
      <c r="B1467" t="s">
        <v>2505</v>
      </c>
      <c r="C1467" t="s">
        <v>2544</v>
      </c>
      <c r="D1467" t="s">
        <v>2684</v>
      </c>
      <c r="E1467">
        <v>198</v>
      </c>
    </row>
    <row r="1468" spans="1:5" x14ac:dyDescent="0.25">
      <c r="A1468" t="s">
        <v>75</v>
      </c>
      <c r="B1468" t="s">
        <v>2505</v>
      </c>
      <c r="C1468" t="s">
        <v>2544</v>
      </c>
      <c r="D1468" t="s">
        <v>2685</v>
      </c>
      <c r="E1468">
        <v>219</v>
      </c>
    </row>
    <row r="1469" spans="1:5" x14ac:dyDescent="0.25">
      <c r="A1469" t="s">
        <v>75</v>
      </c>
      <c r="B1469" t="s">
        <v>2505</v>
      </c>
      <c r="C1469" t="s">
        <v>2544</v>
      </c>
      <c r="D1469" t="s">
        <v>2686</v>
      </c>
      <c r="E1469">
        <v>227</v>
      </c>
    </row>
    <row r="1470" spans="1:5" x14ac:dyDescent="0.25">
      <c r="A1470" t="s">
        <v>75</v>
      </c>
      <c r="B1470" t="s">
        <v>2505</v>
      </c>
      <c r="C1470" t="s">
        <v>2544</v>
      </c>
      <c r="D1470" t="s">
        <v>2687</v>
      </c>
      <c r="E1470">
        <v>257</v>
      </c>
    </row>
    <row r="1471" spans="1:5" x14ac:dyDescent="0.25">
      <c r="A1471" t="s">
        <v>75</v>
      </c>
      <c r="B1471" t="s">
        <v>2505</v>
      </c>
      <c r="C1471" t="s">
        <v>2544</v>
      </c>
      <c r="D1471" t="s">
        <v>2688</v>
      </c>
      <c r="E1471">
        <v>285</v>
      </c>
    </row>
    <row r="1472" spans="1:5" x14ac:dyDescent="0.25">
      <c r="A1472" t="s">
        <v>75</v>
      </c>
      <c r="B1472" t="s">
        <v>2505</v>
      </c>
      <c r="C1472" t="s">
        <v>2544</v>
      </c>
      <c r="D1472" t="s">
        <v>2689</v>
      </c>
      <c r="E1472">
        <v>277</v>
      </c>
    </row>
    <row r="1473" spans="1:5" x14ac:dyDescent="0.25">
      <c r="A1473" t="s">
        <v>75</v>
      </c>
      <c r="B1473" t="s">
        <v>2505</v>
      </c>
      <c r="C1473" t="s">
        <v>2544</v>
      </c>
      <c r="D1473" t="s">
        <v>2690</v>
      </c>
      <c r="E1473">
        <v>241</v>
      </c>
    </row>
    <row r="1474" spans="1:5" x14ac:dyDescent="0.25">
      <c r="A1474" t="s">
        <v>75</v>
      </c>
      <c r="B1474" t="s">
        <v>2505</v>
      </c>
      <c r="C1474" t="s">
        <v>76</v>
      </c>
      <c r="D1474" t="s">
        <v>2677</v>
      </c>
      <c r="E1474">
        <v>2</v>
      </c>
    </row>
    <row r="1475" spans="1:5" x14ac:dyDescent="0.25">
      <c r="A1475" t="s">
        <v>75</v>
      </c>
      <c r="B1475" t="s">
        <v>2505</v>
      </c>
      <c r="C1475" t="s">
        <v>76</v>
      </c>
      <c r="D1475" t="s">
        <v>2678</v>
      </c>
      <c r="E1475">
        <v>7</v>
      </c>
    </row>
    <row r="1476" spans="1:5" x14ac:dyDescent="0.25">
      <c r="A1476" t="s">
        <v>75</v>
      </c>
      <c r="B1476" t="s">
        <v>2505</v>
      </c>
      <c r="C1476" t="s">
        <v>76</v>
      </c>
      <c r="D1476" t="s">
        <v>2679</v>
      </c>
      <c r="E1476">
        <v>8</v>
      </c>
    </row>
    <row r="1477" spans="1:5" x14ac:dyDescent="0.25">
      <c r="A1477" t="s">
        <v>75</v>
      </c>
      <c r="B1477" t="s">
        <v>2505</v>
      </c>
      <c r="C1477" t="s">
        <v>76</v>
      </c>
      <c r="D1477" t="s">
        <v>2680</v>
      </c>
      <c r="E1477">
        <v>8</v>
      </c>
    </row>
    <row r="1478" spans="1:5" x14ac:dyDescent="0.25">
      <c r="A1478" t="s">
        <v>75</v>
      </c>
      <c r="B1478" t="s">
        <v>2505</v>
      </c>
      <c r="C1478" t="s">
        <v>76</v>
      </c>
      <c r="D1478" t="s">
        <v>2681</v>
      </c>
      <c r="E1478">
        <v>2</v>
      </c>
    </row>
    <row r="1479" spans="1:5" x14ac:dyDescent="0.25">
      <c r="A1479" t="s">
        <v>75</v>
      </c>
      <c r="B1479" t="s">
        <v>2505</v>
      </c>
      <c r="C1479" t="s">
        <v>2538</v>
      </c>
      <c r="D1479" t="s">
        <v>2677</v>
      </c>
      <c r="E1479">
        <v>23</v>
      </c>
    </row>
    <row r="1480" spans="1:5" x14ac:dyDescent="0.25">
      <c r="A1480" t="s">
        <v>75</v>
      </c>
      <c r="B1480" t="s">
        <v>2505</v>
      </c>
      <c r="C1480" t="s">
        <v>2538</v>
      </c>
      <c r="D1480" t="s">
        <v>2678</v>
      </c>
      <c r="E1480">
        <v>60</v>
      </c>
    </row>
    <row r="1481" spans="1:5" x14ac:dyDescent="0.25">
      <c r="A1481" t="s">
        <v>75</v>
      </c>
      <c r="B1481" t="s">
        <v>2505</v>
      </c>
      <c r="C1481" t="s">
        <v>2538</v>
      </c>
      <c r="D1481" t="s">
        <v>2679</v>
      </c>
      <c r="E1481">
        <v>85</v>
      </c>
    </row>
    <row r="1482" spans="1:5" x14ac:dyDescent="0.25">
      <c r="A1482" t="s">
        <v>75</v>
      </c>
      <c r="B1482" t="s">
        <v>2505</v>
      </c>
      <c r="C1482" t="s">
        <v>2538</v>
      </c>
      <c r="D1482" t="s">
        <v>2680</v>
      </c>
      <c r="E1482">
        <v>88</v>
      </c>
    </row>
    <row r="1483" spans="1:5" x14ac:dyDescent="0.25">
      <c r="A1483" t="s">
        <v>75</v>
      </c>
      <c r="B1483" t="s">
        <v>2505</v>
      </c>
      <c r="C1483" t="s">
        <v>2538</v>
      </c>
      <c r="D1483" t="s">
        <v>2681</v>
      </c>
      <c r="E1483">
        <v>85</v>
      </c>
    </row>
    <row r="1484" spans="1:5" x14ac:dyDescent="0.25">
      <c r="A1484" t="s">
        <v>75</v>
      </c>
      <c r="B1484" t="s">
        <v>2505</v>
      </c>
      <c r="C1484" t="s">
        <v>2538</v>
      </c>
      <c r="D1484" t="s">
        <v>2682</v>
      </c>
      <c r="E1484">
        <v>57</v>
      </c>
    </row>
    <row r="1485" spans="1:5" x14ac:dyDescent="0.25">
      <c r="A1485" t="s">
        <v>75</v>
      </c>
      <c r="B1485" t="s">
        <v>2505</v>
      </c>
      <c r="C1485" t="s">
        <v>2538</v>
      </c>
      <c r="D1485" t="s">
        <v>2683</v>
      </c>
      <c r="E1485">
        <v>48</v>
      </c>
    </row>
    <row r="1486" spans="1:5" x14ac:dyDescent="0.25">
      <c r="A1486" t="s">
        <v>75</v>
      </c>
      <c r="B1486" t="s">
        <v>2505</v>
      </c>
      <c r="C1486" t="s">
        <v>2538</v>
      </c>
      <c r="D1486" t="s">
        <v>2684</v>
      </c>
      <c r="E1486">
        <v>49</v>
      </c>
    </row>
    <row r="1487" spans="1:5" x14ac:dyDescent="0.25">
      <c r="A1487" t="s">
        <v>75</v>
      </c>
      <c r="B1487" t="s">
        <v>2505</v>
      </c>
      <c r="C1487" t="s">
        <v>2538</v>
      </c>
      <c r="D1487" t="s">
        <v>2685</v>
      </c>
      <c r="E1487">
        <v>55</v>
      </c>
    </row>
    <row r="1488" spans="1:5" x14ac:dyDescent="0.25">
      <c r="A1488" t="s">
        <v>75</v>
      </c>
      <c r="B1488" t="s">
        <v>2505</v>
      </c>
      <c r="C1488" t="s">
        <v>2538</v>
      </c>
      <c r="D1488" t="s">
        <v>2686</v>
      </c>
      <c r="E1488">
        <v>71</v>
      </c>
    </row>
    <row r="1489" spans="1:5" x14ac:dyDescent="0.25">
      <c r="A1489" t="s">
        <v>75</v>
      </c>
      <c r="B1489" t="s">
        <v>2505</v>
      </c>
      <c r="C1489" t="s">
        <v>2538</v>
      </c>
      <c r="D1489" t="s">
        <v>2687</v>
      </c>
      <c r="E1489">
        <v>60</v>
      </c>
    </row>
    <row r="1490" spans="1:5" x14ac:dyDescent="0.25">
      <c r="A1490" t="s">
        <v>75</v>
      </c>
      <c r="B1490" t="s">
        <v>2505</v>
      </c>
      <c r="C1490" t="s">
        <v>2538</v>
      </c>
      <c r="D1490" t="s">
        <v>2688</v>
      </c>
      <c r="E1490">
        <v>75</v>
      </c>
    </row>
    <row r="1491" spans="1:5" x14ac:dyDescent="0.25">
      <c r="A1491" t="s">
        <v>75</v>
      </c>
      <c r="B1491" t="s">
        <v>2505</v>
      </c>
      <c r="C1491" t="s">
        <v>2538</v>
      </c>
      <c r="D1491" t="s">
        <v>2689</v>
      </c>
      <c r="E1491">
        <v>94</v>
      </c>
    </row>
    <row r="1492" spans="1:5" x14ac:dyDescent="0.25">
      <c r="A1492" t="s">
        <v>75</v>
      </c>
      <c r="B1492" t="s">
        <v>2505</v>
      </c>
      <c r="C1492" t="s">
        <v>2538</v>
      </c>
      <c r="D1492" t="s">
        <v>2690</v>
      </c>
      <c r="E1492">
        <v>92</v>
      </c>
    </row>
    <row r="1493" spans="1:5" x14ac:dyDescent="0.25">
      <c r="A1493" t="s">
        <v>75</v>
      </c>
      <c r="B1493" t="s">
        <v>2505</v>
      </c>
      <c r="C1493" t="s">
        <v>2516</v>
      </c>
      <c r="D1493" t="s">
        <v>2677</v>
      </c>
      <c r="E1493">
        <v>1</v>
      </c>
    </row>
    <row r="1494" spans="1:5" x14ac:dyDescent="0.25">
      <c r="A1494" t="s">
        <v>75</v>
      </c>
      <c r="B1494" t="s">
        <v>2505</v>
      </c>
      <c r="C1494" t="s">
        <v>2516</v>
      </c>
      <c r="D1494" t="s">
        <v>2679</v>
      </c>
      <c r="E1494">
        <v>3</v>
      </c>
    </row>
    <row r="1495" spans="1:5" x14ac:dyDescent="0.25">
      <c r="A1495" t="s">
        <v>75</v>
      </c>
      <c r="B1495" t="s">
        <v>2505</v>
      </c>
      <c r="C1495" t="s">
        <v>2516</v>
      </c>
      <c r="D1495" t="s">
        <v>2680</v>
      </c>
      <c r="E1495">
        <v>8</v>
      </c>
    </row>
    <row r="1496" spans="1:5" x14ac:dyDescent="0.25">
      <c r="A1496" t="s">
        <v>75</v>
      </c>
      <c r="B1496" t="s">
        <v>2505</v>
      </c>
      <c r="C1496" t="s">
        <v>2516</v>
      </c>
      <c r="D1496" t="s">
        <v>2681</v>
      </c>
      <c r="E1496">
        <v>17</v>
      </c>
    </row>
    <row r="1497" spans="1:5" x14ac:dyDescent="0.25">
      <c r="A1497" t="s">
        <v>75</v>
      </c>
      <c r="B1497" t="s">
        <v>2505</v>
      </c>
      <c r="C1497" t="s">
        <v>2516</v>
      </c>
      <c r="D1497" t="s">
        <v>2682</v>
      </c>
      <c r="E1497">
        <v>18</v>
      </c>
    </row>
    <row r="1498" spans="1:5" x14ac:dyDescent="0.25">
      <c r="A1498" t="s">
        <v>75</v>
      </c>
      <c r="B1498" t="s">
        <v>2505</v>
      </c>
      <c r="C1498" t="s">
        <v>2516</v>
      </c>
      <c r="D1498" t="s">
        <v>2683</v>
      </c>
      <c r="E1498">
        <v>27</v>
      </c>
    </row>
    <row r="1499" spans="1:5" x14ac:dyDescent="0.25">
      <c r="A1499" t="s">
        <v>75</v>
      </c>
      <c r="B1499" t="s">
        <v>2505</v>
      </c>
      <c r="C1499" t="s">
        <v>2516</v>
      </c>
      <c r="D1499" t="s">
        <v>2684</v>
      </c>
      <c r="E1499">
        <v>29</v>
      </c>
    </row>
    <row r="1500" spans="1:5" x14ac:dyDescent="0.25">
      <c r="A1500" t="s">
        <v>75</v>
      </c>
      <c r="B1500" t="s">
        <v>2505</v>
      </c>
      <c r="C1500" t="s">
        <v>2516</v>
      </c>
      <c r="D1500" t="s">
        <v>2685</v>
      </c>
      <c r="E1500">
        <v>11</v>
      </c>
    </row>
    <row r="1501" spans="1:5" x14ac:dyDescent="0.25">
      <c r="A1501" t="s">
        <v>75</v>
      </c>
      <c r="B1501" t="s">
        <v>2505</v>
      </c>
      <c r="C1501" t="s">
        <v>2516</v>
      </c>
      <c r="D1501" t="s">
        <v>2686</v>
      </c>
      <c r="E1501">
        <v>23</v>
      </c>
    </row>
    <row r="1502" spans="1:5" x14ac:dyDescent="0.25">
      <c r="A1502" t="s">
        <v>75</v>
      </c>
      <c r="B1502" t="s">
        <v>2505</v>
      </c>
      <c r="C1502" t="s">
        <v>2516</v>
      </c>
      <c r="D1502" t="s">
        <v>2687</v>
      </c>
      <c r="E1502">
        <v>31</v>
      </c>
    </row>
    <row r="1503" spans="1:5" x14ac:dyDescent="0.25">
      <c r="A1503" t="s">
        <v>75</v>
      </c>
      <c r="B1503" t="s">
        <v>2505</v>
      </c>
      <c r="C1503" t="s">
        <v>2516</v>
      </c>
      <c r="D1503" t="s">
        <v>2688</v>
      </c>
      <c r="E1503">
        <v>25</v>
      </c>
    </row>
    <row r="1504" spans="1:5" x14ac:dyDescent="0.25">
      <c r="A1504" t="s">
        <v>75</v>
      </c>
      <c r="B1504" t="s">
        <v>2505</v>
      </c>
      <c r="C1504" t="s">
        <v>2516</v>
      </c>
      <c r="D1504" t="s">
        <v>2689</v>
      </c>
      <c r="E1504">
        <v>32</v>
      </c>
    </row>
    <row r="1505" spans="1:5" x14ac:dyDescent="0.25">
      <c r="A1505" t="s">
        <v>75</v>
      </c>
      <c r="B1505" t="s">
        <v>2505</v>
      </c>
      <c r="C1505" t="s">
        <v>2516</v>
      </c>
      <c r="D1505" t="s">
        <v>2690</v>
      </c>
      <c r="E1505">
        <v>31</v>
      </c>
    </row>
    <row r="1506" spans="1:5" x14ac:dyDescent="0.25">
      <c r="A1506" t="s">
        <v>75</v>
      </c>
      <c r="B1506" t="s">
        <v>2505</v>
      </c>
      <c r="C1506" t="s">
        <v>2543</v>
      </c>
      <c r="D1506" t="s">
        <v>2677</v>
      </c>
      <c r="E1506">
        <v>8</v>
      </c>
    </row>
    <row r="1507" spans="1:5" x14ac:dyDescent="0.25">
      <c r="A1507" t="s">
        <v>75</v>
      </c>
      <c r="B1507" t="s">
        <v>2505</v>
      </c>
      <c r="C1507" t="s">
        <v>2543</v>
      </c>
      <c r="D1507" t="s">
        <v>2678</v>
      </c>
      <c r="E1507">
        <v>8</v>
      </c>
    </row>
    <row r="1508" spans="1:5" x14ac:dyDescent="0.25">
      <c r="A1508" t="s">
        <v>75</v>
      </c>
      <c r="B1508" t="s">
        <v>2505</v>
      </c>
      <c r="C1508" t="s">
        <v>2543</v>
      </c>
      <c r="D1508" t="s">
        <v>2679</v>
      </c>
      <c r="E1508">
        <v>20</v>
      </c>
    </row>
    <row r="1509" spans="1:5" x14ac:dyDescent="0.25">
      <c r="A1509" t="s">
        <v>75</v>
      </c>
      <c r="B1509" t="s">
        <v>2505</v>
      </c>
      <c r="C1509" t="s">
        <v>2543</v>
      </c>
      <c r="D1509" t="s">
        <v>2680</v>
      </c>
      <c r="E1509">
        <v>15</v>
      </c>
    </row>
    <row r="1510" spans="1:5" x14ac:dyDescent="0.25">
      <c r="A1510" t="s">
        <v>75</v>
      </c>
      <c r="B1510" t="s">
        <v>2505</v>
      </c>
      <c r="C1510" t="s">
        <v>2543</v>
      </c>
      <c r="D1510" t="s">
        <v>2681</v>
      </c>
      <c r="E1510">
        <v>10</v>
      </c>
    </row>
    <row r="1511" spans="1:5" x14ac:dyDescent="0.25">
      <c r="A1511" t="s">
        <v>75</v>
      </c>
      <c r="B1511" t="s">
        <v>2505</v>
      </c>
      <c r="C1511" t="s">
        <v>2543</v>
      </c>
      <c r="D1511" t="s">
        <v>2682</v>
      </c>
      <c r="E1511">
        <v>8</v>
      </c>
    </row>
    <row r="1512" spans="1:5" x14ac:dyDescent="0.25">
      <c r="A1512" t="s">
        <v>75</v>
      </c>
      <c r="B1512" t="s">
        <v>2505</v>
      </c>
      <c r="C1512" t="s">
        <v>2543</v>
      </c>
      <c r="D1512" t="s">
        <v>2683</v>
      </c>
      <c r="E1512">
        <v>1</v>
      </c>
    </row>
    <row r="1513" spans="1:5" x14ac:dyDescent="0.25">
      <c r="A1513" t="s">
        <v>75</v>
      </c>
      <c r="B1513" t="s">
        <v>2505</v>
      </c>
      <c r="C1513" t="s">
        <v>2501</v>
      </c>
      <c r="D1513" t="s">
        <v>2677</v>
      </c>
      <c r="E1513">
        <v>23</v>
      </c>
    </row>
    <row r="1514" spans="1:5" x14ac:dyDescent="0.25">
      <c r="A1514" t="s">
        <v>75</v>
      </c>
      <c r="B1514" t="s">
        <v>2505</v>
      </c>
      <c r="C1514" t="s">
        <v>2501</v>
      </c>
      <c r="D1514" t="s">
        <v>2678</v>
      </c>
      <c r="E1514">
        <v>69</v>
      </c>
    </row>
    <row r="1515" spans="1:5" x14ac:dyDescent="0.25">
      <c r="A1515" t="s">
        <v>75</v>
      </c>
      <c r="B1515" t="s">
        <v>2505</v>
      </c>
      <c r="C1515" t="s">
        <v>2501</v>
      </c>
      <c r="D1515" t="s">
        <v>2679</v>
      </c>
      <c r="E1515">
        <v>76</v>
      </c>
    </row>
    <row r="1516" spans="1:5" x14ac:dyDescent="0.25">
      <c r="A1516" t="s">
        <v>75</v>
      </c>
      <c r="B1516" t="s">
        <v>2505</v>
      </c>
      <c r="C1516" t="s">
        <v>2501</v>
      </c>
      <c r="D1516" t="s">
        <v>2680</v>
      </c>
      <c r="E1516">
        <v>83</v>
      </c>
    </row>
    <row r="1517" spans="1:5" x14ac:dyDescent="0.25">
      <c r="A1517" t="s">
        <v>75</v>
      </c>
      <c r="B1517" t="s">
        <v>2505</v>
      </c>
      <c r="C1517" t="s">
        <v>2501</v>
      </c>
      <c r="D1517" t="s">
        <v>2681</v>
      </c>
      <c r="E1517">
        <v>94</v>
      </c>
    </row>
    <row r="1518" spans="1:5" x14ac:dyDescent="0.25">
      <c r="A1518" t="s">
        <v>75</v>
      </c>
      <c r="B1518" t="s">
        <v>2505</v>
      </c>
      <c r="C1518" t="s">
        <v>2501</v>
      </c>
      <c r="D1518" t="s">
        <v>2682</v>
      </c>
      <c r="E1518">
        <v>88</v>
      </c>
    </row>
    <row r="1519" spans="1:5" x14ac:dyDescent="0.25">
      <c r="A1519" t="s">
        <v>75</v>
      </c>
      <c r="B1519" t="s">
        <v>2505</v>
      </c>
      <c r="C1519" t="s">
        <v>2501</v>
      </c>
      <c r="D1519" t="s">
        <v>2683</v>
      </c>
      <c r="E1519">
        <v>79</v>
      </c>
    </row>
    <row r="1520" spans="1:5" x14ac:dyDescent="0.25">
      <c r="A1520" t="s">
        <v>75</v>
      </c>
      <c r="B1520" t="s">
        <v>2505</v>
      </c>
      <c r="C1520" t="s">
        <v>2501</v>
      </c>
      <c r="D1520" t="s">
        <v>2684</v>
      </c>
      <c r="E1520">
        <v>71</v>
      </c>
    </row>
    <row r="1521" spans="1:5" x14ac:dyDescent="0.25">
      <c r="A1521" t="s">
        <v>75</v>
      </c>
      <c r="B1521" t="s">
        <v>2505</v>
      </c>
      <c r="C1521" t="s">
        <v>2501</v>
      </c>
      <c r="D1521" t="s">
        <v>2685</v>
      </c>
      <c r="E1521">
        <v>82</v>
      </c>
    </row>
    <row r="1522" spans="1:5" x14ac:dyDescent="0.25">
      <c r="A1522" t="s">
        <v>75</v>
      </c>
      <c r="B1522" t="s">
        <v>2505</v>
      </c>
      <c r="C1522" t="s">
        <v>2501</v>
      </c>
      <c r="D1522" t="s">
        <v>2686</v>
      </c>
      <c r="E1522">
        <v>84</v>
      </c>
    </row>
    <row r="1523" spans="1:5" x14ac:dyDescent="0.25">
      <c r="A1523" t="s">
        <v>75</v>
      </c>
      <c r="B1523" t="s">
        <v>2505</v>
      </c>
      <c r="C1523" t="s">
        <v>2501</v>
      </c>
      <c r="D1523" t="s">
        <v>2687</v>
      </c>
      <c r="E1523">
        <v>117</v>
      </c>
    </row>
    <row r="1524" spans="1:5" x14ac:dyDescent="0.25">
      <c r="A1524" t="s">
        <v>75</v>
      </c>
      <c r="B1524" t="s">
        <v>2505</v>
      </c>
      <c r="C1524" t="s">
        <v>2501</v>
      </c>
      <c r="D1524" t="s">
        <v>2688</v>
      </c>
      <c r="E1524">
        <v>141</v>
      </c>
    </row>
    <row r="1525" spans="1:5" x14ac:dyDescent="0.25">
      <c r="A1525" t="s">
        <v>75</v>
      </c>
      <c r="B1525" t="s">
        <v>2505</v>
      </c>
      <c r="C1525" t="s">
        <v>2501</v>
      </c>
      <c r="D1525" t="s">
        <v>2689</v>
      </c>
      <c r="E1525">
        <v>10</v>
      </c>
    </row>
    <row r="1526" spans="1:5" x14ac:dyDescent="0.25">
      <c r="A1526" t="s">
        <v>75</v>
      </c>
      <c r="B1526" t="s">
        <v>2505</v>
      </c>
      <c r="C1526" t="s">
        <v>2545</v>
      </c>
      <c r="D1526" t="s">
        <v>2681</v>
      </c>
      <c r="E1526">
        <v>126</v>
      </c>
    </row>
    <row r="1527" spans="1:5" x14ac:dyDescent="0.25">
      <c r="A1527" t="s">
        <v>75</v>
      </c>
      <c r="B1527" t="s">
        <v>2505</v>
      </c>
      <c r="C1527" t="s">
        <v>2545</v>
      </c>
      <c r="D1527" t="s">
        <v>2682</v>
      </c>
      <c r="E1527">
        <v>121</v>
      </c>
    </row>
    <row r="1528" spans="1:5" x14ac:dyDescent="0.25">
      <c r="A1528" t="s">
        <v>75</v>
      </c>
      <c r="B1528" t="s">
        <v>2505</v>
      </c>
      <c r="C1528" t="s">
        <v>2545</v>
      </c>
      <c r="D1528" t="s">
        <v>2683</v>
      </c>
      <c r="E1528">
        <v>121</v>
      </c>
    </row>
    <row r="1529" spans="1:5" x14ac:dyDescent="0.25">
      <c r="A1529" t="s">
        <v>75</v>
      </c>
      <c r="B1529" t="s">
        <v>2505</v>
      </c>
      <c r="C1529" t="s">
        <v>2545</v>
      </c>
      <c r="D1529" t="s">
        <v>2684</v>
      </c>
      <c r="E1529">
        <v>109</v>
      </c>
    </row>
    <row r="1530" spans="1:5" x14ac:dyDescent="0.25">
      <c r="A1530" t="s">
        <v>75</v>
      </c>
      <c r="B1530" t="s">
        <v>2505</v>
      </c>
      <c r="C1530" t="s">
        <v>2545</v>
      </c>
      <c r="D1530" t="s">
        <v>2685</v>
      </c>
      <c r="E1530">
        <v>103</v>
      </c>
    </row>
    <row r="1531" spans="1:5" x14ac:dyDescent="0.25">
      <c r="A1531" t="s">
        <v>75</v>
      </c>
      <c r="B1531" t="s">
        <v>2505</v>
      </c>
      <c r="C1531" t="s">
        <v>2545</v>
      </c>
      <c r="D1531" t="s">
        <v>2686</v>
      </c>
      <c r="E1531">
        <v>117</v>
      </c>
    </row>
    <row r="1532" spans="1:5" x14ac:dyDescent="0.25">
      <c r="A1532" t="s">
        <v>75</v>
      </c>
      <c r="B1532" t="s">
        <v>2505</v>
      </c>
      <c r="C1532" t="s">
        <v>2545</v>
      </c>
      <c r="D1532" t="s">
        <v>2687</v>
      </c>
      <c r="E1532">
        <v>106</v>
      </c>
    </row>
    <row r="1533" spans="1:5" x14ac:dyDescent="0.25">
      <c r="A1533" t="s">
        <v>75</v>
      </c>
      <c r="B1533" t="s">
        <v>2505</v>
      </c>
      <c r="C1533" t="s">
        <v>2545</v>
      </c>
      <c r="D1533" t="s">
        <v>2688</v>
      </c>
      <c r="E1533">
        <v>100</v>
      </c>
    </row>
    <row r="1534" spans="1:5" x14ac:dyDescent="0.25">
      <c r="A1534" t="s">
        <v>75</v>
      </c>
      <c r="B1534" t="s">
        <v>2505</v>
      </c>
      <c r="C1534" t="s">
        <v>2545</v>
      </c>
      <c r="D1534" t="s">
        <v>2689</v>
      </c>
      <c r="E1534">
        <v>74</v>
      </c>
    </row>
    <row r="1535" spans="1:5" x14ac:dyDescent="0.25">
      <c r="A1535" t="s">
        <v>75</v>
      </c>
      <c r="B1535" t="s">
        <v>2505</v>
      </c>
      <c r="C1535" t="s">
        <v>2402</v>
      </c>
      <c r="D1535" t="s">
        <v>2677</v>
      </c>
      <c r="E1535">
        <v>22</v>
      </c>
    </row>
    <row r="1536" spans="1:5" x14ac:dyDescent="0.25">
      <c r="A1536" t="s">
        <v>75</v>
      </c>
      <c r="B1536" t="s">
        <v>2505</v>
      </c>
      <c r="C1536" t="s">
        <v>2402</v>
      </c>
      <c r="D1536" t="s">
        <v>2678</v>
      </c>
      <c r="E1536">
        <v>3</v>
      </c>
    </row>
    <row r="1537" spans="1:5" x14ac:dyDescent="0.25">
      <c r="A1537" t="s">
        <v>421</v>
      </c>
      <c r="B1537" t="s">
        <v>2470</v>
      </c>
      <c r="C1537" t="s">
        <v>2552</v>
      </c>
      <c r="D1537" t="s">
        <v>2677</v>
      </c>
      <c r="E1537">
        <v>29</v>
      </c>
    </row>
    <row r="1538" spans="1:5" x14ac:dyDescent="0.25">
      <c r="A1538" t="s">
        <v>421</v>
      </c>
      <c r="B1538" t="s">
        <v>2470</v>
      </c>
      <c r="C1538" t="s">
        <v>2552</v>
      </c>
      <c r="D1538" t="s">
        <v>2678</v>
      </c>
      <c r="E1538">
        <v>96</v>
      </c>
    </row>
    <row r="1539" spans="1:5" x14ac:dyDescent="0.25">
      <c r="A1539" t="s">
        <v>421</v>
      </c>
      <c r="B1539" t="s">
        <v>2470</v>
      </c>
      <c r="C1539" t="s">
        <v>2552</v>
      </c>
      <c r="D1539" t="s">
        <v>2679</v>
      </c>
      <c r="E1539">
        <v>98</v>
      </c>
    </row>
    <row r="1540" spans="1:5" x14ac:dyDescent="0.25">
      <c r="A1540" t="s">
        <v>421</v>
      </c>
      <c r="B1540" t="s">
        <v>2470</v>
      </c>
      <c r="C1540" t="s">
        <v>2552</v>
      </c>
      <c r="D1540" t="s">
        <v>2680</v>
      </c>
      <c r="E1540">
        <v>98</v>
      </c>
    </row>
    <row r="1541" spans="1:5" x14ac:dyDescent="0.25">
      <c r="A1541" t="s">
        <v>421</v>
      </c>
      <c r="B1541" t="s">
        <v>2470</v>
      </c>
      <c r="C1541" t="s">
        <v>2552</v>
      </c>
      <c r="D1541" t="s">
        <v>2681</v>
      </c>
      <c r="E1541">
        <v>101</v>
      </c>
    </row>
    <row r="1542" spans="1:5" x14ac:dyDescent="0.25">
      <c r="A1542" t="s">
        <v>421</v>
      </c>
      <c r="B1542" t="s">
        <v>2470</v>
      </c>
      <c r="C1542" t="s">
        <v>2552</v>
      </c>
      <c r="D1542" t="s">
        <v>2682</v>
      </c>
      <c r="E1542">
        <v>97</v>
      </c>
    </row>
    <row r="1543" spans="1:5" x14ac:dyDescent="0.25">
      <c r="A1543" t="s">
        <v>421</v>
      </c>
      <c r="B1543" t="s">
        <v>2470</v>
      </c>
      <c r="C1543" t="s">
        <v>2552</v>
      </c>
      <c r="D1543" t="s">
        <v>2683</v>
      </c>
      <c r="E1543">
        <v>99</v>
      </c>
    </row>
    <row r="1544" spans="1:5" x14ac:dyDescent="0.25">
      <c r="A1544" t="s">
        <v>421</v>
      </c>
      <c r="B1544" t="s">
        <v>2470</v>
      </c>
      <c r="C1544" t="s">
        <v>2552</v>
      </c>
      <c r="D1544" t="s">
        <v>2684</v>
      </c>
      <c r="E1544">
        <v>61</v>
      </c>
    </row>
    <row r="1545" spans="1:5" x14ac:dyDescent="0.25">
      <c r="A1545" t="s">
        <v>421</v>
      </c>
      <c r="B1545" t="s">
        <v>2470</v>
      </c>
      <c r="C1545" t="s">
        <v>2719</v>
      </c>
      <c r="D1545" t="s">
        <v>2677</v>
      </c>
      <c r="E1545">
        <v>117</v>
      </c>
    </row>
    <row r="1546" spans="1:5" x14ac:dyDescent="0.25">
      <c r="A1546" t="s">
        <v>421</v>
      </c>
      <c r="B1546" t="s">
        <v>2470</v>
      </c>
      <c r="C1546" t="s">
        <v>2719</v>
      </c>
      <c r="D1546" t="s">
        <v>2678</v>
      </c>
      <c r="E1546">
        <v>55</v>
      </c>
    </row>
    <row r="1547" spans="1:5" x14ac:dyDescent="0.25">
      <c r="A1547" t="s">
        <v>421</v>
      </c>
      <c r="B1547" t="s">
        <v>2470</v>
      </c>
      <c r="C1547" t="s">
        <v>80</v>
      </c>
      <c r="D1547" t="s">
        <v>2677</v>
      </c>
      <c r="E1547">
        <v>129</v>
      </c>
    </row>
    <row r="1548" spans="1:5" x14ac:dyDescent="0.25">
      <c r="A1548" t="s">
        <v>421</v>
      </c>
      <c r="B1548" t="s">
        <v>2470</v>
      </c>
      <c r="C1548" t="s">
        <v>80</v>
      </c>
      <c r="D1548" t="s">
        <v>2678</v>
      </c>
      <c r="E1548">
        <v>222</v>
      </c>
    </row>
    <row r="1549" spans="1:5" x14ac:dyDescent="0.25">
      <c r="A1549" t="s">
        <v>421</v>
      </c>
      <c r="B1549" t="s">
        <v>2470</v>
      </c>
      <c r="C1549" t="s">
        <v>80</v>
      </c>
      <c r="D1549" t="s">
        <v>2679</v>
      </c>
      <c r="E1549">
        <v>221</v>
      </c>
    </row>
    <row r="1550" spans="1:5" x14ac:dyDescent="0.25">
      <c r="A1550" t="s">
        <v>421</v>
      </c>
      <c r="B1550" t="s">
        <v>2470</v>
      </c>
      <c r="C1550" t="s">
        <v>80</v>
      </c>
      <c r="D1550" t="s">
        <v>2680</v>
      </c>
      <c r="E1550">
        <v>227</v>
      </c>
    </row>
    <row r="1551" spans="1:5" x14ac:dyDescent="0.25">
      <c r="A1551" t="s">
        <v>421</v>
      </c>
      <c r="B1551" t="s">
        <v>2470</v>
      </c>
      <c r="C1551" t="s">
        <v>80</v>
      </c>
      <c r="D1551" t="s">
        <v>2681</v>
      </c>
      <c r="E1551">
        <v>222</v>
      </c>
    </row>
    <row r="1552" spans="1:5" x14ac:dyDescent="0.25">
      <c r="A1552" t="s">
        <v>421</v>
      </c>
      <c r="B1552" t="s">
        <v>2470</v>
      </c>
      <c r="C1552" t="s">
        <v>80</v>
      </c>
      <c r="D1552" t="s">
        <v>2682</v>
      </c>
      <c r="E1552">
        <v>243</v>
      </c>
    </row>
    <row r="1553" spans="1:5" x14ac:dyDescent="0.25">
      <c r="A1553" t="s">
        <v>421</v>
      </c>
      <c r="B1553" t="s">
        <v>2470</v>
      </c>
      <c r="C1553" t="s">
        <v>80</v>
      </c>
      <c r="D1553" t="s">
        <v>2683</v>
      </c>
      <c r="E1553">
        <v>253</v>
      </c>
    </row>
    <row r="1554" spans="1:5" x14ac:dyDescent="0.25">
      <c r="A1554" t="s">
        <v>421</v>
      </c>
      <c r="B1554" t="s">
        <v>2470</v>
      </c>
      <c r="C1554" t="s">
        <v>80</v>
      </c>
      <c r="D1554" t="s">
        <v>2684</v>
      </c>
      <c r="E1554">
        <v>296</v>
      </c>
    </row>
    <row r="1555" spans="1:5" x14ac:dyDescent="0.25">
      <c r="A1555" t="s">
        <v>421</v>
      </c>
      <c r="B1555" t="s">
        <v>2470</v>
      </c>
      <c r="C1555" t="s">
        <v>80</v>
      </c>
      <c r="D1555" t="s">
        <v>2685</v>
      </c>
      <c r="E1555">
        <v>281</v>
      </c>
    </row>
    <row r="1556" spans="1:5" x14ac:dyDescent="0.25">
      <c r="A1556" t="s">
        <v>421</v>
      </c>
      <c r="B1556" t="s">
        <v>2470</v>
      </c>
      <c r="C1556" t="s">
        <v>80</v>
      </c>
      <c r="D1556" t="s">
        <v>2686</v>
      </c>
      <c r="E1556">
        <v>299</v>
      </c>
    </row>
    <row r="1557" spans="1:5" x14ac:dyDescent="0.25">
      <c r="A1557" t="s">
        <v>421</v>
      </c>
      <c r="B1557" t="s">
        <v>2470</v>
      </c>
      <c r="C1557" t="s">
        <v>80</v>
      </c>
      <c r="D1557" t="s">
        <v>2687</v>
      </c>
      <c r="E1557">
        <v>317</v>
      </c>
    </row>
    <row r="1558" spans="1:5" x14ac:dyDescent="0.25">
      <c r="A1558" t="s">
        <v>421</v>
      </c>
      <c r="B1558" t="s">
        <v>2470</v>
      </c>
      <c r="C1558" t="s">
        <v>80</v>
      </c>
      <c r="D1558" t="s">
        <v>2688</v>
      </c>
      <c r="E1558">
        <v>334</v>
      </c>
    </row>
    <row r="1559" spans="1:5" x14ac:dyDescent="0.25">
      <c r="A1559" t="s">
        <v>421</v>
      </c>
      <c r="B1559" t="s">
        <v>2470</v>
      </c>
      <c r="C1559" t="s">
        <v>80</v>
      </c>
      <c r="D1559" t="s">
        <v>2689</v>
      </c>
      <c r="E1559">
        <v>332</v>
      </c>
    </row>
    <row r="1560" spans="1:5" x14ac:dyDescent="0.25">
      <c r="A1560" t="s">
        <v>421</v>
      </c>
      <c r="B1560" t="s">
        <v>2470</v>
      </c>
      <c r="C1560" t="s">
        <v>80</v>
      </c>
      <c r="D1560" t="s">
        <v>2690</v>
      </c>
      <c r="E1560">
        <v>275</v>
      </c>
    </row>
    <row r="1561" spans="1:5" x14ac:dyDescent="0.25">
      <c r="A1561" t="s">
        <v>421</v>
      </c>
      <c r="B1561" t="s">
        <v>2470</v>
      </c>
      <c r="C1561" t="s">
        <v>1507</v>
      </c>
      <c r="D1561" t="s">
        <v>2677</v>
      </c>
      <c r="E1561">
        <v>31</v>
      </c>
    </row>
    <row r="1562" spans="1:5" x14ac:dyDescent="0.25">
      <c r="A1562" t="s">
        <v>421</v>
      </c>
      <c r="B1562" t="s">
        <v>2470</v>
      </c>
      <c r="C1562" t="s">
        <v>1507</v>
      </c>
      <c r="D1562" t="s">
        <v>2678</v>
      </c>
      <c r="E1562">
        <v>73</v>
      </c>
    </row>
    <row r="1563" spans="1:5" x14ac:dyDescent="0.25">
      <c r="A1563" t="s">
        <v>421</v>
      </c>
      <c r="B1563" t="s">
        <v>2470</v>
      </c>
      <c r="C1563" t="s">
        <v>1507</v>
      </c>
      <c r="D1563" t="s">
        <v>2679</v>
      </c>
      <c r="E1563">
        <v>83</v>
      </c>
    </row>
    <row r="1564" spans="1:5" x14ac:dyDescent="0.25">
      <c r="A1564" t="s">
        <v>421</v>
      </c>
      <c r="B1564" t="s">
        <v>2470</v>
      </c>
      <c r="C1564" t="s">
        <v>1507</v>
      </c>
      <c r="D1564" t="s">
        <v>2680</v>
      </c>
      <c r="E1564">
        <v>88</v>
      </c>
    </row>
    <row r="1565" spans="1:5" x14ac:dyDescent="0.25">
      <c r="A1565" t="s">
        <v>421</v>
      </c>
      <c r="B1565" t="s">
        <v>2470</v>
      </c>
      <c r="C1565" t="s">
        <v>2551</v>
      </c>
      <c r="D1565" t="s">
        <v>2677</v>
      </c>
      <c r="E1565">
        <v>94</v>
      </c>
    </row>
    <row r="1566" spans="1:5" x14ac:dyDescent="0.25">
      <c r="A1566" t="s">
        <v>421</v>
      </c>
      <c r="B1566" t="s">
        <v>2470</v>
      </c>
      <c r="C1566" t="s">
        <v>2551</v>
      </c>
      <c r="D1566" t="s">
        <v>2678</v>
      </c>
      <c r="E1566">
        <v>168</v>
      </c>
    </row>
    <row r="1567" spans="1:5" x14ac:dyDescent="0.25">
      <c r="A1567" t="s">
        <v>421</v>
      </c>
      <c r="B1567" t="s">
        <v>2470</v>
      </c>
      <c r="C1567" t="s">
        <v>2551</v>
      </c>
      <c r="D1567" t="s">
        <v>2679</v>
      </c>
      <c r="E1567">
        <v>163</v>
      </c>
    </row>
    <row r="1568" spans="1:5" x14ac:dyDescent="0.25">
      <c r="A1568" t="s">
        <v>421</v>
      </c>
      <c r="B1568" t="s">
        <v>2470</v>
      </c>
      <c r="C1568" t="s">
        <v>2551</v>
      </c>
      <c r="D1568" t="s">
        <v>2680</v>
      </c>
      <c r="E1568">
        <v>186</v>
      </c>
    </row>
    <row r="1569" spans="1:5" x14ac:dyDescent="0.25">
      <c r="A1569" t="s">
        <v>421</v>
      </c>
      <c r="B1569" t="s">
        <v>2470</v>
      </c>
      <c r="C1569" t="s">
        <v>2551</v>
      </c>
      <c r="D1569" t="s">
        <v>2681</v>
      </c>
      <c r="E1569">
        <v>198</v>
      </c>
    </row>
    <row r="1570" spans="1:5" x14ac:dyDescent="0.25">
      <c r="A1570" t="s">
        <v>421</v>
      </c>
      <c r="B1570" t="s">
        <v>2470</v>
      </c>
      <c r="C1570" t="s">
        <v>2551</v>
      </c>
      <c r="D1570" t="s">
        <v>2682</v>
      </c>
      <c r="E1570">
        <v>214</v>
      </c>
    </row>
    <row r="1571" spans="1:5" x14ac:dyDescent="0.25">
      <c r="A1571" t="s">
        <v>421</v>
      </c>
      <c r="B1571" t="s">
        <v>2470</v>
      </c>
      <c r="C1571" t="s">
        <v>2551</v>
      </c>
      <c r="D1571" t="s">
        <v>2683</v>
      </c>
      <c r="E1571">
        <v>215</v>
      </c>
    </row>
    <row r="1572" spans="1:5" x14ac:dyDescent="0.25">
      <c r="A1572" t="s">
        <v>421</v>
      </c>
      <c r="B1572" t="s">
        <v>2470</v>
      </c>
      <c r="C1572" t="s">
        <v>2551</v>
      </c>
      <c r="D1572" t="s">
        <v>2684</v>
      </c>
      <c r="E1572">
        <v>230</v>
      </c>
    </row>
    <row r="1573" spans="1:5" x14ac:dyDescent="0.25">
      <c r="A1573" t="s">
        <v>421</v>
      </c>
      <c r="B1573" t="s">
        <v>2470</v>
      </c>
      <c r="C1573" t="s">
        <v>2551</v>
      </c>
      <c r="D1573" t="s">
        <v>2685</v>
      </c>
      <c r="E1573">
        <v>221</v>
      </c>
    </row>
    <row r="1574" spans="1:5" x14ac:dyDescent="0.25">
      <c r="A1574" t="s">
        <v>421</v>
      </c>
      <c r="B1574" t="s">
        <v>2470</v>
      </c>
      <c r="C1574" t="s">
        <v>2551</v>
      </c>
      <c r="D1574" t="s">
        <v>2686</v>
      </c>
      <c r="E1574">
        <v>232</v>
      </c>
    </row>
    <row r="1575" spans="1:5" x14ac:dyDescent="0.25">
      <c r="A1575" t="s">
        <v>421</v>
      </c>
      <c r="B1575" t="s">
        <v>2470</v>
      </c>
      <c r="C1575" t="s">
        <v>2551</v>
      </c>
      <c r="D1575" t="s">
        <v>2687</v>
      </c>
      <c r="E1575">
        <v>228</v>
      </c>
    </row>
    <row r="1576" spans="1:5" x14ac:dyDescent="0.25">
      <c r="A1576" t="s">
        <v>421</v>
      </c>
      <c r="B1576" t="s">
        <v>2470</v>
      </c>
      <c r="C1576" t="s">
        <v>2551</v>
      </c>
      <c r="D1576" t="s">
        <v>2688</v>
      </c>
      <c r="E1576">
        <v>204</v>
      </c>
    </row>
    <row r="1577" spans="1:5" x14ac:dyDescent="0.25">
      <c r="A1577" t="s">
        <v>421</v>
      </c>
      <c r="B1577" t="s">
        <v>2470</v>
      </c>
      <c r="C1577" t="s">
        <v>2551</v>
      </c>
      <c r="D1577" t="s">
        <v>2689</v>
      </c>
      <c r="E1577">
        <v>186</v>
      </c>
    </row>
    <row r="1578" spans="1:5" x14ac:dyDescent="0.25">
      <c r="A1578" t="s">
        <v>421</v>
      </c>
      <c r="B1578" t="s">
        <v>2470</v>
      </c>
      <c r="C1578" t="s">
        <v>2551</v>
      </c>
      <c r="D1578" t="s">
        <v>2690</v>
      </c>
      <c r="E1578">
        <v>167</v>
      </c>
    </row>
    <row r="1579" spans="1:5" x14ac:dyDescent="0.25">
      <c r="A1579" t="s">
        <v>421</v>
      </c>
      <c r="B1579" t="s">
        <v>2470</v>
      </c>
      <c r="C1579" t="s">
        <v>2549</v>
      </c>
      <c r="D1579" t="s">
        <v>2677</v>
      </c>
      <c r="E1579">
        <v>58</v>
      </c>
    </row>
    <row r="1580" spans="1:5" x14ac:dyDescent="0.25">
      <c r="A1580" t="s">
        <v>421</v>
      </c>
      <c r="B1580" t="s">
        <v>2470</v>
      </c>
      <c r="C1580" t="s">
        <v>2549</v>
      </c>
      <c r="D1580" t="s">
        <v>2678</v>
      </c>
      <c r="E1580">
        <v>198</v>
      </c>
    </row>
    <row r="1581" spans="1:5" x14ac:dyDescent="0.25">
      <c r="A1581" t="s">
        <v>421</v>
      </c>
      <c r="B1581" t="s">
        <v>2470</v>
      </c>
      <c r="C1581" t="s">
        <v>2549</v>
      </c>
      <c r="D1581" t="s">
        <v>2679</v>
      </c>
      <c r="E1581">
        <v>247</v>
      </c>
    </row>
    <row r="1582" spans="1:5" x14ac:dyDescent="0.25">
      <c r="A1582" t="s">
        <v>421</v>
      </c>
      <c r="B1582" t="s">
        <v>2470</v>
      </c>
      <c r="C1582" t="s">
        <v>2549</v>
      </c>
      <c r="D1582" t="s">
        <v>2680</v>
      </c>
      <c r="E1582">
        <v>259</v>
      </c>
    </row>
    <row r="1583" spans="1:5" x14ac:dyDescent="0.25">
      <c r="A1583" t="s">
        <v>421</v>
      </c>
      <c r="B1583" t="s">
        <v>2470</v>
      </c>
      <c r="C1583" t="s">
        <v>2549</v>
      </c>
      <c r="D1583" t="s">
        <v>2681</v>
      </c>
      <c r="E1583">
        <v>264</v>
      </c>
    </row>
    <row r="1584" spans="1:5" x14ac:dyDescent="0.25">
      <c r="A1584" t="s">
        <v>421</v>
      </c>
      <c r="B1584" t="s">
        <v>2470</v>
      </c>
      <c r="C1584" t="s">
        <v>2549</v>
      </c>
      <c r="D1584" t="s">
        <v>2682</v>
      </c>
      <c r="E1584">
        <v>237</v>
      </c>
    </row>
    <row r="1585" spans="1:5" x14ac:dyDescent="0.25">
      <c r="A1585" t="s">
        <v>421</v>
      </c>
      <c r="B1585" t="s">
        <v>2470</v>
      </c>
      <c r="C1585" t="s">
        <v>2549</v>
      </c>
      <c r="D1585" t="s">
        <v>2683</v>
      </c>
      <c r="E1585">
        <v>238</v>
      </c>
    </row>
    <row r="1586" spans="1:5" x14ac:dyDescent="0.25">
      <c r="A1586" t="s">
        <v>421</v>
      </c>
      <c r="B1586" t="s">
        <v>2470</v>
      </c>
      <c r="C1586" t="s">
        <v>2549</v>
      </c>
      <c r="D1586" t="s">
        <v>2684</v>
      </c>
      <c r="E1586">
        <v>253</v>
      </c>
    </row>
    <row r="1587" spans="1:5" x14ac:dyDescent="0.25">
      <c r="A1587" t="s">
        <v>421</v>
      </c>
      <c r="B1587" t="s">
        <v>2470</v>
      </c>
      <c r="C1587" t="s">
        <v>2549</v>
      </c>
      <c r="D1587" t="s">
        <v>2685</v>
      </c>
      <c r="E1587">
        <v>249</v>
      </c>
    </row>
    <row r="1588" spans="1:5" x14ac:dyDescent="0.25">
      <c r="A1588" t="s">
        <v>421</v>
      </c>
      <c r="B1588" t="s">
        <v>2470</v>
      </c>
      <c r="C1588" t="s">
        <v>2549</v>
      </c>
      <c r="D1588" t="s">
        <v>2686</v>
      </c>
      <c r="E1588">
        <v>283</v>
      </c>
    </row>
    <row r="1589" spans="1:5" x14ac:dyDescent="0.25">
      <c r="A1589" t="s">
        <v>421</v>
      </c>
      <c r="B1589" t="s">
        <v>2470</v>
      </c>
      <c r="C1589" t="s">
        <v>2549</v>
      </c>
      <c r="D1589" t="s">
        <v>2687</v>
      </c>
      <c r="E1589">
        <v>262</v>
      </c>
    </row>
    <row r="1590" spans="1:5" x14ac:dyDescent="0.25">
      <c r="A1590" t="s">
        <v>421</v>
      </c>
      <c r="B1590" t="s">
        <v>2470</v>
      </c>
      <c r="C1590" t="s">
        <v>2549</v>
      </c>
      <c r="D1590" t="s">
        <v>2688</v>
      </c>
      <c r="E1590">
        <v>255</v>
      </c>
    </row>
    <row r="1591" spans="1:5" x14ac:dyDescent="0.25">
      <c r="A1591" t="s">
        <v>421</v>
      </c>
      <c r="B1591" t="s">
        <v>2470</v>
      </c>
      <c r="C1591" t="s">
        <v>2549</v>
      </c>
      <c r="D1591" t="s">
        <v>2689</v>
      </c>
      <c r="E1591">
        <v>215</v>
      </c>
    </row>
    <row r="1592" spans="1:5" x14ac:dyDescent="0.25">
      <c r="A1592" t="s">
        <v>421</v>
      </c>
      <c r="B1592" t="s">
        <v>2470</v>
      </c>
      <c r="C1592" t="s">
        <v>2549</v>
      </c>
      <c r="D1592" t="s">
        <v>2690</v>
      </c>
      <c r="E1592">
        <v>215</v>
      </c>
    </row>
    <row r="1593" spans="1:5" x14ac:dyDescent="0.25">
      <c r="A1593" t="s">
        <v>421</v>
      </c>
      <c r="B1593" t="s">
        <v>2470</v>
      </c>
      <c r="C1593" t="s">
        <v>369</v>
      </c>
      <c r="D1593" t="s">
        <v>2677</v>
      </c>
      <c r="E1593">
        <v>337</v>
      </c>
    </row>
    <row r="1594" spans="1:5" x14ac:dyDescent="0.25">
      <c r="A1594" t="s">
        <v>421</v>
      </c>
      <c r="B1594" t="s">
        <v>2470</v>
      </c>
      <c r="C1594" t="s">
        <v>369</v>
      </c>
      <c r="D1594" t="s">
        <v>2678</v>
      </c>
      <c r="E1594">
        <v>588</v>
      </c>
    </row>
    <row r="1595" spans="1:5" x14ac:dyDescent="0.25">
      <c r="A1595" t="s">
        <v>421</v>
      </c>
      <c r="B1595" t="s">
        <v>2470</v>
      </c>
      <c r="C1595" t="s">
        <v>369</v>
      </c>
      <c r="D1595" t="s">
        <v>2679</v>
      </c>
      <c r="E1595">
        <v>630</v>
      </c>
    </row>
    <row r="1596" spans="1:5" x14ac:dyDescent="0.25">
      <c r="A1596" t="s">
        <v>421</v>
      </c>
      <c r="B1596" t="s">
        <v>2470</v>
      </c>
      <c r="C1596" t="s">
        <v>369</v>
      </c>
      <c r="D1596" t="s">
        <v>2680</v>
      </c>
      <c r="E1596">
        <v>633</v>
      </c>
    </row>
    <row r="1597" spans="1:5" x14ac:dyDescent="0.25">
      <c r="A1597" t="s">
        <v>421</v>
      </c>
      <c r="B1597" t="s">
        <v>2470</v>
      </c>
      <c r="C1597" t="s">
        <v>369</v>
      </c>
      <c r="D1597" t="s">
        <v>2681</v>
      </c>
      <c r="E1597">
        <v>649</v>
      </c>
    </row>
    <row r="1598" spans="1:5" x14ac:dyDescent="0.25">
      <c r="A1598" t="s">
        <v>421</v>
      </c>
      <c r="B1598" t="s">
        <v>2470</v>
      </c>
      <c r="C1598" t="s">
        <v>369</v>
      </c>
      <c r="D1598" t="s">
        <v>2682</v>
      </c>
      <c r="E1598">
        <v>639</v>
      </c>
    </row>
    <row r="1599" spans="1:5" x14ac:dyDescent="0.25">
      <c r="A1599" t="s">
        <v>421</v>
      </c>
      <c r="B1599" t="s">
        <v>2470</v>
      </c>
      <c r="C1599" t="s">
        <v>369</v>
      </c>
      <c r="D1599" t="s">
        <v>2683</v>
      </c>
      <c r="E1599">
        <v>643</v>
      </c>
    </row>
    <row r="1600" spans="1:5" x14ac:dyDescent="0.25">
      <c r="A1600" t="s">
        <v>421</v>
      </c>
      <c r="B1600" t="s">
        <v>2470</v>
      </c>
      <c r="C1600" t="s">
        <v>369</v>
      </c>
      <c r="D1600" t="s">
        <v>2684</v>
      </c>
      <c r="E1600">
        <v>606</v>
      </c>
    </row>
    <row r="1601" spans="1:5" x14ac:dyDescent="0.25">
      <c r="A1601" t="s">
        <v>421</v>
      </c>
      <c r="B1601" t="s">
        <v>2470</v>
      </c>
      <c r="C1601" t="s">
        <v>369</v>
      </c>
      <c r="D1601" t="s">
        <v>2685</v>
      </c>
      <c r="E1601">
        <v>650</v>
      </c>
    </row>
    <row r="1602" spans="1:5" x14ac:dyDescent="0.25">
      <c r="A1602" t="s">
        <v>421</v>
      </c>
      <c r="B1602" t="s">
        <v>2470</v>
      </c>
      <c r="C1602" t="s">
        <v>369</v>
      </c>
      <c r="D1602" t="s">
        <v>2686</v>
      </c>
      <c r="E1602">
        <v>669</v>
      </c>
    </row>
    <row r="1603" spans="1:5" x14ac:dyDescent="0.25">
      <c r="A1603" t="s">
        <v>421</v>
      </c>
      <c r="B1603" t="s">
        <v>2470</v>
      </c>
      <c r="C1603" t="s">
        <v>369</v>
      </c>
      <c r="D1603" t="s">
        <v>2687</v>
      </c>
      <c r="E1603">
        <v>681</v>
      </c>
    </row>
    <row r="1604" spans="1:5" x14ac:dyDescent="0.25">
      <c r="A1604" t="s">
        <v>421</v>
      </c>
      <c r="B1604" t="s">
        <v>2470</v>
      </c>
      <c r="C1604" t="s">
        <v>369</v>
      </c>
      <c r="D1604" t="s">
        <v>2688</v>
      </c>
      <c r="E1604">
        <v>635</v>
      </c>
    </row>
    <row r="1605" spans="1:5" x14ac:dyDescent="0.25">
      <c r="A1605" t="s">
        <v>421</v>
      </c>
      <c r="B1605" t="s">
        <v>2470</v>
      </c>
      <c r="C1605" t="s">
        <v>369</v>
      </c>
      <c r="D1605" t="s">
        <v>2689</v>
      </c>
      <c r="E1605">
        <v>486</v>
      </c>
    </row>
    <row r="1606" spans="1:5" x14ac:dyDescent="0.25">
      <c r="A1606" t="s">
        <v>421</v>
      </c>
      <c r="B1606" t="s">
        <v>2470</v>
      </c>
      <c r="C1606" t="s">
        <v>369</v>
      </c>
      <c r="D1606" t="s">
        <v>2690</v>
      </c>
      <c r="E1606">
        <v>429</v>
      </c>
    </row>
    <row r="1607" spans="1:5" x14ac:dyDescent="0.25">
      <c r="A1607" t="s">
        <v>421</v>
      </c>
      <c r="B1607" t="s">
        <v>2518</v>
      </c>
      <c r="C1607" t="s">
        <v>2558</v>
      </c>
      <c r="D1607" t="s">
        <v>2677</v>
      </c>
      <c r="E1607">
        <v>29</v>
      </c>
    </row>
    <row r="1608" spans="1:5" x14ac:dyDescent="0.25">
      <c r="A1608" t="s">
        <v>421</v>
      </c>
      <c r="B1608" t="s">
        <v>2518</v>
      </c>
      <c r="C1608" t="s">
        <v>2558</v>
      </c>
      <c r="D1608" t="s">
        <v>2678</v>
      </c>
      <c r="E1608">
        <v>71</v>
      </c>
    </row>
    <row r="1609" spans="1:5" x14ac:dyDescent="0.25">
      <c r="A1609" t="s">
        <v>421</v>
      </c>
      <c r="B1609" t="s">
        <v>2518</v>
      </c>
      <c r="C1609" t="s">
        <v>2558</v>
      </c>
      <c r="D1609" t="s">
        <v>2679</v>
      </c>
      <c r="E1609">
        <v>75</v>
      </c>
    </row>
    <row r="1610" spans="1:5" x14ac:dyDescent="0.25">
      <c r="A1610" t="s">
        <v>421</v>
      </c>
      <c r="B1610" t="s">
        <v>2518</v>
      </c>
      <c r="C1610" t="s">
        <v>2558</v>
      </c>
      <c r="D1610" t="s">
        <v>2680</v>
      </c>
      <c r="E1610">
        <v>67</v>
      </c>
    </row>
    <row r="1611" spans="1:5" x14ac:dyDescent="0.25">
      <c r="A1611" t="s">
        <v>421</v>
      </c>
      <c r="B1611" t="s">
        <v>2518</v>
      </c>
      <c r="C1611" t="s">
        <v>2558</v>
      </c>
      <c r="D1611" t="s">
        <v>2681</v>
      </c>
      <c r="E1611">
        <v>61</v>
      </c>
    </row>
    <row r="1612" spans="1:5" x14ac:dyDescent="0.25">
      <c r="A1612" t="s">
        <v>421</v>
      </c>
      <c r="B1612" t="s">
        <v>2518</v>
      </c>
      <c r="C1612" t="s">
        <v>2558</v>
      </c>
      <c r="D1612" t="s">
        <v>2682</v>
      </c>
      <c r="E1612">
        <v>59</v>
      </c>
    </row>
    <row r="1613" spans="1:5" x14ac:dyDescent="0.25">
      <c r="A1613" t="s">
        <v>421</v>
      </c>
      <c r="B1613" t="s">
        <v>2518</v>
      </c>
      <c r="C1613" t="s">
        <v>2558</v>
      </c>
      <c r="D1613" t="s">
        <v>2683</v>
      </c>
      <c r="E1613">
        <v>53</v>
      </c>
    </row>
    <row r="1614" spans="1:5" x14ac:dyDescent="0.25">
      <c r="A1614" t="s">
        <v>421</v>
      </c>
      <c r="B1614" t="s">
        <v>2518</v>
      </c>
      <c r="C1614" t="s">
        <v>2558</v>
      </c>
      <c r="D1614" t="s">
        <v>2684</v>
      </c>
      <c r="E1614">
        <v>54</v>
      </c>
    </row>
    <row r="1615" spans="1:5" x14ac:dyDescent="0.25">
      <c r="A1615" t="s">
        <v>421</v>
      </c>
      <c r="B1615" t="s">
        <v>2518</v>
      </c>
      <c r="C1615" t="s">
        <v>2558</v>
      </c>
      <c r="D1615" t="s">
        <v>2685</v>
      </c>
      <c r="E1615">
        <v>48</v>
      </c>
    </row>
    <row r="1616" spans="1:5" x14ac:dyDescent="0.25">
      <c r="A1616" t="s">
        <v>421</v>
      </c>
      <c r="B1616" t="s">
        <v>2518</v>
      </c>
      <c r="C1616" t="s">
        <v>2558</v>
      </c>
      <c r="D1616" t="s">
        <v>2686</v>
      </c>
      <c r="E1616">
        <v>55</v>
      </c>
    </row>
    <row r="1617" spans="1:5" x14ac:dyDescent="0.25">
      <c r="A1617" t="s">
        <v>421</v>
      </c>
      <c r="B1617" t="s">
        <v>2518</v>
      </c>
      <c r="C1617" t="s">
        <v>2558</v>
      </c>
      <c r="D1617" t="s">
        <v>2687</v>
      </c>
      <c r="E1617">
        <v>53</v>
      </c>
    </row>
    <row r="1618" spans="1:5" x14ac:dyDescent="0.25">
      <c r="A1618" t="s">
        <v>421</v>
      </c>
      <c r="B1618" t="s">
        <v>2518</v>
      </c>
      <c r="C1618" t="s">
        <v>2558</v>
      </c>
      <c r="D1618" t="s">
        <v>2688</v>
      </c>
      <c r="E1618">
        <v>38</v>
      </c>
    </row>
    <row r="1619" spans="1:5" x14ac:dyDescent="0.25">
      <c r="A1619" t="s">
        <v>421</v>
      </c>
      <c r="B1619" t="s">
        <v>2518</v>
      </c>
      <c r="C1619" t="s">
        <v>2558</v>
      </c>
      <c r="D1619" t="s">
        <v>2689</v>
      </c>
      <c r="E1619">
        <v>43</v>
      </c>
    </row>
    <row r="1620" spans="1:5" x14ac:dyDescent="0.25">
      <c r="A1620" t="s">
        <v>421</v>
      </c>
      <c r="B1620" t="s">
        <v>2518</v>
      </c>
      <c r="C1620" t="s">
        <v>2558</v>
      </c>
      <c r="D1620" t="s">
        <v>2690</v>
      </c>
      <c r="E1620">
        <v>54</v>
      </c>
    </row>
    <row r="1621" spans="1:5" x14ac:dyDescent="0.25">
      <c r="A1621" t="s">
        <v>421</v>
      </c>
      <c r="B1621" t="s">
        <v>2518</v>
      </c>
      <c r="C1621" t="s">
        <v>2557</v>
      </c>
      <c r="D1621" t="s">
        <v>2677</v>
      </c>
      <c r="E1621">
        <v>16</v>
      </c>
    </row>
    <row r="1622" spans="1:5" x14ac:dyDescent="0.25">
      <c r="A1622" t="s">
        <v>421</v>
      </c>
      <c r="B1622" t="s">
        <v>2518</v>
      </c>
      <c r="C1622" t="s">
        <v>2557</v>
      </c>
      <c r="D1622" t="s">
        <v>2678</v>
      </c>
      <c r="E1622">
        <v>28</v>
      </c>
    </row>
    <row r="1623" spans="1:5" x14ac:dyDescent="0.25">
      <c r="A1623" t="s">
        <v>421</v>
      </c>
      <c r="B1623" t="s">
        <v>2518</v>
      </c>
      <c r="C1623" t="s">
        <v>2557</v>
      </c>
      <c r="D1623" t="s">
        <v>2679</v>
      </c>
      <c r="E1623">
        <v>25</v>
      </c>
    </row>
    <row r="1624" spans="1:5" x14ac:dyDescent="0.25">
      <c r="A1624" t="s">
        <v>421</v>
      </c>
      <c r="B1624" t="s">
        <v>2518</v>
      </c>
      <c r="C1624" t="s">
        <v>2557</v>
      </c>
      <c r="D1624" t="s">
        <v>2680</v>
      </c>
      <c r="E1624">
        <v>28</v>
      </c>
    </row>
    <row r="1625" spans="1:5" x14ac:dyDescent="0.25">
      <c r="A1625" t="s">
        <v>421</v>
      </c>
      <c r="B1625" t="s">
        <v>2518</v>
      </c>
      <c r="C1625" t="s">
        <v>2557</v>
      </c>
      <c r="D1625" t="s">
        <v>2681</v>
      </c>
      <c r="E1625">
        <v>26</v>
      </c>
    </row>
    <row r="1626" spans="1:5" x14ac:dyDescent="0.25">
      <c r="A1626" t="s">
        <v>421</v>
      </c>
      <c r="B1626" t="s">
        <v>2518</v>
      </c>
      <c r="C1626" t="s">
        <v>2557</v>
      </c>
      <c r="D1626" t="s">
        <v>2682</v>
      </c>
      <c r="E1626">
        <v>26</v>
      </c>
    </row>
    <row r="1627" spans="1:5" x14ac:dyDescent="0.25">
      <c r="A1627" t="s">
        <v>421</v>
      </c>
      <c r="B1627" t="s">
        <v>2518</v>
      </c>
      <c r="C1627" t="s">
        <v>2557</v>
      </c>
      <c r="D1627" t="s">
        <v>2683</v>
      </c>
      <c r="E1627">
        <v>21</v>
      </c>
    </row>
    <row r="1628" spans="1:5" x14ac:dyDescent="0.25">
      <c r="A1628" t="s">
        <v>421</v>
      </c>
      <c r="B1628" t="s">
        <v>2518</v>
      </c>
      <c r="C1628" t="s">
        <v>2557</v>
      </c>
      <c r="D1628" t="s">
        <v>2684</v>
      </c>
      <c r="E1628">
        <v>1</v>
      </c>
    </row>
    <row r="1629" spans="1:5" x14ac:dyDescent="0.25">
      <c r="A1629" t="s">
        <v>421</v>
      </c>
      <c r="B1629" t="s">
        <v>2518</v>
      </c>
      <c r="C1629" t="s">
        <v>80</v>
      </c>
      <c r="D1629" t="s">
        <v>2679</v>
      </c>
      <c r="E1629">
        <v>2</v>
      </c>
    </row>
    <row r="1630" spans="1:5" x14ac:dyDescent="0.25">
      <c r="A1630" t="s">
        <v>421</v>
      </c>
      <c r="B1630" t="s">
        <v>2518</v>
      </c>
      <c r="C1630" t="s">
        <v>80</v>
      </c>
      <c r="D1630" t="s">
        <v>2680</v>
      </c>
      <c r="E1630">
        <v>8</v>
      </c>
    </row>
    <row r="1631" spans="1:5" x14ac:dyDescent="0.25">
      <c r="A1631" t="s">
        <v>421</v>
      </c>
      <c r="B1631" t="s">
        <v>2518</v>
      </c>
      <c r="C1631" t="s">
        <v>80</v>
      </c>
      <c r="D1631" t="s">
        <v>2681</v>
      </c>
      <c r="E1631">
        <v>13</v>
      </c>
    </row>
    <row r="1632" spans="1:5" x14ac:dyDescent="0.25">
      <c r="A1632" t="s">
        <v>421</v>
      </c>
      <c r="B1632" t="s">
        <v>2518</v>
      </c>
      <c r="C1632" t="s">
        <v>80</v>
      </c>
      <c r="D1632" t="s">
        <v>2682</v>
      </c>
      <c r="E1632">
        <v>28</v>
      </c>
    </row>
    <row r="1633" spans="1:5" x14ac:dyDescent="0.25">
      <c r="A1633" t="s">
        <v>421</v>
      </c>
      <c r="B1633" t="s">
        <v>2518</v>
      </c>
      <c r="C1633" t="s">
        <v>80</v>
      </c>
      <c r="D1633" t="s">
        <v>2683</v>
      </c>
      <c r="E1633">
        <v>36</v>
      </c>
    </row>
    <row r="1634" spans="1:5" x14ac:dyDescent="0.25">
      <c r="A1634" t="s">
        <v>421</v>
      </c>
      <c r="B1634" t="s">
        <v>2518</v>
      </c>
      <c r="C1634" t="s">
        <v>80</v>
      </c>
      <c r="D1634" t="s">
        <v>2684</v>
      </c>
      <c r="E1634">
        <v>63</v>
      </c>
    </row>
    <row r="1635" spans="1:5" x14ac:dyDescent="0.25">
      <c r="A1635" t="s">
        <v>421</v>
      </c>
      <c r="B1635" t="s">
        <v>2518</v>
      </c>
      <c r="C1635" t="s">
        <v>80</v>
      </c>
      <c r="D1635" t="s">
        <v>2685</v>
      </c>
      <c r="E1635">
        <v>63</v>
      </c>
    </row>
    <row r="1636" spans="1:5" x14ac:dyDescent="0.25">
      <c r="A1636" t="s">
        <v>421</v>
      </c>
      <c r="B1636" t="s">
        <v>2518</v>
      </c>
      <c r="C1636" t="s">
        <v>80</v>
      </c>
      <c r="D1636" t="s">
        <v>2686</v>
      </c>
      <c r="E1636">
        <v>68</v>
      </c>
    </row>
    <row r="1637" spans="1:5" x14ac:dyDescent="0.25">
      <c r="A1637" t="s">
        <v>421</v>
      </c>
      <c r="B1637" t="s">
        <v>2518</v>
      </c>
      <c r="C1637" t="s">
        <v>80</v>
      </c>
      <c r="D1637" t="s">
        <v>2687</v>
      </c>
      <c r="E1637">
        <v>68</v>
      </c>
    </row>
    <row r="1638" spans="1:5" x14ac:dyDescent="0.25">
      <c r="A1638" t="s">
        <v>421</v>
      </c>
      <c r="B1638" t="s">
        <v>2518</v>
      </c>
      <c r="C1638" t="s">
        <v>80</v>
      </c>
      <c r="D1638" t="s">
        <v>2688</v>
      </c>
      <c r="E1638">
        <v>71</v>
      </c>
    </row>
    <row r="1639" spans="1:5" x14ac:dyDescent="0.25">
      <c r="A1639" t="s">
        <v>421</v>
      </c>
      <c r="B1639" t="s">
        <v>2518</v>
      </c>
      <c r="C1639" t="s">
        <v>80</v>
      </c>
      <c r="D1639" t="s">
        <v>2689</v>
      </c>
      <c r="E1639">
        <v>67</v>
      </c>
    </row>
    <row r="1640" spans="1:5" x14ac:dyDescent="0.25">
      <c r="A1640" t="s">
        <v>421</v>
      </c>
      <c r="B1640" t="s">
        <v>2518</v>
      </c>
      <c r="C1640" t="s">
        <v>80</v>
      </c>
      <c r="D1640" t="s">
        <v>2690</v>
      </c>
      <c r="E1640">
        <v>60</v>
      </c>
    </row>
    <row r="1641" spans="1:5" x14ac:dyDescent="0.25">
      <c r="A1641" t="s">
        <v>421</v>
      </c>
      <c r="B1641" t="s">
        <v>2518</v>
      </c>
      <c r="C1641" t="s">
        <v>2515</v>
      </c>
      <c r="D1641" t="s">
        <v>2677</v>
      </c>
      <c r="E1641">
        <v>8</v>
      </c>
    </row>
    <row r="1642" spans="1:5" x14ac:dyDescent="0.25">
      <c r="A1642" t="s">
        <v>421</v>
      </c>
      <c r="B1642" t="s">
        <v>2518</v>
      </c>
      <c r="C1642" t="s">
        <v>2515</v>
      </c>
      <c r="D1642" t="s">
        <v>2678</v>
      </c>
      <c r="E1642">
        <v>15</v>
      </c>
    </row>
    <row r="1643" spans="1:5" x14ac:dyDescent="0.25">
      <c r="A1643" t="s">
        <v>421</v>
      </c>
      <c r="B1643" t="s">
        <v>2518</v>
      </c>
      <c r="C1643" t="s">
        <v>2515</v>
      </c>
      <c r="D1643" t="s">
        <v>2679</v>
      </c>
      <c r="E1643">
        <v>15</v>
      </c>
    </row>
    <row r="1644" spans="1:5" x14ac:dyDescent="0.25">
      <c r="A1644" t="s">
        <v>421</v>
      </c>
      <c r="B1644" t="s">
        <v>2518</v>
      </c>
      <c r="C1644" t="s">
        <v>2515</v>
      </c>
      <c r="D1644" t="s">
        <v>2680</v>
      </c>
      <c r="E1644">
        <v>12</v>
      </c>
    </row>
    <row r="1645" spans="1:5" x14ac:dyDescent="0.25">
      <c r="A1645" t="s">
        <v>421</v>
      </c>
      <c r="B1645" t="s">
        <v>2518</v>
      </c>
      <c r="C1645" t="s">
        <v>2515</v>
      </c>
      <c r="D1645" t="s">
        <v>2681</v>
      </c>
      <c r="E1645">
        <v>16</v>
      </c>
    </row>
    <row r="1646" spans="1:5" x14ac:dyDescent="0.25">
      <c r="A1646" t="s">
        <v>421</v>
      </c>
      <c r="B1646" t="s">
        <v>2518</v>
      </c>
      <c r="C1646" t="s">
        <v>2515</v>
      </c>
      <c r="D1646" t="s">
        <v>2682</v>
      </c>
      <c r="E1646">
        <v>19</v>
      </c>
    </row>
    <row r="1647" spans="1:5" x14ac:dyDescent="0.25">
      <c r="A1647" t="s">
        <v>421</v>
      </c>
      <c r="B1647" t="s">
        <v>2518</v>
      </c>
      <c r="C1647" t="s">
        <v>2515</v>
      </c>
      <c r="D1647" t="s">
        <v>2683</v>
      </c>
      <c r="E1647">
        <v>26</v>
      </c>
    </row>
    <row r="1648" spans="1:5" x14ac:dyDescent="0.25">
      <c r="A1648" t="s">
        <v>421</v>
      </c>
      <c r="B1648" t="s">
        <v>2518</v>
      </c>
      <c r="C1648" t="s">
        <v>2515</v>
      </c>
      <c r="D1648" t="s">
        <v>2684</v>
      </c>
      <c r="E1648">
        <v>27</v>
      </c>
    </row>
    <row r="1649" spans="1:5" x14ac:dyDescent="0.25">
      <c r="A1649" t="s">
        <v>421</v>
      </c>
      <c r="B1649" t="s">
        <v>2518</v>
      </c>
      <c r="C1649" t="s">
        <v>2515</v>
      </c>
      <c r="D1649" t="s">
        <v>2685</v>
      </c>
      <c r="E1649">
        <v>23</v>
      </c>
    </row>
    <row r="1650" spans="1:5" x14ac:dyDescent="0.25">
      <c r="A1650" t="s">
        <v>421</v>
      </c>
      <c r="B1650" t="s">
        <v>2518</v>
      </c>
      <c r="C1650" t="s">
        <v>2515</v>
      </c>
      <c r="D1650" t="s">
        <v>2686</v>
      </c>
      <c r="E1650">
        <v>17</v>
      </c>
    </row>
    <row r="1651" spans="1:5" x14ac:dyDescent="0.25">
      <c r="A1651" t="s">
        <v>421</v>
      </c>
      <c r="B1651" t="s">
        <v>2518</v>
      </c>
      <c r="C1651" t="s">
        <v>2515</v>
      </c>
      <c r="D1651" t="s">
        <v>2687</v>
      </c>
      <c r="E1651">
        <v>5</v>
      </c>
    </row>
    <row r="1652" spans="1:5" x14ac:dyDescent="0.25">
      <c r="A1652" t="s">
        <v>421</v>
      </c>
      <c r="B1652" t="s">
        <v>2505</v>
      </c>
      <c r="C1652" t="s">
        <v>80</v>
      </c>
      <c r="D1652" t="s">
        <v>2677</v>
      </c>
      <c r="E1652">
        <v>9</v>
      </c>
    </row>
    <row r="1653" spans="1:5" x14ac:dyDescent="0.25">
      <c r="A1653" t="s">
        <v>421</v>
      </c>
      <c r="B1653" t="s">
        <v>2505</v>
      </c>
      <c r="C1653" t="s">
        <v>80</v>
      </c>
      <c r="D1653" t="s">
        <v>2678</v>
      </c>
      <c r="E1653">
        <v>19</v>
      </c>
    </row>
    <row r="1654" spans="1:5" x14ac:dyDescent="0.25">
      <c r="A1654" t="s">
        <v>421</v>
      </c>
      <c r="B1654" t="s">
        <v>2505</v>
      </c>
      <c r="C1654" t="s">
        <v>80</v>
      </c>
      <c r="D1654" t="s">
        <v>2679</v>
      </c>
      <c r="E1654">
        <v>20</v>
      </c>
    </row>
    <row r="1655" spans="1:5" x14ac:dyDescent="0.25">
      <c r="A1655" t="s">
        <v>421</v>
      </c>
      <c r="B1655" t="s">
        <v>2505</v>
      </c>
      <c r="C1655" t="s">
        <v>80</v>
      </c>
      <c r="D1655" t="s">
        <v>2680</v>
      </c>
      <c r="E1655">
        <v>28</v>
      </c>
    </row>
    <row r="1656" spans="1:5" x14ac:dyDescent="0.25">
      <c r="A1656" t="s">
        <v>421</v>
      </c>
      <c r="B1656" t="s">
        <v>2505</v>
      </c>
      <c r="C1656" t="s">
        <v>80</v>
      </c>
      <c r="D1656" t="s">
        <v>2681</v>
      </c>
      <c r="E1656">
        <v>25</v>
      </c>
    </row>
    <row r="1657" spans="1:5" x14ac:dyDescent="0.25">
      <c r="A1657" t="s">
        <v>421</v>
      </c>
      <c r="B1657" t="s">
        <v>2505</v>
      </c>
      <c r="C1657" t="s">
        <v>80</v>
      </c>
      <c r="D1657" t="s">
        <v>2682</v>
      </c>
      <c r="E1657">
        <v>28</v>
      </c>
    </row>
    <row r="1658" spans="1:5" x14ac:dyDescent="0.25">
      <c r="A1658" t="s">
        <v>421</v>
      </c>
      <c r="B1658" t="s">
        <v>2505</v>
      </c>
      <c r="C1658" t="s">
        <v>80</v>
      </c>
      <c r="D1658" t="s">
        <v>2683</v>
      </c>
      <c r="E1658">
        <v>30</v>
      </c>
    </row>
    <row r="1659" spans="1:5" x14ac:dyDescent="0.25">
      <c r="A1659" t="s">
        <v>421</v>
      </c>
      <c r="B1659" t="s">
        <v>2505</v>
      </c>
      <c r="C1659" t="s">
        <v>80</v>
      </c>
      <c r="D1659" t="s">
        <v>2684</v>
      </c>
      <c r="E1659">
        <v>40</v>
      </c>
    </row>
    <row r="1660" spans="1:5" x14ac:dyDescent="0.25">
      <c r="A1660" t="s">
        <v>421</v>
      </c>
      <c r="B1660" t="s">
        <v>2505</v>
      </c>
      <c r="C1660" t="s">
        <v>80</v>
      </c>
      <c r="D1660" t="s">
        <v>2685</v>
      </c>
      <c r="E1660">
        <v>48</v>
      </c>
    </row>
    <row r="1661" spans="1:5" x14ac:dyDescent="0.25">
      <c r="A1661" t="s">
        <v>421</v>
      </c>
      <c r="B1661" t="s">
        <v>2505</v>
      </c>
      <c r="C1661" t="s">
        <v>80</v>
      </c>
      <c r="D1661" t="s">
        <v>2686</v>
      </c>
      <c r="E1661">
        <v>47</v>
      </c>
    </row>
    <row r="1662" spans="1:5" x14ac:dyDescent="0.25">
      <c r="A1662" t="s">
        <v>421</v>
      </c>
      <c r="B1662" t="s">
        <v>2505</v>
      </c>
      <c r="C1662" t="s">
        <v>80</v>
      </c>
      <c r="D1662" t="s">
        <v>2687</v>
      </c>
      <c r="E1662">
        <v>47</v>
      </c>
    </row>
    <row r="1663" spans="1:5" x14ac:dyDescent="0.25">
      <c r="A1663" t="s">
        <v>421</v>
      </c>
      <c r="B1663" t="s">
        <v>2505</v>
      </c>
      <c r="C1663" t="s">
        <v>80</v>
      </c>
      <c r="D1663" t="s">
        <v>2688</v>
      </c>
      <c r="E1663">
        <v>46</v>
      </c>
    </row>
    <row r="1664" spans="1:5" x14ac:dyDescent="0.25">
      <c r="A1664" t="s">
        <v>421</v>
      </c>
      <c r="B1664" t="s">
        <v>2505</v>
      </c>
      <c r="C1664" t="s">
        <v>80</v>
      </c>
      <c r="D1664" t="s">
        <v>2689</v>
      </c>
      <c r="E1664">
        <v>51</v>
      </c>
    </row>
    <row r="1665" spans="1:5" x14ac:dyDescent="0.25">
      <c r="A1665" t="s">
        <v>421</v>
      </c>
      <c r="B1665" t="s">
        <v>2505</v>
      </c>
      <c r="C1665" t="s">
        <v>80</v>
      </c>
      <c r="D1665" t="s">
        <v>2690</v>
      </c>
      <c r="E1665">
        <v>56</v>
      </c>
    </row>
    <row r="1666" spans="1:5" x14ac:dyDescent="0.25">
      <c r="A1666" t="s">
        <v>421</v>
      </c>
      <c r="B1666" t="s">
        <v>2505</v>
      </c>
      <c r="C1666" t="s">
        <v>1507</v>
      </c>
      <c r="D1666" t="s">
        <v>2677</v>
      </c>
      <c r="E1666">
        <v>8</v>
      </c>
    </row>
    <row r="1667" spans="1:5" x14ac:dyDescent="0.25">
      <c r="A1667" t="s">
        <v>421</v>
      </c>
      <c r="B1667" t="s">
        <v>2505</v>
      </c>
      <c r="C1667" t="s">
        <v>1507</v>
      </c>
      <c r="D1667" t="s">
        <v>2678</v>
      </c>
      <c r="E1667">
        <v>25</v>
      </c>
    </row>
    <row r="1668" spans="1:5" x14ac:dyDescent="0.25">
      <c r="A1668" t="s">
        <v>421</v>
      </c>
      <c r="B1668" t="s">
        <v>2505</v>
      </c>
      <c r="C1668" t="s">
        <v>1507</v>
      </c>
      <c r="D1668" t="s">
        <v>2679</v>
      </c>
      <c r="E1668">
        <v>20</v>
      </c>
    </row>
    <row r="1669" spans="1:5" x14ac:dyDescent="0.25">
      <c r="A1669" t="s">
        <v>421</v>
      </c>
      <c r="B1669" t="s">
        <v>2505</v>
      </c>
      <c r="C1669" t="s">
        <v>1507</v>
      </c>
      <c r="D1669" t="s">
        <v>2680</v>
      </c>
      <c r="E1669">
        <v>26</v>
      </c>
    </row>
    <row r="1670" spans="1:5" x14ac:dyDescent="0.25">
      <c r="A1670" t="s">
        <v>421</v>
      </c>
      <c r="B1670" t="s">
        <v>2505</v>
      </c>
      <c r="C1670" t="s">
        <v>2556</v>
      </c>
      <c r="D1670" t="s">
        <v>2677</v>
      </c>
      <c r="E1670">
        <v>3</v>
      </c>
    </row>
    <row r="1671" spans="1:5" x14ac:dyDescent="0.25">
      <c r="A1671" t="s">
        <v>421</v>
      </c>
      <c r="B1671" t="s">
        <v>2505</v>
      </c>
      <c r="C1671" t="s">
        <v>2556</v>
      </c>
      <c r="D1671" t="s">
        <v>2678</v>
      </c>
      <c r="E1671">
        <v>2</v>
      </c>
    </row>
    <row r="1672" spans="1:5" x14ac:dyDescent="0.25">
      <c r="A1672" t="s">
        <v>421</v>
      </c>
      <c r="B1672" t="s">
        <v>2505</v>
      </c>
      <c r="C1672" t="s">
        <v>2556</v>
      </c>
      <c r="D1672" t="s">
        <v>2679</v>
      </c>
      <c r="E1672">
        <v>4</v>
      </c>
    </row>
    <row r="1673" spans="1:5" x14ac:dyDescent="0.25">
      <c r="A1673" t="s">
        <v>421</v>
      </c>
      <c r="B1673" t="s">
        <v>2505</v>
      </c>
      <c r="C1673" t="s">
        <v>2556</v>
      </c>
      <c r="D1673" t="s">
        <v>2680</v>
      </c>
      <c r="E1673">
        <v>4</v>
      </c>
    </row>
    <row r="1674" spans="1:5" x14ac:dyDescent="0.25">
      <c r="A1674" t="s">
        <v>421</v>
      </c>
      <c r="B1674" t="s">
        <v>2505</v>
      </c>
      <c r="C1674" t="s">
        <v>2556</v>
      </c>
      <c r="D1674" t="s">
        <v>2681</v>
      </c>
      <c r="E1674">
        <v>8</v>
      </c>
    </row>
    <row r="1675" spans="1:5" x14ac:dyDescent="0.25">
      <c r="A1675" t="s">
        <v>421</v>
      </c>
      <c r="B1675" t="s">
        <v>2505</v>
      </c>
      <c r="C1675" t="s">
        <v>2556</v>
      </c>
      <c r="D1675" t="s">
        <v>2682</v>
      </c>
      <c r="E1675">
        <v>6</v>
      </c>
    </row>
    <row r="1676" spans="1:5" x14ac:dyDescent="0.25">
      <c r="A1676" t="s">
        <v>421</v>
      </c>
      <c r="B1676" t="s">
        <v>2505</v>
      </c>
      <c r="C1676" t="s">
        <v>2556</v>
      </c>
      <c r="D1676" t="s">
        <v>2683</v>
      </c>
      <c r="E1676">
        <v>7</v>
      </c>
    </row>
    <row r="1677" spans="1:5" x14ac:dyDescent="0.25">
      <c r="A1677" t="s">
        <v>421</v>
      </c>
      <c r="B1677" t="s">
        <v>2505</v>
      </c>
      <c r="C1677" t="s">
        <v>2556</v>
      </c>
      <c r="D1677" t="s">
        <v>2684</v>
      </c>
      <c r="E1677">
        <v>4</v>
      </c>
    </row>
    <row r="1678" spans="1:5" x14ac:dyDescent="0.25">
      <c r="A1678" t="s">
        <v>421</v>
      </c>
      <c r="B1678" t="s">
        <v>2505</v>
      </c>
      <c r="C1678" t="s">
        <v>2556</v>
      </c>
      <c r="D1678" t="s">
        <v>2685</v>
      </c>
      <c r="E1678">
        <v>4</v>
      </c>
    </row>
    <row r="1679" spans="1:5" x14ac:dyDescent="0.25">
      <c r="A1679" t="s">
        <v>421</v>
      </c>
      <c r="B1679" t="s">
        <v>2505</v>
      </c>
      <c r="C1679" t="s">
        <v>2556</v>
      </c>
      <c r="D1679" t="s">
        <v>2686</v>
      </c>
      <c r="E1679">
        <v>9</v>
      </c>
    </row>
    <row r="1680" spans="1:5" x14ac:dyDescent="0.25">
      <c r="A1680" t="s">
        <v>421</v>
      </c>
      <c r="B1680" t="s">
        <v>2505</v>
      </c>
      <c r="C1680" t="s">
        <v>2556</v>
      </c>
      <c r="D1680" t="s">
        <v>2687</v>
      </c>
      <c r="E1680">
        <v>15</v>
      </c>
    </row>
    <row r="1681" spans="1:5" x14ac:dyDescent="0.25">
      <c r="A1681" t="s">
        <v>421</v>
      </c>
      <c r="B1681" t="s">
        <v>2505</v>
      </c>
      <c r="C1681" t="s">
        <v>2556</v>
      </c>
      <c r="D1681" t="s">
        <v>2688</v>
      </c>
      <c r="E1681">
        <v>14</v>
      </c>
    </row>
    <row r="1682" spans="1:5" x14ac:dyDescent="0.25">
      <c r="A1682" t="s">
        <v>421</v>
      </c>
      <c r="B1682" t="s">
        <v>2505</v>
      </c>
      <c r="C1682" t="s">
        <v>2556</v>
      </c>
      <c r="D1682" t="s">
        <v>2689</v>
      </c>
      <c r="E1682">
        <v>12</v>
      </c>
    </row>
    <row r="1683" spans="1:5" x14ac:dyDescent="0.25">
      <c r="A1683" t="s">
        <v>421</v>
      </c>
      <c r="B1683" t="s">
        <v>2505</v>
      </c>
      <c r="C1683" t="s">
        <v>2556</v>
      </c>
      <c r="D1683" t="s">
        <v>2690</v>
      </c>
      <c r="E1683">
        <v>8</v>
      </c>
    </row>
    <row r="1684" spans="1:5" x14ac:dyDescent="0.25">
      <c r="A1684" t="s">
        <v>421</v>
      </c>
      <c r="B1684" t="s">
        <v>2505</v>
      </c>
      <c r="C1684" t="s">
        <v>2549</v>
      </c>
      <c r="D1684" t="s">
        <v>2677</v>
      </c>
      <c r="E1684">
        <v>18</v>
      </c>
    </row>
    <row r="1685" spans="1:5" x14ac:dyDescent="0.25">
      <c r="A1685" t="s">
        <v>421</v>
      </c>
      <c r="B1685" t="s">
        <v>2505</v>
      </c>
      <c r="C1685" t="s">
        <v>2549</v>
      </c>
      <c r="D1685" t="s">
        <v>2678</v>
      </c>
      <c r="E1685">
        <v>37</v>
      </c>
    </row>
    <row r="1686" spans="1:5" x14ac:dyDescent="0.25">
      <c r="A1686" t="s">
        <v>421</v>
      </c>
      <c r="B1686" t="s">
        <v>2505</v>
      </c>
      <c r="C1686" t="s">
        <v>2549</v>
      </c>
      <c r="D1686" t="s">
        <v>2679</v>
      </c>
      <c r="E1686">
        <v>37</v>
      </c>
    </row>
    <row r="1687" spans="1:5" x14ac:dyDescent="0.25">
      <c r="A1687" t="s">
        <v>421</v>
      </c>
      <c r="B1687" t="s">
        <v>2505</v>
      </c>
      <c r="C1687" t="s">
        <v>2549</v>
      </c>
      <c r="D1687" t="s">
        <v>2680</v>
      </c>
      <c r="E1687">
        <v>44</v>
      </c>
    </row>
    <row r="1688" spans="1:5" x14ac:dyDescent="0.25">
      <c r="A1688" t="s">
        <v>421</v>
      </c>
      <c r="B1688" t="s">
        <v>2505</v>
      </c>
      <c r="C1688" t="s">
        <v>2549</v>
      </c>
      <c r="D1688" t="s">
        <v>2681</v>
      </c>
      <c r="E1688">
        <v>42</v>
      </c>
    </row>
    <row r="1689" spans="1:5" x14ac:dyDescent="0.25">
      <c r="A1689" t="s">
        <v>421</v>
      </c>
      <c r="B1689" t="s">
        <v>2505</v>
      </c>
      <c r="C1689" t="s">
        <v>2549</v>
      </c>
      <c r="D1689" t="s">
        <v>2682</v>
      </c>
      <c r="E1689">
        <v>38</v>
      </c>
    </row>
    <row r="1690" spans="1:5" x14ac:dyDescent="0.25">
      <c r="A1690" t="s">
        <v>421</v>
      </c>
      <c r="B1690" t="s">
        <v>2505</v>
      </c>
      <c r="C1690" t="s">
        <v>2549</v>
      </c>
      <c r="D1690" t="s">
        <v>2683</v>
      </c>
      <c r="E1690">
        <v>32</v>
      </c>
    </row>
    <row r="1691" spans="1:5" x14ac:dyDescent="0.25">
      <c r="A1691" t="s">
        <v>421</v>
      </c>
      <c r="B1691" t="s">
        <v>2505</v>
      </c>
      <c r="C1691" t="s">
        <v>2549</v>
      </c>
      <c r="D1691" t="s">
        <v>2684</v>
      </c>
      <c r="E1691">
        <v>27</v>
      </c>
    </row>
    <row r="1692" spans="1:5" x14ac:dyDescent="0.25">
      <c r="A1692" t="s">
        <v>421</v>
      </c>
      <c r="B1692" t="s">
        <v>2505</v>
      </c>
      <c r="C1692" t="s">
        <v>2549</v>
      </c>
      <c r="D1692" t="s">
        <v>2685</v>
      </c>
      <c r="E1692">
        <v>41</v>
      </c>
    </row>
    <row r="1693" spans="1:5" x14ac:dyDescent="0.25">
      <c r="A1693" t="s">
        <v>421</v>
      </c>
      <c r="B1693" t="s">
        <v>2505</v>
      </c>
      <c r="C1693" t="s">
        <v>2549</v>
      </c>
      <c r="D1693" t="s">
        <v>2686</v>
      </c>
      <c r="E1693">
        <v>40</v>
      </c>
    </row>
    <row r="1694" spans="1:5" x14ac:dyDescent="0.25">
      <c r="A1694" t="s">
        <v>421</v>
      </c>
      <c r="B1694" t="s">
        <v>2505</v>
      </c>
      <c r="C1694" t="s">
        <v>2549</v>
      </c>
      <c r="D1694" t="s">
        <v>2687</v>
      </c>
      <c r="E1694">
        <v>55</v>
      </c>
    </row>
    <row r="1695" spans="1:5" x14ac:dyDescent="0.25">
      <c r="A1695" t="s">
        <v>421</v>
      </c>
      <c r="B1695" t="s">
        <v>2505</v>
      </c>
      <c r="C1695" t="s">
        <v>2549</v>
      </c>
      <c r="D1695" t="s">
        <v>2688</v>
      </c>
      <c r="E1695">
        <v>74</v>
      </c>
    </row>
    <row r="1696" spans="1:5" x14ac:dyDescent="0.25">
      <c r="A1696" t="s">
        <v>421</v>
      </c>
      <c r="B1696" t="s">
        <v>2505</v>
      </c>
      <c r="C1696" t="s">
        <v>2549</v>
      </c>
      <c r="D1696" t="s">
        <v>2689</v>
      </c>
      <c r="E1696">
        <v>66</v>
      </c>
    </row>
    <row r="1697" spans="1:5" x14ac:dyDescent="0.25">
      <c r="A1697" t="s">
        <v>421</v>
      </c>
      <c r="B1697" t="s">
        <v>2505</v>
      </c>
      <c r="C1697" t="s">
        <v>2549</v>
      </c>
      <c r="D1697" t="s">
        <v>2690</v>
      </c>
      <c r="E1697">
        <v>49</v>
      </c>
    </row>
    <row r="1698" spans="1:5" x14ac:dyDescent="0.25">
      <c r="A1698" t="s">
        <v>421</v>
      </c>
      <c r="B1698" t="s">
        <v>2505</v>
      </c>
      <c r="C1698" t="s">
        <v>2515</v>
      </c>
      <c r="D1698" t="s">
        <v>2677</v>
      </c>
      <c r="E1698">
        <v>10</v>
      </c>
    </row>
    <row r="1699" spans="1:5" x14ac:dyDescent="0.25">
      <c r="A1699" t="s">
        <v>421</v>
      </c>
      <c r="B1699" t="s">
        <v>2505</v>
      </c>
      <c r="C1699" t="s">
        <v>2515</v>
      </c>
      <c r="D1699" t="s">
        <v>2678</v>
      </c>
      <c r="E1699">
        <v>25</v>
      </c>
    </row>
    <row r="1700" spans="1:5" x14ac:dyDescent="0.25">
      <c r="A1700" t="s">
        <v>421</v>
      </c>
      <c r="B1700" t="s">
        <v>2505</v>
      </c>
      <c r="C1700" t="s">
        <v>2515</v>
      </c>
      <c r="D1700" t="s">
        <v>2679</v>
      </c>
      <c r="E1700">
        <v>22</v>
      </c>
    </row>
    <row r="1701" spans="1:5" x14ac:dyDescent="0.25">
      <c r="A1701" t="s">
        <v>421</v>
      </c>
      <c r="B1701" t="s">
        <v>2505</v>
      </c>
      <c r="C1701" t="s">
        <v>2515</v>
      </c>
      <c r="D1701" t="s">
        <v>2680</v>
      </c>
      <c r="E1701">
        <v>23</v>
      </c>
    </row>
    <row r="1702" spans="1:5" x14ac:dyDescent="0.25">
      <c r="A1702" t="s">
        <v>421</v>
      </c>
      <c r="B1702" t="s">
        <v>2505</v>
      </c>
      <c r="C1702" t="s">
        <v>2515</v>
      </c>
      <c r="D1702" t="s">
        <v>2681</v>
      </c>
      <c r="E1702">
        <v>17</v>
      </c>
    </row>
    <row r="1703" spans="1:5" x14ac:dyDescent="0.25">
      <c r="A1703" t="s">
        <v>421</v>
      </c>
      <c r="B1703" t="s">
        <v>2505</v>
      </c>
      <c r="C1703" t="s">
        <v>2515</v>
      </c>
      <c r="D1703" t="s">
        <v>2682</v>
      </c>
      <c r="E1703">
        <v>24</v>
      </c>
    </row>
    <row r="1704" spans="1:5" x14ac:dyDescent="0.25">
      <c r="A1704" t="s">
        <v>421</v>
      </c>
      <c r="B1704" t="s">
        <v>2505</v>
      </c>
      <c r="C1704" t="s">
        <v>2515</v>
      </c>
      <c r="D1704" t="s">
        <v>2683</v>
      </c>
      <c r="E1704">
        <v>22</v>
      </c>
    </row>
    <row r="1705" spans="1:5" x14ac:dyDescent="0.25">
      <c r="A1705" t="s">
        <v>421</v>
      </c>
      <c r="B1705" t="s">
        <v>2505</v>
      </c>
      <c r="C1705" t="s">
        <v>2515</v>
      </c>
      <c r="D1705" t="s">
        <v>2684</v>
      </c>
      <c r="E1705">
        <v>16</v>
      </c>
    </row>
    <row r="1706" spans="1:5" x14ac:dyDescent="0.25">
      <c r="A1706" t="s">
        <v>421</v>
      </c>
      <c r="B1706" t="s">
        <v>2505</v>
      </c>
      <c r="C1706" t="s">
        <v>2515</v>
      </c>
      <c r="D1706" t="s">
        <v>2685</v>
      </c>
      <c r="E1706">
        <v>14</v>
      </c>
    </row>
    <row r="1707" spans="1:5" x14ac:dyDescent="0.25">
      <c r="A1707" t="s">
        <v>421</v>
      </c>
      <c r="B1707" t="s">
        <v>2505</v>
      </c>
      <c r="C1707" t="s">
        <v>2515</v>
      </c>
      <c r="D1707" t="s">
        <v>2686</v>
      </c>
      <c r="E1707">
        <v>11</v>
      </c>
    </row>
    <row r="1708" spans="1:5" x14ac:dyDescent="0.25">
      <c r="A1708" t="s">
        <v>421</v>
      </c>
      <c r="B1708" t="s">
        <v>2505</v>
      </c>
      <c r="C1708" t="s">
        <v>2515</v>
      </c>
      <c r="D1708" t="s">
        <v>2687</v>
      </c>
      <c r="E1708">
        <v>2</v>
      </c>
    </row>
    <row r="1709" spans="1:5" x14ac:dyDescent="0.25">
      <c r="A1709" t="s">
        <v>421</v>
      </c>
      <c r="B1709" t="s">
        <v>2505</v>
      </c>
      <c r="C1709" t="s">
        <v>369</v>
      </c>
      <c r="D1709" t="s">
        <v>2677</v>
      </c>
      <c r="E1709">
        <v>21</v>
      </c>
    </row>
    <row r="1710" spans="1:5" x14ac:dyDescent="0.25">
      <c r="A1710" t="s">
        <v>421</v>
      </c>
      <c r="B1710" t="s">
        <v>2505</v>
      </c>
      <c r="C1710" t="s">
        <v>369</v>
      </c>
      <c r="D1710" t="s">
        <v>2678</v>
      </c>
      <c r="E1710">
        <v>42</v>
      </c>
    </row>
    <row r="1711" spans="1:5" x14ac:dyDescent="0.25">
      <c r="A1711" t="s">
        <v>421</v>
      </c>
      <c r="B1711" t="s">
        <v>2505</v>
      </c>
      <c r="C1711" t="s">
        <v>369</v>
      </c>
      <c r="D1711" t="s">
        <v>2679</v>
      </c>
      <c r="E1711">
        <v>54</v>
      </c>
    </row>
    <row r="1712" spans="1:5" x14ac:dyDescent="0.25">
      <c r="A1712" t="s">
        <v>421</v>
      </c>
      <c r="B1712" t="s">
        <v>2505</v>
      </c>
      <c r="C1712" t="s">
        <v>369</v>
      </c>
      <c r="D1712" t="s">
        <v>2680</v>
      </c>
      <c r="E1712">
        <v>46</v>
      </c>
    </row>
    <row r="1713" spans="1:5" x14ac:dyDescent="0.25">
      <c r="A1713" t="s">
        <v>421</v>
      </c>
      <c r="B1713" t="s">
        <v>2505</v>
      </c>
      <c r="C1713" t="s">
        <v>369</v>
      </c>
      <c r="D1713" t="s">
        <v>2681</v>
      </c>
      <c r="E1713">
        <v>43</v>
      </c>
    </row>
    <row r="1714" spans="1:5" x14ac:dyDescent="0.25">
      <c r="A1714" t="s">
        <v>421</v>
      </c>
      <c r="B1714" t="s">
        <v>2505</v>
      </c>
      <c r="C1714" t="s">
        <v>369</v>
      </c>
      <c r="D1714" t="s">
        <v>2682</v>
      </c>
      <c r="E1714">
        <v>33</v>
      </c>
    </row>
    <row r="1715" spans="1:5" x14ac:dyDescent="0.25">
      <c r="A1715" t="s">
        <v>421</v>
      </c>
      <c r="B1715" t="s">
        <v>2505</v>
      </c>
      <c r="C1715" t="s">
        <v>369</v>
      </c>
      <c r="D1715" t="s">
        <v>2683</v>
      </c>
      <c r="E1715">
        <v>33</v>
      </c>
    </row>
    <row r="1716" spans="1:5" x14ac:dyDescent="0.25">
      <c r="A1716" t="s">
        <v>421</v>
      </c>
      <c r="B1716" t="s">
        <v>2505</v>
      </c>
      <c r="C1716" t="s">
        <v>369</v>
      </c>
      <c r="D1716" t="s">
        <v>2684</v>
      </c>
      <c r="E1716">
        <v>28</v>
      </c>
    </row>
    <row r="1717" spans="1:5" x14ac:dyDescent="0.25">
      <c r="A1717" t="s">
        <v>421</v>
      </c>
      <c r="B1717" t="s">
        <v>2505</v>
      </c>
      <c r="C1717" t="s">
        <v>369</v>
      </c>
      <c r="D1717" t="s">
        <v>2685</v>
      </c>
      <c r="E1717">
        <v>30</v>
      </c>
    </row>
    <row r="1718" spans="1:5" x14ac:dyDescent="0.25">
      <c r="A1718" t="s">
        <v>421</v>
      </c>
      <c r="B1718" t="s">
        <v>2505</v>
      </c>
      <c r="C1718" t="s">
        <v>369</v>
      </c>
      <c r="D1718" t="s">
        <v>2686</v>
      </c>
      <c r="E1718">
        <v>36</v>
      </c>
    </row>
    <row r="1719" spans="1:5" x14ac:dyDescent="0.25">
      <c r="A1719" t="s">
        <v>421</v>
      </c>
      <c r="B1719" t="s">
        <v>2505</v>
      </c>
      <c r="C1719" t="s">
        <v>369</v>
      </c>
      <c r="D1719" t="s">
        <v>2687</v>
      </c>
      <c r="E1719">
        <v>53</v>
      </c>
    </row>
    <row r="1720" spans="1:5" x14ac:dyDescent="0.25">
      <c r="A1720" t="s">
        <v>421</v>
      </c>
      <c r="B1720" t="s">
        <v>2505</v>
      </c>
      <c r="C1720" t="s">
        <v>369</v>
      </c>
      <c r="D1720" t="s">
        <v>2688</v>
      </c>
      <c r="E1720">
        <v>43</v>
      </c>
    </row>
    <row r="1721" spans="1:5" x14ac:dyDescent="0.25">
      <c r="A1721" t="s">
        <v>421</v>
      </c>
      <c r="B1721" t="s">
        <v>2505</v>
      </c>
      <c r="C1721" t="s">
        <v>369</v>
      </c>
      <c r="D1721" t="s">
        <v>2689</v>
      </c>
      <c r="E1721">
        <v>40</v>
      </c>
    </row>
    <row r="1722" spans="1:5" x14ac:dyDescent="0.25">
      <c r="A1722" t="s">
        <v>421</v>
      </c>
      <c r="B1722" t="s">
        <v>2505</v>
      </c>
      <c r="C1722" t="s">
        <v>369</v>
      </c>
      <c r="D1722" t="s">
        <v>2690</v>
      </c>
      <c r="E1722">
        <v>40</v>
      </c>
    </row>
    <row r="1723" spans="1:5" x14ac:dyDescent="0.25">
      <c r="A1723" t="s">
        <v>421</v>
      </c>
      <c r="B1723" t="s">
        <v>2698</v>
      </c>
      <c r="C1723" t="s">
        <v>2467</v>
      </c>
      <c r="D1723" t="s">
        <v>2677</v>
      </c>
      <c r="E1723">
        <v>32</v>
      </c>
    </row>
    <row r="1724" spans="1:5" x14ac:dyDescent="0.25">
      <c r="A1724" t="s">
        <v>421</v>
      </c>
      <c r="B1724" t="s">
        <v>2698</v>
      </c>
      <c r="C1724" t="s">
        <v>2467</v>
      </c>
      <c r="D1724" t="s">
        <v>2678</v>
      </c>
      <c r="E1724">
        <v>49</v>
      </c>
    </row>
    <row r="1725" spans="1:5" x14ac:dyDescent="0.25">
      <c r="A1725" t="s">
        <v>421</v>
      </c>
      <c r="B1725" t="s">
        <v>2698</v>
      </c>
      <c r="C1725" t="s">
        <v>2467</v>
      </c>
      <c r="D1725" t="s">
        <v>2679</v>
      </c>
      <c r="E1725">
        <v>40</v>
      </c>
    </row>
    <row r="1726" spans="1:5" x14ac:dyDescent="0.25">
      <c r="A1726" t="s">
        <v>421</v>
      </c>
      <c r="B1726" t="s">
        <v>2698</v>
      </c>
      <c r="C1726" t="s">
        <v>2467</v>
      </c>
      <c r="D1726" t="s">
        <v>2680</v>
      </c>
      <c r="E1726">
        <v>18</v>
      </c>
    </row>
    <row r="1727" spans="1:5" x14ac:dyDescent="0.25">
      <c r="A1727" t="s">
        <v>421</v>
      </c>
      <c r="B1727" t="s">
        <v>2698</v>
      </c>
      <c r="C1727" t="s">
        <v>2720</v>
      </c>
      <c r="D1727" t="s">
        <v>2677</v>
      </c>
      <c r="E1727">
        <v>4</v>
      </c>
    </row>
    <row r="1728" spans="1:5" x14ac:dyDescent="0.25">
      <c r="A1728" t="s">
        <v>421</v>
      </c>
      <c r="B1728" t="s">
        <v>2698</v>
      </c>
      <c r="C1728" t="s">
        <v>2720</v>
      </c>
      <c r="D1728" t="s">
        <v>2678</v>
      </c>
      <c r="E1728">
        <v>12</v>
      </c>
    </row>
    <row r="1729" spans="1:5" x14ac:dyDescent="0.25">
      <c r="A1729" t="s">
        <v>421</v>
      </c>
      <c r="B1729" t="s">
        <v>2698</v>
      </c>
      <c r="C1729" t="s">
        <v>2720</v>
      </c>
      <c r="D1729" t="s">
        <v>2679</v>
      </c>
      <c r="E1729">
        <v>7</v>
      </c>
    </row>
    <row r="1730" spans="1:5" x14ac:dyDescent="0.25">
      <c r="A1730" t="s">
        <v>421</v>
      </c>
      <c r="B1730" t="s">
        <v>2698</v>
      </c>
      <c r="C1730" t="s">
        <v>2721</v>
      </c>
      <c r="D1730" t="s">
        <v>2677</v>
      </c>
      <c r="E1730">
        <v>1</v>
      </c>
    </row>
    <row r="1731" spans="1:5" x14ac:dyDescent="0.25">
      <c r="A1731" t="s">
        <v>421</v>
      </c>
      <c r="B1731" t="s">
        <v>2698</v>
      </c>
      <c r="C1731" t="s">
        <v>2721</v>
      </c>
      <c r="D1731" t="s">
        <v>2678</v>
      </c>
      <c r="E1731">
        <v>9</v>
      </c>
    </row>
    <row r="1732" spans="1:5" x14ac:dyDescent="0.25">
      <c r="A1732" t="s">
        <v>421</v>
      </c>
      <c r="B1732" t="s">
        <v>2698</v>
      </c>
      <c r="C1732" t="s">
        <v>2721</v>
      </c>
      <c r="D1732" t="s">
        <v>2679</v>
      </c>
      <c r="E1732">
        <v>7</v>
      </c>
    </row>
    <row r="1733" spans="1:5" x14ac:dyDescent="0.25">
      <c r="A1733" t="s">
        <v>77</v>
      </c>
      <c r="B1733" t="s">
        <v>2470</v>
      </c>
      <c r="C1733" t="s">
        <v>2500</v>
      </c>
      <c r="D1733" t="s">
        <v>2677</v>
      </c>
      <c r="E1733">
        <v>113</v>
      </c>
    </row>
    <row r="1734" spans="1:5" x14ac:dyDescent="0.25">
      <c r="A1734" t="s">
        <v>77</v>
      </c>
      <c r="B1734" t="s">
        <v>2470</v>
      </c>
      <c r="C1734" t="s">
        <v>2500</v>
      </c>
      <c r="D1734" t="s">
        <v>2678</v>
      </c>
      <c r="E1734">
        <v>232</v>
      </c>
    </row>
    <row r="1735" spans="1:5" x14ac:dyDescent="0.25">
      <c r="A1735" t="s">
        <v>77</v>
      </c>
      <c r="B1735" t="s">
        <v>2470</v>
      </c>
      <c r="C1735" t="s">
        <v>2500</v>
      </c>
      <c r="D1735" t="s">
        <v>2679</v>
      </c>
      <c r="E1735">
        <v>167</v>
      </c>
    </row>
    <row r="1736" spans="1:5" x14ac:dyDescent="0.25">
      <c r="A1736" t="s">
        <v>77</v>
      </c>
      <c r="B1736" t="s">
        <v>2470</v>
      </c>
      <c r="C1736" t="s">
        <v>2500</v>
      </c>
      <c r="D1736" t="s">
        <v>2680</v>
      </c>
      <c r="E1736">
        <v>171</v>
      </c>
    </row>
    <row r="1737" spans="1:5" x14ac:dyDescent="0.25">
      <c r="A1737" t="s">
        <v>77</v>
      </c>
      <c r="B1737" t="s">
        <v>2470</v>
      </c>
      <c r="C1737" t="s">
        <v>2718</v>
      </c>
      <c r="D1737" t="s">
        <v>2677</v>
      </c>
      <c r="E1737">
        <v>194</v>
      </c>
    </row>
    <row r="1738" spans="1:5" x14ac:dyDescent="0.25">
      <c r="A1738" t="s">
        <v>77</v>
      </c>
      <c r="B1738" t="s">
        <v>2470</v>
      </c>
      <c r="C1738" t="s">
        <v>2718</v>
      </c>
      <c r="D1738" t="s">
        <v>2678</v>
      </c>
      <c r="E1738">
        <v>508</v>
      </c>
    </row>
    <row r="1739" spans="1:5" x14ac:dyDescent="0.25">
      <c r="A1739" t="s">
        <v>77</v>
      </c>
      <c r="B1739" t="s">
        <v>2470</v>
      </c>
      <c r="C1739" t="s">
        <v>2718</v>
      </c>
      <c r="D1739" t="s">
        <v>2679</v>
      </c>
      <c r="E1739">
        <v>623</v>
      </c>
    </row>
    <row r="1740" spans="1:5" x14ac:dyDescent="0.25">
      <c r="A1740" t="s">
        <v>77</v>
      </c>
      <c r="B1740" t="s">
        <v>2470</v>
      </c>
      <c r="C1740" t="s">
        <v>2718</v>
      </c>
      <c r="D1740" t="s">
        <v>2680</v>
      </c>
      <c r="E1740">
        <v>709</v>
      </c>
    </row>
    <row r="1741" spans="1:5" x14ac:dyDescent="0.25">
      <c r="A1741" t="s">
        <v>77</v>
      </c>
      <c r="B1741" t="s">
        <v>2470</v>
      </c>
      <c r="C1741" t="s">
        <v>2571</v>
      </c>
      <c r="D1741" t="s">
        <v>2677</v>
      </c>
      <c r="E1741">
        <v>9</v>
      </c>
    </row>
    <row r="1742" spans="1:5" x14ac:dyDescent="0.25">
      <c r="A1742" t="s">
        <v>77</v>
      </c>
      <c r="B1742" t="s">
        <v>2470</v>
      </c>
      <c r="C1742" t="s">
        <v>2571</v>
      </c>
      <c r="D1742" t="s">
        <v>2678</v>
      </c>
      <c r="E1742">
        <v>18</v>
      </c>
    </row>
    <row r="1743" spans="1:5" x14ac:dyDescent="0.25">
      <c r="A1743" t="s">
        <v>77</v>
      </c>
      <c r="B1743" t="s">
        <v>2470</v>
      </c>
      <c r="C1743" t="s">
        <v>2571</v>
      </c>
      <c r="D1743" t="s">
        <v>2679</v>
      </c>
      <c r="E1743">
        <v>8</v>
      </c>
    </row>
    <row r="1744" spans="1:5" x14ac:dyDescent="0.25">
      <c r="A1744" t="s">
        <v>77</v>
      </c>
      <c r="B1744" t="s">
        <v>2470</v>
      </c>
      <c r="C1744" t="s">
        <v>2571</v>
      </c>
      <c r="D1744" t="s">
        <v>2680</v>
      </c>
      <c r="E1744">
        <v>4</v>
      </c>
    </row>
    <row r="1745" spans="1:5" x14ac:dyDescent="0.25">
      <c r="A1745" t="s">
        <v>77</v>
      </c>
      <c r="B1745" t="s">
        <v>2470</v>
      </c>
      <c r="C1745" t="s">
        <v>2559</v>
      </c>
      <c r="D1745" t="s">
        <v>2677</v>
      </c>
      <c r="E1745">
        <v>37</v>
      </c>
    </row>
    <row r="1746" spans="1:5" x14ac:dyDescent="0.25">
      <c r="A1746" t="s">
        <v>77</v>
      </c>
      <c r="B1746" t="s">
        <v>2470</v>
      </c>
      <c r="C1746" t="s">
        <v>2559</v>
      </c>
      <c r="D1746" t="s">
        <v>2678</v>
      </c>
      <c r="E1746">
        <v>96</v>
      </c>
    </row>
    <row r="1747" spans="1:5" x14ac:dyDescent="0.25">
      <c r="A1747" t="s">
        <v>77</v>
      </c>
      <c r="B1747" t="s">
        <v>2470</v>
      </c>
      <c r="C1747" t="s">
        <v>2559</v>
      </c>
      <c r="D1747" t="s">
        <v>2679</v>
      </c>
      <c r="E1747">
        <v>136</v>
      </c>
    </row>
    <row r="1748" spans="1:5" x14ac:dyDescent="0.25">
      <c r="A1748" t="s">
        <v>77</v>
      </c>
      <c r="B1748" t="s">
        <v>2470</v>
      </c>
      <c r="C1748" t="s">
        <v>2559</v>
      </c>
      <c r="D1748" t="s">
        <v>2680</v>
      </c>
      <c r="E1748">
        <v>184</v>
      </c>
    </row>
    <row r="1749" spans="1:5" x14ac:dyDescent="0.25">
      <c r="A1749" t="s">
        <v>77</v>
      </c>
      <c r="B1749" t="s">
        <v>2470</v>
      </c>
      <c r="C1749" t="s">
        <v>2559</v>
      </c>
      <c r="D1749" t="s">
        <v>2681</v>
      </c>
      <c r="E1749">
        <v>202</v>
      </c>
    </row>
    <row r="1750" spans="1:5" x14ac:dyDescent="0.25">
      <c r="A1750" t="s">
        <v>77</v>
      </c>
      <c r="B1750" t="s">
        <v>2470</v>
      </c>
      <c r="C1750" t="s">
        <v>2559</v>
      </c>
      <c r="D1750" t="s">
        <v>2682</v>
      </c>
      <c r="E1750">
        <v>226</v>
      </c>
    </row>
    <row r="1751" spans="1:5" x14ac:dyDescent="0.25">
      <c r="A1751" t="s">
        <v>77</v>
      </c>
      <c r="B1751" t="s">
        <v>2470</v>
      </c>
      <c r="C1751" t="s">
        <v>2559</v>
      </c>
      <c r="D1751" t="s">
        <v>2683</v>
      </c>
      <c r="E1751">
        <v>248</v>
      </c>
    </row>
    <row r="1752" spans="1:5" x14ac:dyDescent="0.25">
      <c r="A1752" t="s">
        <v>77</v>
      </c>
      <c r="B1752" t="s">
        <v>2470</v>
      </c>
      <c r="C1752" t="s">
        <v>2559</v>
      </c>
      <c r="D1752" t="s">
        <v>2684</v>
      </c>
      <c r="E1752">
        <v>259</v>
      </c>
    </row>
    <row r="1753" spans="1:5" x14ac:dyDescent="0.25">
      <c r="A1753" t="s">
        <v>77</v>
      </c>
      <c r="B1753" t="s">
        <v>2470</v>
      </c>
      <c r="C1753" t="s">
        <v>2559</v>
      </c>
      <c r="D1753" t="s">
        <v>2685</v>
      </c>
      <c r="E1753">
        <v>348</v>
      </c>
    </row>
    <row r="1754" spans="1:5" x14ac:dyDescent="0.25">
      <c r="A1754" t="s">
        <v>77</v>
      </c>
      <c r="B1754" t="s">
        <v>2470</v>
      </c>
      <c r="C1754" t="s">
        <v>2559</v>
      </c>
      <c r="D1754" t="s">
        <v>2686</v>
      </c>
      <c r="E1754">
        <v>439</v>
      </c>
    </row>
    <row r="1755" spans="1:5" x14ac:dyDescent="0.25">
      <c r="A1755" t="s">
        <v>77</v>
      </c>
      <c r="B1755" t="s">
        <v>2470</v>
      </c>
      <c r="C1755" t="s">
        <v>2559</v>
      </c>
      <c r="D1755" t="s">
        <v>2687</v>
      </c>
      <c r="E1755">
        <v>464</v>
      </c>
    </row>
    <row r="1756" spans="1:5" x14ac:dyDescent="0.25">
      <c r="A1756" t="s">
        <v>77</v>
      </c>
      <c r="B1756" t="s">
        <v>2470</v>
      </c>
      <c r="C1756" t="s">
        <v>2559</v>
      </c>
      <c r="D1756" t="s">
        <v>2688</v>
      </c>
      <c r="E1756">
        <v>456</v>
      </c>
    </row>
    <row r="1757" spans="1:5" x14ac:dyDescent="0.25">
      <c r="A1757" t="s">
        <v>77</v>
      </c>
      <c r="B1757" t="s">
        <v>2470</v>
      </c>
      <c r="C1757" t="s">
        <v>2559</v>
      </c>
      <c r="D1757" t="s">
        <v>2689</v>
      </c>
      <c r="E1757">
        <v>389</v>
      </c>
    </row>
    <row r="1758" spans="1:5" x14ac:dyDescent="0.25">
      <c r="A1758" t="s">
        <v>77</v>
      </c>
      <c r="B1758" t="s">
        <v>2470</v>
      </c>
      <c r="C1758" t="s">
        <v>2559</v>
      </c>
      <c r="D1758" t="s">
        <v>2690</v>
      </c>
      <c r="E1758">
        <v>346</v>
      </c>
    </row>
    <row r="1759" spans="1:5" x14ac:dyDescent="0.25">
      <c r="A1759" t="s">
        <v>77</v>
      </c>
      <c r="B1759" t="s">
        <v>2470</v>
      </c>
      <c r="C1759" t="s">
        <v>2560</v>
      </c>
      <c r="D1759" t="s">
        <v>2677</v>
      </c>
      <c r="E1759">
        <v>152</v>
      </c>
    </row>
    <row r="1760" spans="1:5" x14ac:dyDescent="0.25">
      <c r="A1760" t="s">
        <v>77</v>
      </c>
      <c r="B1760" t="s">
        <v>2470</v>
      </c>
      <c r="C1760" t="s">
        <v>2560</v>
      </c>
      <c r="D1760" t="s">
        <v>2678</v>
      </c>
      <c r="E1760">
        <v>230</v>
      </c>
    </row>
    <row r="1761" spans="1:5" x14ac:dyDescent="0.25">
      <c r="A1761" t="s">
        <v>77</v>
      </c>
      <c r="B1761" t="s">
        <v>2470</v>
      </c>
      <c r="C1761" t="s">
        <v>2560</v>
      </c>
      <c r="D1761" t="s">
        <v>2679</v>
      </c>
      <c r="E1761">
        <v>231</v>
      </c>
    </row>
    <row r="1762" spans="1:5" x14ac:dyDescent="0.25">
      <c r="A1762" t="s">
        <v>77</v>
      </c>
      <c r="B1762" t="s">
        <v>2470</v>
      </c>
      <c r="C1762" t="s">
        <v>2560</v>
      </c>
      <c r="D1762" t="s">
        <v>2680</v>
      </c>
      <c r="E1762">
        <v>269</v>
      </c>
    </row>
    <row r="1763" spans="1:5" x14ac:dyDescent="0.25">
      <c r="A1763" t="s">
        <v>77</v>
      </c>
      <c r="B1763" t="s">
        <v>2470</v>
      </c>
      <c r="C1763" t="s">
        <v>2560</v>
      </c>
      <c r="D1763" t="s">
        <v>2681</v>
      </c>
      <c r="E1763">
        <v>326</v>
      </c>
    </row>
    <row r="1764" spans="1:5" x14ac:dyDescent="0.25">
      <c r="A1764" t="s">
        <v>77</v>
      </c>
      <c r="B1764" t="s">
        <v>2470</v>
      </c>
      <c r="C1764" t="s">
        <v>2560</v>
      </c>
      <c r="D1764" t="s">
        <v>2682</v>
      </c>
      <c r="E1764">
        <v>392</v>
      </c>
    </row>
    <row r="1765" spans="1:5" x14ac:dyDescent="0.25">
      <c r="A1765" t="s">
        <v>77</v>
      </c>
      <c r="B1765" t="s">
        <v>2470</v>
      </c>
      <c r="C1765" t="s">
        <v>2560</v>
      </c>
      <c r="D1765" t="s">
        <v>2683</v>
      </c>
      <c r="E1765">
        <v>442</v>
      </c>
    </row>
    <row r="1766" spans="1:5" x14ac:dyDescent="0.25">
      <c r="A1766" t="s">
        <v>77</v>
      </c>
      <c r="B1766" t="s">
        <v>2470</v>
      </c>
      <c r="C1766" t="s">
        <v>2560</v>
      </c>
      <c r="D1766" t="s">
        <v>2684</v>
      </c>
      <c r="E1766">
        <v>440</v>
      </c>
    </row>
    <row r="1767" spans="1:5" x14ac:dyDescent="0.25">
      <c r="A1767" t="s">
        <v>77</v>
      </c>
      <c r="B1767" t="s">
        <v>2470</v>
      </c>
      <c r="C1767" t="s">
        <v>2560</v>
      </c>
      <c r="D1767" t="s">
        <v>2685</v>
      </c>
      <c r="E1767">
        <v>463</v>
      </c>
    </row>
    <row r="1768" spans="1:5" x14ac:dyDescent="0.25">
      <c r="A1768" t="s">
        <v>77</v>
      </c>
      <c r="B1768" t="s">
        <v>2470</v>
      </c>
      <c r="C1768" t="s">
        <v>2560</v>
      </c>
      <c r="D1768" t="s">
        <v>2686</v>
      </c>
      <c r="E1768">
        <v>456</v>
      </c>
    </row>
    <row r="1769" spans="1:5" x14ac:dyDescent="0.25">
      <c r="A1769" t="s">
        <v>77</v>
      </c>
      <c r="B1769" t="s">
        <v>2470</v>
      </c>
      <c r="C1769" t="s">
        <v>2560</v>
      </c>
      <c r="D1769" t="s">
        <v>2687</v>
      </c>
      <c r="E1769">
        <v>472</v>
      </c>
    </row>
    <row r="1770" spans="1:5" x14ac:dyDescent="0.25">
      <c r="A1770" t="s">
        <v>77</v>
      </c>
      <c r="B1770" t="s">
        <v>2470</v>
      </c>
      <c r="C1770" t="s">
        <v>2560</v>
      </c>
      <c r="D1770" t="s">
        <v>2688</v>
      </c>
      <c r="E1770">
        <v>517</v>
      </c>
    </row>
    <row r="1771" spans="1:5" x14ac:dyDescent="0.25">
      <c r="A1771" t="s">
        <v>77</v>
      </c>
      <c r="B1771" t="s">
        <v>2470</v>
      </c>
      <c r="C1771" t="s">
        <v>2560</v>
      </c>
      <c r="D1771" t="s">
        <v>2689</v>
      </c>
      <c r="E1771">
        <v>448</v>
      </c>
    </row>
    <row r="1772" spans="1:5" x14ac:dyDescent="0.25">
      <c r="A1772" t="s">
        <v>77</v>
      </c>
      <c r="B1772" t="s">
        <v>2470</v>
      </c>
      <c r="C1772" t="s">
        <v>2560</v>
      </c>
      <c r="D1772" t="s">
        <v>2690</v>
      </c>
      <c r="E1772">
        <v>402</v>
      </c>
    </row>
    <row r="1773" spans="1:5" x14ac:dyDescent="0.25">
      <c r="A1773" t="s">
        <v>77</v>
      </c>
      <c r="B1773" t="s">
        <v>2470</v>
      </c>
      <c r="C1773" t="s">
        <v>103</v>
      </c>
      <c r="D1773" t="s">
        <v>2677</v>
      </c>
      <c r="E1773">
        <v>16</v>
      </c>
    </row>
    <row r="1774" spans="1:5" x14ac:dyDescent="0.25">
      <c r="A1774" t="s">
        <v>77</v>
      </c>
      <c r="B1774" t="s">
        <v>2470</v>
      </c>
      <c r="C1774" t="s">
        <v>103</v>
      </c>
      <c r="D1774" t="s">
        <v>2678</v>
      </c>
      <c r="E1774">
        <v>22</v>
      </c>
    </row>
    <row r="1775" spans="1:5" x14ac:dyDescent="0.25">
      <c r="A1775" t="s">
        <v>77</v>
      </c>
      <c r="B1775" t="s">
        <v>2470</v>
      </c>
      <c r="C1775" t="s">
        <v>117</v>
      </c>
      <c r="D1775" t="s">
        <v>2677</v>
      </c>
      <c r="E1775">
        <v>147</v>
      </c>
    </row>
    <row r="1776" spans="1:5" x14ac:dyDescent="0.25">
      <c r="A1776" t="s">
        <v>77</v>
      </c>
      <c r="B1776" t="s">
        <v>2470</v>
      </c>
      <c r="C1776" t="s">
        <v>117</v>
      </c>
      <c r="D1776" t="s">
        <v>2678</v>
      </c>
      <c r="E1776">
        <v>320</v>
      </c>
    </row>
    <row r="1777" spans="1:5" x14ac:dyDescent="0.25">
      <c r="A1777" t="s">
        <v>77</v>
      </c>
      <c r="B1777" t="s">
        <v>2470</v>
      </c>
      <c r="C1777" t="s">
        <v>117</v>
      </c>
      <c r="D1777" t="s">
        <v>2679</v>
      </c>
      <c r="E1777">
        <v>299</v>
      </c>
    </row>
    <row r="1778" spans="1:5" x14ac:dyDescent="0.25">
      <c r="A1778" t="s">
        <v>77</v>
      </c>
      <c r="B1778" t="s">
        <v>2470</v>
      </c>
      <c r="C1778" t="s">
        <v>117</v>
      </c>
      <c r="D1778" t="s">
        <v>2680</v>
      </c>
      <c r="E1778">
        <v>330</v>
      </c>
    </row>
    <row r="1779" spans="1:5" x14ac:dyDescent="0.25">
      <c r="A1779" t="s">
        <v>77</v>
      </c>
      <c r="B1779" t="s">
        <v>2470</v>
      </c>
      <c r="C1779" t="s">
        <v>117</v>
      </c>
      <c r="D1779" t="s">
        <v>2681</v>
      </c>
      <c r="E1779">
        <v>376</v>
      </c>
    </row>
    <row r="1780" spans="1:5" x14ac:dyDescent="0.25">
      <c r="A1780" t="s">
        <v>77</v>
      </c>
      <c r="B1780" t="s">
        <v>2470</v>
      </c>
      <c r="C1780" t="s">
        <v>117</v>
      </c>
      <c r="D1780" t="s">
        <v>2682</v>
      </c>
      <c r="E1780">
        <v>401</v>
      </c>
    </row>
    <row r="1781" spans="1:5" x14ac:dyDescent="0.25">
      <c r="A1781" t="s">
        <v>77</v>
      </c>
      <c r="B1781" t="s">
        <v>2470</v>
      </c>
      <c r="C1781" t="s">
        <v>117</v>
      </c>
      <c r="D1781" t="s">
        <v>2683</v>
      </c>
      <c r="E1781">
        <v>452</v>
      </c>
    </row>
    <row r="1782" spans="1:5" x14ac:dyDescent="0.25">
      <c r="A1782" t="s">
        <v>77</v>
      </c>
      <c r="B1782" t="s">
        <v>2470</v>
      </c>
      <c r="C1782" t="s">
        <v>117</v>
      </c>
      <c r="D1782" t="s">
        <v>2684</v>
      </c>
      <c r="E1782">
        <v>452</v>
      </c>
    </row>
    <row r="1783" spans="1:5" x14ac:dyDescent="0.25">
      <c r="A1783" t="s">
        <v>77</v>
      </c>
      <c r="B1783" t="s">
        <v>2470</v>
      </c>
      <c r="C1783" t="s">
        <v>117</v>
      </c>
      <c r="D1783" t="s">
        <v>2685</v>
      </c>
      <c r="E1783">
        <v>474</v>
      </c>
    </row>
    <row r="1784" spans="1:5" x14ac:dyDescent="0.25">
      <c r="A1784" t="s">
        <v>77</v>
      </c>
      <c r="B1784" t="s">
        <v>2470</v>
      </c>
      <c r="C1784" t="s">
        <v>117</v>
      </c>
      <c r="D1784" t="s">
        <v>2686</v>
      </c>
      <c r="E1784">
        <v>507</v>
      </c>
    </row>
    <row r="1785" spans="1:5" x14ac:dyDescent="0.25">
      <c r="A1785" t="s">
        <v>77</v>
      </c>
      <c r="B1785" t="s">
        <v>2470</v>
      </c>
      <c r="C1785" t="s">
        <v>117</v>
      </c>
      <c r="D1785" t="s">
        <v>2687</v>
      </c>
      <c r="E1785">
        <v>514</v>
      </c>
    </row>
    <row r="1786" spans="1:5" x14ac:dyDescent="0.25">
      <c r="A1786" t="s">
        <v>77</v>
      </c>
      <c r="B1786" t="s">
        <v>2470</v>
      </c>
      <c r="C1786" t="s">
        <v>117</v>
      </c>
      <c r="D1786" t="s">
        <v>2688</v>
      </c>
      <c r="E1786">
        <v>477</v>
      </c>
    </row>
    <row r="1787" spans="1:5" x14ac:dyDescent="0.25">
      <c r="A1787" t="s">
        <v>77</v>
      </c>
      <c r="B1787" t="s">
        <v>2470</v>
      </c>
      <c r="C1787" t="s">
        <v>117</v>
      </c>
      <c r="D1787" t="s">
        <v>2689</v>
      </c>
      <c r="E1787">
        <v>411</v>
      </c>
    </row>
    <row r="1788" spans="1:5" x14ac:dyDescent="0.25">
      <c r="A1788" t="s">
        <v>77</v>
      </c>
      <c r="B1788" t="s">
        <v>2470</v>
      </c>
      <c r="C1788" t="s">
        <v>117</v>
      </c>
      <c r="D1788" t="s">
        <v>2690</v>
      </c>
      <c r="E1788">
        <v>360</v>
      </c>
    </row>
    <row r="1789" spans="1:5" x14ac:dyDescent="0.25">
      <c r="A1789" t="s">
        <v>77</v>
      </c>
      <c r="B1789" t="s">
        <v>2518</v>
      </c>
      <c r="C1789" t="s">
        <v>2572</v>
      </c>
      <c r="D1789" t="s">
        <v>2677</v>
      </c>
      <c r="E1789">
        <v>2</v>
      </c>
    </row>
    <row r="1790" spans="1:5" x14ac:dyDescent="0.25">
      <c r="A1790" t="s">
        <v>77</v>
      </c>
      <c r="B1790" t="s">
        <v>2518</v>
      </c>
      <c r="C1790" t="s">
        <v>2572</v>
      </c>
      <c r="D1790" t="s">
        <v>2678</v>
      </c>
      <c r="E1790">
        <v>6</v>
      </c>
    </row>
    <row r="1791" spans="1:5" x14ac:dyDescent="0.25">
      <c r="A1791" t="s">
        <v>77</v>
      </c>
      <c r="B1791" t="s">
        <v>2518</v>
      </c>
      <c r="C1791" t="s">
        <v>2572</v>
      </c>
      <c r="D1791" t="s">
        <v>2679</v>
      </c>
      <c r="E1791">
        <v>5</v>
      </c>
    </row>
    <row r="1792" spans="1:5" x14ac:dyDescent="0.25">
      <c r="A1792" t="s">
        <v>77</v>
      </c>
      <c r="B1792" t="s">
        <v>2518</v>
      </c>
      <c r="C1792" t="s">
        <v>2572</v>
      </c>
      <c r="D1792" t="s">
        <v>2680</v>
      </c>
      <c r="E1792">
        <v>4</v>
      </c>
    </row>
    <row r="1793" spans="1:5" x14ac:dyDescent="0.25">
      <c r="A1793" t="s">
        <v>77</v>
      </c>
      <c r="B1793" t="s">
        <v>2518</v>
      </c>
      <c r="C1793" t="s">
        <v>2572</v>
      </c>
      <c r="D1793" t="s">
        <v>2681</v>
      </c>
      <c r="E1793">
        <v>4</v>
      </c>
    </row>
    <row r="1794" spans="1:5" x14ac:dyDescent="0.25">
      <c r="A1794" t="s">
        <v>77</v>
      </c>
      <c r="B1794" t="s">
        <v>2518</v>
      </c>
      <c r="C1794" t="s">
        <v>2572</v>
      </c>
      <c r="D1794" t="s">
        <v>2682</v>
      </c>
      <c r="E1794">
        <v>6</v>
      </c>
    </row>
    <row r="1795" spans="1:5" x14ac:dyDescent="0.25">
      <c r="A1795" t="s">
        <v>77</v>
      </c>
      <c r="B1795" t="s">
        <v>2518</v>
      </c>
      <c r="C1795" t="s">
        <v>2572</v>
      </c>
      <c r="D1795" t="s">
        <v>2683</v>
      </c>
      <c r="E1795">
        <v>4</v>
      </c>
    </row>
    <row r="1796" spans="1:5" x14ac:dyDescent="0.25">
      <c r="A1796" t="s">
        <v>77</v>
      </c>
      <c r="B1796" t="s">
        <v>2518</v>
      </c>
      <c r="C1796" t="s">
        <v>2572</v>
      </c>
      <c r="D1796" t="s">
        <v>2684</v>
      </c>
      <c r="E1796">
        <v>7</v>
      </c>
    </row>
    <row r="1797" spans="1:5" x14ac:dyDescent="0.25">
      <c r="A1797" t="s">
        <v>77</v>
      </c>
      <c r="B1797" t="s">
        <v>2518</v>
      </c>
      <c r="C1797" t="s">
        <v>2572</v>
      </c>
      <c r="D1797" t="s">
        <v>2685</v>
      </c>
      <c r="E1797">
        <v>8</v>
      </c>
    </row>
    <row r="1798" spans="1:5" x14ac:dyDescent="0.25">
      <c r="A1798" t="s">
        <v>77</v>
      </c>
      <c r="B1798" t="s">
        <v>2518</v>
      </c>
      <c r="C1798" t="s">
        <v>2572</v>
      </c>
      <c r="D1798" t="s">
        <v>2686</v>
      </c>
      <c r="E1798">
        <v>8</v>
      </c>
    </row>
    <row r="1799" spans="1:5" x14ac:dyDescent="0.25">
      <c r="A1799" t="s">
        <v>77</v>
      </c>
      <c r="B1799" t="s">
        <v>2518</v>
      </c>
      <c r="C1799" t="s">
        <v>2572</v>
      </c>
      <c r="D1799" t="s">
        <v>2687</v>
      </c>
      <c r="E1799">
        <v>8</v>
      </c>
    </row>
    <row r="1800" spans="1:5" x14ac:dyDescent="0.25">
      <c r="A1800" t="s">
        <v>77</v>
      </c>
      <c r="B1800" t="s">
        <v>2518</v>
      </c>
      <c r="C1800" t="s">
        <v>2572</v>
      </c>
      <c r="D1800" t="s">
        <v>2688</v>
      </c>
      <c r="E1800">
        <v>4</v>
      </c>
    </row>
    <row r="1801" spans="1:5" x14ac:dyDescent="0.25">
      <c r="A1801" t="s">
        <v>77</v>
      </c>
      <c r="B1801" t="s">
        <v>2518</v>
      </c>
      <c r="C1801" t="s">
        <v>2478</v>
      </c>
      <c r="D1801" t="s">
        <v>2677</v>
      </c>
      <c r="E1801">
        <v>5</v>
      </c>
    </row>
    <row r="1802" spans="1:5" x14ac:dyDescent="0.25">
      <c r="A1802" t="s">
        <v>77</v>
      </c>
      <c r="B1802" t="s">
        <v>2518</v>
      </c>
      <c r="C1802" t="s">
        <v>2478</v>
      </c>
      <c r="D1802" t="s">
        <v>2678</v>
      </c>
      <c r="E1802">
        <v>9</v>
      </c>
    </row>
    <row r="1803" spans="1:5" x14ac:dyDescent="0.25">
      <c r="A1803" t="s">
        <v>77</v>
      </c>
      <c r="B1803" t="s">
        <v>2518</v>
      </c>
      <c r="C1803" t="s">
        <v>2478</v>
      </c>
      <c r="D1803" t="s">
        <v>2679</v>
      </c>
      <c r="E1803">
        <v>6</v>
      </c>
    </row>
    <row r="1804" spans="1:5" x14ac:dyDescent="0.25">
      <c r="A1804" t="s">
        <v>77</v>
      </c>
      <c r="B1804" t="s">
        <v>2518</v>
      </c>
      <c r="C1804" t="s">
        <v>2478</v>
      </c>
      <c r="D1804" t="s">
        <v>2680</v>
      </c>
      <c r="E1804">
        <v>8</v>
      </c>
    </row>
    <row r="1805" spans="1:5" x14ac:dyDescent="0.25">
      <c r="A1805" t="s">
        <v>77</v>
      </c>
      <c r="B1805" t="s">
        <v>2518</v>
      </c>
      <c r="C1805" t="s">
        <v>2478</v>
      </c>
      <c r="D1805" t="s">
        <v>2681</v>
      </c>
      <c r="E1805">
        <v>9</v>
      </c>
    </row>
    <row r="1806" spans="1:5" x14ac:dyDescent="0.25">
      <c r="A1806" t="s">
        <v>77</v>
      </c>
      <c r="B1806" t="s">
        <v>2518</v>
      </c>
      <c r="C1806" t="s">
        <v>2478</v>
      </c>
      <c r="D1806" t="s">
        <v>2682</v>
      </c>
      <c r="E1806">
        <v>9</v>
      </c>
    </row>
    <row r="1807" spans="1:5" x14ac:dyDescent="0.25">
      <c r="A1807" t="s">
        <v>77</v>
      </c>
      <c r="B1807" t="s">
        <v>2518</v>
      </c>
      <c r="C1807" t="s">
        <v>2478</v>
      </c>
      <c r="D1807" t="s">
        <v>2683</v>
      </c>
      <c r="E1807">
        <v>10</v>
      </c>
    </row>
    <row r="1808" spans="1:5" x14ac:dyDescent="0.25">
      <c r="A1808" t="s">
        <v>77</v>
      </c>
      <c r="B1808" t="s">
        <v>2518</v>
      </c>
      <c r="C1808" t="s">
        <v>2478</v>
      </c>
      <c r="D1808" t="s">
        <v>2684</v>
      </c>
      <c r="E1808">
        <v>16</v>
      </c>
    </row>
    <row r="1809" spans="1:5" x14ac:dyDescent="0.25">
      <c r="A1809" t="s">
        <v>77</v>
      </c>
      <c r="B1809" t="s">
        <v>2518</v>
      </c>
      <c r="C1809" t="s">
        <v>2478</v>
      </c>
      <c r="D1809" t="s">
        <v>2685</v>
      </c>
      <c r="E1809">
        <v>21</v>
      </c>
    </row>
    <row r="1810" spans="1:5" x14ac:dyDescent="0.25">
      <c r="A1810" t="s">
        <v>77</v>
      </c>
      <c r="B1810" t="s">
        <v>2518</v>
      </c>
      <c r="C1810" t="s">
        <v>2478</v>
      </c>
      <c r="D1810" t="s">
        <v>2686</v>
      </c>
      <c r="E1810">
        <v>18</v>
      </c>
    </row>
    <row r="1811" spans="1:5" x14ac:dyDescent="0.25">
      <c r="A1811" t="s">
        <v>77</v>
      </c>
      <c r="B1811" t="s">
        <v>2518</v>
      </c>
      <c r="C1811" t="s">
        <v>2478</v>
      </c>
      <c r="D1811" t="s">
        <v>2687</v>
      </c>
      <c r="E1811">
        <v>20</v>
      </c>
    </row>
    <row r="1812" spans="1:5" x14ac:dyDescent="0.25">
      <c r="A1812" t="s">
        <v>77</v>
      </c>
      <c r="B1812" t="s">
        <v>2518</v>
      </c>
      <c r="C1812" t="s">
        <v>2478</v>
      </c>
      <c r="D1812" t="s">
        <v>2688</v>
      </c>
      <c r="E1812">
        <v>17</v>
      </c>
    </row>
    <row r="1813" spans="1:5" x14ac:dyDescent="0.25">
      <c r="A1813" t="s">
        <v>77</v>
      </c>
      <c r="B1813" t="s">
        <v>2518</v>
      </c>
      <c r="C1813" t="s">
        <v>2478</v>
      </c>
      <c r="D1813" t="s">
        <v>2689</v>
      </c>
      <c r="E1813">
        <v>17</v>
      </c>
    </row>
    <row r="1814" spans="1:5" x14ac:dyDescent="0.25">
      <c r="A1814" t="s">
        <v>77</v>
      </c>
      <c r="B1814" t="s">
        <v>2518</v>
      </c>
      <c r="C1814" t="s">
        <v>2478</v>
      </c>
      <c r="D1814" t="s">
        <v>2690</v>
      </c>
      <c r="E1814">
        <v>16</v>
      </c>
    </row>
    <row r="1815" spans="1:5" x14ac:dyDescent="0.25">
      <c r="A1815" t="s">
        <v>77</v>
      </c>
      <c r="B1815" t="s">
        <v>2518</v>
      </c>
      <c r="C1815" t="s">
        <v>2570</v>
      </c>
      <c r="D1815" t="s">
        <v>2677</v>
      </c>
      <c r="E1815">
        <v>12</v>
      </c>
    </row>
    <row r="1816" spans="1:5" x14ac:dyDescent="0.25">
      <c r="A1816" t="s">
        <v>77</v>
      </c>
      <c r="B1816" t="s">
        <v>2518</v>
      </c>
      <c r="C1816" t="s">
        <v>2570</v>
      </c>
      <c r="D1816" t="s">
        <v>2678</v>
      </c>
      <c r="E1816">
        <v>15</v>
      </c>
    </row>
    <row r="1817" spans="1:5" x14ac:dyDescent="0.25">
      <c r="A1817" t="s">
        <v>77</v>
      </c>
      <c r="B1817" t="s">
        <v>2518</v>
      </c>
      <c r="C1817" t="s">
        <v>2570</v>
      </c>
      <c r="D1817" t="s">
        <v>2679</v>
      </c>
      <c r="E1817">
        <v>16</v>
      </c>
    </row>
    <row r="1818" spans="1:5" x14ac:dyDescent="0.25">
      <c r="A1818" t="s">
        <v>77</v>
      </c>
      <c r="B1818" t="s">
        <v>2518</v>
      </c>
      <c r="C1818" t="s">
        <v>2570</v>
      </c>
      <c r="D1818" t="s">
        <v>2680</v>
      </c>
      <c r="E1818">
        <v>12</v>
      </c>
    </row>
    <row r="1819" spans="1:5" x14ac:dyDescent="0.25">
      <c r="A1819" t="s">
        <v>77</v>
      </c>
      <c r="B1819" t="s">
        <v>2518</v>
      </c>
      <c r="C1819" t="s">
        <v>2570</v>
      </c>
      <c r="D1819" t="s">
        <v>2681</v>
      </c>
      <c r="E1819">
        <v>12</v>
      </c>
    </row>
    <row r="1820" spans="1:5" x14ac:dyDescent="0.25">
      <c r="A1820" t="s">
        <v>77</v>
      </c>
      <c r="B1820" t="s">
        <v>2518</v>
      </c>
      <c r="C1820" t="s">
        <v>2570</v>
      </c>
      <c r="D1820" t="s">
        <v>2682</v>
      </c>
      <c r="E1820">
        <v>13</v>
      </c>
    </row>
    <row r="1821" spans="1:5" x14ac:dyDescent="0.25">
      <c r="A1821" t="s">
        <v>77</v>
      </c>
      <c r="B1821" t="s">
        <v>2518</v>
      </c>
      <c r="C1821" t="s">
        <v>2570</v>
      </c>
      <c r="D1821" t="s">
        <v>2683</v>
      </c>
      <c r="E1821">
        <v>11</v>
      </c>
    </row>
    <row r="1822" spans="1:5" x14ac:dyDescent="0.25">
      <c r="A1822" t="s">
        <v>77</v>
      </c>
      <c r="B1822" t="s">
        <v>2518</v>
      </c>
      <c r="C1822" t="s">
        <v>2570</v>
      </c>
      <c r="D1822" t="s">
        <v>2684</v>
      </c>
      <c r="E1822">
        <v>8</v>
      </c>
    </row>
    <row r="1823" spans="1:5" x14ac:dyDescent="0.25">
      <c r="A1823" t="s">
        <v>77</v>
      </c>
      <c r="B1823" t="s">
        <v>2518</v>
      </c>
      <c r="C1823" t="s">
        <v>2570</v>
      </c>
      <c r="D1823" t="s">
        <v>2685</v>
      </c>
      <c r="E1823">
        <v>10</v>
      </c>
    </row>
    <row r="1824" spans="1:5" x14ac:dyDescent="0.25">
      <c r="A1824" t="s">
        <v>77</v>
      </c>
      <c r="B1824" t="s">
        <v>2518</v>
      </c>
      <c r="C1824" t="s">
        <v>2570</v>
      </c>
      <c r="D1824" t="s">
        <v>2686</v>
      </c>
      <c r="E1824">
        <v>11</v>
      </c>
    </row>
    <row r="1825" spans="1:5" x14ac:dyDescent="0.25">
      <c r="A1825" t="s">
        <v>77</v>
      </c>
      <c r="B1825" t="s">
        <v>2518</v>
      </c>
      <c r="C1825" t="s">
        <v>2570</v>
      </c>
      <c r="D1825" t="s">
        <v>2687</v>
      </c>
      <c r="E1825">
        <v>12</v>
      </c>
    </row>
    <row r="1826" spans="1:5" x14ac:dyDescent="0.25">
      <c r="A1826" t="s">
        <v>77</v>
      </c>
      <c r="B1826" t="s">
        <v>2518</v>
      </c>
      <c r="C1826" t="s">
        <v>2570</v>
      </c>
      <c r="D1826" t="s">
        <v>2688</v>
      </c>
      <c r="E1826">
        <v>9</v>
      </c>
    </row>
    <row r="1827" spans="1:5" x14ac:dyDescent="0.25">
      <c r="A1827" t="s">
        <v>77</v>
      </c>
      <c r="B1827" t="s">
        <v>2518</v>
      </c>
      <c r="C1827" t="s">
        <v>2570</v>
      </c>
      <c r="D1827" t="s">
        <v>2689</v>
      </c>
      <c r="E1827">
        <v>14</v>
      </c>
    </row>
    <row r="1828" spans="1:5" x14ac:dyDescent="0.25">
      <c r="A1828" t="s">
        <v>77</v>
      </c>
      <c r="B1828" t="s">
        <v>2518</v>
      </c>
      <c r="C1828" t="s">
        <v>2570</v>
      </c>
      <c r="D1828" t="s">
        <v>2690</v>
      </c>
      <c r="E1828">
        <v>14</v>
      </c>
    </row>
    <row r="1829" spans="1:5" x14ac:dyDescent="0.25">
      <c r="A1829" t="s">
        <v>77</v>
      </c>
      <c r="B1829" t="s">
        <v>2518</v>
      </c>
      <c r="C1829" t="s">
        <v>110</v>
      </c>
      <c r="D1829" t="s">
        <v>2677</v>
      </c>
      <c r="E1829">
        <v>205</v>
      </c>
    </row>
    <row r="1830" spans="1:5" x14ac:dyDescent="0.25">
      <c r="A1830" t="s">
        <v>77</v>
      </c>
      <c r="B1830" t="s">
        <v>2518</v>
      </c>
      <c r="C1830" t="s">
        <v>110</v>
      </c>
      <c r="D1830" t="s">
        <v>2678</v>
      </c>
      <c r="E1830">
        <v>416</v>
      </c>
    </row>
    <row r="1831" spans="1:5" x14ac:dyDescent="0.25">
      <c r="A1831" t="s">
        <v>77</v>
      </c>
      <c r="B1831" t="s">
        <v>2518</v>
      </c>
      <c r="C1831" t="s">
        <v>110</v>
      </c>
      <c r="D1831" t="s">
        <v>2679</v>
      </c>
      <c r="E1831">
        <v>453</v>
      </c>
    </row>
    <row r="1832" spans="1:5" x14ac:dyDescent="0.25">
      <c r="A1832" t="s">
        <v>77</v>
      </c>
      <c r="B1832" t="s">
        <v>2518</v>
      </c>
      <c r="C1832" t="s">
        <v>110</v>
      </c>
      <c r="D1832" t="s">
        <v>2680</v>
      </c>
      <c r="E1832">
        <v>479</v>
      </c>
    </row>
    <row r="1833" spans="1:5" x14ac:dyDescent="0.25">
      <c r="A1833" t="s">
        <v>77</v>
      </c>
      <c r="B1833" t="s">
        <v>2518</v>
      </c>
      <c r="C1833" t="s">
        <v>110</v>
      </c>
      <c r="D1833" t="s">
        <v>2681</v>
      </c>
      <c r="E1833">
        <v>468</v>
      </c>
    </row>
    <row r="1834" spans="1:5" x14ac:dyDescent="0.25">
      <c r="A1834" t="s">
        <v>77</v>
      </c>
      <c r="B1834" t="s">
        <v>2518</v>
      </c>
      <c r="C1834" t="s">
        <v>110</v>
      </c>
      <c r="D1834" t="s">
        <v>2682</v>
      </c>
      <c r="E1834">
        <v>488</v>
      </c>
    </row>
    <row r="1835" spans="1:5" x14ac:dyDescent="0.25">
      <c r="A1835" t="s">
        <v>77</v>
      </c>
      <c r="B1835" t="s">
        <v>2518</v>
      </c>
      <c r="C1835" t="s">
        <v>110</v>
      </c>
      <c r="D1835" t="s">
        <v>2683</v>
      </c>
      <c r="E1835">
        <v>501</v>
      </c>
    </row>
    <row r="1836" spans="1:5" x14ac:dyDescent="0.25">
      <c r="A1836" t="s">
        <v>77</v>
      </c>
      <c r="B1836" t="s">
        <v>2518</v>
      </c>
      <c r="C1836" t="s">
        <v>110</v>
      </c>
      <c r="D1836" t="s">
        <v>2684</v>
      </c>
      <c r="E1836">
        <v>505</v>
      </c>
    </row>
    <row r="1837" spans="1:5" x14ac:dyDescent="0.25">
      <c r="A1837" t="s">
        <v>77</v>
      </c>
      <c r="B1837" t="s">
        <v>2518</v>
      </c>
      <c r="C1837" t="s">
        <v>110</v>
      </c>
      <c r="D1837" t="s">
        <v>2685</v>
      </c>
      <c r="E1837">
        <v>507</v>
      </c>
    </row>
    <row r="1838" spans="1:5" x14ac:dyDescent="0.25">
      <c r="A1838" t="s">
        <v>77</v>
      </c>
      <c r="B1838" t="s">
        <v>2518</v>
      </c>
      <c r="C1838" t="s">
        <v>110</v>
      </c>
      <c r="D1838" t="s">
        <v>2686</v>
      </c>
      <c r="E1838">
        <v>507</v>
      </c>
    </row>
    <row r="1839" spans="1:5" x14ac:dyDescent="0.25">
      <c r="A1839" t="s">
        <v>77</v>
      </c>
      <c r="B1839" t="s">
        <v>2518</v>
      </c>
      <c r="C1839" t="s">
        <v>110</v>
      </c>
      <c r="D1839" t="s">
        <v>2687</v>
      </c>
      <c r="E1839">
        <v>510</v>
      </c>
    </row>
    <row r="1840" spans="1:5" x14ac:dyDescent="0.25">
      <c r="A1840" t="s">
        <v>77</v>
      </c>
      <c r="B1840" t="s">
        <v>2518</v>
      </c>
      <c r="C1840" t="s">
        <v>110</v>
      </c>
      <c r="D1840" t="s">
        <v>2688</v>
      </c>
      <c r="E1840">
        <v>523</v>
      </c>
    </row>
    <row r="1841" spans="1:5" x14ac:dyDescent="0.25">
      <c r="A1841" t="s">
        <v>77</v>
      </c>
      <c r="B1841" t="s">
        <v>2518</v>
      </c>
      <c r="C1841" t="s">
        <v>110</v>
      </c>
      <c r="D1841" t="s">
        <v>2689</v>
      </c>
      <c r="E1841">
        <v>524</v>
      </c>
    </row>
    <row r="1842" spans="1:5" x14ac:dyDescent="0.25">
      <c r="A1842" t="s">
        <v>77</v>
      </c>
      <c r="B1842" t="s">
        <v>2518</v>
      </c>
      <c r="C1842" t="s">
        <v>110</v>
      </c>
      <c r="D1842" t="s">
        <v>2690</v>
      </c>
      <c r="E1842">
        <v>530</v>
      </c>
    </row>
    <row r="1843" spans="1:5" x14ac:dyDescent="0.25">
      <c r="A1843" t="s">
        <v>77</v>
      </c>
      <c r="B1843" t="s">
        <v>2518</v>
      </c>
      <c r="C1843" t="s">
        <v>115</v>
      </c>
      <c r="D1843" t="s">
        <v>2677</v>
      </c>
      <c r="E1843">
        <v>107</v>
      </c>
    </row>
    <row r="1844" spans="1:5" x14ac:dyDescent="0.25">
      <c r="A1844" t="s">
        <v>77</v>
      </c>
      <c r="B1844" t="s">
        <v>2518</v>
      </c>
      <c r="C1844" t="s">
        <v>115</v>
      </c>
      <c r="D1844" t="s">
        <v>2678</v>
      </c>
      <c r="E1844">
        <v>206</v>
      </c>
    </row>
    <row r="1845" spans="1:5" x14ac:dyDescent="0.25">
      <c r="A1845" t="s">
        <v>77</v>
      </c>
      <c r="B1845" t="s">
        <v>2518</v>
      </c>
      <c r="C1845" t="s">
        <v>115</v>
      </c>
      <c r="D1845" t="s">
        <v>2679</v>
      </c>
      <c r="E1845">
        <v>210</v>
      </c>
    </row>
    <row r="1846" spans="1:5" x14ac:dyDescent="0.25">
      <c r="A1846" t="s">
        <v>77</v>
      </c>
      <c r="B1846" t="s">
        <v>2518</v>
      </c>
      <c r="C1846" t="s">
        <v>115</v>
      </c>
      <c r="D1846" t="s">
        <v>2680</v>
      </c>
      <c r="E1846">
        <v>215</v>
      </c>
    </row>
    <row r="1847" spans="1:5" x14ac:dyDescent="0.25">
      <c r="A1847" t="s">
        <v>77</v>
      </c>
      <c r="B1847" t="s">
        <v>2518</v>
      </c>
      <c r="C1847" t="s">
        <v>115</v>
      </c>
      <c r="D1847" t="s">
        <v>2681</v>
      </c>
      <c r="E1847">
        <v>212</v>
      </c>
    </row>
    <row r="1848" spans="1:5" x14ac:dyDescent="0.25">
      <c r="A1848" t="s">
        <v>77</v>
      </c>
      <c r="B1848" t="s">
        <v>2518</v>
      </c>
      <c r="C1848" t="s">
        <v>115</v>
      </c>
      <c r="D1848" t="s">
        <v>2682</v>
      </c>
      <c r="E1848">
        <v>207</v>
      </c>
    </row>
    <row r="1849" spans="1:5" x14ac:dyDescent="0.25">
      <c r="A1849" t="s">
        <v>77</v>
      </c>
      <c r="B1849" t="s">
        <v>2518</v>
      </c>
      <c r="C1849" t="s">
        <v>115</v>
      </c>
      <c r="D1849" t="s">
        <v>2683</v>
      </c>
      <c r="E1849">
        <v>208</v>
      </c>
    </row>
    <row r="1850" spans="1:5" x14ac:dyDescent="0.25">
      <c r="A1850" t="s">
        <v>77</v>
      </c>
      <c r="B1850" t="s">
        <v>2518</v>
      </c>
      <c r="C1850" t="s">
        <v>115</v>
      </c>
      <c r="D1850" t="s">
        <v>2684</v>
      </c>
      <c r="E1850">
        <v>202</v>
      </c>
    </row>
    <row r="1851" spans="1:5" x14ac:dyDescent="0.25">
      <c r="A1851" t="s">
        <v>77</v>
      </c>
      <c r="B1851" t="s">
        <v>2518</v>
      </c>
      <c r="C1851" t="s">
        <v>115</v>
      </c>
      <c r="D1851" t="s">
        <v>2685</v>
      </c>
      <c r="E1851">
        <v>199</v>
      </c>
    </row>
    <row r="1852" spans="1:5" x14ac:dyDescent="0.25">
      <c r="A1852" t="s">
        <v>77</v>
      </c>
      <c r="B1852" t="s">
        <v>2518</v>
      </c>
      <c r="C1852" t="s">
        <v>115</v>
      </c>
      <c r="D1852" t="s">
        <v>2686</v>
      </c>
      <c r="E1852">
        <v>202</v>
      </c>
    </row>
    <row r="1853" spans="1:5" x14ac:dyDescent="0.25">
      <c r="A1853" t="s">
        <v>77</v>
      </c>
      <c r="B1853" t="s">
        <v>2518</v>
      </c>
      <c r="C1853" t="s">
        <v>115</v>
      </c>
      <c r="D1853" t="s">
        <v>2687</v>
      </c>
      <c r="E1853">
        <v>204</v>
      </c>
    </row>
    <row r="1854" spans="1:5" x14ac:dyDescent="0.25">
      <c r="A1854" t="s">
        <v>77</v>
      </c>
      <c r="B1854" t="s">
        <v>2518</v>
      </c>
      <c r="C1854" t="s">
        <v>115</v>
      </c>
      <c r="D1854" t="s">
        <v>2688</v>
      </c>
      <c r="E1854">
        <v>196</v>
      </c>
    </row>
    <row r="1855" spans="1:5" x14ac:dyDescent="0.25">
      <c r="A1855" t="s">
        <v>77</v>
      </c>
      <c r="B1855" t="s">
        <v>2518</v>
      </c>
      <c r="C1855" t="s">
        <v>115</v>
      </c>
      <c r="D1855" t="s">
        <v>2689</v>
      </c>
      <c r="E1855">
        <v>197</v>
      </c>
    </row>
    <row r="1856" spans="1:5" x14ac:dyDescent="0.25">
      <c r="A1856" t="s">
        <v>77</v>
      </c>
      <c r="B1856" t="s">
        <v>2518</v>
      </c>
      <c r="C1856" t="s">
        <v>115</v>
      </c>
      <c r="D1856" t="s">
        <v>2690</v>
      </c>
      <c r="E1856">
        <v>195</v>
      </c>
    </row>
    <row r="1857" spans="1:5" x14ac:dyDescent="0.25">
      <c r="A1857" t="s">
        <v>77</v>
      </c>
      <c r="B1857" t="s">
        <v>2518</v>
      </c>
      <c r="C1857" t="s">
        <v>103</v>
      </c>
      <c r="D1857" t="s">
        <v>2677</v>
      </c>
      <c r="E1857">
        <v>11</v>
      </c>
    </row>
    <row r="1858" spans="1:5" x14ac:dyDescent="0.25">
      <c r="A1858" t="s">
        <v>77</v>
      </c>
      <c r="B1858" t="s">
        <v>2518</v>
      </c>
      <c r="C1858" t="s">
        <v>103</v>
      </c>
      <c r="D1858" t="s">
        <v>2678</v>
      </c>
      <c r="E1858">
        <v>24</v>
      </c>
    </row>
    <row r="1859" spans="1:5" x14ac:dyDescent="0.25">
      <c r="A1859" t="s">
        <v>77</v>
      </c>
      <c r="B1859" t="s">
        <v>2518</v>
      </c>
      <c r="C1859" t="s">
        <v>103</v>
      </c>
      <c r="D1859" t="s">
        <v>2679</v>
      </c>
      <c r="E1859">
        <v>24</v>
      </c>
    </row>
    <row r="1860" spans="1:5" x14ac:dyDescent="0.25">
      <c r="A1860" t="s">
        <v>77</v>
      </c>
      <c r="B1860" t="s">
        <v>2518</v>
      </c>
      <c r="C1860" t="s">
        <v>103</v>
      </c>
      <c r="D1860" t="s">
        <v>2680</v>
      </c>
      <c r="E1860">
        <v>20</v>
      </c>
    </row>
    <row r="1861" spans="1:5" x14ac:dyDescent="0.25">
      <c r="A1861" t="s">
        <v>77</v>
      </c>
      <c r="B1861" t="s">
        <v>2518</v>
      </c>
      <c r="C1861" t="s">
        <v>103</v>
      </c>
      <c r="D1861" t="s">
        <v>2681</v>
      </c>
      <c r="E1861">
        <v>14</v>
      </c>
    </row>
    <row r="1862" spans="1:5" x14ac:dyDescent="0.25">
      <c r="A1862" t="s">
        <v>77</v>
      </c>
      <c r="B1862" t="s">
        <v>2518</v>
      </c>
      <c r="C1862" t="s">
        <v>103</v>
      </c>
      <c r="D1862" t="s">
        <v>2682</v>
      </c>
      <c r="E1862">
        <v>4</v>
      </c>
    </row>
    <row r="1863" spans="1:5" x14ac:dyDescent="0.25">
      <c r="A1863" t="s">
        <v>77</v>
      </c>
      <c r="B1863" t="s">
        <v>2518</v>
      </c>
      <c r="C1863" t="s">
        <v>2576</v>
      </c>
      <c r="D1863" t="s">
        <v>2677</v>
      </c>
      <c r="E1863">
        <v>3</v>
      </c>
    </row>
    <row r="1864" spans="1:5" x14ac:dyDescent="0.25">
      <c r="A1864" t="s">
        <v>77</v>
      </c>
      <c r="B1864" t="s">
        <v>2518</v>
      </c>
      <c r="C1864" t="s">
        <v>2576</v>
      </c>
      <c r="D1864" t="s">
        <v>2678</v>
      </c>
      <c r="E1864">
        <v>6</v>
      </c>
    </row>
    <row r="1865" spans="1:5" x14ac:dyDescent="0.25">
      <c r="A1865" t="s">
        <v>77</v>
      </c>
      <c r="B1865" t="s">
        <v>2518</v>
      </c>
      <c r="C1865" t="s">
        <v>2576</v>
      </c>
      <c r="D1865" t="s">
        <v>2679</v>
      </c>
      <c r="E1865">
        <v>5</v>
      </c>
    </row>
    <row r="1866" spans="1:5" x14ac:dyDescent="0.25">
      <c r="A1866" t="s">
        <v>77</v>
      </c>
      <c r="B1866" t="s">
        <v>2518</v>
      </c>
      <c r="C1866" t="s">
        <v>2573</v>
      </c>
      <c r="D1866" t="s">
        <v>2677</v>
      </c>
      <c r="E1866">
        <v>3</v>
      </c>
    </row>
    <row r="1867" spans="1:5" x14ac:dyDescent="0.25">
      <c r="A1867" t="s">
        <v>77</v>
      </c>
      <c r="B1867" t="s">
        <v>2518</v>
      </c>
      <c r="C1867" t="s">
        <v>2573</v>
      </c>
      <c r="D1867" t="s">
        <v>2678</v>
      </c>
      <c r="E1867">
        <v>11</v>
      </c>
    </row>
    <row r="1868" spans="1:5" x14ac:dyDescent="0.25">
      <c r="A1868" t="s">
        <v>77</v>
      </c>
      <c r="B1868" t="s">
        <v>2518</v>
      </c>
      <c r="C1868" t="s">
        <v>2573</v>
      </c>
      <c r="D1868" t="s">
        <v>2679</v>
      </c>
      <c r="E1868">
        <v>10</v>
      </c>
    </row>
    <row r="1869" spans="1:5" x14ac:dyDescent="0.25">
      <c r="A1869" t="s">
        <v>77</v>
      </c>
      <c r="B1869" t="s">
        <v>2518</v>
      </c>
      <c r="C1869" t="s">
        <v>2573</v>
      </c>
      <c r="D1869" t="s">
        <v>2680</v>
      </c>
      <c r="E1869">
        <v>12</v>
      </c>
    </row>
    <row r="1870" spans="1:5" x14ac:dyDescent="0.25">
      <c r="A1870" t="s">
        <v>77</v>
      </c>
      <c r="B1870" t="s">
        <v>2518</v>
      </c>
      <c r="C1870" t="s">
        <v>2573</v>
      </c>
      <c r="D1870" t="s">
        <v>2681</v>
      </c>
      <c r="E1870">
        <v>14</v>
      </c>
    </row>
    <row r="1871" spans="1:5" x14ac:dyDescent="0.25">
      <c r="A1871" t="s">
        <v>77</v>
      </c>
      <c r="B1871" t="s">
        <v>2518</v>
      </c>
      <c r="C1871" t="s">
        <v>2573</v>
      </c>
      <c r="D1871" t="s">
        <v>2682</v>
      </c>
      <c r="E1871">
        <v>16</v>
      </c>
    </row>
    <row r="1872" spans="1:5" x14ac:dyDescent="0.25">
      <c r="A1872" t="s">
        <v>77</v>
      </c>
      <c r="B1872" t="s">
        <v>2518</v>
      </c>
      <c r="C1872" t="s">
        <v>2573</v>
      </c>
      <c r="D1872" t="s">
        <v>2683</v>
      </c>
      <c r="E1872">
        <v>14</v>
      </c>
    </row>
    <row r="1873" spans="1:5" x14ac:dyDescent="0.25">
      <c r="A1873" t="s">
        <v>77</v>
      </c>
      <c r="B1873" t="s">
        <v>2518</v>
      </c>
      <c r="C1873" t="s">
        <v>2573</v>
      </c>
      <c r="D1873" t="s">
        <v>2684</v>
      </c>
      <c r="E1873">
        <v>19</v>
      </c>
    </row>
    <row r="1874" spans="1:5" x14ac:dyDescent="0.25">
      <c r="A1874" t="s">
        <v>77</v>
      </c>
      <c r="B1874" t="s">
        <v>2518</v>
      </c>
      <c r="C1874" t="s">
        <v>2573</v>
      </c>
      <c r="D1874" t="s">
        <v>2685</v>
      </c>
      <c r="E1874">
        <v>17</v>
      </c>
    </row>
    <row r="1875" spans="1:5" x14ac:dyDescent="0.25">
      <c r="A1875" t="s">
        <v>77</v>
      </c>
      <c r="B1875" t="s">
        <v>2518</v>
      </c>
      <c r="C1875" t="s">
        <v>2573</v>
      </c>
      <c r="D1875" t="s">
        <v>2686</v>
      </c>
      <c r="E1875">
        <v>24</v>
      </c>
    </row>
    <row r="1876" spans="1:5" x14ac:dyDescent="0.25">
      <c r="A1876" t="s">
        <v>77</v>
      </c>
      <c r="B1876" t="s">
        <v>2518</v>
      </c>
      <c r="C1876" t="s">
        <v>2573</v>
      </c>
      <c r="D1876" t="s">
        <v>2687</v>
      </c>
      <c r="E1876">
        <v>27</v>
      </c>
    </row>
    <row r="1877" spans="1:5" x14ac:dyDescent="0.25">
      <c r="A1877" t="s">
        <v>77</v>
      </c>
      <c r="B1877" t="s">
        <v>2518</v>
      </c>
      <c r="C1877" t="s">
        <v>2573</v>
      </c>
      <c r="D1877" t="s">
        <v>2688</v>
      </c>
      <c r="E1877">
        <v>19</v>
      </c>
    </row>
    <row r="1878" spans="1:5" x14ac:dyDescent="0.25">
      <c r="A1878" t="s">
        <v>77</v>
      </c>
      <c r="B1878" t="s">
        <v>2518</v>
      </c>
      <c r="C1878" t="s">
        <v>2573</v>
      </c>
      <c r="D1878" t="s">
        <v>2689</v>
      </c>
      <c r="E1878">
        <v>18</v>
      </c>
    </row>
    <row r="1879" spans="1:5" x14ac:dyDescent="0.25">
      <c r="A1879" t="s">
        <v>77</v>
      </c>
      <c r="B1879" t="s">
        <v>2518</v>
      </c>
      <c r="C1879" t="s">
        <v>2573</v>
      </c>
      <c r="D1879" t="s">
        <v>2690</v>
      </c>
      <c r="E1879">
        <v>17</v>
      </c>
    </row>
    <row r="1880" spans="1:5" x14ac:dyDescent="0.25">
      <c r="A1880" t="s">
        <v>77</v>
      </c>
      <c r="B1880" t="s">
        <v>2695</v>
      </c>
      <c r="C1880" t="s">
        <v>2569</v>
      </c>
      <c r="D1880" t="s">
        <v>2678</v>
      </c>
      <c r="E1880">
        <v>1</v>
      </c>
    </row>
    <row r="1881" spans="1:5" x14ac:dyDescent="0.25">
      <c r="A1881" t="s">
        <v>77</v>
      </c>
      <c r="B1881" t="s">
        <v>2695</v>
      </c>
      <c r="C1881" t="s">
        <v>2569</v>
      </c>
      <c r="D1881" t="s">
        <v>2679</v>
      </c>
      <c r="E1881">
        <v>29</v>
      </c>
    </row>
    <row r="1882" spans="1:5" x14ac:dyDescent="0.25">
      <c r="A1882" t="s">
        <v>77</v>
      </c>
      <c r="B1882" t="s">
        <v>2695</v>
      </c>
      <c r="C1882" t="s">
        <v>2569</v>
      </c>
      <c r="D1882" t="s">
        <v>2680</v>
      </c>
      <c r="E1882">
        <v>114</v>
      </c>
    </row>
    <row r="1883" spans="1:5" x14ac:dyDescent="0.25">
      <c r="A1883" t="s">
        <v>77</v>
      </c>
      <c r="B1883" t="s">
        <v>2695</v>
      </c>
      <c r="C1883" t="s">
        <v>2569</v>
      </c>
      <c r="D1883" t="s">
        <v>2681</v>
      </c>
      <c r="E1883">
        <v>171</v>
      </c>
    </row>
    <row r="1884" spans="1:5" x14ac:dyDescent="0.25">
      <c r="A1884" t="s">
        <v>77</v>
      </c>
      <c r="B1884" t="s">
        <v>2695</v>
      </c>
      <c r="C1884" t="s">
        <v>2569</v>
      </c>
      <c r="D1884" t="s">
        <v>2682</v>
      </c>
      <c r="E1884">
        <v>161</v>
      </c>
    </row>
    <row r="1885" spans="1:5" x14ac:dyDescent="0.25">
      <c r="A1885" t="s">
        <v>77</v>
      </c>
      <c r="B1885" t="s">
        <v>2695</v>
      </c>
      <c r="C1885" t="s">
        <v>2569</v>
      </c>
      <c r="D1885" t="s">
        <v>2683</v>
      </c>
      <c r="E1885">
        <v>106</v>
      </c>
    </row>
    <row r="1886" spans="1:5" x14ac:dyDescent="0.25">
      <c r="A1886" t="s">
        <v>77</v>
      </c>
      <c r="B1886" t="s">
        <v>2695</v>
      </c>
      <c r="C1886" t="s">
        <v>2569</v>
      </c>
      <c r="D1886" t="s">
        <v>2684</v>
      </c>
      <c r="E1886">
        <v>4</v>
      </c>
    </row>
    <row r="1887" spans="1:5" x14ac:dyDescent="0.25">
      <c r="A1887" t="s">
        <v>77</v>
      </c>
      <c r="B1887" t="s">
        <v>2695</v>
      </c>
      <c r="C1887" t="s">
        <v>2565</v>
      </c>
      <c r="D1887" t="s">
        <v>2677</v>
      </c>
      <c r="E1887">
        <v>4</v>
      </c>
    </row>
    <row r="1888" spans="1:5" x14ac:dyDescent="0.25">
      <c r="A1888" t="s">
        <v>77</v>
      </c>
      <c r="B1888" t="s">
        <v>2695</v>
      </c>
      <c r="C1888" t="s">
        <v>2565</v>
      </c>
      <c r="D1888" t="s">
        <v>2678</v>
      </c>
      <c r="E1888">
        <v>3</v>
      </c>
    </row>
    <row r="1889" spans="1:5" x14ac:dyDescent="0.25">
      <c r="A1889" t="s">
        <v>77</v>
      </c>
      <c r="B1889" t="s">
        <v>2695</v>
      </c>
      <c r="C1889" t="s">
        <v>2565</v>
      </c>
      <c r="D1889" t="s">
        <v>2679</v>
      </c>
      <c r="E1889">
        <v>4</v>
      </c>
    </row>
    <row r="1890" spans="1:5" x14ac:dyDescent="0.25">
      <c r="A1890" t="s">
        <v>77</v>
      </c>
      <c r="B1890" t="s">
        <v>2695</v>
      </c>
      <c r="C1890" t="s">
        <v>2565</v>
      </c>
      <c r="D1890" t="s">
        <v>2680</v>
      </c>
      <c r="E1890">
        <v>1</v>
      </c>
    </row>
    <row r="1891" spans="1:5" x14ac:dyDescent="0.25">
      <c r="A1891" t="s">
        <v>77</v>
      </c>
      <c r="B1891" t="s">
        <v>2695</v>
      </c>
      <c r="C1891" t="s">
        <v>2564</v>
      </c>
      <c r="D1891" t="s">
        <v>2677</v>
      </c>
      <c r="E1891">
        <v>5</v>
      </c>
    </row>
    <row r="1892" spans="1:5" x14ac:dyDescent="0.25">
      <c r="A1892" t="s">
        <v>77</v>
      </c>
      <c r="B1892" t="s">
        <v>2695</v>
      </c>
      <c r="C1892" t="s">
        <v>2564</v>
      </c>
      <c r="D1892" t="s">
        <v>2678</v>
      </c>
      <c r="E1892">
        <v>5</v>
      </c>
    </row>
    <row r="1893" spans="1:5" x14ac:dyDescent="0.25">
      <c r="A1893" t="s">
        <v>77</v>
      </c>
      <c r="B1893" t="s">
        <v>2695</v>
      </c>
      <c r="C1893" t="s">
        <v>2564</v>
      </c>
      <c r="D1893" t="s">
        <v>2679</v>
      </c>
      <c r="E1893">
        <v>3</v>
      </c>
    </row>
    <row r="1894" spans="1:5" x14ac:dyDescent="0.25">
      <c r="A1894" t="s">
        <v>77</v>
      </c>
      <c r="B1894" t="s">
        <v>2695</v>
      </c>
      <c r="C1894" t="s">
        <v>2564</v>
      </c>
      <c r="D1894" t="s">
        <v>2680</v>
      </c>
      <c r="E1894">
        <v>2</v>
      </c>
    </row>
    <row r="1895" spans="1:5" x14ac:dyDescent="0.25">
      <c r="A1895" t="s">
        <v>77</v>
      </c>
      <c r="B1895" t="s">
        <v>2695</v>
      </c>
      <c r="C1895" t="s">
        <v>2564</v>
      </c>
      <c r="D1895" t="s">
        <v>2681</v>
      </c>
      <c r="E1895">
        <v>1</v>
      </c>
    </row>
    <row r="1896" spans="1:5" x14ac:dyDescent="0.25">
      <c r="A1896" t="s">
        <v>77</v>
      </c>
      <c r="B1896" t="s">
        <v>2695</v>
      </c>
      <c r="C1896" t="s">
        <v>2563</v>
      </c>
      <c r="D1896" t="s">
        <v>2677</v>
      </c>
      <c r="E1896">
        <v>1</v>
      </c>
    </row>
    <row r="1897" spans="1:5" x14ac:dyDescent="0.25">
      <c r="A1897" t="s">
        <v>77</v>
      </c>
      <c r="B1897" t="s">
        <v>2695</v>
      </c>
      <c r="C1897" t="s">
        <v>2563</v>
      </c>
      <c r="D1897" t="s">
        <v>2678</v>
      </c>
      <c r="E1897">
        <v>8</v>
      </c>
    </row>
    <row r="1898" spans="1:5" x14ac:dyDescent="0.25">
      <c r="A1898" t="s">
        <v>77</v>
      </c>
      <c r="B1898" t="s">
        <v>2695</v>
      </c>
      <c r="C1898" t="s">
        <v>2563</v>
      </c>
      <c r="D1898" t="s">
        <v>2679</v>
      </c>
      <c r="E1898">
        <v>7</v>
      </c>
    </row>
    <row r="1899" spans="1:5" x14ac:dyDescent="0.25">
      <c r="A1899" t="s">
        <v>77</v>
      </c>
      <c r="B1899" t="s">
        <v>2695</v>
      </c>
      <c r="C1899" t="s">
        <v>2563</v>
      </c>
      <c r="D1899" t="s">
        <v>2680</v>
      </c>
      <c r="E1899">
        <v>2</v>
      </c>
    </row>
    <row r="1900" spans="1:5" x14ac:dyDescent="0.25">
      <c r="A1900" t="s">
        <v>77</v>
      </c>
      <c r="B1900" t="s">
        <v>2695</v>
      </c>
      <c r="C1900" t="s">
        <v>2563</v>
      </c>
      <c r="D1900" t="s">
        <v>2681</v>
      </c>
      <c r="E1900">
        <v>2</v>
      </c>
    </row>
    <row r="1901" spans="1:5" x14ac:dyDescent="0.25">
      <c r="A1901" t="s">
        <v>77</v>
      </c>
      <c r="B1901" t="s">
        <v>2695</v>
      </c>
      <c r="C1901" t="s">
        <v>2566</v>
      </c>
      <c r="D1901" t="s">
        <v>2680</v>
      </c>
      <c r="E1901">
        <v>12</v>
      </c>
    </row>
    <row r="1902" spans="1:5" x14ac:dyDescent="0.25">
      <c r="A1902" t="s">
        <v>77</v>
      </c>
      <c r="B1902" t="s">
        <v>2695</v>
      </c>
      <c r="C1902" t="s">
        <v>2567</v>
      </c>
      <c r="D1902" t="s">
        <v>2680</v>
      </c>
      <c r="E1902">
        <v>1</v>
      </c>
    </row>
    <row r="1903" spans="1:5" x14ac:dyDescent="0.25">
      <c r="A1903" t="s">
        <v>77</v>
      </c>
      <c r="B1903" t="s">
        <v>2695</v>
      </c>
      <c r="C1903" t="s">
        <v>2567</v>
      </c>
      <c r="D1903" t="s">
        <v>2681</v>
      </c>
      <c r="E1903">
        <v>28</v>
      </c>
    </row>
    <row r="1904" spans="1:5" x14ac:dyDescent="0.25">
      <c r="A1904" t="s">
        <v>77</v>
      </c>
      <c r="B1904" t="s">
        <v>2695</v>
      </c>
      <c r="C1904" t="s">
        <v>2567</v>
      </c>
      <c r="D1904" t="s">
        <v>2682</v>
      </c>
      <c r="E1904">
        <v>10</v>
      </c>
    </row>
    <row r="1905" spans="1:5" x14ac:dyDescent="0.25">
      <c r="A1905" t="s">
        <v>77</v>
      </c>
      <c r="B1905" t="s">
        <v>2695</v>
      </c>
      <c r="C1905" t="s">
        <v>2567</v>
      </c>
      <c r="D1905" t="s">
        <v>2683</v>
      </c>
      <c r="E1905">
        <v>1</v>
      </c>
    </row>
    <row r="1906" spans="1:5" x14ac:dyDescent="0.25">
      <c r="A1906" t="s">
        <v>77</v>
      </c>
      <c r="B1906" t="s">
        <v>2695</v>
      </c>
      <c r="C1906" t="s">
        <v>103</v>
      </c>
      <c r="D1906" t="s">
        <v>2677</v>
      </c>
      <c r="E1906">
        <v>29</v>
      </c>
    </row>
    <row r="1907" spans="1:5" x14ac:dyDescent="0.25">
      <c r="A1907" t="s">
        <v>77</v>
      </c>
      <c r="B1907" t="s">
        <v>2695</v>
      </c>
      <c r="C1907" t="s">
        <v>103</v>
      </c>
      <c r="D1907" t="s">
        <v>2678</v>
      </c>
      <c r="E1907">
        <v>37</v>
      </c>
    </row>
    <row r="1908" spans="1:5" x14ac:dyDescent="0.25">
      <c r="A1908" t="s">
        <v>77</v>
      </c>
      <c r="B1908" t="s">
        <v>2695</v>
      </c>
      <c r="C1908" t="s">
        <v>103</v>
      </c>
      <c r="D1908" t="s">
        <v>2679</v>
      </c>
      <c r="E1908">
        <v>37</v>
      </c>
    </row>
    <row r="1909" spans="1:5" x14ac:dyDescent="0.25">
      <c r="A1909" t="s">
        <v>77</v>
      </c>
      <c r="B1909" t="s">
        <v>2695</v>
      </c>
      <c r="C1909" t="s">
        <v>103</v>
      </c>
      <c r="D1909" t="s">
        <v>2680</v>
      </c>
      <c r="E1909">
        <v>43</v>
      </c>
    </row>
    <row r="1910" spans="1:5" x14ac:dyDescent="0.25">
      <c r="A1910" t="s">
        <v>77</v>
      </c>
      <c r="B1910" t="s">
        <v>2695</v>
      </c>
      <c r="C1910" t="s">
        <v>103</v>
      </c>
      <c r="D1910" t="s">
        <v>2681</v>
      </c>
      <c r="E1910">
        <v>96</v>
      </c>
    </row>
    <row r="1911" spans="1:5" x14ac:dyDescent="0.25">
      <c r="A1911" t="s">
        <v>77</v>
      </c>
      <c r="B1911" t="s">
        <v>2695</v>
      </c>
      <c r="C1911" t="s">
        <v>103</v>
      </c>
      <c r="D1911" t="s">
        <v>2682</v>
      </c>
      <c r="E1911">
        <v>15</v>
      </c>
    </row>
    <row r="1912" spans="1:5" x14ac:dyDescent="0.25">
      <c r="A1912" t="s">
        <v>77</v>
      </c>
      <c r="B1912" t="s">
        <v>2695</v>
      </c>
      <c r="C1912" t="s">
        <v>103</v>
      </c>
      <c r="D1912" t="s">
        <v>2683</v>
      </c>
      <c r="E1912">
        <v>20</v>
      </c>
    </row>
    <row r="1913" spans="1:5" x14ac:dyDescent="0.25">
      <c r="A1913" t="s">
        <v>77</v>
      </c>
      <c r="B1913" t="s">
        <v>2695</v>
      </c>
      <c r="C1913" t="s">
        <v>103</v>
      </c>
      <c r="D1913" t="s">
        <v>2684</v>
      </c>
      <c r="E1913">
        <v>16</v>
      </c>
    </row>
    <row r="1914" spans="1:5" x14ac:dyDescent="0.25">
      <c r="A1914" t="s">
        <v>77</v>
      </c>
      <c r="B1914" t="s">
        <v>2695</v>
      </c>
      <c r="C1914" t="s">
        <v>103</v>
      </c>
      <c r="D1914" t="s">
        <v>2685</v>
      </c>
      <c r="E1914">
        <v>24</v>
      </c>
    </row>
    <row r="1915" spans="1:5" x14ac:dyDescent="0.25">
      <c r="A1915" t="s">
        <v>77</v>
      </c>
      <c r="B1915" t="s">
        <v>2695</v>
      </c>
      <c r="C1915" t="s">
        <v>103</v>
      </c>
      <c r="D1915" t="s">
        <v>2686</v>
      </c>
      <c r="E1915">
        <v>19</v>
      </c>
    </row>
    <row r="1916" spans="1:5" x14ac:dyDescent="0.25">
      <c r="A1916" t="s">
        <v>77</v>
      </c>
      <c r="B1916" t="s">
        <v>2695</v>
      </c>
      <c r="C1916" t="s">
        <v>103</v>
      </c>
      <c r="D1916" t="s">
        <v>2687</v>
      </c>
      <c r="E1916">
        <v>12</v>
      </c>
    </row>
    <row r="1917" spans="1:5" x14ac:dyDescent="0.25">
      <c r="A1917" t="s">
        <v>77</v>
      </c>
      <c r="B1917" t="s">
        <v>2695</v>
      </c>
      <c r="C1917" t="s">
        <v>103</v>
      </c>
      <c r="D1917" t="s">
        <v>2688</v>
      </c>
      <c r="E1917">
        <v>11</v>
      </c>
    </row>
    <row r="1918" spans="1:5" x14ac:dyDescent="0.25">
      <c r="A1918" t="s">
        <v>77</v>
      </c>
      <c r="B1918" t="s">
        <v>2695</v>
      </c>
      <c r="C1918" t="s">
        <v>103</v>
      </c>
      <c r="D1918" t="s">
        <v>2689</v>
      </c>
      <c r="E1918">
        <v>9</v>
      </c>
    </row>
    <row r="1919" spans="1:5" x14ac:dyDescent="0.25">
      <c r="A1919" t="s">
        <v>77</v>
      </c>
      <c r="B1919" t="s">
        <v>2695</v>
      </c>
      <c r="C1919" t="s">
        <v>103</v>
      </c>
      <c r="D1919" t="s">
        <v>2690</v>
      </c>
      <c r="E1919">
        <v>9</v>
      </c>
    </row>
    <row r="1920" spans="1:5" x14ac:dyDescent="0.25">
      <c r="A1920" t="s">
        <v>77</v>
      </c>
      <c r="B1920" t="s">
        <v>2695</v>
      </c>
      <c r="C1920" t="s">
        <v>2562</v>
      </c>
      <c r="D1920" t="s">
        <v>2677</v>
      </c>
      <c r="E1920">
        <v>4</v>
      </c>
    </row>
    <row r="1921" spans="1:5" x14ac:dyDescent="0.25">
      <c r="A1921" t="s">
        <v>77</v>
      </c>
      <c r="B1921" t="s">
        <v>2695</v>
      </c>
      <c r="C1921" t="s">
        <v>2562</v>
      </c>
      <c r="D1921" t="s">
        <v>2678</v>
      </c>
      <c r="E1921">
        <v>4</v>
      </c>
    </row>
    <row r="1922" spans="1:5" x14ac:dyDescent="0.25">
      <c r="A1922" t="s">
        <v>77</v>
      </c>
      <c r="B1922" t="s">
        <v>2695</v>
      </c>
      <c r="C1922" t="s">
        <v>2562</v>
      </c>
      <c r="D1922" t="s">
        <v>2679</v>
      </c>
      <c r="E1922">
        <v>3</v>
      </c>
    </row>
    <row r="1923" spans="1:5" x14ac:dyDescent="0.25">
      <c r="A1923" t="s">
        <v>77</v>
      </c>
      <c r="B1923" t="s">
        <v>2695</v>
      </c>
      <c r="C1923" t="s">
        <v>2561</v>
      </c>
      <c r="D1923" t="s">
        <v>2677</v>
      </c>
      <c r="E1923">
        <v>153</v>
      </c>
    </row>
    <row r="1924" spans="1:5" x14ac:dyDescent="0.25">
      <c r="A1924" t="s">
        <v>77</v>
      </c>
      <c r="B1924" t="s">
        <v>2695</v>
      </c>
      <c r="C1924" t="s">
        <v>2561</v>
      </c>
      <c r="D1924" t="s">
        <v>2678</v>
      </c>
      <c r="E1924">
        <v>354</v>
      </c>
    </row>
    <row r="1925" spans="1:5" x14ac:dyDescent="0.25">
      <c r="A1925" t="s">
        <v>77</v>
      </c>
      <c r="B1925" t="s">
        <v>2695</v>
      </c>
      <c r="C1925" t="s">
        <v>2561</v>
      </c>
      <c r="D1925" t="s">
        <v>2679</v>
      </c>
      <c r="E1925">
        <v>363</v>
      </c>
    </row>
    <row r="1926" spans="1:5" x14ac:dyDescent="0.25">
      <c r="A1926" t="s">
        <v>77</v>
      </c>
      <c r="B1926" t="s">
        <v>2695</v>
      </c>
      <c r="C1926" t="s">
        <v>2561</v>
      </c>
      <c r="D1926" t="s">
        <v>2680</v>
      </c>
      <c r="E1926">
        <v>247</v>
      </c>
    </row>
    <row r="1927" spans="1:5" x14ac:dyDescent="0.25">
      <c r="A1927" t="s">
        <v>77</v>
      </c>
      <c r="B1927" t="s">
        <v>2695</v>
      </c>
      <c r="C1927" t="s">
        <v>2561</v>
      </c>
      <c r="D1927" t="s">
        <v>2681</v>
      </c>
      <c r="E1927">
        <v>77</v>
      </c>
    </row>
    <row r="1928" spans="1:5" x14ac:dyDescent="0.25">
      <c r="A1928" t="s">
        <v>77</v>
      </c>
      <c r="B1928" t="s">
        <v>2505</v>
      </c>
      <c r="C1928" t="s">
        <v>106</v>
      </c>
      <c r="D1928" t="s">
        <v>2677</v>
      </c>
      <c r="E1928">
        <v>27</v>
      </c>
    </row>
    <row r="1929" spans="1:5" x14ac:dyDescent="0.25">
      <c r="A1929" t="s">
        <v>77</v>
      </c>
      <c r="B1929" t="s">
        <v>2505</v>
      </c>
      <c r="C1929" t="s">
        <v>106</v>
      </c>
      <c r="D1929" t="s">
        <v>2678</v>
      </c>
      <c r="E1929">
        <v>49</v>
      </c>
    </row>
    <row r="1930" spans="1:5" x14ac:dyDescent="0.25">
      <c r="A1930" t="s">
        <v>77</v>
      </c>
      <c r="B1930" t="s">
        <v>2505</v>
      </c>
      <c r="C1930" t="s">
        <v>106</v>
      </c>
      <c r="D1930" t="s">
        <v>2679</v>
      </c>
      <c r="E1930">
        <v>77</v>
      </c>
    </row>
    <row r="1931" spans="1:5" x14ac:dyDescent="0.25">
      <c r="A1931" t="s">
        <v>77</v>
      </c>
      <c r="B1931" t="s">
        <v>2505</v>
      </c>
      <c r="C1931" t="s">
        <v>106</v>
      </c>
      <c r="D1931" t="s">
        <v>2680</v>
      </c>
      <c r="E1931">
        <v>103</v>
      </c>
    </row>
    <row r="1932" spans="1:5" x14ac:dyDescent="0.25">
      <c r="A1932" t="s">
        <v>77</v>
      </c>
      <c r="B1932" t="s">
        <v>2505</v>
      </c>
      <c r="C1932" t="s">
        <v>2718</v>
      </c>
      <c r="D1932" t="s">
        <v>2677</v>
      </c>
      <c r="E1932">
        <v>6</v>
      </c>
    </row>
    <row r="1933" spans="1:5" x14ac:dyDescent="0.25">
      <c r="A1933" t="s">
        <v>77</v>
      </c>
      <c r="B1933" t="s">
        <v>2505</v>
      </c>
      <c r="C1933" t="s">
        <v>2718</v>
      </c>
      <c r="D1933" t="s">
        <v>2678</v>
      </c>
      <c r="E1933">
        <v>4</v>
      </c>
    </row>
    <row r="1934" spans="1:5" x14ac:dyDescent="0.25">
      <c r="A1934" t="s">
        <v>77</v>
      </c>
      <c r="B1934" t="s">
        <v>2505</v>
      </c>
      <c r="C1934" t="s">
        <v>2572</v>
      </c>
      <c r="D1934" t="s">
        <v>2683</v>
      </c>
      <c r="E1934">
        <v>2</v>
      </c>
    </row>
    <row r="1935" spans="1:5" x14ac:dyDescent="0.25">
      <c r="A1935" t="s">
        <v>77</v>
      </c>
      <c r="B1935" t="s">
        <v>2505</v>
      </c>
      <c r="C1935" t="s">
        <v>2572</v>
      </c>
      <c r="D1935" t="s">
        <v>2688</v>
      </c>
      <c r="E1935">
        <v>2</v>
      </c>
    </row>
    <row r="1936" spans="1:5" x14ac:dyDescent="0.25">
      <c r="A1936" t="s">
        <v>77</v>
      </c>
      <c r="B1936" t="s">
        <v>2505</v>
      </c>
      <c r="C1936" t="s">
        <v>2478</v>
      </c>
      <c r="D1936" t="s">
        <v>2678</v>
      </c>
      <c r="E1936">
        <v>2</v>
      </c>
    </row>
    <row r="1937" spans="1:5" x14ac:dyDescent="0.25">
      <c r="A1937" t="s">
        <v>77</v>
      </c>
      <c r="B1937" t="s">
        <v>2505</v>
      </c>
      <c r="C1937" t="s">
        <v>2478</v>
      </c>
      <c r="D1937" t="s">
        <v>2681</v>
      </c>
      <c r="E1937">
        <v>1</v>
      </c>
    </row>
    <row r="1938" spans="1:5" x14ac:dyDescent="0.25">
      <c r="A1938" t="s">
        <v>77</v>
      </c>
      <c r="B1938" t="s">
        <v>2505</v>
      </c>
      <c r="C1938" t="s">
        <v>2478</v>
      </c>
      <c r="D1938" t="s">
        <v>2685</v>
      </c>
      <c r="E1938">
        <v>2</v>
      </c>
    </row>
    <row r="1939" spans="1:5" x14ac:dyDescent="0.25">
      <c r="A1939" t="s">
        <v>77</v>
      </c>
      <c r="B1939" t="s">
        <v>2505</v>
      </c>
      <c r="C1939" t="s">
        <v>2478</v>
      </c>
      <c r="D1939" t="s">
        <v>2686</v>
      </c>
      <c r="E1939">
        <v>2</v>
      </c>
    </row>
    <row r="1940" spans="1:5" x14ac:dyDescent="0.25">
      <c r="A1940" t="s">
        <v>77</v>
      </c>
      <c r="B1940" t="s">
        <v>2505</v>
      </c>
      <c r="C1940" t="s">
        <v>2478</v>
      </c>
      <c r="D1940" t="s">
        <v>2687</v>
      </c>
      <c r="E1940">
        <v>2</v>
      </c>
    </row>
    <row r="1941" spans="1:5" x14ac:dyDescent="0.25">
      <c r="A1941" t="s">
        <v>77</v>
      </c>
      <c r="B1941" t="s">
        <v>2505</v>
      </c>
      <c r="C1941" t="s">
        <v>2570</v>
      </c>
      <c r="D1941" t="s">
        <v>2677</v>
      </c>
      <c r="E1941">
        <v>5</v>
      </c>
    </row>
    <row r="1942" spans="1:5" x14ac:dyDescent="0.25">
      <c r="A1942" t="s">
        <v>77</v>
      </c>
      <c r="B1942" t="s">
        <v>2505</v>
      </c>
      <c r="C1942" t="s">
        <v>2570</v>
      </c>
      <c r="D1942" t="s">
        <v>2678</v>
      </c>
      <c r="E1942">
        <v>4</v>
      </c>
    </row>
    <row r="1943" spans="1:5" x14ac:dyDescent="0.25">
      <c r="A1943" t="s">
        <v>77</v>
      </c>
      <c r="B1943" t="s">
        <v>2505</v>
      </c>
      <c r="C1943" t="s">
        <v>2570</v>
      </c>
      <c r="D1943" t="s">
        <v>2679</v>
      </c>
      <c r="E1943">
        <v>2</v>
      </c>
    </row>
    <row r="1944" spans="1:5" x14ac:dyDescent="0.25">
      <c r="A1944" t="s">
        <v>77</v>
      </c>
      <c r="B1944" t="s">
        <v>2505</v>
      </c>
      <c r="C1944" t="s">
        <v>2570</v>
      </c>
      <c r="D1944" t="s">
        <v>2680</v>
      </c>
      <c r="E1944">
        <v>7</v>
      </c>
    </row>
    <row r="1945" spans="1:5" x14ac:dyDescent="0.25">
      <c r="A1945" t="s">
        <v>77</v>
      </c>
      <c r="B1945" t="s">
        <v>2505</v>
      </c>
      <c r="C1945" t="s">
        <v>2570</v>
      </c>
      <c r="D1945" t="s">
        <v>2681</v>
      </c>
      <c r="E1945">
        <v>7</v>
      </c>
    </row>
    <row r="1946" spans="1:5" x14ac:dyDescent="0.25">
      <c r="A1946" t="s">
        <v>77</v>
      </c>
      <c r="B1946" t="s">
        <v>2505</v>
      </c>
      <c r="C1946" t="s">
        <v>2570</v>
      </c>
      <c r="D1946" t="s">
        <v>2682</v>
      </c>
      <c r="E1946">
        <v>2</v>
      </c>
    </row>
    <row r="1947" spans="1:5" x14ac:dyDescent="0.25">
      <c r="A1947" t="s">
        <v>77</v>
      </c>
      <c r="B1947" t="s">
        <v>2505</v>
      </c>
      <c r="C1947" t="s">
        <v>2570</v>
      </c>
      <c r="D1947" t="s">
        <v>2683</v>
      </c>
      <c r="E1947">
        <v>2</v>
      </c>
    </row>
    <row r="1948" spans="1:5" x14ac:dyDescent="0.25">
      <c r="A1948" t="s">
        <v>77</v>
      </c>
      <c r="B1948" t="s">
        <v>2505</v>
      </c>
      <c r="C1948" t="s">
        <v>2570</v>
      </c>
      <c r="D1948" t="s">
        <v>2684</v>
      </c>
      <c r="E1948">
        <v>2</v>
      </c>
    </row>
    <row r="1949" spans="1:5" x14ac:dyDescent="0.25">
      <c r="A1949" t="s">
        <v>77</v>
      </c>
      <c r="B1949" t="s">
        <v>2505</v>
      </c>
      <c r="C1949" t="s">
        <v>2570</v>
      </c>
      <c r="D1949" t="s">
        <v>2685</v>
      </c>
      <c r="E1949">
        <v>2</v>
      </c>
    </row>
    <row r="1950" spans="1:5" x14ac:dyDescent="0.25">
      <c r="A1950" t="s">
        <v>77</v>
      </c>
      <c r="B1950" t="s">
        <v>2505</v>
      </c>
      <c r="C1950" t="s">
        <v>2570</v>
      </c>
      <c r="D1950" t="s">
        <v>2686</v>
      </c>
      <c r="E1950">
        <v>2</v>
      </c>
    </row>
    <row r="1951" spans="1:5" x14ac:dyDescent="0.25">
      <c r="A1951" t="s">
        <v>77</v>
      </c>
      <c r="B1951" t="s">
        <v>2505</v>
      </c>
      <c r="C1951" t="s">
        <v>2570</v>
      </c>
      <c r="D1951" t="s">
        <v>2687</v>
      </c>
      <c r="E1951">
        <v>2</v>
      </c>
    </row>
    <row r="1952" spans="1:5" x14ac:dyDescent="0.25">
      <c r="A1952" t="s">
        <v>77</v>
      </c>
      <c r="B1952" t="s">
        <v>2505</v>
      </c>
      <c r="C1952" t="s">
        <v>2570</v>
      </c>
      <c r="D1952" t="s">
        <v>2688</v>
      </c>
      <c r="E1952">
        <v>2</v>
      </c>
    </row>
    <row r="1953" spans="1:5" x14ac:dyDescent="0.25">
      <c r="A1953" t="s">
        <v>77</v>
      </c>
      <c r="B1953" t="s">
        <v>2505</v>
      </c>
      <c r="C1953" t="s">
        <v>103</v>
      </c>
      <c r="D1953" t="s">
        <v>2677</v>
      </c>
      <c r="E1953">
        <v>67</v>
      </c>
    </row>
    <row r="1954" spans="1:5" x14ac:dyDescent="0.25">
      <c r="A1954" t="s">
        <v>77</v>
      </c>
      <c r="B1954" t="s">
        <v>2505</v>
      </c>
      <c r="C1954" t="s">
        <v>103</v>
      </c>
      <c r="D1954" t="s">
        <v>2678</v>
      </c>
      <c r="E1954">
        <v>113</v>
      </c>
    </row>
    <row r="1955" spans="1:5" x14ac:dyDescent="0.25">
      <c r="A1955" t="s">
        <v>77</v>
      </c>
      <c r="B1955" t="s">
        <v>2505</v>
      </c>
      <c r="C1955" t="s">
        <v>103</v>
      </c>
      <c r="D1955" t="s">
        <v>2679</v>
      </c>
      <c r="E1955">
        <v>117</v>
      </c>
    </row>
    <row r="1956" spans="1:5" x14ac:dyDescent="0.25">
      <c r="A1956" t="s">
        <v>77</v>
      </c>
      <c r="B1956" t="s">
        <v>2505</v>
      </c>
      <c r="C1956" t="s">
        <v>103</v>
      </c>
      <c r="D1956" t="s">
        <v>2680</v>
      </c>
      <c r="E1956">
        <v>109</v>
      </c>
    </row>
    <row r="1957" spans="1:5" x14ac:dyDescent="0.25">
      <c r="A1957" t="s">
        <v>77</v>
      </c>
      <c r="B1957" t="s">
        <v>2505</v>
      </c>
      <c r="C1957" t="s">
        <v>103</v>
      </c>
      <c r="D1957" t="s">
        <v>2681</v>
      </c>
      <c r="E1957">
        <v>52</v>
      </c>
    </row>
    <row r="1958" spans="1:5" x14ac:dyDescent="0.25">
      <c r="A1958" t="s">
        <v>77</v>
      </c>
      <c r="B1958" t="s">
        <v>2505</v>
      </c>
      <c r="C1958" t="s">
        <v>103</v>
      </c>
      <c r="D1958" t="s">
        <v>2682</v>
      </c>
      <c r="E1958">
        <v>57</v>
      </c>
    </row>
    <row r="1959" spans="1:5" x14ac:dyDescent="0.25">
      <c r="A1959" t="s">
        <v>77</v>
      </c>
      <c r="B1959" t="s">
        <v>2505</v>
      </c>
      <c r="C1959" t="s">
        <v>103</v>
      </c>
      <c r="D1959" t="s">
        <v>2683</v>
      </c>
      <c r="E1959">
        <v>57</v>
      </c>
    </row>
    <row r="1960" spans="1:5" x14ac:dyDescent="0.25">
      <c r="A1960" t="s">
        <v>77</v>
      </c>
      <c r="B1960" t="s">
        <v>2505</v>
      </c>
      <c r="C1960" t="s">
        <v>103</v>
      </c>
      <c r="D1960" t="s">
        <v>2684</v>
      </c>
      <c r="E1960">
        <v>68</v>
      </c>
    </row>
    <row r="1961" spans="1:5" x14ac:dyDescent="0.25">
      <c r="A1961" t="s">
        <v>77</v>
      </c>
      <c r="B1961" t="s">
        <v>2505</v>
      </c>
      <c r="C1961" t="s">
        <v>103</v>
      </c>
      <c r="D1961" t="s">
        <v>2685</v>
      </c>
      <c r="E1961">
        <v>56</v>
      </c>
    </row>
    <row r="1962" spans="1:5" x14ac:dyDescent="0.25">
      <c r="A1962" t="s">
        <v>77</v>
      </c>
      <c r="B1962" t="s">
        <v>2505</v>
      </c>
      <c r="C1962" t="s">
        <v>103</v>
      </c>
      <c r="D1962" t="s">
        <v>2686</v>
      </c>
      <c r="E1962">
        <v>59</v>
      </c>
    </row>
    <row r="1963" spans="1:5" x14ac:dyDescent="0.25">
      <c r="A1963" t="s">
        <v>77</v>
      </c>
      <c r="B1963" t="s">
        <v>2505</v>
      </c>
      <c r="C1963" t="s">
        <v>103</v>
      </c>
      <c r="D1963" t="s">
        <v>2687</v>
      </c>
      <c r="E1963">
        <v>62</v>
      </c>
    </row>
    <row r="1964" spans="1:5" x14ac:dyDescent="0.25">
      <c r="A1964" t="s">
        <v>77</v>
      </c>
      <c r="B1964" t="s">
        <v>2505</v>
      </c>
      <c r="C1964" t="s">
        <v>103</v>
      </c>
      <c r="D1964" t="s">
        <v>2688</v>
      </c>
      <c r="E1964">
        <v>56</v>
      </c>
    </row>
    <row r="1965" spans="1:5" x14ac:dyDescent="0.25">
      <c r="A1965" t="s">
        <v>77</v>
      </c>
      <c r="B1965" t="s">
        <v>2505</v>
      </c>
      <c r="C1965" t="s">
        <v>103</v>
      </c>
      <c r="D1965" t="s">
        <v>2689</v>
      </c>
      <c r="E1965">
        <v>60</v>
      </c>
    </row>
    <row r="1966" spans="1:5" x14ac:dyDescent="0.25">
      <c r="A1966" t="s">
        <v>77</v>
      </c>
      <c r="B1966" t="s">
        <v>2505</v>
      </c>
      <c r="C1966" t="s">
        <v>103</v>
      </c>
      <c r="D1966" t="s">
        <v>2690</v>
      </c>
      <c r="E1966">
        <v>47</v>
      </c>
    </row>
    <row r="1967" spans="1:5" x14ac:dyDescent="0.25">
      <c r="A1967" t="s">
        <v>77</v>
      </c>
      <c r="B1967" t="s">
        <v>2505</v>
      </c>
      <c r="C1967" t="s">
        <v>117</v>
      </c>
      <c r="D1967" t="s">
        <v>2677</v>
      </c>
      <c r="E1967">
        <v>116</v>
      </c>
    </row>
    <row r="1968" spans="1:5" x14ac:dyDescent="0.25">
      <c r="A1968" t="s">
        <v>77</v>
      </c>
      <c r="B1968" t="s">
        <v>2505</v>
      </c>
      <c r="C1968" t="s">
        <v>117</v>
      </c>
      <c r="D1968" t="s">
        <v>2678</v>
      </c>
      <c r="E1968">
        <v>132</v>
      </c>
    </row>
    <row r="1969" spans="1:5" x14ac:dyDescent="0.25">
      <c r="A1969" t="s">
        <v>77</v>
      </c>
      <c r="B1969" t="s">
        <v>2505</v>
      </c>
      <c r="C1969" t="s">
        <v>117</v>
      </c>
      <c r="D1969" t="s">
        <v>2679</v>
      </c>
      <c r="E1969">
        <v>123</v>
      </c>
    </row>
    <row r="1970" spans="1:5" x14ac:dyDescent="0.25">
      <c r="A1970" t="s">
        <v>77</v>
      </c>
      <c r="B1970" t="s">
        <v>2505</v>
      </c>
      <c r="C1970" t="s">
        <v>117</v>
      </c>
      <c r="D1970" t="s">
        <v>2680</v>
      </c>
      <c r="E1970">
        <v>122</v>
      </c>
    </row>
    <row r="1971" spans="1:5" x14ac:dyDescent="0.25">
      <c r="A1971" t="s">
        <v>77</v>
      </c>
      <c r="B1971" t="s">
        <v>2505</v>
      </c>
      <c r="C1971" t="s">
        <v>117</v>
      </c>
      <c r="D1971" t="s">
        <v>2681</v>
      </c>
      <c r="E1971">
        <v>138</v>
      </c>
    </row>
    <row r="1972" spans="1:5" x14ac:dyDescent="0.25">
      <c r="A1972" t="s">
        <v>77</v>
      </c>
      <c r="B1972" t="s">
        <v>2505</v>
      </c>
      <c r="C1972" t="s">
        <v>117</v>
      </c>
      <c r="D1972" t="s">
        <v>2682</v>
      </c>
      <c r="E1972">
        <v>138</v>
      </c>
    </row>
    <row r="1973" spans="1:5" x14ac:dyDescent="0.25">
      <c r="A1973" t="s">
        <v>77</v>
      </c>
      <c r="B1973" t="s">
        <v>2505</v>
      </c>
      <c r="C1973" t="s">
        <v>117</v>
      </c>
      <c r="D1973" t="s">
        <v>2683</v>
      </c>
      <c r="E1973">
        <v>132</v>
      </c>
    </row>
    <row r="1974" spans="1:5" x14ac:dyDescent="0.25">
      <c r="A1974" t="s">
        <v>77</v>
      </c>
      <c r="B1974" t="s">
        <v>2505</v>
      </c>
      <c r="C1974" t="s">
        <v>117</v>
      </c>
      <c r="D1974" t="s">
        <v>2684</v>
      </c>
      <c r="E1974">
        <v>122</v>
      </c>
    </row>
    <row r="1975" spans="1:5" x14ac:dyDescent="0.25">
      <c r="A1975" t="s">
        <v>77</v>
      </c>
      <c r="B1975" t="s">
        <v>2505</v>
      </c>
      <c r="C1975" t="s">
        <v>117</v>
      </c>
      <c r="D1975" t="s">
        <v>2685</v>
      </c>
      <c r="E1975">
        <v>113</v>
      </c>
    </row>
    <row r="1976" spans="1:5" x14ac:dyDescent="0.25">
      <c r="A1976" t="s">
        <v>77</v>
      </c>
      <c r="B1976" t="s">
        <v>2505</v>
      </c>
      <c r="C1976" t="s">
        <v>117</v>
      </c>
      <c r="D1976" t="s">
        <v>2686</v>
      </c>
      <c r="E1976">
        <v>130</v>
      </c>
    </row>
    <row r="1977" spans="1:5" x14ac:dyDescent="0.25">
      <c r="A1977" t="s">
        <v>77</v>
      </c>
      <c r="B1977" t="s">
        <v>2505</v>
      </c>
      <c r="C1977" t="s">
        <v>117</v>
      </c>
      <c r="D1977" t="s">
        <v>2687</v>
      </c>
      <c r="E1977">
        <v>131</v>
      </c>
    </row>
    <row r="1978" spans="1:5" x14ac:dyDescent="0.25">
      <c r="A1978" t="s">
        <v>77</v>
      </c>
      <c r="B1978" t="s">
        <v>2505</v>
      </c>
      <c r="C1978" t="s">
        <v>117</v>
      </c>
      <c r="D1978" t="s">
        <v>2688</v>
      </c>
      <c r="E1978">
        <v>130</v>
      </c>
    </row>
    <row r="1979" spans="1:5" x14ac:dyDescent="0.25">
      <c r="A1979" t="s">
        <v>77</v>
      </c>
      <c r="B1979" t="s">
        <v>2505</v>
      </c>
      <c r="C1979" t="s">
        <v>117</v>
      </c>
      <c r="D1979" t="s">
        <v>2689</v>
      </c>
      <c r="E1979">
        <v>103</v>
      </c>
    </row>
    <row r="1980" spans="1:5" x14ac:dyDescent="0.25">
      <c r="A1980" t="s">
        <v>77</v>
      </c>
      <c r="B1980" t="s">
        <v>2505</v>
      </c>
      <c r="C1980" t="s">
        <v>117</v>
      </c>
      <c r="D1980" t="s">
        <v>2690</v>
      </c>
      <c r="E1980">
        <v>121</v>
      </c>
    </row>
    <row r="1981" spans="1:5" x14ac:dyDescent="0.25">
      <c r="A1981" t="s">
        <v>77</v>
      </c>
      <c r="B1981" t="s">
        <v>2505</v>
      </c>
      <c r="C1981" t="s">
        <v>2545</v>
      </c>
      <c r="D1981" t="s">
        <v>2677</v>
      </c>
      <c r="E1981">
        <v>70</v>
      </c>
    </row>
    <row r="1982" spans="1:5" x14ac:dyDescent="0.25">
      <c r="A1982" t="s">
        <v>77</v>
      </c>
      <c r="B1982" t="s">
        <v>2505</v>
      </c>
      <c r="C1982" t="s">
        <v>2545</v>
      </c>
      <c r="D1982" t="s">
        <v>2678</v>
      </c>
      <c r="E1982">
        <v>142</v>
      </c>
    </row>
    <row r="1983" spans="1:5" x14ac:dyDescent="0.25">
      <c r="A1983" t="s">
        <v>77</v>
      </c>
      <c r="B1983" t="s">
        <v>2505</v>
      </c>
      <c r="C1983" t="s">
        <v>2545</v>
      </c>
      <c r="D1983" t="s">
        <v>2679</v>
      </c>
      <c r="E1983">
        <v>137</v>
      </c>
    </row>
    <row r="1984" spans="1:5" x14ac:dyDescent="0.25">
      <c r="A1984" t="s">
        <v>77</v>
      </c>
      <c r="B1984" t="s">
        <v>2505</v>
      </c>
      <c r="C1984" t="s">
        <v>2545</v>
      </c>
      <c r="D1984" t="s">
        <v>2680</v>
      </c>
      <c r="E1984">
        <v>143</v>
      </c>
    </row>
    <row r="1985" spans="1:5" x14ac:dyDescent="0.25">
      <c r="A1985" t="s">
        <v>77</v>
      </c>
      <c r="B1985" t="s">
        <v>2505</v>
      </c>
      <c r="C1985" t="s">
        <v>2573</v>
      </c>
      <c r="D1985" t="s">
        <v>2680</v>
      </c>
      <c r="E1985">
        <v>1</v>
      </c>
    </row>
    <row r="1986" spans="1:5" x14ac:dyDescent="0.25">
      <c r="A1986" t="s">
        <v>77</v>
      </c>
      <c r="B1986" t="s">
        <v>2505</v>
      </c>
      <c r="C1986" t="s">
        <v>2573</v>
      </c>
      <c r="D1986" t="s">
        <v>2686</v>
      </c>
      <c r="E1986">
        <v>1</v>
      </c>
    </row>
    <row r="1987" spans="1:5" x14ac:dyDescent="0.25">
      <c r="A1987" t="s">
        <v>77</v>
      </c>
      <c r="B1987" t="s">
        <v>2505</v>
      </c>
      <c r="C1987" t="s">
        <v>2573</v>
      </c>
      <c r="D1987" t="s">
        <v>2687</v>
      </c>
      <c r="E1987">
        <v>2</v>
      </c>
    </row>
    <row r="1988" spans="1:5" x14ac:dyDescent="0.25">
      <c r="A1988" t="s">
        <v>77</v>
      </c>
      <c r="B1988" t="s">
        <v>2505</v>
      </c>
      <c r="C1988" t="s">
        <v>2573</v>
      </c>
      <c r="D1988" t="s">
        <v>2688</v>
      </c>
      <c r="E1988">
        <v>2</v>
      </c>
    </row>
    <row r="1989" spans="1:5" x14ac:dyDescent="0.25">
      <c r="A1989" t="s">
        <v>77</v>
      </c>
      <c r="B1989" t="s">
        <v>2505</v>
      </c>
      <c r="C1989" t="s">
        <v>2573</v>
      </c>
      <c r="D1989" t="s">
        <v>2690</v>
      </c>
      <c r="E1989">
        <v>1</v>
      </c>
    </row>
    <row r="1990" spans="1:5" x14ac:dyDescent="0.25">
      <c r="A1990" t="s">
        <v>77</v>
      </c>
      <c r="B1990" t="s">
        <v>2698</v>
      </c>
      <c r="C1990" t="s">
        <v>2722</v>
      </c>
      <c r="D1990" t="s">
        <v>2677</v>
      </c>
      <c r="E1990">
        <v>13</v>
      </c>
    </row>
    <row r="1991" spans="1:5" x14ac:dyDescent="0.25">
      <c r="A1991" t="s">
        <v>77</v>
      </c>
      <c r="B1991" t="s">
        <v>2698</v>
      </c>
      <c r="C1991" t="s">
        <v>2722</v>
      </c>
      <c r="D1991" t="s">
        <v>2678</v>
      </c>
      <c r="E1991">
        <v>1</v>
      </c>
    </row>
    <row r="1992" spans="1:5" x14ac:dyDescent="0.25">
      <c r="A1992" t="s">
        <v>77</v>
      </c>
      <c r="B1992" t="s">
        <v>2698</v>
      </c>
      <c r="C1992" t="s">
        <v>2723</v>
      </c>
      <c r="D1992" t="s">
        <v>2678</v>
      </c>
      <c r="E1992">
        <v>1</v>
      </c>
    </row>
    <row r="1993" spans="1:5" x14ac:dyDescent="0.25">
      <c r="A1993" t="s">
        <v>77</v>
      </c>
      <c r="B1993" t="s">
        <v>2698</v>
      </c>
      <c r="C1993" t="s">
        <v>2723</v>
      </c>
      <c r="D1993" t="s">
        <v>2679</v>
      </c>
      <c r="E1993">
        <v>1</v>
      </c>
    </row>
    <row r="1994" spans="1:5" x14ac:dyDescent="0.25">
      <c r="A1994" t="s">
        <v>77</v>
      </c>
      <c r="B1994" t="s">
        <v>2698</v>
      </c>
      <c r="C1994" t="s">
        <v>2723</v>
      </c>
      <c r="D1994" t="s">
        <v>2681</v>
      </c>
      <c r="E1994">
        <v>1</v>
      </c>
    </row>
    <row r="1995" spans="1:5" x14ac:dyDescent="0.25">
      <c r="A1995" t="s">
        <v>77</v>
      </c>
      <c r="B1995" t="s">
        <v>2698</v>
      </c>
      <c r="C1995" t="s">
        <v>2724</v>
      </c>
      <c r="D1995" t="s">
        <v>2677</v>
      </c>
      <c r="E1995">
        <v>13</v>
      </c>
    </row>
    <row r="1996" spans="1:5" x14ac:dyDescent="0.25">
      <c r="A1996" t="s">
        <v>77</v>
      </c>
      <c r="B1996" t="s">
        <v>2698</v>
      </c>
      <c r="C1996" t="s">
        <v>2724</v>
      </c>
      <c r="D1996" t="s">
        <v>2678</v>
      </c>
      <c r="E1996">
        <v>24</v>
      </c>
    </row>
    <row r="1997" spans="1:5" x14ac:dyDescent="0.25">
      <c r="A1997" t="s">
        <v>77</v>
      </c>
      <c r="B1997" t="s">
        <v>2698</v>
      </c>
      <c r="C1997" t="s">
        <v>2725</v>
      </c>
      <c r="D1997" t="s">
        <v>2677</v>
      </c>
      <c r="E1997">
        <v>19</v>
      </c>
    </row>
    <row r="1998" spans="1:5" x14ac:dyDescent="0.25">
      <c r="A1998" t="s">
        <v>424</v>
      </c>
      <c r="B1998" t="s">
        <v>2470</v>
      </c>
      <c r="C1998" t="s">
        <v>2589</v>
      </c>
      <c r="D1998" t="s">
        <v>2677</v>
      </c>
      <c r="E1998">
        <v>137</v>
      </c>
    </row>
    <row r="1999" spans="1:5" x14ac:dyDescent="0.25">
      <c r="A1999" t="s">
        <v>424</v>
      </c>
      <c r="B1999" t="s">
        <v>2470</v>
      </c>
      <c r="C1999" t="s">
        <v>2589</v>
      </c>
      <c r="D1999" t="s">
        <v>2678</v>
      </c>
      <c r="E1999">
        <v>248</v>
      </c>
    </row>
    <row r="2000" spans="1:5" x14ac:dyDescent="0.25">
      <c r="A2000" t="s">
        <v>424</v>
      </c>
      <c r="B2000" t="s">
        <v>2470</v>
      </c>
      <c r="C2000" t="s">
        <v>2589</v>
      </c>
      <c r="D2000" t="s">
        <v>2679</v>
      </c>
      <c r="E2000">
        <v>277</v>
      </c>
    </row>
    <row r="2001" spans="1:5" x14ac:dyDescent="0.25">
      <c r="A2001" t="s">
        <v>424</v>
      </c>
      <c r="B2001" t="s">
        <v>2470</v>
      </c>
      <c r="C2001" t="s">
        <v>2589</v>
      </c>
      <c r="D2001" t="s">
        <v>2680</v>
      </c>
      <c r="E2001">
        <v>320</v>
      </c>
    </row>
    <row r="2002" spans="1:5" x14ac:dyDescent="0.25">
      <c r="A2002" t="s">
        <v>424</v>
      </c>
      <c r="B2002" t="s">
        <v>2470</v>
      </c>
      <c r="C2002" t="s">
        <v>2589</v>
      </c>
      <c r="D2002" t="s">
        <v>2681</v>
      </c>
      <c r="E2002">
        <v>319</v>
      </c>
    </row>
    <row r="2003" spans="1:5" x14ac:dyDescent="0.25">
      <c r="A2003" t="s">
        <v>424</v>
      </c>
      <c r="B2003" t="s">
        <v>2470</v>
      </c>
      <c r="C2003" t="s">
        <v>2589</v>
      </c>
      <c r="D2003" t="s">
        <v>2682</v>
      </c>
      <c r="E2003">
        <v>336</v>
      </c>
    </row>
    <row r="2004" spans="1:5" x14ac:dyDescent="0.25">
      <c r="A2004" t="s">
        <v>424</v>
      </c>
      <c r="B2004" t="s">
        <v>2470</v>
      </c>
      <c r="C2004" t="s">
        <v>2589</v>
      </c>
      <c r="D2004" t="s">
        <v>2683</v>
      </c>
      <c r="E2004">
        <v>389</v>
      </c>
    </row>
    <row r="2005" spans="1:5" x14ac:dyDescent="0.25">
      <c r="A2005" t="s">
        <v>424</v>
      </c>
      <c r="B2005" t="s">
        <v>2470</v>
      </c>
      <c r="C2005" t="s">
        <v>2589</v>
      </c>
      <c r="D2005" t="s">
        <v>2684</v>
      </c>
      <c r="E2005">
        <v>421</v>
      </c>
    </row>
    <row r="2006" spans="1:5" x14ac:dyDescent="0.25">
      <c r="A2006" t="s">
        <v>424</v>
      </c>
      <c r="B2006" t="s">
        <v>2470</v>
      </c>
      <c r="C2006" t="s">
        <v>2589</v>
      </c>
      <c r="D2006" t="s">
        <v>2685</v>
      </c>
      <c r="E2006">
        <v>459</v>
      </c>
    </row>
    <row r="2007" spans="1:5" x14ac:dyDescent="0.25">
      <c r="A2007" t="s">
        <v>424</v>
      </c>
      <c r="B2007" t="s">
        <v>2470</v>
      </c>
      <c r="C2007" t="s">
        <v>2589</v>
      </c>
      <c r="D2007" t="s">
        <v>2686</v>
      </c>
      <c r="E2007">
        <v>500</v>
      </c>
    </row>
    <row r="2008" spans="1:5" x14ac:dyDescent="0.25">
      <c r="A2008" t="s">
        <v>424</v>
      </c>
      <c r="B2008" t="s">
        <v>2470</v>
      </c>
      <c r="C2008" t="s">
        <v>2589</v>
      </c>
      <c r="D2008" t="s">
        <v>2687</v>
      </c>
      <c r="E2008">
        <v>587</v>
      </c>
    </row>
    <row r="2009" spans="1:5" x14ac:dyDescent="0.25">
      <c r="A2009" t="s">
        <v>424</v>
      </c>
      <c r="B2009" t="s">
        <v>2470</v>
      </c>
      <c r="C2009" t="s">
        <v>2589</v>
      </c>
      <c r="D2009" t="s">
        <v>2688</v>
      </c>
      <c r="E2009">
        <v>684</v>
      </c>
    </row>
    <row r="2010" spans="1:5" x14ac:dyDescent="0.25">
      <c r="A2010" t="s">
        <v>424</v>
      </c>
      <c r="B2010" t="s">
        <v>2470</v>
      </c>
      <c r="C2010" t="s">
        <v>2589</v>
      </c>
      <c r="D2010" t="s">
        <v>2689</v>
      </c>
      <c r="E2010">
        <v>749</v>
      </c>
    </row>
    <row r="2011" spans="1:5" x14ac:dyDescent="0.25">
      <c r="A2011" t="s">
        <v>424</v>
      </c>
      <c r="B2011" t="s">
        <v>2470</v>
      </c>
      <c r="C2011" t="s">
        <v>2589</v>
      </c>
      <c r="D2011" t="s">
        <v>2690</v>
      </c>
      <c r="E2011">
        <v>766</v>
      </c>
    </row>
    <row r="2012" spans="1:5" x14ac:dyDescent="0.25">
      <c r="A2012" t="s">
        <v>424</v>
      </c>
      <c r="B2012" t="s">
        <v>2470</v>
      </c>
      <c r="C2012" t="s">
        <v>2588</v>
      </c>
      <c r="D2012" t="s">
        <v>2677</v>
      </c>
      <c r="E2012">
        <v>26</v>
      </c>
    </row>
    <row r="2013" spans="1:5" x14ac:dyDescent="0.25">
      <c r="A2013" t="s">
        <v>424</v>
      </c>
      <c r="B2013" t="s">
        <v>2470</v>
      </c>
      <c r="C2013" t="s">
        <v>2588</v>
      </c>
      <c r="D2013" t="s">
        <v>2678</v>
      </c>
      <c r="E2013">
        <v>60</v>
      </c>
    </row>
    <row r="2014" spans="1:5" x14ac:dyDescent="0.25">
      <c r="A2014" t="s">
        <v>424</v>
      </c>
      <c r="B2014" t="s">
        <v>2470</v>
      </c>
      <c r="C2014" t="s">
        <v>2588</v>
      </c>
      <c r="D2014" t="s">
        <v>2679</v>
      </c>
      <c r="E2014">
        <v>67</v>
      </c>
    </row>
    <row r="2015" spans="1:5" x14ac:dyDescent="0.25">
      <c r="A2015" t="s">
        <v>424</v>
      </c>
      <c r="B2015" t="s">
        <v>2470</v>
      </c>
      <c r="C2015" t="s">
        <v>2588</v>
      </c>
      <c r="D2015" t="s">
        <v>2680</v>
      </c>
      <c r="E2015">
        <v>55</v>
      </c>
    </row>
    <row r="2016" spans="1:5" x14ac:dyDescent="0.25">
      <c r="A2016" t="s">
        <v>424</v>
      </c>
      <c r="B2016" t="s">
        <v>2470</v>
      </c>
      <c r="C2016" t="s">
        <v>2588</v>
      </c>
      <c r="D2016" t="s">
        <v>2681</v>
      </c>
      <c r="E2016">
        <v>45</v>
      </c>
    </row>
    <row r="2017" spans="1:5" x14ac:dyDescent="0.25">
      <c r="A2017" t="s">
        <v>424</v>
      </c>
      <c r="B2017" t="s">
        <v>2470</v>
      </c>
      <c r="C2017" t="s">
        <v>2588</v>
      </c>
      <c r="D2017" t="s">
        <v>2682</v>
      </c>
      <c r="E2017">
        <v>46</v>
      </c>
    </row>
    <row r="2018" spans="1:5" x14ac:dyDescent="0.25">
      <c r="A2018" t="s">
        <v>424</v>
      </c>
      <c r="B2018" t="s">
        <v>2470</v>
      </c>
      <c r="C2018" t="s">
        <v>2588</v>
      </c>
      <c r="D2018" t="s">
        <v>2683</v>
      </c>
      <c r="E2018">
        <v>36</v>
      </c>
    </row>
    <row r="2019" spans="1:5" x14ac:dyDescent="0.25">
      <c r="A2019" t="s">
        <v>424</v>
      </c>
      <c r="B2019" t="s">
        <v>2470</v>
      </c>
      <c r="C2019" t="s">
        <v>2588</v>
      </c>
      <c r="D2019" t="s">
        <v>2684</v>
      </c>
      <c r="E2019">
        <v>43</v>
      </c>
    </row>
    <row r="2020" spans="1:5" x14ac:dyDescent="0.25">
      <c r="A2020" t="s">
        <v>424</v>
      </c>
      <c r="B2020" t="s">
        <v>2470</v>
      </c>
      <c r="C2020" t="s">
        <v>2588</v>
      </c>
      <c r="D2020" t="s">
        <v>2685</v>
      </c>
      <c r="E2020">
        <v>54</v>
      </c>
    </row>
    <row r="2021" spans="1:5" x14ac:dyDescent="0.25">
      <c r="A2021" t="s">
        <v>424</v>
      </c>
      <c r="B2021" t="s">
        <v>2470</v>
      </c>
      <c r="C2021" t="s">
        <v>2588</v>
      </c>
      <c r="D2021" t="s">
        <v>2686</v>
      </c>
      <c r="E2021">
        <v>57</v>
      </c>
    </row>
    <row r="2022" spans="1:5" x14ac:dyDescent="0.25">
      <c r="A2022" t="s">
        <v>424</v>
      </c>
      <c r="B2022" t="s">
        <v>2470</v>
      </c>
      <c r="C2022" t="s">
        <v>2588</v>
      </c>
      <c r="D2022" t="s">
        <v>2687</v>
      </c>
      <c r="E2022">
        <v>68</v>
      </c>
    </row>
    <row r="2023" spans="1:5" x14ac:dyDescent="0.25">
      <c r="A2023" t="s">
        <v>424</v>
      </c>
      <c r="B2023" t="s">
        <v>2470</v>
      </c>
      <c r="C2023" t="s">
        <v>2588</v>
      </c>
      <c r="D2023" t="s">
        <v>2688</v>
      </c>
      <c r="E2023">
        <v>69</v>
      </c>
    </row>
    <row r="2024" spans="1:5" x14ac:dyDescent="0.25">
      <c r="A2024" t="s">
        <v>424</v>
      </c>
      <c r="B2024" t="s">
        <v>2470</v>
      </c>
      <c r="C2024" t="s">
        <v>2588</v>
      </c>
      <c r="D2024" t="s">
        <v>2689</v>
      </c>
      <c r="E2024">
        <v>61</v>
      </c>
    </row>
    <row r="2025" spans="1:5" x14ac:dyDescent="0.25">
      <c r="A2025" t="s">
        <v>424</v>
      </c>
      <c r="B2025" t="s">
        <v>2470</v>
      </c>
      <c r="C2025" t="s">
        <v>2588</v>
      </c>
      <c r="D2025" t="s">
        <v>2690</v>
      </c>
      <c r="E2025">
        <v>50</v>
      </c>
    </row>
    <row r="2026" spans="1:5" x14ac:dyDescent="0.25">
      <c r="A2026" t="s">
        <v>424</v>
      </c>
      <c r="B2026" t="s">
        <v>2470</v>
      </c>
      <c r="C2026" t="s">
        <v>2587</v>
      </c>
      <c r="D2026" t="s">
        <v>2677</v>
      </c>
      <c r="E2026">
        <v>150</v>
      </c>
    </row>
    <row r="2027" spans="1:5" x14ac:dyDescent="0.25">
      <c r="A2027" t="s">
        <v>424</v>
      </c>
      <c r="B2027" t="s">
        <v>2470</v>
      </c>
      <c r="C2027" t="s">
        <v>2587</v>
      </c>
      <c r="D2027" t="s">
        <v>2678</v>
      </c>
      <c r="E2027">
        <v>325</v>
      </c>
    </row>
    <row r="2028" spans="1:5" x14ac:dyDescent="0.25">
      <c r="A2028" t="s">
        <v>424</v>
      </c>
      <c r="B2028" t="s">
        <v>2470</v>
      </c>
      <c r="C2028" t="s">
        <v>2587</v>
      </c>
      <c r="D2028" t="s">
        <v>2679</v>
      </c>
      <c r="E2028">
        <v>307</v>
      </c>
    </row>
    <row r="2029" spans="1:5" x14ac:dyDescent="0.25">
      <c r="A2029" t="s">
        <v>424</v>
      </c>
      <c r="B2029" t="s">
        <v>2470</v>
      </c>
      <c r="C2029" t="s">
        <v>2587</v>
      </c>
      <c r="D2029" t="s">
        <v>2680</v>
      </c>
      <c r="E2029">
        <v>206</v>
      </c>
    </row>
    <row r="2030" spans="1:5" x14ac:dyDescent="0.25">
      <c r="A2030" t="s">
        <v>424</v>
      </c>
      <c r="B2030" t="s">
        <v>2470</v>
      </c>
      <c r="C2030" t="s">
        <v>2587</v>
      </c>
      <c r="D2030" t="s">
        <v>2681</v>
      </c>
      <c r="E2030">
        <v>245</v>
      </c>
    </row>
    <row r="2031" spans="1:5" x14ac:dyDescent="0.25">
      <c r="A2031" t="s">
        <v>424</v>
      </c>
      <c r="B2031" t="s">
        <v>2470</v>
      </c>
      <c r="C2031" t="s">
        <v>2587</v>
      </c>
      <c r="D2031" t="s">
        <v>2682</v>
      </c>
      <c r="E2031">
        <v>218</v>
      </c>
    </row>
    <row r="2032" spans="1:5" x14ac:dyDescent="0.25">
      <c r="A2032" t="s">
        <v>424</v>
      </c>
      <c r="B2032" t="s">
        <v>2470</v>
      </c>
      <c r="C2032" t="s">
        <v>2587</v>
      </c>
      <c r="D2032" t="s">
        <v>2683</v>
      </c>
      <c r="E2032">
        <v>232</v>
      </c>
    </row>
    <row r="2033" spans="1:5" x14ac:dyDescent="0.25">
      <c r="A2033" t="s">
        <v>424</v>
      </c>
      <c r="B2033" t="s">
        <v>2470</v>
      </c>
      <c r="C2033" t="s">
        <v>2587</v>
      </c>
      <c r="D2033" t="s">
        <v>2684</v>
      </c>
      <c r="E2033">
        <v>273</v>
      </c>
    </row>
    <row r="2034" spans="1:5" x14ac:dyDescent="0.25">
      <c r="A2034" t="s">
        <v>424</v>
      </c>
      <c r="B2034" t="s">
        <v>2470</v>
      </c>
      <c r="C2034" t="s">
        <v>2587</v>
      </c>
      <c r="D2034" t="s">
        <v>2685</v>
      </c>
      <c r="E2034">
        <v>290</v>
      </c>
    </row>
    <row r="2035" spans="1:5" x14ac:dyDescent="0.25">
      <c r="A2035" t="s">
        <v>424</v>
      </c>
      <c r="B2035" t="s">
        <v>2470</v>
      </c>
      <c r="C2035" t="s">
        <v>2587</v>
      </c>
      <c r="D2035" t="s">
        <v>2686</v>
      </c>
      <c r="E2035">
        <v>248</v>
      </c>
    </row>
    <row r="2036" spans="1:5" x14ac:dyDescent="0.25">
      <c r="A2036" t="s">
        <v>424</v>
      </c>
      <c r="B2036" t="s">
        <v>2470</v>
      </c>
      <c r="C2036" t="s">
        <v>2587</v>
      </c>
      <c r="D2036" t="s">
        <v>2687</v>
      </c>
      <c r="E2036">
        <v>280</v>
      </c>
    </row>
    <row r="2037" spans="1:5" x14ac:dyDescent="0.25">
      <c r="A2037" t="s">
        <v>424</v>
      </c>
      <c r="B2037" t="s">
        <v>2470</v>
      </c>
      <c r="C2037" t="s">
        <v>2587</v>
      </c>
      <c r="D2037" t="s">
        <v>2688</v>
      </c>
      <c r="E2037">
        <v>313</v>
      </c>
    </row>
    <row r="2038" spans="1:5" x14ac:dyDescent="0.25">
      <c r="A2038" t="s">
        <v>424</v>
      </c>
      <c r="B2038" t="s">
        <v>2470</v>
      </c>
      <c r="C2038" t="s">
        <v>2587</v>
      </c>
      <c r="D2038" t="s">
        <v>2689</v>
      </c>
      <c r="E2038">
        <v>309</v>
      </c>
    </row>
    <row r="2039" spans="1:5" x14ac:dyDescent="0.25">
      <c r="A2039" t="s">
        <v>424</v>
      </c>
      <c r="B2039" t="s">
        <v>2470</v>
      </c>
      <c r="C2039" t="s">
        <v>2587</v>
      </c>
      <c r="D2039" t="s">
        <v>2690</v>
      </c>
      <c r="E2039">
        <v>318</v>
      </c>
    </row>
    <row r="2040" spans="1:5" x14ac:dyDescent="0.25">
      <c r="A2040" t="s">
        <v>424</v>
      </c>
      <c r="B2040" t="s">
        <v>2470</v>
      </c>
      <c r="C2040" t="s">
        <v>2586</v>
      </c>
      <c r="D2040" t="s">
        <v>2677</v>
      </c>
      <c r="E2040">
        <v>182</v>
      </c>
    </row>
    <row r="2041" spans="1:5" x14ac:dyDescent="0.25">
      <c r="A2041" t="s">
        <v>424</v>
      </c>
      <c r="B2041" t="s">
        <v>2470</v>
      </c>
      <c r="C2041" t="s">
        <v>2586</v>
      </c>
      <c r="D2041" t="s">
        <v>2678</v>
      </c>
      <c r="E2041">
        <v>372</v>
      </c>
    </row>
    <row r="2042" spans="1:5" x14ac:dyDescent="0.25">
      <c r="A2042" t="s">
        <v>424</v>
      </c>
      <c r="B2042" t="s">
        <v>2470</v>
      </c>
      <c r="C2042" t="s">
        <v>2586</v>
      </c>
      <c r="D2042" t="s">
        <v>2679</v>
      </c>
      <c r="E2042">
        <v>360</v>
      </c>
    </row>
    <row r="2043" spans="1:5" x14ac:dyDescent="0.25">
      <c r="A2043" t="s">
        <v>424</v>
      </c>
      <c r="B2043" t="s">
        <v>2470</v>
      </c>
      <c r="C2043" t="s">
        <v>2586</v>
      </c>
      <c r="D2043" t="s">
        <v>2680</v>
      </c>
      <c r="E2043">
        <v>421</v>
      </c>
    </row>
    <row r="2044" spans="1:5" x14ac:dyDescent="0.25">
      <c r="A2044" t="s">
        <v>424</v>
      </c>
      <c r="B2044" t="s">
        <v>2470</v>
      </c>
      <c r="C2044" t="s">
        <v>2586</v>
      </c>
      <c r="D2044" t="s">
        <v>2681</v>
      </c>
      <c r="E2044">
        <v>436</v>
      </c>
    </row>
    <row r="2045" spans="1:5" x14ac:dyDescent="0.25">
      <c r="A2045" t="s">
        <v>424</v>
      </c>
      <c r="B2045" t="s">
        <v>2470</v>
      </c>
      <c r="C2045" t="s">
        <v>2586</v>
      </c>
      <c r="D2045" t="s">
        <v>2682</v>
      </c>
      <c r="E2045">
        <v>485</v>
      </c>
    </row>
    <row r="2046" spans="1:5" x14ac:dyDescent="0.25">
      <c r="A2046" t="s">
        <v>424</v>
      </c>
      <c r="B2046" t="s">
        <v>2470</v>
      </c>
      <c r="C2046" t="s">
        <v>2586</v>
      </c>
      <c r="D2046" t="s">
        <v>2683</v>
      </c>
      <c r="E2046">
        <v>515</v>
      </c>
    </row>
    <row r="2047" spans="1:5" x14ac:dyDescent="0.25">
      <c r="A2047" t="s">
        <v>424</v>
      </c>
      <c r="B2047" t="s">
        <v>2470</v>
      </c>
      <c r="C2047" t="s">
        <v>2586</v>
      </c>
      <c r="D2047" t="s">
        <v>2684</v>
      </c>
      <c r="E2047">
        <v>508</v>
      </c>
    </row>
    <row r="2048" spans="1:5" x14ac:dyDescent="0.25">
      <c r="A2048" t="s">
        <v>424</v>
      </c>
      <c r="B2048" t="s">
        <v>2470</v>
      </c>
      <c r="C2048" t="s">
        <v>2586</v>
      </c>
      <c r="D2048" t="s">
        <v>2685</v>
      </c>
      <c r="E2048">
        <v>482</v>
      </c>
    </row>
    <row r="2049" spans="1:5" x14ac:dyDescent="0.25">
      <c r="A2049" t="s">
        <v>424</v>
      </c>
      <c r="B2049" t="s">
        <v>2470</v>
      </c>
      <c r="C2049" t="s">
        <v>2586</v>
      </c>
      <c r="D2049" t="s">
        <v>2686</v>
      </c>
      <c r="E2049">
        <v>468</v>
      </c>
    </row>
    <row r="2050" spans="1:5" x14ac:dyDescent="0.25">
      <c r="A2050" t="s">
        <v>424</v>
      </c>
      <c r="B2050" t="s">
        <v>2470</v>
      </c>
      <c r="C2050" t="s">
        <v>2586</v>
      </c>
      <c r="D2050" t="s">
        <v>2687</v>
      </c>
      <c r="E2050">
        <v>399</v>
      </c>
    </row>
    <row r="2051" spans="1:5" x14ac:dyDescent="0.25">
      <c r="A2051" t="s">
        <v>424</v>
      </c>
      <c r="B2051" t="s">
        <v>2470</v>
      </c>
      <c r="C2051" t="s">
        <v>2586</v>
      </c>
      <c r="D2051" t="s">
        <v>2688</v>
      </c>
      <c r="E2051">
        <v>224</v>
      </c>
    </row>
    <row r="2052" spans="1:5" x14ac:dyDescent="0.25">
      <c r="A2052" t="s">
        <v>424</v>
      </c>
      <c r="B2052" t="s">
        <v>2470</v>
      </c>
      <c r="C2052" t="s">
        <v>2586</v>
      </c>
      <c r="D2052" t="s">
        <v>2689</v>
      </c>
      <c r="E2052">
        <v>176</v>
      </c>
    </row>
    <row r="2053" spans="1:5" x14ac:dyDescent="0.25">
      <c r="A2053" t="s">
        <v>424</v>
      </c>
      <c r="B2053" t="s">
        <v>2470</v>
      </c>
      <c r="C2053" t="s">
        <v>2586</v>
      </c>
      <c r="D2053" t="s">
        <v>2690</v>
      </c>
      <c r="E2053">
        <v>130</v>
      </c>
    </row>
    <row r="2054" spans="1:5" x14ac:dyDescent="0.25">
      <c r="A2054" t="s">
        <v>424</v>
      </c>
      <c r="B2054" t="s">
        <v>2470</v>
      </c>
      <c r="C2054" t="s">
        <v>2585</v>
      </c>
      <c r="D2054" t="s">
        <v>2677</v>
      </c>
      <c r="E2054">
        <v>176</v>
      </c>
    </row>
    <row r="2055" spans="1:5" x14ac:dyDescent="0.25">
      <c r="A2055" t="s">
        <v>424</v>
      </c>
      <c r="B2055" t="s">
        <v>2470</v>
      </c>
      <c r="C2055" t="s">
        <v>2585</v>
      </c>
      <c r="D2055" t="s">
        <v>2678</v>
      </c>
      <c r="E2055">
        <v>351</v>
      </c>
    </row>
    <row r="2056" spans="1:5" x14ac:dyDescent="0.25">
      <c r="A2056" t="s">
        <v>424</v>
      </c>
      <c r="B2056" t="s">
        <v>2470</v>
      </c>
      <c r="C2056" t="s">
        <v>2585</v>
      </c>
      <c r="D2056" t="s">
        <v>2679</v>
      </c>
      <c r="E2056">
        <v>348</v>
      </c>
    </row>
    <row r="2057" spans="1:5" x14ac:dyDescent="0.25">
      <c r="A2057" t="s">
        <v>424</v>
      </c>
      <c r="B2057" t="s">
        <v>2470</v>
      </c>
      <c r="C2057" t="s">
        <v>2585</v>
      </c>
      <c r="D2057" t="s">
        <v>2680</v>
      </c>
      <c r="E2057">
        <v>343</v>
      </c>
    </row>
    <row r="2058" spans="1:5" x14ac:dyDescent="0.25">
      <c r="A2058" t="s">
        <v>424</v>
      </c>
      <c r="B2058" t="s">
        <v>2470</v>
      </c>
      <c r="C2058" t="s">
        <v>2585</v>
      </c>
      <c r="D2058" t="s">
        <v>2681</v>
      </c>
      <c r="E2058">
        <v>336</v>
      </c>
    </row>
    <row r="2059" spans="1:5" x14ac:dyDescent="0.25">
      <c r="A2059" t="s">
        <v>424</v>
      </c>
      <c r="B2059" t="s">
        <v>2470</v>
      </c>
      <c r="C2059" t="s">
        <v>2585</v>
      </c>
      <c r="D2059" t="s">
        <v>2682</v>
      </c>
      <c r="E2059">
        <v>328</v>
      </c>
    </row>
    <row r="2060" spans="1:5" x14ac:dyDescent="0.25">
      <c r="A2060" t="s">
        <v>424</v>
      </c>
      <c r="B2060" t="s">
        <v>2470</v>
      </c>
      <c r="C2060" t="s">
        <v>2585</v>
      </c>
      <c r="D2060" t="s">
        <v>2683</v>
      </c>
      <c r="E2060">
        <v>361</v>
      </c>
    </row>
    <row r="2061" spans="1:5" x14ac:dyDescent="0.25">
      <c r="A2061" t="s">
        <v>424</v>
      </c>
      <c r="B2061" t="s">
        <v>2470</v>
      </c>
      <c r="C2061" t="s">
        <v>2585</v>
      </c>
      <c r="D2061" t="s">
        <v>2684</v>
      </c>
      <c r="E2061">
        <v>374</v>
      </c>
    </row>
    <row r="2062" spans="1:5" x14ac:dyDescent="0.25">
      <c r="A2062" t="s">
        <v>424</v>
      </c>
      <c r="B2062" t="s">
        <v>2470</v>
      </c>
      <c r="C2062" t="s">
        <v>2585</v>
      </c>
      <c r="D2062" t="s">
        <v>2685</v>
      </c>
      <c r="E2062">
        <v>387</v>
      </c>
    </row>
    <row r="2063" spans="1:5" x14ac:dyDescent="0.25">
      <c r="A2063" t="s">
        <v>424</v>
      </c>
      <c r="B2063" t="s">
        <v>2470</v>
      </c>
      <c r="C2063" t="s">
        <v>2585</v>
      </c>
      <c r="D2063" t="s">
        <v>2686</v>
      </c>
      <c r="E2063">
        <v>383</v>
      </c>
    </row>
    <row r="2064" spans="1:5" x14ac:dyDescent="0.25">
      <c r="A2064" t="s">
        <v>424</v>
      </c>
      <c r="B2064" t="s">
        <v>2470</v>
      </c>
      <c r="C2064" t="s">
        <v>2585</v>
      </c>
      <c r="D2064" t="s">
        <v>2687</v>
      </c>
      <c r="E2064">
        <v>388</v>
      </c>
    </row>
    <row r="2065" spans="1:5" x14ac:dyDescent="0.25">
      <c r="A2065" t="s">
        <v>424</v>
      </c>
      <c r="B2065" t="s">
        <v>2470</v>
      </c>
      <c r="C2065" t="s">
        <v>2585</v>
      </c>
      <c r="D2065" t="s">
        <v>2688</v>
      </c>
      <c r="E2065">
        <v>377</v>
      </c>
    </row>
    <row r="2066" spans="1:5" x14ac:dyDescent="0.25">
      <c r="A2066" t="s">
        <v>424</v>
      </c>
      <c r="B2066" t="s">
        <v>2470</v>
      </c>
      <c r="C2066" t="s">
        <v>2585</v>
      </c>
      <c r="D2066" t="s">
        <v>2689</v>
      </c>
      <c r="E2066">
        <v>319</v>
      </c>
    </row>
    <row r="2067" spans="1:5" x14ac:dyDescent="0.25">
      <c r="A2067" t="s">
        <v>424</v>
      </c>
      <c r="B2067" t="s">
        <v>2470</v>
      </c>
      <c r="C2067" t="s">
        <v>2585</v>
      </c>
      <c r="D2067" t="s">
        <v>2690</v>
      </c>
      <c r="E2067">
        <v>293</v>
      </c>
    </row>
    <row r="2068" spans="1:5" x14ac:dyDescent="0.25">
      <c r="A2068" t="s">
        <v>424</v>
      </c>
      <c r="B2068" t="s">
        <v>2470</v>
      </c>
      <c r="C2068" t="s">
        <v>2581</v>
      </c>
      <c r="D2068" t="s">
        <v>2680</v>
      </c>
      <c r="E2068">
        <v>151</v>
      </c>
    </row>
    <row r="2069" spans="1:5" x14ac:dyDescent="0.25">
      <c r="A2069" t="s">
        <v>424</v>
      </c>
      <c r="B2069" t="s">
        <v>2470</v>
      </c>
      <c r="C2069" t="s">
        <v>2581</v>
      </c>
      <c r="D2069" t="s">
        <v>2681</v>
      </c>
      <c r="E2069">
        <v>176</v>
      </c>
    </row>
    <row r="2070" spans="1:5" x14ac:dyDescent="0.25">
      <c r="A2070" t="s">
        <v>424</v>
      </c>
      <c r="B2070" t="s">
        <v>2470</v>
      </c>
      <c r="C2070" t="s">
        <v>2581</v>
      </c>
      <c r="D2070" t="s">
        <v>2682</v>
      </c>
      <c r="E2070">
        <v>236</v>
      </c>
    </row>
    <row r="2071" spans="1:5" x14ac:dyDescent="0.25">
      <c r="A2071" t="s">
        <v>424</v>
      </c>
      <c r="B2071" t="s">
        <v>2470</v>
      </c>
      <c r="C2071" t="s">
        <v>2581</v>
      </c>
      <c r="D2071" t="s">
        <v>2683</v>
      </c>
      <c r="E2071">
        <v>263</v>
      </c>
    </row>
    <row r="2072" spans="1:5" x14ac:dyDescent="0.25">
      <c r="A2072" t="s">
        <v>424</v>
      </c>
      <c r="B2072" t="s">
        <v>2470</v>
      </c>
      <c r="C2072" t="s">
        <v>2581</v>
      </c>
      <c r="D2072" t="s">
        <v>2684</v>
      </c>
      <c r="E2072">
        <v>303</v>
      </c>
    </row>
    <row r="2073" spans="1:5" x14ac:dyDescent="0.25">
      <c r="A2073" t="s">
        <v>424</v>
      </c>
      <c r="B2073" t="s">
        <v>2470</v>
      </c>
      <c r="C2073" t="s">
        <v>2581</v>
      </c>
      <c r="D2073" t="s">
        <v>2685</v>
      </c>
      <c r="E2073">
        <v>334</v>
      </c>
    </row>
    <row r="2074" spans="1:5" x14ac:dyDescent="0.25">
      <c r="A2074" t="s">
        <v>424</v>
      </c>
      <c r="B2074" t="s">
        <v>2470</v>
      </c>
      <c r="C2074" t="s">
        <v>2581</v>
      </c>
      <c r="D2074" t="s">
        <v>2686</v>
      </c>
      <c r="E2074">
        <v>350</v>
      </c>
    </row>
    <row r="2075" spans="1:5" x14ac:dyDescent="0.25">
      <c r="A2075" t="s">
        <v>424</v>
      </c>
      <c r="B2075" t="s">
        <v>2470</v>
      </c>
      <c r="C2075" t="s">
        <v>2581</v>
      </c>
      <c r="D2075" t="s">
        <v>2687</v>
      </c>
      <c r="E2075">
        <v>417</v>
      </c>
    </row>
    <row r="2076" spans="1:5" x14ac:dyDescent="0.25">
      <c r="A2076" t="s">
        <v>424</v>
      </c>
      <c r="B2076" t="s">
        <v>2470</v>
      </c>
      <c r="C2076" t="s">
        <v>2581</v>
      </c>
      <c r="D2076" t="s">
        <v>2688</v>
      </c>
      <c r="E2076">
        <v>414</v>
      </c>
    </row>
    <row r="2077" spans="1:5" x14ac:dyDescent="0.25">
      <c r="A2077" t="s">
        <v>424</v>
      </c>
      <c r="B2077" t="s">
        <v>2470</v>
      </c>
      <c r="C2077" t="s">
        <v>2581</v>
      </c>
      <c r="D2077" t="s">
        <v>2689</v>
      </c>
      <c r="E2077">
        <v>474</v>
      </c>
    </row>
    <row r="2078" spans="1:5" x14ac:dyDescent="0.25">
      <c r="A2078" t="s">
        <v>424</v>
      </c>
      <c r="B2078" t="s">
        <v>2470</v>
      </c>
      <c r="C2078" t="s">
        <v>2581</v>
      </c>
      <c r="D2078" t="s">
        <v>2690</v>
      </c>
      <c r="E2078">
        <v>585</v>
      </c>
    </row>
    <row r="2079" spans="1:5" x14ac:dyDescent="0.25">
      <c r="A2079" t="s">
        <v>424</v>
      </c>
      <c r="B2079" t="s">
        <v>2470</v>
      </c>
      <c r="C2079" t="s">
        <v>2582</v>
      </c>
      <c r="D2079" t="s">
        <v>2682</v>
      </c>
      <c r="E2079">
        <v>3</v>
      </c>
    </row>
    <row r="2080" spans="1:5" x14ac:dyDescent="0.25">
      <c r="A2080" t="s">
        <v>424</v>
      </c>
      <c r="B2080" t="s">
        <v>2470</v>
      </c>
      <c r="C2080" t="s">
        <v>2582</v>
      </c>
      <c r="D2080" t="s">
        <v>2683</v>
      </c>
      <c r="E2080">
        <v>18</v>
      </c>
    </row>
    <row r="2081" spans="1:5" x14ac:dyDescent="0.25">
      <c r="A2081" t="s">
        <v>424</v>
      </c>
      <c r="B2081" t="s">
        <v>2470</v>
      </c>
      <c r="C2081" t="s">
        <v>2582</v>
      </c>
      <c r="D2081" t="s">
        <v>2684</v>
      </c>
      <c r="E2081">
        <v>29</v>
      </c>
    </row>
    <row r="2082" spans="1:5" x14ac:dyDescent="0.25">
      <c r="A2082" t="s">
        <v>424</v>
      </c>
      <c r="B2082" t="s">
        <v>2470</v>
      </c>
      <c r="C2082" t="s">
        <v>2582</v>
      </c>
      <c r="D2082" t="s">
        <v>2685</v>
      </c>
      <c r="E2082">
        <v>14</v>
      </c>
    </row>
    <row r="2083" spans="1:5" x14ac:dyDescent="0.25">
      <c r="A2083" t="s">
        <v>424</v>
      </c>
      <c r="B2083" t="s">
        <v>2470</v>
      </c>
      <c r="C2083" t="s">
        <v>2582</v>
      </c>
      <c r="D2083" t="s">
        <v>2686</v>
      </c>
      <c r="E2083">
        <v>17</v>
      </c>
    </row>
    <row r="2084" spans="1:5" x14ac:dyDescent="0.25">
      <c r="A2084" t="s">
        <v>424</v>
      </c>
      <c r="B2084" t="s">
        <v>2470</v>
      </c>
      <c r="C2084" t="s">
        <v>2582</v>
      </c>
      <c r="D2084" t="s">
        <v>2687</v>
      </c>
      <c r="E2084">
        <v>25</v>
      </c>
    </row>
    <row r="2085" spans="1:5" x14ac:dyDescent="0.25">
      <c r="A2085" t="s">
        <v>424</v>
      </c>
      <c r="B2085" t="s">
        <v>2470</v>
      </c>
      <c r="C2085" t="s">
        <v>2582</v>
      </c>
      <c r="D2085" t="s">
        <v>2688</v>
      </c>
      <c r="E2085">
        <v>22</v>
      </c>
    </row>
    <row r="2086" spans="1:5" x14ac:dyDescent="0.25">
      <c r="A2086" t="s">
        <v>424</v>
      </c>
      <c r="B2086" t="s">
        <v>2470</v>
      </c>
      <c r="C2086" t="s">
        <v>2582</v>
      </c>
      <c r="D2086" t="s">
        <v>2689</v>
      </c>
      <c r="E2086">
        <v>27</v>
      </c>
    </row>
    <row r="2087" spans="1:5" x14ac:dyDescent="0.25">
      <c r="A2087" t="s">
        <v>424</v>
      </c>
      <c r="B2087" t="s">
        <v>2470</v>
      </c>
      <c r="C2087" t="s">
        <v>2582</v>
      </c>
      <c r="D2087" t="s">
        <v>2690</v>
      </c>
      <c r="E2087">
        <v>21</v>
      </c>
    </row>
    <row r="2088" spans="1:5" x14ac:dyDescent="0.25">
      <c r="A2088" t="s">
        <v>424</v>
      </c>
      <c r="B2088" t="s">
        <v>2470</v>
      </c>
      <c r="C2088" t="s">
        <v>2590</v>
      </c>
      <c r="D2088" t="s">
        <v>2678</v>
      </c>
      <c r="E2088">
        <v>1</v>
      </c>
    </row>
    <row r="2089" spans="1:5" x14ac:dyDescent="0.25">
      <c r="A2089" t="s">
        <v>424</v>
      </c>
      <c r="B2089" t="s">
        <v>2470</v>
      </c>
      <c r="C2089" t="s">
        <v>2590</v>
      </c>
      <c r="D2089" t="s">
        <v>2680</v>
      </c>
      <c r="E2089">
        <v>1</v>
      </c>
    </row>
    <row r="2090" spans="1:5" x14ac:dyDescent="0.25">
      <c r="A2090" t="s">
        <v>424</v>
      </c>
      <c r="B2090" t="s">
        <v>2470</v>
      </c>
      <c r="C2090" t="s">
        <v>2590</v>
      </c>
      <c r="D2090" t="s">
        <v>2681</v>
      </c>
      <c r="E2090">
        <v>6</v>
      </c>
    </row>
    <row r="2091" spans="1:5" x14ac:dyDescent="0.25">
      <c r="A2091" t="s">
        <v>424</v>
      </c>
      <c r="B2091" t="s">
        <v>2470</v>
      </c>
      <c r="C2091" t="s">
        <v>2590</v>
      </c>
      <c r="D2091" t="s">
        <v>2682</v>
      </c>
      <c r="E2091">
        <v>13</v>
      </c>
    </row>
    <row r="2092" spans="1:5" x14ac:dyDescent="0.25">
      <c r="A2092" t="s">
        <v>424</v>
      </c>
      <c r="B2092" t="s">
        <v>2470</v>
      </c>
      <c r="C2092" t="s">
        <v>2590</v>
      </c>
      <c r="D2092" t="s">
        <v>2683</v>
      </c>
      <c r="E2092">
        <v>15</v>
      </c>
    </row>
    <row r="2093" spans="1:5" x14ac:dyDescent="0.25">
      <c r="A2093" t="s">
        <v>424</v>
      </c>
      <c r="B2093" t="s">
        <v>2470</v>
      </c>
      <c r="C2093" t="s">
        <v>2590</v>
      </c>
      <c r="D2093" t="s">
        <v>2684</v>
      </c>
      <c r="E2093">
        <v>8</v>
      </c>
    </row>
    <row r="2094" spans="1:5" x14ac:dyDescent="0.25">
      <c r="A2094" t="s">
        <v>424</v>
      </c>
      <c r="B2094" t="s">
        <v>2470</v>
      </c>
      <c r="C2094" t="s">
        <v>2590</v>
      </c>
      <c r="D2094" t="s">
        <v>2685</v>
      </c>
      <c r="E2094">
        <v>24</v>
      </c>
    </row>
    <row r="2095" spans="1:5" x14ac:dyDescent="0.25">
      <c r="A2095" t="s">
        <v>424</v>
      </c>
      <c r="B2095" t="s">
        <v>2470</v>
      </c>
      <c r="C2095" t="s">
        <v>2590</v>
      </c>
      <c r="D2095" t="s">
        <v>2686</v>
      </c>
      <c r="E2095">
        <v>68</v>
      </c>
    </row>
    <row r="2096" spans="1:5" x14ac:dyDescent="0.25">
      <c r="A2096" t="s">
        <v>424</v>
      </c>
      <c r="B2096" t="s">
        <v>2470</v>
      </c>
      <c r="C2096" t="s">
        <v>2590</v>
      </c>
      <c r="D2096" t="s">
        <v>2687</v>
      </c>
      <c r="E2096">
        <v>23</v>
      </c>
    </row>
    <row r="2097" spans="1:5" x14ac:dyDescent="0.25">
      <c r="A2097" t="s">
        <v>424</v>
      </c>
      <c r="B2097" t="s">
        <v>2470</v>
      </c>
      <c r="C2097" t="s">
        <v>2590</v>
      </c>
      <c r="D2097" t="s">
        <v>2688</v>
      </c>
      <c r="E2097">
        <v>48</v>
      </c>
    </row>
    <row r="2098" spans="1:5" x14ac:dyDescent="0.25">
      <c r="A2098" t="s">
        <v>424</v>
      </c>
      <c r="B2098" t="s">
        <v>2470</v>
      </c>
      <c r="C2098" t="s">
        <v>2590</v>
      </c>
      <c r="D2098" t="s">
        <v>2689</v>
      </c>
      <c r="E2098">
        <v>59</v>
      </c>
    </row>
    <row r="2099" spans="1:5" x14ac:dyDescent="0.25">
      <c r="A2099" t="s">
        <v>424</v>
      </c>
      <c r="B2099" t="s">
        <v>2470</v>
      </c>
      <c r="C2099" t="s">
        <v>2590</v>
      </c>
      <c r="D2099" t="s">
        <v>2690</v>
      </c>
      <c r="E2099">
        <v>69</v>
      </c>
    </row>
    <row r="2100" spans="1:5" x14ac:dyDescent="0.25">
      <c r="A2100" t="s">
        <v>424</v>
      </c>
      <c r="B2100" t="s">
        <v>2470</v>
      </c>
      <c r="C2100" t="s">
        <v>2584</v>
      </c>
      <c r="D2100" t="s">
        <v>2677</v>
      </c>
      <c r="E2100">
        <v>108</v>
      </c>
    </row>
    <row r="2101" spans="1:5" x14ac:dyDescent="0.25">
      <c r="A2101" t="s">
        <v>424</v>
      </c>
      <c r="B2101" t="s">
        <v>2470</v>
      </c>
      <c r="C2101" t="s">
        <v>2584</v>
      </c>
      <c r="D2101" t="s">
        <v>2678</v>
      </c>
      <c r="E2101">
        <v>226</v>
      </c>
    </row>
    <row r="2102" spans="1:5" x14ac:dyDescent="0.25">
      <c r="A2102" t="s">
        <v>424</v>
      </c>
      <c r="B2102" t="s">
        <v>2470</v>
      </c>
      <c r="C2102" t="s">
        <v>2584</v>
      </c>
      <c r="D2102" t="s">
        <v>2679</v>
      </c>
      <c r="E2102">
        <v>234</v>
      </c>
    </row>
    <row r="2103" spans="1:5" x14ac:dyDescent="0.25">
      <c r="A2103" t="s">
        <v>424</v>
      </c>
      <c r="B2103" t="s">
        <v>2470</v>
      </c>
      <c r="C2103" t="s">
        <v>2584</v>
      </c>
      <c r="D2103" t="s">
        <v>2680</v>
      </c>
      <c r="E2103">
        <v>264</v>
      </c>
    </row>
    <row r="2104" spans="1:5" x14ac:dyDescent="0.25">
      <c r="A2104" t="s">
        <v>424</v>
      </c>
      <c r="B2104" t="s">
        <v>2470</v>
      </c>
      <c r="C2104" t="s">
        <v>2584</v>
      </c>
      <c r="D2104" t="s">
        <v>2681</v>
      </c>
      <c r="E2104">
        <v>233</v>
      </c>
    </row>
    <row r="2105" spans="1:5" x14ac:dyDescent="0.25">
      <c r="A2105" t="s">
        <v>424</v>
      </c>
      <c r="B2105" t="s">
        <v>2470</v>
      </c>
      <c r="C2105" t="s">
        <v>2584</v>
      </c>
      <c r="D2105" t="s">
        <v>2682</v>
      </c>
      <c r="E2105">
        <v>240</v>
      </c>
    </row>
    <row r="2106" spans="1:5" x14ac:dyDescent="0.25">
      <c r="A2106" t="s">
        <v>424</v>
      </c>
      <c r="B2106" t="s">
        <v>2470</v>
      </c>
      <c r="C2106" t="s">
        <v>2584</v>
      </c>
      <c r="D2106" t="s">
        <v>2683</v>
      </c>
      <c r="E2106">
        <v>249</v>
      </c>
    </row>
    <row r="2107" spans="1:5" x14ac:dyDescent="0.25">
      <c r="A2107" t="s">
        <v>424</v>
      </c>
      <c r="B2107" t="s">
        <v>2470</v>
      </c>
      <c r="C2107" t="s">
        <v>2584</v>
      </c>
      <c r="D2107" t="s">
        <v>2684</v>
      </c>
      <c r="E2107">
        <v>268</v>
      </c>
    </row>
    <row r="2108" spans="1:5" x14ac:dyDescent="0.25">
      <c r="A2108" t="s">
        <v>424</v>
      </c>
      <c r="B2108" t="s">
        <v>2470</v>
      </c>
      <c r="C2108" t="s">
        <v>2584</v>
      </c>
      <c r="D2108" t="s">
        <v>2685</v>
      </c>
      <c r="E2108">
        <v>283</v>
      </c>
    </row>
    <row r="2109" spans="1:5" x14ac:dyDescent="0.25">
      <c r="A2109" t="s">
        <v>424</v>
      </c>
      <c r="B2109" t="s">
        <v>2470</v>
      </c>
      <c r="C2109" t="s">
        <v>2584</v>
      </c>
      <c r="D2109" t="s">
        <v>2686</v>
      </c>
      <c r="E2109">
        <v>306</v>
      </c>
    </row>
    <row r="2110" spans="1:5" x14ac:dyDescent="0.25">
      <c r="A2110" t="s">
        <v>424</v>
      </c>
      <c r="B2110" t="s">
        <v>2470</v>
      </c>
      <c r="C2110" t="s">
        <v>2584</v>
      </c>
      <c r="D2110" t="s">
        <v>2687</v>
      </c>
      <c r="E2110">
        <v>342</v>
      </c>
    </row>
    <row r="2111" spans="1:5" x14ac:dyDescent="0.25">
      <c r="A2111" t="s">
        <v>424</v>
      </c>
      <c r="B2111" t="s">
        <v>2470</v>
      </c>
      <c r="C2111" t="s">
        <v>2584</v>
      </c>
      <c r="D2111" t="s">
        <v>2688</v>
      </c>
      <c r="E2111">
        <v>336</v>
      </c>
    </row>
    <row r="2112" spans="1:5" x14ac:dyDescent="0.25">
      <c r="A2112" t="s">
        <v>424</v>
      </c>
      <c r="B2112" t="s">
        <v>2470</v>
      </c>
      <c r="C2112" t="s">
        <v>2584</v>
      </c>
      <c r="D2112" t="s">
        <v>2689</v>
      </c>
      <c r="E2112">
        <v>283</v>
      </c>
    </row>
    <row r="2113" spans="1:5" x14ac:dyDescent="0.25">
      <c r="A2113" t="s">
        <v>424</v>
      </c>
      <c r="B2113" t="s">
        <v>2470</v>
      </c>
      <c r="C2113" t="s">
        <v>2584</v>
      </c>
      <c r="D2113" t="s">
        <v>2690</v>
      </c>
      <c r="E2113">
        <v>227</v>
      </c>
    </row>
    <row r="2114" spans="1:5" x14ac:dyDescent="0.25">
      <c r="A2114" t="s">
        <v>424</v>
      </c>
      <c r="B2114" t="s">
        <v>2505</v>
      </c>
      <c r="C2114" t="s">
        <v>2589</v>
      </c>
      <c r="D2114" t="s">
        <v>2677</v>
      </c>
      <c r="E2114">
        <v>15</v>
      </c>
    </row>
    <row r="2115" spans="1:5" x14ac:dyDescent="0.25">
      <c r="A2115" t="s">
        <v>424</v>
      </c>
      <c r="B2115" t="s">
        <v>2505</v>
      </c>
      <c r="C2115" t="s">
        <v>2589</v>
      </c>
      <c r="D2115" t="s">
        <v>2678</v>
      </c>
      <c r="E2115">
        <v>38</v>
      </c>
    </row>
    <row r="2116" spans="1:5" x14ac:dyDescent="0.25">
      <c r="A2116" t="s">
        <v>424</v>
      </c>
      <c r="B2116" t="s">
        <v>2505</v>
      </c>
      <c r="C2116" t="s">
        <v>2589</v>
      </c>
      <c r="D2116" t="s">
        <v>2679</v>
      </c>
      <c r="E2116">
        <v>32</v>
      </c>
    </row>
    <row r="2117" spans="1:5" x14ac:dyDescent="0.25">
      <c r="A2117" t="s">
        <v>424</v>
      </c>
      <c r="B2117" t="s">
        <v>2505</v>
      </c>
      <c r="C2117" t="s">
        <v>2589</v>
      </c>
      <c r="D2117" t="s">
        <v>2680</v>
      </c>
      <c r="E2117">
        <v>31</v>
      </c>
    </row>
    <row r="2118" spans="1:5" x14ac:dyDescent="0.25">
      <c r="A2118" t="s">
        <v>424</v>
      </c>
      <c r="B2118" t="s">
        <v>2505</v>
      </c>
      <c r="C2118" t="s">
        <v>2589</v>
      </c>
      <c r="D2118" t="s">
        <v>2681</v>
      </c>
      <c r="E2118">
        <v>37</v>
      </c>
    </row>
    <row r="2119" spans="1:5" x14ac:dyDescent="0.25">
      <c r="A2119" t="s">
        <v>424</v>
      </c>
      <c r="B2119" t="s">
        <v>2505</v>
      </c>
      <c r="C2119" t="s">
        <v>2589</v>
      </c>
      <c r="D2119" t="s">
        <v>2682</v>
      </c>
      <c r="E2119">
        <v>42</v>
      </c>
    </row>
    <row r="2120" spans="1:5" x14ac:dyDescent="0.25">
      <c r="A2120" t="s">
        <v>424</v>
      </c>
      <c r="B2120" t="s">
        <v>2505</v>
      </c>
      <c r="C2120" t="s">
        <v>2589</v>
      </c>
      <c r="D2120" t="s">
        <v>2683</v>
      </c>
      <c r="E2120">
        <v>41</v>
      </c>
    </row>
    <row r="2121" spans="1:5" x14ac:dyDescent="0.25">
      <c r="A2121" t="s">
        <v>424</v>
      </c>
      <c r="B2121" t="s">
        <v>2505</v>
      </c>
      <c r="C2121" t="s">
        <v>2589</v>
      </c>
      <c r="D2121" t="s">
        <v>2684</v>
      </c>
      <c r="E2121">
        <v>37</v>
      </c>
    </row>
    <row r="2122" spans="1:5" x14ac:dyDescent="0.25">
      <c r="A2122" t="s">
        <v>424</v>
      </c>
      <c r="B2122" t="s">
        <v>2505</v>
      </c>
      <c r="C2122" t="s">
        <v>2589</v>
      </c>
      <c r="D2122" t="s">
        <v>2685</v>
      </c>
      <c r="E2122">
        <v>37</v>
      </c>
    </row>
    <row r="2123" spans="1:5" x14ac:dyDescent="0.25">
      <c r="A2123" t="s">
        <v>424</v>
      </c>
      <c r="B2123" t="s">
        <v>2505</v>
      </c>
      <c r="C2123" t="s">
        <v>2589</v>
      </c>
      <c r="D2123" t="s">
        <v>2686</v>
      </c>
      <c r="E2123">
        <v>41</v>
      </c>
    </row>
    <row r="2124" spans="1:5" x14ac:dyDescent="0.25">
      <c r="A2124" t="s">
        <v>424</v>
      </c>
      <c r="B2124" t="s">
        <v>2505</v>
      </c>
      <c r="C2124" t="s">
        <v>2589</v>
      </c>
      <c r="D2124" t="s">
        <v>2687</v>
      </c>
      <c r="E2124">
        <v>51</v>
      </c>
    </row>
    <row r="2125" spans="1:5" x14ac:dyDescent="0.25">
      <c r="A2125" t="s">
        <v>424</v>
      </c>
      <c r="B2125" t="s">
        <v>2505</v>
      </c>
      <c r="C2125" t="s">
        <v>2589</v>
      </c>
      <c r="D2125" t="s">
        <v>2688</v>
      </c>
      <c r="E2125">
        <v>90</v>
      </c>
    </row>
    <row r="2126" spans="1:5" x14ac:dyDescent="0.25">
      <c r="A2126" t="s">
        <v>424</v>
      </c>
      <c r="B2126" t="s">
        <v>2505</v>
      </c>
      <c r="C2126" t="s">
        <v>2589</v>
      </c>
      <c r="D2126" t="s">
        <v>2689</v>
      </c>
      <c r="E2126">
        <v>67</v>
      </c>
    </row>
    <row r="2127" spans="1:5" x14ac:dyDescent="0.25">
      <c r="A2127" t="s">
        <v>424</v>
      </c>
      <c r="B2127" t="s">
        <v>2505</v>
      </c>
      <c r="C2127" t="s">
        <v>2589</v>
      </c>
      <c r="D2127" t="s">
        <v>2690</v>
      </c>
      <c r="E2127">
        <v>68</v>
      </c>
    </row>
    <row r="2128" spans="1:5" x14ac:dyDescent="0.25">
      <c r="A2128" t="s">
        <v>424</v>
      </c>
      <c r="B2128" t="s">
        <v>2505</v>
      </c>
      <c r="C2128" t="s">
        <v>2595</v>
      </c>
      <c r="D2128" t="s">
        <v>2677</v>
      </c>
      <c r="E2128">
        <v>22</v>
      </c>
    </row>
    <row r="2129" spans="1:5" x14ac:dyDescent="0.25">
      <c r="A2129" t="s">
        <v>424</v>
      </c>
      <c r="B2129" t="s">
        <v>2505</v>
      </c>
      <c r="C2129" t="s">
        <v>2595</v>
      </c>
      <c r="D2129" t="s">
        <v>2678</v>
      </c>
      <c r="E2129">
        <v>45</v>
      </c>
    </row>
    <row r="2130" spans="1:5" x14ac:dyDescent="0.25">
      <c r="A2130" t="s">
        <v>424</v>
      </c>
      <c r="B2130" t="s">
        <v>2505</v>
      </c>
      <c r="C2130" t="s">
        <v>2595</v>
      </c>
      <c r="D2130" t="s">
        <v>2679</v>
      </c>
      <c r="E2130">
        <v>40</v>
      </c>
    </row>
    <row r="2131" spans="1:5" x14ac:dyDescent="0.25">
      <c r="A2131" t="s">
        <v>424</v>
      </c>
      <c r="B2131" t="s">
        <v>2505</v>
      </c>
      <c r="C2131" t="s">
        <v>2595</v>
      </c>
      <c r="D2131" t="s">
        <v>2680</v>
      </c>
      <c r="E2131">
        <v>2</v>
      </c>
    </row>
    <row r="2132" spans="1:5" x14ac:dyDescent="0.25">
      <c r="A2132" t="s">
        <v>424</v>
      </c>
      <c r="B2132" t="s">
        <v>2505</v>
      </c>
      <c r="C2132" t="s">
        <v>2587</v>
      </c>
      <c r="D2132" t="s">
        <v>2680</v>
      </c>
      <c r="E2132">
        <v>28</v>
      </c>
    </row>
    <row r="2133" spans="1:5" x14ac:dyDescent="0.25">
      <c r="A2133" t="s">
        <v>424</v>
      </c>
      <c r="B2133" t="s">
        <v>2505</v>
      </c>
      <c r="C2133" t="s">
        <v>2587</v>
      </c>
      <c r="D2133" t="s">
        <v>2681</v>
      </c>
      <c r="E2133">
        <v>40</v>
      </c>
    </row>
    <row r="2134" spans="1:5" x14ac:dyDescent="0.25">
      <c r="A2134" t="s">
        <v>424</v>
      </c>
      <c r="B2134" t="s">
        <v>2505</v>
      </c>
      <c r="C2134" t="s">
        <v>2587</v>
      </c>
      <c r="D2134" t="s">
        <v>2682</v>
      </c>
      <c r="E2134">
        <v>47</v>
      </c>
    </row>
    <row r="2135" spans="1:5" x14ac:dyDescent="0.25">
      <c r="A2135" t="s">
        <v>424</v>
      </c>
      <c r="B2135" t="s">
        <v>2505</v>
      </c>
      <c r="C2135" t="s">
        <v>2587</v>
      </c>
      <c r="D2135" t="s">
        <v>2683</v>
      </c>
      <c r="E2135">
        <v>44</v>
      </c>
    </row>
    <row r="2136" spans="1:5" x14ac:dyDescent="0.25">
      <c r="A2136" t="s">
        <v>424</v>
      </c>
      <c r="B2136" t="s">
        <v>2505</v>
      </c>
      <c r="C2136" t="s">
        <v>2587</v>
      </c>
      <c r="D2136" t="s">
        <v>2684</v>
      </c>
      <c r="E2136">
        <v>34</v>
      </c>
    </row>
    <row r="2137" spans="1:5" x14ac:dyDescent="0.25">
      <c r="A2137" t="s">
        <v>424</v>
      </c>
      <c r="B2137" t="s">
        <v>2505</v>
      </c>
      <c r="C2137" t="s">
        <v>2587</v>
      </c>
      <c r="D2137" t="s">
        <v>2685</v>
      </c>
      <c r="E2137">
        <v>31</v>
      </c>
    </row>
    <row r="2138" spans="1:5" x14ac:dyDescent="0.25">
      <c r="A2138" t="s">
        <v>424</v>
      </c>
      <c r="B2138" t="s">
        <v>2505</v>
      </c>
      <c r="C2138" t="s">
        <v>2587</v>
      </c>
      <c r="D2138" t="s">
        <v>2686</v>
      </c>
      <c r="E2138">
        <v>31</v>
      </c>
    </row>
    <row r="2139" spans="1:5" x14ac:dyDescent="0.25">
      <c r="A2139" t="s">
        <v>424</v>
      </c>
      <c r="B2139" t="s">
        <v>2505</v>
      </c>
      <c r="C2139" t="s">
        <v>2587</v>
      </c>
      <c r="D2139" t="s">
        <v>2687</v>
      </c>
      <c r="E2139">
        <v>30</v>
      </c>
    </row>
    <row r="2140" spans="1:5" x14ac:dyDescent="0.25">
      <c r="A2140" t="s">
        <v>424</v>
      </c>
      <c r="B2140" t="s">
        <v>2505</v>
      </c>
      <c r="C2140" t="s">
        <v>2587</v>
      </c>
      <c r="D2140" t="s">
        <v>2688</v>
      </c>
      <c r="E2140">
        <v>30</v>
      </c>
    </row>
    <row r="2141" spans="1:5" x14ac:dyDescent="0.25">
      <c r="A2141" t="s">
        <v>424</v>
      </c>
      <c r="B2141" t="s">
        <v>2505</v>
      </c>
      <c r="C2141" t="s">
        <v>2587</v>
      </c>
      <c r="D2141" t="s">
        <v>2689</v>
      </c>
      <c r="E2141">
        <v>39</v>
      </c>
    </row>
    <row r="2142" spans="1:5" x14ac:dyDescent="0.25">
      <c r="A2142" t="s">
        <v>424</v>
      </c>
      <c r="B2142" t="s">
        <v>2505</v>
      </c>
      <c r="C2142" t="s">
        <v>2587</v>
      </c>
      <c r="D2142" t="s">
        <v>2690</v>
      </c>
      <c r="E2142">
        <v>46</v>
      </c>
    </row>
    <row r="2143" spans="1:5" x14ac:dyDescent="0.25">
      <c r="A2143" t="s">
        <v>424</v>
      </c>
      <c r="B2143" t="s">
        <v>2505</v>
      </c>
      <c r="C2143" t="s">
        <v>2586</v>
      </c>
      <c r="D2143" t="s">
        <v>2677</v>
      </c>
      <c r="E2143">
        <v>9</v>
      </c>
    </row>
    <row r="2144" spans="1:5" x14ac:dyDescent="0.25">
      <c r="A2144" t="s">
        <v>424</v>
      </c>
      <c r="B2144" t="s">
        <v>2505</v>
      </c>
      <c r="C2144" t="s">
        <v>2586</v>
      </c>
      <c r="D2144" t="s">
        <v>2678</v>
      </c>
      <c r="E2144">
        <v>24</v>
      </c>
    </row>
    <row r="2145" spans="1:5" x14ac:dyDescent="0.25">
      <c r="A2145" t="s">
        <v>424</v>
      </c>
      <c r="B2145" t="s">
        <v>2505</v>
      </c>
      <c r="C2145" t="s">
        <v>2586</v>
      </c>
      <c r="D2145" t="s">
        <v>2679</v>
      </c>
      <c r="E2145">
        <v>25</v>
      </c>
    </row>
    <row r="2146" spans="1:5" x14ac:dyDescent="0.25">
      <c r="A2146" t="s">
        <v>424</v>
      </c>
      <c r="B2146" t="s">
        <v>2505</v>
      </c>
      <c r="C2146" t="s">
        <v>2586</v>
      </c>
      <c r="D2146" t="s">
        <v>2680</v>
      </c>
      <c r="E2146">
        <v>27</v>
      </c>
    </row>
    <row r="2147" spans="1:5" x14ac:dyDescent="0.25">
      <c r="A2147" t="s">
        <v>424</v>
      </c>
      <c r="B2147" t="s">
        <v>2505</v>
      </c>
      <c r="C2147" t="s">
        <v>2586</v>
      </c>
      <c r="D2147" t="s">
        <v>2681</v>
      </c>
      <c r="E2147">
        <v>29</v>
      </c>
    </row>
    <row r="2148" spans="1:5" x14ac:dyDescent="0.25">
      <c r="A2148" t="s">
        <v>424</v>
      </c>
      <c r="B2148" t="s">
        <v>2505</v>
      </c>
      <c r="C2148" t="s">
        <v>2586</v>
      </c>
      <c r="D2148" t="s">
        <v>2682</v>
      </c>
      <c r="E2148">
        <v>29</v>
      </c>
    </row>
    <row r="2149" spans="1:5" x14ac:dyDescent="0.25">
      <c r="A2149" t="s">
        <v>424</v>
      </c>
      <c r="B2149" t="s">
        <v>2505</v>
      </c>
      <c r="C2149" t="s">
        <v>2586</v>
      </c>
      <c r="D2149" t="s">
        <v>2683</v>
      </c>
      <c r="E2149">
        <v>32</v>
      </c>
    </row>
    <row r="2150" spans="1:5" x14ac:dyDescent="0.25">
      <c r="A2150" t="s">
        <v>424</v>
      </c>
      <c r="B2150" t="s">
        <v>2505</v>
      </c>
      <c r="C2150" t="s">
        <v>2586</v>
      </c>
      <c r="D2150" t="s">
        <v>2684</v>
      </c>
      <c r="E2150">
        <v>33</v>
      </c>
    </row>
    <row r="2151" spans="1:5" x14ac:dyDescent="0.25">
      <c r="A2151" t="s">
        <v>424</v>
      </c>
      <c r="B2151" t="s">
        <v>2505</v>
      </c>
      <c r="C2151" t="s">
        <v>2586</v>
      </c>
      <c r="D2151" t="s">
        <v>2685</v>
      </c>
      <c r="E2151">
        <v>31</v>
      </c>
    </row>
    <row r="2152" spans="1:5" x14ac:dyDescent="0.25">
      <c r="A2152" t="s">
        <v>424</v>
      </c>
      <c r="B2152" t="s">
        <v>2505</v>
      </c>
      <c r="C2152" t="s">
        <v>2586</v>
      </c>
      <c r="D2152" t="s">
        <v>2686</v>
      </c>
      <c r="E2152">
        <v>47</v>
      </c>
    </row>
    <row r="2153" spans="1:5" x14ac:dyDescent="0.25">
      <c r="A2153" t="s">
        <v>424</v>
      </c>
      <c r="B2153" t="s">
        <v>2505</v>
      </c>
      <c r="C2153" t="s">
        <v>2586</v>
      </c>
      <c r="D2153" t="s">
        <v>2687</v>
      </c>
      <c r="E2153">
        <v>44</v>
      </c>
    </row>
    <row r="2154" spans="1:5" x14ac:dyDescent="0.25">
      <c r="A2154" t="s">
        <v>424</v>
      </c>
      <c r="B2154" t="s">
        <v>2505</v>
      </c>
      <c r="C2154" t="s">
        <v>2586</v>
      </c>
      <c r="D2154" t="s">
        <v>2688</v>
      </c>
      <c r="E2154">
        <v>2</v>
      </c>
    </row>
    <row r="2155" spans="1:5" x14ac:dyDescent="0.25">
      <c r="A2155" t="s">
        <v>424</v>
      </c>
      <c r="B2155" t="s">
        <v>2505</v>
      </c>
      <c r="C2155" t="s">
        <v>2585</v>
      </c>
      <c r="D2155" t="s">
        <v>2677</v>
      </c>
      <c r="E2155">
        <v>7</v>
      </c>
    </row>
    <row r="2156" spans="1:5" x14ac:dyDescent="0.25">
      <c r="A2156" t="s">
        <v>424</v>
      </c>
      <c r="B2156" t="s">
        <v>2505</v>
      </c>
      <c r="C2156" t="s">
        <v>2585</v>
      </c>
      <c r="D2156" t="s">
        <v>2678</v>
      </c>
      <c r="E2156">
        <v>17</v>
      </c>
    </row>
    <row r="2157" spans="1:5" x14ac:dyDescent="0.25">
      <c r="A2157" t="s">
        <v>424</v>
      </c>
      <c r="B2157" t="s">
        <v>2505</v>
      </c>
      <c r="C2157" t="s">
        <v>2585</v>
      </c>
      <c r="D2157" t="s">
        <v>2679</v>
      </c>
      <c r="E2157">
        <v>28</v>
      </c>
    </row>
    <row r="2158" spans="1:5" x14ac:dyDescent="0.25">
      <c r="A2158" t="s">
        <v>424</v>
      </c>
      <c r="B2158" t="s">
        <v>2505</v>
      </c>
      <c r="C2158" t="s">
        <v>2585</v>
      </c>
      <c r="D2158" t="s">
        <v>2680</v>
      </c>
      <c r="E2158">
        <v>26</v>
      </c>
    </row>
    <row r="2159" spans="1:5" x14ac:dyDescent="0.25">
      <c r="A2159" t="s">
        <v>424</v>
      </c>
      <c r="B2159" t="s">
        <v>2505</v>
      </c>
      <c r="C2159" t="s">
        <v>2585</v>
      </c>
      <c r="D2159" t="s">
        <v>2681</v>
      </c>
      <c r="E2159">
        <v>30</v>
      </c>
    </row>
    <row r="2160" spans="1:5" x14ac:dyDescent="0.25">
      <c r="A2160" t="s">
        <v>424</v>
      </c>
      <c r="B2160" t="s">
        <v>2505</v>
      </c>
      <c r="C2160" t="s">
        <v>2585</v>
      </c>
      <c r="D2160" t="s">
        <v>2682</v>
      </c>
      <c r="E2160">
        <v>40</v>
      </c>
    </row>
    <row r="2161" spans="1:5" x14ac:dyDescent="0.25">
      <c r="A2161" t="s">
        <v>424</v>
      </c>
      <c r="B2161" t="s">
        <v>2505</v>
      </c>
      <c r="C2161" t="s">
        <v>2585</v>
      </c>
      <c r="D2161" t="s">
        <v>2683</v>
      </c>
      <c r="E2161">
        <v>38</v>
      </c>
    </row>
    <row r="2162" spans="1:5" x14ac:dyDescent="0.25">
      <c r="A2162" t="s">
        <v>424</v>
      </c>
      <c r="B2162" t="s">
        <v>2505</v>
      </c>
      <c r="C2162" t="s">
        <v>2585</v>
      </c>
      <c r="D2162" t="s">
        <v>2684</v>
      </c>
      <c r="E2162">
        <v>31</v>
      </c>
    </row>
    <row r="2163" spans="1:5" x14ac:dyDescent="0.25">
      <c r="A2163" t="s">
        <v>424</v>
      </c>
      <c r="B2163" t="s">
        <v>2505</v>
      </c>
      <c r="C2163" t="s">
        <v>2585</v>
      </c>
      <c r="D2163" t="s">
        <v>2685</v>
      </c>
      <c r="E2163">
        <v>40</v>
      </c>
    </row>
    <row r="2164" spans="1:5" x14ac:dyDescent="0.25">
      <c r="A2164" t="s">
        <v>424</v>
      </c>
      <c r="B2164" t="s">
        <v>2505</v>
      </c>
      <c r="C2164" t="s">
        <v>2585</v>
      </c>
      <c r="D2164" t="s">
        <v>2686</v>
      </c>
      <c r="E2164">
        <v>36</v>
      </c>
    </row>
    <row r="2165" spans="1:5" x14ac:dyDescent="0.25">
      <c r="A2165" t="s">
        <v>424</v>
      </c>
      <c r="B2165" t="s">
        <v>2505</v>
      </c>
      <c r="C2165" t="s">
        <v>2585</v>
      </c>
      <c r="D2165" t="s">
        <v>2687</v>
      </c>
      <c r="E2165">
        <v>51</v>
      </c>
    </row>
    <row r="2166" spans="1:5" x14ac:dyDescent="0.25">
      <c r="A2166" t="s">
        <v>424</v>
      </c>
      <c r="B2166" t="s">
        <v>2505</v>
      </c>
      <c r="C2166" t="s">
        <v>2585</v>
      </c>
      <c r="D2166" t="s">
        <v>2688</v>
      </c>
      <c r="E2166">
        <v>58</v>
      </c>
    </row>
    <row r="2167" spans="1:5" x14ac:dyDescent="0.25">
      <c r="A2167" t="s">
        <v>424</v>
      </c>
      <c r="B2167" t="s">
        <v>2505</v>
      </c>
      <c r="C2167" t="s">
        <v>2585</v>
      </c>
      <c r="D2167" t="s">
        <v>2689</v>
      </c>
      <c r="E2167">
        <v>48</v>
      </c>
    </row>
    <row r="2168" spans="1:5" x14ac:dyDescent="0.25">
      <c r="A2168" t="s">
        <v>424</v>
      </c>
      <c r="B2168" t="s">
        <v>2505</v>
      </c>
      <c r="C2168" t="s">
        <v>2585</v>
      </c>
      <c r="D2168" t="s">
        <v>2690</v>
      </c>
      <c r="E2168">
        <v>41</v>
      </c>
    </row>
    <row r="2169" spans="1:5" x14ac:dyDescent="0.25">
      <c r="A2169" t="s">
        <v>424</v>
      </c>
      <c r="B2169" t="s">
        <v>2505</v>
      </c>
      <c r="C2169" t="s">
        <v>2584</v>
      </c>
      <c r="D2169" t="s">
        <v>2677</v>
      </c>
      <c r="E2169">
        <v>10</v>
      </c>
    </row>
    <row r="2170" spans="1:5" x14ac:dyDescent="0.25">
      <c r="A2170" t="s">
        <v>424</v>
      </c>
      <c r="B2170" t="s">
        <v>2505</v>
      </c>
      <c r="C2170" t="s">
        <v>2584</v>
      </c>
      <c r="D2170" t="s">
        <v>2678</v>
      </c>
      <c r="E2170">
        <v>26</v>
      </c>
    </row>
    <row r="2171" spans="1:5" x14ac:dyDescent="0.25">
      <c r="A2171" t="s">
        <v>424</v>
      </c>
      <c r="B2171" t="s">
        <v>2505</v>
      </c>
      <c r="C2171" t="s">
        <v>2584</v>
      </c>
      <c r="D2171" t="s">
        <v>2679</v>
      </c>
      <c r="E2171">
        <v>25</v>
      </c>
    </row>
    <row r="2172" spans="1:5" x14ac:dyDescent="0.25">
      <c r="A2172" t="s">
        <v>424</v>
      </c>
      <c r="B2172" t="s">
        <v>2505</v>
      </c>
      <c r="C2172" t="s">
        <v>2584</v>
      </c>
      <c r="D2172" t="s">
        <v>2680</v>
      </c>
      <c r="E2172">
        <v>22</v>
      </c>
    </row>
    <row r="2173" spans="1:5" x14ac:dyDescent="0.25">
      <c r="A2173" t="s">
        <v>424</v>
      </c>
      <c r="B2173" t="s">
        <v>2505</v>
      </c>
      <c r="C2173" t="s">
        <v>2584</v>
      </c>
      <c r="D2173" t="s">
        <v>2681</v>
      </c>
      <c r="E2173">
        <v>18</v>
      </c>
    </row>
    <row r="2174" spans="1:5" x14ac:dyDescent="0.25">
      <c r="A2174" t="s">
        <v>424</v>
      </c>
      <c r="B2174" t="s">
        <v>2505</v>
      </c>
      <c r="C2174" t="s">
        <v>2584</v>
      </c>
      <c r="D2174" t="s">
        <v>2682</v>
      </c>
      <c r="E2174">
        <v>24</v>
      </c>
    </row>
    <row r="2175" spans="1:5" x14ac:dyDescent="0.25">
      <c r="A2175" t="s">
        <v>424</v>
      </c>
      <c r="B2175" t="s">
        <v>2505</v>
      </c>
      <c r="C2175" t="s">
        <v>2584</v>
      </c>
      <c r="D2175" t="s">
        <v>2683</v>
      </c>
      <c r="E2175">
        <v>27</v>
      </c>
    </row>
    <row r="2176" spans="1:5" x14ac:dyDescent="0.25">
      <c r="A2176" t="s">
        <v>424</v>
      </c>
      <c r="B2176" t="s">
        <v>2505</v>
      </c>
      <c r="C2176" t="s">
        <v>2584</v>
      </c>
      <c r="D2176" t="s">
        <v>2684</v>
      </c>
      <c r="E2176">
        <v>27</v>
      </c>
    </row>
    <row r="2177" spans="1:5" x14ac:dyDescent="0.25">
      <c r="A2177" t="s">
        <v>424</v>
      </c>
      <c r="B2177" t="s">
        <v>2505</v>
      </c>
      <c r="C2177" t="s">
        <v>2584</v>
      </c>
      <c r="D2177" t="s">
        <v>2685</v>
      </c>
      <c r="E2177">
        <v>28</v>
      </c>
    </row>
    <row r="2178" spans="1:5" x14ac:dyDescent="0.25">
      <c r="A2178" t="s">
        <v>424</v>
      </c>
      <c r="B2178" t="s">
        <v>2505</v>
      </c>
      <c r="C2178" t="s">
        <v>2584</v>
      </c>
      <c r="D2178" t="s">
        <v>2686</v>
      </c>
      <c r="E2178">
        <v>28</v>
      </c>
    </row>
    <row r="2179" spans="1:5" x14ac:dyDescent="0.25">
      <c r="A2179" t="s">
        <v>424</v>
      </c>
      <c r="B2179" t="s">
        <v>2505</v>
      </c>
      <c r="C2179" t="s">
        <v>2584</v>
      </c>
      <c r="D2179" t="s">
        <v>2687</v>
      </c>
      <c r="E2179">
        <v>34</v>
      </c>
    </row>
    <row r="2180" spans="1:5" x14ac:dyDescent="0.25">
      <c r="A2180" t="s">
        <v>424</v>
      </c>
      <c r="B2180" t="s">
        <v>2505</v>
      </c>
      <c r="C2180" t="s">
        <v>2584</v>
      </c>
      <c r="D2180" t="s">
        <v>2688</v>
      </c>
      <c r="E2180">
        <v>28</v>
      </c>
    </row>
    <row r="2181" spans="1:5" x14ac:dyDescent="0.25">
      <c r="A2181" t="s">
        <v>424</v>
      </c>
      <c r="B2181" t="s">
        <v>2505</v>
      </c>
      <c r="C2181" t="s">
        <v>2584</v>
      </c>
      <c r="D2181" t="s">
        <v>2689</v>
      </c>
      <c r="E2181">
        <v>25</v>
      </c>
    </row>
    <row r="2182" spans="1:5" x14ac:dyDescent="0.25">
      <c r="A2182" t="s">
        <v>424</v>
      </c>
      <c r="B2182" t="s">
        <v>2505</v>
      </c>
      <c r="C2182" t="s">
        <v>2584</v>
      </c>
      <c r="D2182" t="s">
        <v>2690</v>
      </c>
      <c r="E2182">
        <v>2</v>
      </c>
    </row>
    <row r="2183" spans="1:5" x14ac:dyDescent="0.25">
      <c r="A2183" t="s">
        <v>424</v>
      </c>
      <c r="B2183" t="s">
        <v>2698</v>
      </c>
      <c r="C2183" t="s">
        <v>2726</v>
      </c>
      <c r="D2183" t="s">
        <v>2678</v>
      </c>
      <c r="E2183">
        <v>1</v>
      </c>
    </row>
    <row r="2184" spans="1:5" x14ac:dyDescent="0.25">
      <c r="A2184" t="s">
        <v>424</v>
      </c>
      <c r="B2184" t="s">
        <v>2698</v>
      </c>
      <c r="C2184" t="s">
        <v>2727</v>
      </c>
      <c r="D2184" t="s">
        <v>2677</v>
      </c>
      <c r="E2184">
        <v>1</v>
      </c>
    </row>
    <row r="2185" spans="1:5" x14ac:dyDescent="0.25">
      <c r="A2185" t="s">
        <v>424</v>
      </c>
      <c r="B2185" t="s">
        <v>2698</v>
      </c>
      <c r="C2185" t="s">
        <v>2728</v>
      </c>
      <c r="D2185" t="s">
        <v>2678</v>
      </c>
      <c r="E2185">
        <v>1</v>
      </c>
    </row>
    <row r="2186" spans="1:5" x14ac:dyDescent="0.25">
      <c r="A2186" t="s">
        <v>2668</v>
      </c>
      <c r="B2186" t="s">
        <v>2470</v>
      </c>
      <c r="C2186" t="s">
        <v>2660</v>
      </c>
      <c r="D2186" t="s">
        <v>2678</v>
      </c>
      <c r="E2186">
        <v>14</v>
      </c>
    </row>
    <row r="2187" spans="1:5" x14ac:dyDescent="0.25">
      <c r="A2187" t="s">
        <v>2668</v>
      </c>
      <c r="B2187" t="s">
        <v>2470</v>
      </c>
      <c r="C2187" t="s">
        <v>2660</v>
      </c>
      <c r="D2187" t="s">
        <v>2679</v>
      </c>
      <c r="E2187">
        <v>16</v>
      </c>
    </row>
    <row r="2188" spans="1:5" x14ac:dyDescent="0.25">
      <c r="A2188" t="s">
        <v>2668</v>
      </c>
      <c r="B2188" t="s">
        <v>2470</v>
      </c>
      <c r="C2188" t="s">
        <v>2660</v>
      </c>
      <c r="D2188" t="s">
        <v>2680</v>
      </c>
      <c r="E2188">
        <v>34</v>
      </c>
    </row>
    <row r="2189" spans="1:5" x14ac:dyDescent="0.25">
      <c r="A2189" t="s">
        <v>2668</v>
      </c>
      <c r="B2189" t="s">
        <v>2470</v>
      </c>
      <c r="C2189" t="s">
        <v>2660</v>
      </c>
      <c r="D2189" t="s">
        <v>2681</v>
      </c>
      <c r="E2189">
        <v>41</v>
      </c>
    </row>
    <row r="2190" spans="1:5" x14ac:dyDescent="0.25">
      <c r="A2190" t="s">
        <v>2668</v>
      </c>
      <c r="B2190" t="s">
        <v>2470</v>
      </c>
      <c r="C2190" t="s">
        <v>2660</v>
      </c>
      <c r="D2190" t="s">
        <v>2682</v>
      </c>
      <c r="E2190">
        <v>69</v>
      </c>
    </row>
    <row r="2191" spans="1:5" x14ac:dyDescent="0.25">
      <c r="A2191" t="s">
        <v>2668</v>
      </c>
      <c r="B2191" t="s">
        <v>2470</v>
      </c>
      <c r="C2191" t="s">
        <v>2660</v>
      </c>
      <c r="D2191" t="s">
        <v>2683</v>
      </c>
      <c r="E2191">
        <v>91</v>
      </c>
    </row>
    <row r="2192" spans="1:5" x14ac:dyDescent="0.25">
      <c r="A2192" t="s">
        <v>2668</v>
      </c>
      <c r="B2192" t="s">
        <v>2470</v>
      </c>
      <c r="C2192" t="s">
        <v>2660</v>
      </c>
      <c r="D2192" t="s">
        <v>2684</v>
      </c>
      <c r="E2192">
        <v>188</v>
      </c>
    </row>
    <row r="2193" spans="1:5" x14ac:dyDescent="0.25">
      <c r="A2193" t="s">
        <v>2668</v>
      </c>
      <c r="B2193" t="s">
        <v>2470</v>
      </c>
      <c r="C2193" t="s">
        <v>2660</v>
      </c>
      <c r="D2193" t="s">
        <v>2685</v>
      </c>
      <c r="E2193">
        <v>218</v>
      </c>
    </row>
    <row r="2194" spans="1:5" x14ac:dyDescent="0.25">
      <c r="A2194" t="s">
        <v>2668</v>
      </c>
      <c r="B2194" t="s">
        <v>2470</v>
      </c>
      <c r="C2194" t="s">
        <v>2660</v>
      </c>
      <c r="D2194" t="s">
        <v>2686</v>
      </c>
      <c r="E2194">
        <v>183</v>
      </c>
    </row>
    <row r="2195" spans="1:5" x14ac:dyDescent="0.25">
      <c r="A2195" t="s">
        <v>2668</v>
      </c>
      <c r="B2195" t="s">
        <v>2470</v>
      </c>
      <c r="C2195" t="s">
        <v>2660</v>
      </c>
      <c r="D2195" t="s">
        <v>2687</v>
      </c>
      <c r="E2195">
        <v>137</v>
      </c>
    </row>
    <row r="2196" spans="1:5" x14ac:dyDescent="0.25">
      <c r="A2196" t="s">
        <v>2668</v>
      </c>
      <c r="B2196" t="s">
        <v>2470</v>
      </c>
      <c r="C2196" t="s">
        <v>2660</v>
      </c>
      <c r="D2196" t="s">
        <v>2688</v>
      </c>
      <c r="E2196">
        <v>145</v>
      </c>
    </row>
    <row r="2197" spans="1:5" x14ac:dyDescent="0.25">
      <c r="A2197" t="s">
        <v>2668</v>
      </c>
      <c r="B2197" t="s">
        <v>2470</v>
      </c>
      <c r="C2197" t="s">
        <v>2660</v>
      </c>
      <c r="D2197" t="s">
        <v>2689</v>
      </c>
      <c r="E2197">
        <v>94</v>
      </c>
    </row>
    <row r="2198" spans="1:5" x14ac:dyDescent="0.25">
      <c r="A2198" t="s">
        <v>2668</v>
      </c>
      <c r="B2198" t="s">
        <v>2470</v>
      </c>
      <c r="C2198" t="s">
        <v>2660</v>
      </c>
      <c r="D2198" t="s">
        <v>2690</v>
      </c>
      <c r="E2198">
        <v>80</v>
      </c>
    </row>
    <row r="2199" spans="1:5" x14ac:dyDescent="0.25">
      <c r="A2199" t="s">
        <v>194</v>
      </c>
      <c r="B2199" t="s">
        <v>2518</v>
      </c>
      <c r="C2199" t="s">
        <v>2596</v>
      </c>
      <c r="D2199" t="s">
        <v>2677</v>
      </c>
      <c r="E2199">
        <v>8</v>
      </c>
    </row>
    <row r="2200" spans="1:5" x14ac:dyDescent="0.25">
      <c r="A2200" t="s">
        <v>194</v>
      </c>
      <c r="B2200" t="s">
        <v>2518</v>
      </c>
      <c r="C2200" t="s">
        <v>2596</v>
      </c>
      <c r="D2200" t="s">
        <v>2678</v>
      </c>
      <c r="E2200">
        <v>24</v>
      </c>
    </row>
    <row r="2201" spans="1:5" x14ac:dyDescent="0.25">
      <c r="A2201" t="s">
        <v>194</v>
      </c>
      <c r="B2201" t="s">
        <v>2518</v>
      </c>
      <c r="C2201" t="s">
        <v>2596</v>
      </c>
      <c r="D2201" t="s">
        <v>2679</v>
      </c>
      <c r="E2201">
        <v>21</v>
      </c>
    </row>
    <row r="2202" spans="1:5" x14ac:dyDescent="0.25">
      <c r="A2202" t="s">
        <v>194</v>
      </c>
      <c r="B2202" t="s">
        <v>2518</v>
      </c>
      <c r="C2202" t="s">
        <v>2596</v>
      </c>
      <c r="D2202" t="s">
        <v>2680</v>
      </c>
      <c r="E2202">
        <v>19</v>
      </c>
    </row>
    <row r="2203" spans="1:5" x14ac:dyDescent="0.25">
      <c r="A2203" t="s">
        <v>194</v>
      </c>
      <c r="B2203" t="s">
        <v>2518</v>
      </c>
      <c r="C2203" t="s">
        <v>2596</v>
      </c>
      <c r="D2203" t="s">
        <v>2681</v>
      </c>
      <c r="E2203">
        <v>18</v>
      </c>
    </row>
    <row r="2204" spans="1:5" x14ac:dyDescent="0.25">
      <c r="A2204" t="s">
        <v>194</v>
      </c>
      <c r="B2204" t="s">
        <v>2518</v>
      </c>
      <c r="C2204" t="s">
        <v>2596</v>
      </c>
      <c r="D2204" t="s">
        <v>2682</v>
      </c>
      <c r="E2204">
        <v>10</v>
      </c>
    </row>
    <row r="2205" spans="1:5" x14ac:dyDescent="0.25">
      <c r="A2205" t="s">
        <v>194</v>
      </c>
      <c r="B2205" t="s">
        <v>2518</v>
      </c>
      <c r="C2205" t="s">
        <v>2596</v>
      </c>
      <c r="D2205" t="s">
        <v>2683</v>
      </c>
      <c r="E2205">
        <v>15</v>
      </c>
    </row>
    <row r="2206" spans="1:5" x14ac:dyDescent="0.25">
      <c r="A2206" t="s">
        <v>194</v>
      </c>
      <c r="B2206" t="s">
        <v>2518</v>
      </c>
      <c r="C2206" t="s">
        <v>2596</v>
      </c>
      <c r="D2206" t="s">
        <v>2684</v>
      </c>
      <c r="E2206">
        <v>21</v>
      </c>
    </row>
    <row r="2207" spans="1:5" x14ac:dyDescent="0.25">
      <c r="A2207" t="s">
        <v>194</v>
      </c>
      <c r="B2207" t="s">
        <v>2518</v>
      </c>
      <c r="C2207" t="s">
        <v>2596</v>
      </c>
      <c r="D2207" t="s">
        <v>2685</v>
      </c>
      <c r="E2207">
        <v>17</v>
      </c>
    </row>
    <row r="2208" spans="1:5" x14ac:dyDescent="0.25">
      <c r="A2208" t="s">
        <v>194</v>
      </c>
      <c r="B2208" t="s">
        <v>2518</v>
      </c>
      <c r="C2208" t="s">
        <v>2596</v>
      </c>
      <c r="D2208" t="s">
        <v>2686</v>
      </c>
      <c r="E2208">
        <v>17</v>
      </c>
    </row>
    <row r="2209" spans="1:5" x14ac:dyDescent="0.25">
      <c r="A2209" t="s">
        <v>194</v>
      </c>
      <c r="B2209" t="s">
        <v>2518</v>
      </c>
      <c r="C2209" t="s">
        <v>2596</v>
      </c>
      <c r="D2209" t="s">
        <v>2687</v>
      </c>
      <c r="E2209">
        <v>19</v>
      </c>
    </row>
    <row r="2210" spans="1:5" x14ac:dyDescent="0.25">
      <c r="A2210" t="s">
        <v>194</v>
      </c>
      <c r="B2210" t="s">
        <v>2518</v>
      </c>
      <c r="C2210" t="s">
        <v>2596</v>
      </c>
      <c r="D2210" t="s">
        <v>2688</v>
      </c>
      <c r="E2210">
        <v>29</v>
      </c>
    </row>
    <row r="2211" spans="1:5" x14ac:dyDescent="0.25">
      <c r="A2211" t="s">
        <v>194</v>
      </c>
      <c r="B2211" t="s">
        <v>2518</v>
      </c>
      <c r="C2211" t="s">
        <v>2596</v>
      </c>
      <c r="D2211" t="s">
        <v>2689</v>
      </c>
      <c r="E2211">
        <v>27</v>
      </c>
    </row>
    <row r="2212" spans="1:5" x14ac:dyDescent="0.25">
      <c r="A2212" t="s">
        <v>194</v>
      </c>
      <c r="B2212" t="s">
        <v>2518</v>
      </c>
      <c r="C2212" t="s">
        <v>2596</v>
      </c>
      <c r="D2212" t="s">
        <v>2690</v>
      </c>
      <c r="E2212">
        <v>20</v>
      </c>
    </row>
    <row r="2213" spans="1:5" x14ac:dyDescent="0.25">
      <c r="A2213" t="s">
        <v>194</v>
      </c>
      <c r="B2213" t="s">
        <v>2518</v>
      </c>
      <c r="C2213" t="s">
        <v>2519</v>
      </c>
      <c r="D2213" t="s">
        <v>2678</v>
      </c>
      <c r="E2213">
        <v>1</v>
      </c>
    </row>
    <row r="2214" spans="1:5" x14ac:dyDescent="0.25">
      <c r="A2214" t="s">
        <v>194</v>
      </c>
      <c r="B2214" t="s">
        <v>2518</v>
      </c>
      <c r="C2214" t="s">
        <v>2519</v>
      </c>
      <c r="D2214" t="s">
        <v>2679</v>
      </c>
      <c r="E2214">
        <v>4</v>
      </c>
    </row>
    <row r="2215" spans="1:5" x14ac:dyDescent="0.25">
      <c r="A2215" t="s">
        <v>194</v>
      </c>
      <c r="B2215" t="s">
        <v>2518</v>
      </c>
      <c r="C2215" t="s">
        <v>2519</v>
      </c>
      <c r="D2215" t="s">
        <v>2680</v>
      </c>
      <c r="E2215">
        <v>7</v>
      </c>
    </row>
    <row r="2216" spans="1:5" x14ac:dyDescent="0.25">
      <c r="A2216" t="s">
        <v>194</v>
      </c>
      <c r="B2216" t="s">
        <v>2518</v>
      </c>
      <c r="C2216" t="s">
        <v>2519</v>
      </c>
      <c r="D2216" t="s">
        <v>2681</v>
      </c>
      <c r="E2216">
        <v>6</v>
      </c>
    </row>
    <row r="2217" spans="1:5" x14ac:dyDescent="0.25">
      <c r="A2217" t="s">
        <v>194</v>
      </c>
      <c r="B2217" t="s">
        <v>2518</v>
      </c>
      <c r="C2217" t="s">
        <v>2519</v>
      </c>
      <c r="D2217" t="s">
        <v>2682</v>
      </c>
      <c r="E2217">
        <v>8</v>
      </c>
    </row>
    <row r="2218" spans="1:5" x14ac:dyDescent="0.25">
      <c r="A2218" t="s">
        <v>194</v>
      </c>
      <c r="B2218" t="s">
        <v>2518</v>
      </c>
      <c r="C2218" t="s">
        <v>2519</v>
      </c>
      <c r="D2218" t="s">
        <v>2683</v>
      </c>
      <c r="E2218">
        <v>4</v>
      </c>
    </row>
    <row r="2219" spans="1:5" x14ac:dyDescent="0.25">
      <c r="A2219" t="s">
        <v>194</v>
      </c>
      <c r="B2219" t="s">
        <v>2518</v>
      </c>
      <c r="C2219" t="s">
        <v>2519</v>
      </c>
      <c r="D2219" t="s">
        <v>2684</v>
      </c>
      <c r="E2219">
        <v>2</v>
      </c>
    </row>
    <row r="2220" spans="1:5" x14ac:dyDescent="0.25">
      <c r="A2220" t="s">
        <v>194</v>
      </c>
      <c r="B2220" t="s">
        <v>2505</v>
      </c>
      <c r="C2220" t="s">
        <v>2596</v>
      </c>
      <c r="D2220" t="s">
        <v>2677</v>
      </c>
      <c r="E2220">
        <v>3</v>
      </c>
    </row>
    <row r="2221" spans="1:5" x14ac:dyDescent="0.25">
      <c r="A2221" t="s">
        <v>194</v>
      </c>
      <c r="B2221" t="s">
        <v>2505</v>
      </c>
      <c r="C2221" t="s">
        <v>2596</v>
      </c>
      <c r="D2221" t="s">
        <v>2678</v>
      </c>
      <c r="E2221">
        <v>11</v>
      </c>
    </row>
    <row r="2222" spans="1:5" x14ac:dyDescent="0.25">
      <c r="A2222" t="s">
        <v>194</v>
      </c>
      <c r="B2222" t="s">
        <v>2505</v>
      </c>
      <c r="C2222" t="s">
        <v>2596</v>
      </c>
      <c r="D2222" t="s">
        <v>2679</v>
      </c>
      <c r="E2222">
        <v>8</v>
      </c>
    </row>
    <row r="2223" spans="1:5" x14ac:dyDescent="0.25">
      <c r="A2223" t="s">
        <v>194</v>
      </c>
      <c r="B2223" t="s">
        <v>2505</v>
      </c>
      <c r="C2223" t="s">
        <v>2596</v>
      </c>
      <c r="D2223" t="s">
        <v>2680</v>
      </c>
      <c r="E2223">
        <v>8</v>
      </c>
    </row>
    <row r="2224" spans="1:5" x14ac:dyDescent="0.25">
      <c r="A2224" t="s">
        <v>194</v>
      </c>
      <c r="B2224" t="s">
        <v>2505</v>
      </c>
      <c r="C2224" t="s">
        <v>2596</v>
      </c>
      <c r="D2224" t="s">
        <v>2681</v>
      </c>
      <c r="E2224">
        <v>11</v>
      </c>
    </row>
    <row r="2225" spans="1:5" x14ac:dyDescent="0.25">
      <c r="A2225" t="s">
        <v>194</v>
      </c>
      <c r="B2225" t="s">
        <v>2505</v>
      </c>
      <c r="C2225" t="s">
        <v>2596</v>
      </c>
      <c r="D2225" t="s">
        <v>2682</v>
      </c>
      <c r="E2225">
        <v>16</v>
      </c>
    </row>
    <row r="2226" spans="1:5" x14ac:dyDescent="0.25">
      <c r="A2226" t="s">
        <v>194</v>
      </c>
      <c r="B2226" t="s">
        <v>2505</v>
      </c>
      <c r="C2226" t="s">
        <v>2596</v>
      </c>
      <c r="D2226" t="s">
        <v>2683</v>
      </c>
      <c r="E2226">
        <v>19</v>
      </c>
    </row>
    <row r="2227" spans="1:5" x14ac:dyDescent="0.25">
      <c r="A2227" t="s">
        <v>194</v>
      </c>
      <c r="B2227" t="s">
        <v>2505</v>
      </c>
      <c r="C2227" t="s">
        <v>2596</v>
      </c>
      <c r="D2227" t="s">
        <v>2684</v>
      </c>
      <c r="E2227">
        <v>21</v>
      </c>
    </row>
    <row r="2228" spans="1:5" x14ac:dyDescent="0.25">
      <c r="A2228" t="s">
        <v>194</v>
      </c>
      <c r="B2228" t="s">
        <v>2505</v>
      </c>
      <c r="C2228" t="s">
        <v>2596</v>
      </c>
      <c r="D2228" t="s">
        <v>2685</v>
      </c>
      <c r="E2228">
        <v>24</v>
      </c>
    </row>
    <row r="2229" spans="1:5" x14ac:dyDescent="0.25">
      <c r="A2229" t="s">
        <v>194</v>
      </c>
      <c r="B2229" t="s">
        <v>2505</v>
      </c>
      <c r="C2229" t="s">
        <v>2596</v>
      </c>
      <c r="D2229" t="s">
        <v>2686</v>
      </c>
      <c r="E2229">
        <v>31</v>
      </c>
    </row>
    <row r="2230" spans="1:5" x14ac:dyDescent="0.25">
      <c r="A2230" t="s">
        <v>194</v>
      </c>
      <c r="B2230" t="s">
        <v>2505</v>
      </c>
      <c r="C2230" t="s">
        <v>2596</v>
      </c>
      <c r="D2230" t="s">
        <v>2687</v>
      </c>
      <c r="E2230">
        <v>37</v>
      </c>
    </row>
    <row r="2231" spans="1:5" x14ac:dyDescent="0.25">
      <c r="A2231" t="s">
        <v>194</v>
      </c>
      <c r="B2231" t="s">
        <v>2505</v>
      </c>
      <c r="C2231" t="s">
        <v>2596</v>
      </c>
      <c r="D2231" t="s">
        <v>2688</v>
      </c>
      <c r="E2231">
        <v>37</v>
      </c>
    </row>
    <row r="2232" spans="1:5" x14ac:dyDescent="0.25">
      <c r="A2232" t="s">
        <v>194</v>
      </c>
      <c r="B2232" t="s">
        <v>2505</v>
      </c>
      <c r="C2232" t="s">
        <v>2596</v>
      </c>
      <c r="D2232" t="s">
        <v>2689</v>
      </c>
      <c r="E2232">
        <v>31</v>
      </c>
    </row>
    <row r="2233" spans="1:5" x14ac:dyDescent="0.25">
      <c r="A2233" t="s">
        <v>194</v>
      </c>
      <c r="B2233" t="s">
        <v>2505</v>
      </c>
      <c r="C2233" t="s">
        <v>2596</v>
      </c>
      <c r="D2233" t="s">
        <v>2690</v>
      </c>
      <c r="E2233">
        <v>25</v>
      </c>
    </row>
    <row r="2234" spans="1:5" x14ac:dyDescent="0.25">
      <c r="A2234" t="s">
        <v>2729</v>
      </c>
      <c r="B2234" t="s">
        <v>2470</v>
      </c>
      <c r="C2234" t="s">
        <v>86</v>
      </c>
      <c r="D2234" t="s">
        <v>2679</v>
      </c>
      <c r="E2234">
        <v>1</v>
      </c>
    </row>
    <row r="2235" spans="1:5" x14ac:dyDescent="0.25">
      <c r="A2235" t="s">
        <v>2729</v>
      </c>
      <c r="B2235" t="s">
        <v>2470</v>
      </c>
      <c r="C2235" t="s">
        <v>86</v>
      </c>
      <c r="D2235" t="s">
        <v>2680</v>
      </c>
      <c r="E2235">
        <v>3</v>
      </c>
    </row>
    <row r="2236" spans="1:5" x14ac:dyDescent="0.25">
      <c r="A2236" t="s">
        <v>2729</v>
      </c>
      <c r="B2236" t="s">
        <v>2470</v>
      </c>
      <c r="C2236" t="s">
        <v>86</v>
      </c>
      <c r="D2236" t="s">
        <v>2681</v>
      </c>
      <c r="E2236">
        <v>6</v>
      </c>
    </row>
    <row r="2237" spans="1:5" x14ac:dyDescent="0.25">
      <c r="A2237" t="s">
        <v>2729</v>
      </c>
      <c r="B2237" t="s">
        <v>2470</v>
      </c>
      <c r="C2237" t="s">
        <v>86</v>
      </c>
      <c r="D2237" t="s">
        <v>2682</v>
      </c>
      <c r="E2237">
        <v>65</v>
      </c>
    </row>
    <row r="2238" spans="1:5" x14ac:dyDescent="0.25">
      <c r="A2238" t="s">
        <v>2729</v>
      </c>
      <c r="B2238" t="s">
        <v>2470</v>
      </c>
      <c r="C2238" t="s">
        <v>86</v>
      </c>
      <c r="D2238" t="s">
        <v>2683</v>
      </c>
      <c r="E2238">
        <v>229</v>
      </c>
    </row>
    <row r="2239" spans="1:5" x14ac:dyDescent="0.25">
      <c r="A2239" t="s">
        <v>2729</v>
      </c>
      <c r="B2239" t="s">
        <v>2470</v>
      </c>
      <c r="C2239" t="s">
        <v>86</v>
      </c>
      <c r="D2239" t="s">
        <v>2684</v>
      </c>
      <c r="E2239">
        <v>409</v>
      </c>
    </row>
    <row r="2240" spans="1:5" x14ac:dyDescent="0.25">
      <c r="A2240" t="s">
        <v>2729</v>
      </c>
      <c r="B2240" t="s">
        <v>2470</v>
      </c>
      <c r="C2240" t="s">
        <v>86</v>
      </c>
      <c r="D2240" t="s">
        <v>2685</v>
      </c>
      <c r="E2240">
        <v>590</v>
      </c>
    </row>
    <row r="2241" spans="1:5" x14ac:dyDescent="0.25">
      <c r="A2241" t="s">
        <v>2729</v>
      </c>
      <c r="B2241" t="s">
        <v>2470</v>
      </c>
      <c r="C2241" t="s">
        <v>86</v>
      </c>
      <c r="D2241" t="s">
        <v>2686</v>
      </c>
      <c r="E2241">
        <v>757</v>
      </c>
    </row>
    <row r="2242" spans="1:5" x14ac:dyDescent="0.25">
      <c r="A2242" t="s">
        <v>2729</v>
      </c>
      <c r="B2242" t="s">
        <v>2470</v>
      </c>
      <c r="C2242" t="s">
        <v>86</v>
      </c>
      <c r="D2242" t="s">
        <v>2687</v>
      </c>
      <c r="E2242">
        <v>900</v>
      </c>
    </row>
    <row r="2243" spans="1:5" x14ac:dyDescent="0.25">
      <c r="A2243" t="s">
        <v>2729</v>
      </c>
      <c r="B2243" t="s">
        <v>2470</v>
      </c>
      <c r="C2243" t="s">
        <v>86</v>
      </c>
      <c r="D2243" t="s">
        <v>2688</v>
      </c>
      <c r="E2243">
        <v>842</v>
      </c>
    </row>
    <row r="2244" spans="1:5" x14ac:dyDescent="0.25">
      <c r="A2244" t="s">
        <v>2729</v>
      </c>
      <c r="B2244" t="s">
        <v>2470</v>
      </c>
      <c r="C2244" t="s">
        <v>86</v>
      </c>
      <c r="D2244" t="s">
        <v>2689</v>
      </c>
      <c r="E2244">
        <v>192</v>
      </c>
    </row>
    <row r="2245" spans="1:5" x14ac:dyDescent="0.25">
      <c r="A2245" t="s">
        <v>2729</v>
      </c>
      <c r="B2245" t="s">
        <v>2470</v>
      </c>
      <c r="C2245" t="s">
        <v>86</v>
      </c>
      <c r="D2245" t="s">
        <v>2690</v>
      </c>
      <c r="E2245">
        <v>135</v>
      </c>
    </row>
    <row r="2246" spans="1:5" x14ac:dyDescent="0.25">
      <c r="A2246" t="s">
        <v>2729</v>
      </c>
      <c r="B2246" t="s">
        <v>2470</v>
      </c>
      <c r="C2246" t="s">
        <v>2730</v>
      </c>
      <c r="D2246" t="s">
        <v>2681</v>
      </c>
      <c r="E2246">
        <v>2</v>
      </c>
    </row>
    <row r="2247" spans="1:5" x14ac:dyDescent="0.25">
      <c r="A2247" t="s">
        <v>2729</v>
      </c>
      <c r="B2247" t="s">
        <v>2470</v>
      </c>
      <c r="C2247" t="s">
        <v>2730</v>
      </c>
      <c r="D2247" t="s">
        <v>2682</v>
      </c>
      <c r="E2247">
        <v>15</v>
      </c>
    </row>
    <row r="2248" spans="1:5" x14ac:dyDescent="0.25">
      <c r="A2248" t="s">
        <v>2729</v>
      </c>
      <c r="B2248" t="s">
        <v>2470</v>
      </c>
      <c r="C2248" t="s">
        <v>2730</v>
      </c>
      <c r="D2248" t="s">
        <v>2683</v>
      </c>
      <c r="E2248">
        <v>84</v>
      </c>
    </row>
    <row r="2249" spans="1:5" x14ac:dyDescent="0.25">
      <c r="A2249" t="s">
        <v>2729</v>
      </c>
      <c r="B2249" t="s">
        <v>2470</v>
      </c>
      <c r="C2249" t="s">
        <v>2730</v>
      </c>
      <c r="D2249" t="s">
        <v>2684</v>
      </c>
      <c r="E2249">
        <v>121</v>
      </c>
    </row>
    <row r="2250" spans="1:5" x14ac:dyDescent="0.25">
      <c r="A2250" t="s">
        <v>2729</v>
      </c>
      <c r="B2250" t="s">
        <v>2470</v>
      </c>
      <c r="C2250" t="s">
        <v>2730</v>
      </c>
      <c r="D2250" t="s">
        <v>2685</v>
      </c>
      <c r="E2250">
        <v>163</v>
      </c>
    </row>
    <row r="2251" spans="1:5" x14ac:dyDescent="0.25">
      <c r="A2251" t="s">
        <v>2729</v>
      </c>
      <c r="B2251" t="s">
        <v>2470</v>
      </c>
      <c r="C2251" t="s">
        <v>2730</v>
      </c>
      <c r="D2251" t="s">
        <v>2686</v>
      </c>
      <c r="E2251">
        <v>216</v>
      </c>
    </row>
    <row r="2252" spans="1:5" x14ac:dyDescent="0.25">
      <c r="A2252" t="s">
        <v>2729</v>
      </c>
      <c r="B2252" t="s">
        <v>2470</v>
      </c>
      <c r="C2252" t="s">
        <v>2730</v>
      </c>
      <c r="D2252" t="s">
        <v>2687</v>
      </c>
      <c r="E2252">
        <v>151</v>
      </c>
    </row>
    <row r="2253" spans="1:5" x14ac:dyDescent="0.25">
      <c r="A2253" t="s">
        <v>2729</v>
      </c>
      <c r="B2253" t="s">
        <v>2470</v>
      </c>
      <c r="C2253" t="s">
        <v>2730</v>
      </c>
      <c r="D2253" t="s">
        <v>2688</v>
      </c>
      <c r="E2253">
        <v>150</v>
      </c>
    </row>
    <row r="2254" spans="1:5" x14ac:dyDescent="0.25">
      <c r="A2254" t="s">
        <v>2729</v>
      </c>
      <c r="B2254" t="s">
        <v>2470</v>
      </c>
      <c r="C2254" t="s">
        <v>2730</v>
      </c>
      <c r="D2254" t="s">
        <v>2689</v>
      </c>
      <c r="E2254">
        <v>37</v>
      </c>
    </row>
    <row r="2255" spans="1:5" x14ac:dyDescent="0.25">
      <c r="A2255" t="s">
        <v>2729</v>
      </c>
      <c r="B2255" t="s">
        <v>2470</v>
      </c>
      <c r="C2255" t="s">
        <v>2730</v>
      </c>
      <c r="D2255" t="s">
        <v>2690</v>
      </c>
      <c r="E2255">
        <v>38</v>
      </c>
    </row>
    <row r="2256" spans="1:5" x14ac:dyDescent="0.25">
      <c r="A2256" t="s">
        <v>91</v>
      </c>
      <c r="B2256" t="s">
        <v>2616</v>
      </c>
      <c r="C2256" t="s">
        <v>2631</v>
      </c>
      <c r="D2256" t="s">
        <v>2677</v>
      </c>
      <c r="E2256">
        <v>17</v>
      </c>
    </row>
    <row r="2257" spans="1:5" x14ac:dyDescent="0.25">
      <c r="A2257" t="s">
        <v>91</v>
      </c>
      <c r="B2257" t="s">
        <v>2616</v>
      </c>
      <c r="C2257" t="s">
        <v>2631</v>
      </c>
      <c r="D2257" t="s">
        <v>2678</v>
      </c>
      <c r="E2257">
        <v>44</v>
      </c>
    </row>
    <row r="2258" spans="1:5" x14ac:dyDescent="0.25">
      <c r="A2258" t="s">
        <v>91</v>
      </c>
      <c r="B2258" t="s">
        <v>2616</v>
      </c>
      <c r="C2258" t="s">
        <v>2631</v>
      </c>
      <c r="D2258" t="s">
        <v>2679</v>
      </c>
      <c r="E2258">
        <v>45</v>
      </c>
    </row>
    <row r="2259" spans="1:5" x14ac:dyDescent="0.25">
      <c r="A2259" t="s">
        <v>91</v>
      </c>
      <c r="B2259" t="s">
        <v>2616</v>
      </c>
      <c r="C2259" t="s">
        <v>2631</v>
      </c>
      <c r="D2259" t="s">
        <v>2680</v>
      </c>
      <c r="E2259">
        <v>48</v>
      </c>
    </row>
    <row r="2260" spans="1:5" x14ac:dyDescent="0.25">
      <c r="A2260" t="s">
        <v>91</v>
      </c>
      <c r="B2260" t="s">
        <v>2616</v>
      </c>
      <c r="C2260" t="s">
        <v>2631</v>
      </c>
      <c r="D2260" t="s">
        <v>2681</v>
      </c>
      <c r="E2260">
        <v>60</v>
      </c>
    </row>
    <row r="2261" spans="1:5" x14ac:dyDescent="0.25">
      <c r="A2261" t="s">
        <v>91</v>
      </c>
      <c r="B2261" t="s">
        <v>2616</v>
      </c>
      <c r="C2261" t="s">
        <v>2631</v>
      </c>
      <c r="D2261" t="s">
        <v>2682</v>
      </c>
      <c r="E2261">
        <v>48</v>
      </c>
    </row>
    <row r="2262" spans="1:5" x14ac:dyDescent="0.25">
      <c r="A2262" t="s">
        <v>91</v>
      </c>
      <c r="B2262" t="s">
        <v>2616</v>
      </c>
      <c r="C2262" t="s">
        <v>2631</v>
      </c>
      <c r="D2262" t="s">
        <v>2683</v>
      </c>
      <c r="E2262">
        <v>64</v>
      </c>
    </row>
    <row r="2263" spans="1:5" x14ac:dyDescent="0.25">
      <c r="A2263" t="s">
        <v>91</v>
      </c>
      <c r="B2263" t="s">
        <v>2616</v>
      </c>
      <c r="C2263" t="s">
        <v>2631</v>
      </c>
      <c r="D2263" t="s">
        <v>2684</v>
      </c>
      <c r="E2263">
        <v>69</v>
      </c>
    </row>
    <row r="2264" spans="1:5" x14ac:dyDescent="0.25">
      <c r="A2264" t="s">
        <v>91</v>
      </c>
      <c r="B2264" t="s">
        <v>2616</v>
      </c>
      <c r="C2264" t="s">
        <v>2631</v>
      </c>
      <c r="D2264" t="s">
        <v>2685</v>
      </c>
      <c r="E2264">
        <v>81</v>
      </c>
    </row>
    <row r="2265" spans="1:5" x14ac:dyDescent="0.25">
      <c r="A2265" t="s">
        <v>91</v>
      </c>
      <c r="B2265" t="s">
        <v>2616</v>
      </c>
      <c r="C2265" t="s">
        <v>2631</v>
      </c>
      <c r="D2265" t="s">
        <v>2686</v>
      </c>
      <c r="E2265">
        <v>80</v>
      </c>
    </row>
    <row r="2266" spans="1:5" x14ac:dyDescent="0.25">
      <c r="A2266" t="s">
        <v>91</v>
      </c>
      <c r="B2266" t="s">
        <v>2616</v>
      </c>
      <c r="C2266" t="s">
        <v>2631</v>
      </c>
      <c r="D2266" t="s">
        <v>2687</v>
      </c>
      <c r="E2266">
        <v>108</v>
      </c>
    </row>
    <row r="2267" spans="1:5" x14ac:dyDescent="0.25">
      <c r="A2267" t="s">
        <v>91</v>
      </c>
      <c r="B2267" t="s">
        <v>2616</v>
      </c>
      <c r="C2267" t="s">
        <v>2631</v>
      </c>
      <c r="D2267" t="s">
        <v>2688</v>
      </c>
      <c r="E2267">
        <v>82</v>
      </c>
    </row>
    <row r="2268" spans="1:5" x14ac:dyDescent="0.25">
      <c r="A2268" t="s">
        <v>91</v>
      </c>
      <c r="B2268" t="s">
        <v>2616</v>
      </c>
      <c r="C2268" t="s">
        <v>2631</v>
      </c>
      <c r="D2268" t="s">
        <v>2689</v>
      </c>
      <c r="E2268">
        <v>83</v>
      </c>
    </row>
    <row r="2269" spans="1:5" x14ac:dyDescent="0.25">
      <c r="A2269" t="s">
        <v>91</v>
      </c>
      <c r="B2269" t="s">
        <v>2616</v>
      </c>
      <c r="C2269" t="s">
        <v>2631</v>
      </c>
      <c r="D2269" t="s">
        <v>2690</v>
      </c>
      <c r="E2269">
        <v>101</v>
      </c>
    </row>
    <row r="2270" spans="1:5" x14ac:dyDescent="0.25">
      <c r="A2270" t="s">
        <v>91</v>
      </c>
      <c r="B2270" t="s">
        <v>2616</v>
      </c>
      <c r="C2270" t="s">
        <v>2630</v>
      </c>
      <c r="D2270" t="s">
        <v>2677</v>
      </c>
      <c r="E2270">
        <v>7</v>
      </c>
    </row>
    <row r="2271" spans="1:5" x14ac:dyDescent="0.25">
      <c r="A2271" t="s">
        <v>91</v>
      </c>
      <c r="B2271" t="s">
        <v>2616</v>
      </c>
      <c r="C2271" t="s">
        <v>2630</v>
      </c>
      <c r="D2271" t="s">
        <v>2678</v>
      </c>
      <c r="E2271">
        <v>25</v>
      </c>
    </row>
    <row r="2272" spans="1:5" x14ac:dyDescent="0.25">
      <c r="A2272" t="s">
        <v>91</v>
      </c>
      <c r="B2272" t="s">
        <v>2616</v>
      </c>
      <c r="C2272" t="s">
        <v>2630</v>
      </c>
      <c r="D2272" t="s">
        <v>2679</v>
      </c>
      <c r="E2272">
        <v>35</v>
      </c>
    </row>
    <row r="2273" spans="1:5" x14ac:dyDescent="0.25">
      <c r="A2273" t="s">
        <v>91</v>
      </c>
      <c r="B2273" t="s">
        <v>2616</v>
      </c>
      <c r="C2273" t="s">
        <v>2630</v>
      </c>
      <c r="D2273" t="s">
        <v>2680</v>
      </c>
      <c r="E2273">
        <v>28</v>
      </c>
    </row>
    <row r="2274" spans="1:5" x14ac:dyDescent="0.25">
      <c r="A2274" t="s">
        <v>91</v>
      </c>
      <c r="B2274" t="s">
        <v>2616</v>
      </c>
      <c r="C2274" t="s">
        <v>2630</v>
      </c>
      <c r="D2274" t="s">
        <v>2681</v>
      </c>
      <c r="E2274">
        <v>31</v>
      </c>
    </row>
    <row r="2275" spans="1:5" x14ac:dyDescent="0.25">
      <c r="A2275" t="s">
        <v>91</v>
      </c>
      <c r="B2275" t="s">
        <v>2616</v>
      </c>
      <c r="C2275" t="s">
        <v>2630</v>
      </c>
      <c r="D2275" t="s">
        <v>2682</v>
      </c>
      <c r="E2275">
        <v>47</v>
      </c>
    </row>
    <row r="2276" spans="1:5" x14ac:dyDescent="0.25">
      <c r="A2276" t="s">
        <v>91</v>
      </c>
      <c r="B2276" t="s">
        <v>2616</v>
      </c>
      <c r="C2276" t="s">
        <v>2630</v>
      </c>
      <c r="D2276" t="s">
        <v>2683</v>
      </c>
      <c r="E2276">
        <v>61</v>
      </c>
    </row>
    <row r="2277" spans="1:5" x14ac:dyDescent="0.25">
      <c r="A2277" t="s">
        <v>91</v>
      </c>
      <c r="B2277" t="s">
        <v>2616</v>
      </c>
      <c r="C2277" t="s">
        <v>2630</v>
      </c>
      <c r="D2277" t="s">
        <v>2684</v>
      </c>
      <c r="E2277">
        <v>72</v>
      </c>
    </row>
    <row r="2278" spans="1:5" x14ac:dyDescent="0.25">
      <c r="A2278" t="s">
        <v>91</v>
      </c>
      <c r="B2278" t="s">
        <v>2616</v>
      </c>
      <c r="C2278" t="s">
        <v>2630</v>
      </c>
      <c r="D2278" t="s">
        <v>2685</v>
      </c>
      <c r="E2278">
        <v>70</v>
      </c>
    </row>
    <row r="2279" spans="1:5" x14ac:dyDescent="0.25">
      <c r="A2279" t="s">
        <v>91</v>
      </c>
      <c r="B2279" t="s">
        <v>2616</v>
      </c>
      <c r="C2279" t="s">
        <v>2630</v>
      </c>
      <c r="D2279" t="s">
        <v>2686</v>
      </c>
      <c r="E2279">
        <v>63</v>
      </c>
    </row>
    <row r="2280" spans="1:5" x14ac:dyDescent="0.25">
      <c r="A2280" t="s">
        <v>91</v>
      </c>
      <c r="B2280" t="s">
        <v>2616</v>
      </c>
      <c r="C2280" t="s">
        <v>2630</v>
      </c>
      <c r="D2280" t="s">
        <v>2687</v>
      </c>
      <c r="E2280">
        <v>52</v>
      </c>
    </row>
    <row r="2281" spans="1:5" x14ac:dyDescent="0.25">
      <c r="A2281" t="s">
        <v>91</v>
      </c>
      <c r="B2281" t="s">
        <v>2616</v>
      </c>
      <c r="C2281" t="s">
        <v>2630</v>
      </c>
      <c r="D2281" t="s">
        <v>2688</v>
      </c>
      <c r="E2281">
        <v>56</v>
      </c>
    </row>
    <row r="2282" spans="1:5" x14ac:dyDescent="0.25">
      <c r="A2282" t="s">
        <v>91</v>
      </c>
      <c r="B2282" t="s">
        <v>2616</v>
      </c>
      <c r="C2282" t="s">
        <v>2630</v>
      </c>
      <c r="D2282" t="s">
        <v>2689</v>
      </c>
      <c r="E2282">
        <v>55</v>
      </c>
    </row>
    <row r="2283" spans="1:5" x14ac:dyDescent="0.25">
      <c r="A2283" t="s">
        <v>91</v>
      </c>
      <c r="B2283" t="s">
        <v>2616</v>
      </c>
      <c r="C2283" t="s">
        <v>2630</v>
      </c>
      <c r="D2283" t="s">
        <v>2690</v>
      </c>
      <c r="E2283">
        <v>61</v>
      </c>
    </row>
    <row r="2284" spans="1:5" x14ac:dyDescent="0.25">
      <c r="A2284" t="s">
        <v>91</v>
      </c>
      <c r="B2284" t="s">
        <v>2616</v>
      </c>
      <c r="C2284" t="s">
        <v>2731</v>
      </c>
      <c r="D2284" t="s">
        <v>2677</v>
      </c>
      <c r="E2284">
        <v>13</v>
      </c>
    </row>
    <row r="2285" spans="1:5" x14ac:dyDescent="0.25">
      <c r="A2285" t="s">
        <v>91</v>
      </c>
      <c r="B2285" t="s">
        <v>2616</v>
      </c>
      <c r="C2285" t="s">
        <v>2629</v>
      </c>
      <c r="D2285" t="s">
        <v>2677</v>
      </c>
      <c r="E2285">
        <v>31</v>
      </c>
    </row>
    <row r="2286" spans="1:5" x14ac:dyDescent="0.25">
      <c r="A2286" t="s">
        <v>91</v>
      </c>
      <c r="B2286" t="s">
        <v>2616</v>
      </c>
      <c r="C2286" t="s">
        <v>2629</v>
      </c>
      <c r="D2286" t="s">
        <v>2678</v>
      </c>
      <c r="E2286">
        <v>53</v>
      </c>
    </row>
    <row r="2287" spans="1:5" x14ac:dyDescent="0.25">
      <c r="A2287" t="s">
        <v>91</v>
      </c>
      <c r="B2287" t="s">
        <v>2616</v>
      </c>
      <c r="C2287" t="s">
        <v>2629</v>
      </c>
      <c r="D2287" t="s">
        <v>2679</v>
      </c>
      <c r="E2287">
        <v>48</v>
      </c>
    </row>
    <row r="2288" spans="1:5" x14ac:dyDescent="0.25">
      <c r="A2288" t="s">
        <v>91</v>
      </c>
      <c r="B2288" t="s">
        <v>2616</v>
      </c>
      <c r="C2288" t="s">
        <v>2629</v>
      </c>
      <c r="D2288" t="s">
        <v>2680</v>
      </c>
      <c r="E2288">
        <v>55</v>
      </c>
    </row>
    <row r="2289" spans="1:5" x14ac:dyDescent="0.25">
      <c r="A2289" t="s">
        <v>91</v>
      </c>
      <c r="B2289" t="s">
        <v>2616</v>
      </c>
      <c r="C2289" t="s">
        <v>2629</v>
      </c>
      <c r="D2289" t="s">
        <v>2681</v>
      </c>
      <c r="E2289">
        <v>91</v>
      </c>
    </row>
    <row r="2290" spans="1:5" x14ac:dyDescent="0.25">
      <c r="A2290" t="s">
        <v>91</v>
      </c>
      <c r="B2290" t="s">
        <v>2616</v>
      </c>
      <c r="C2290" t="s">
        <v>2629</v>
      </c>
      <c r="D2290" t="s">
        <v>2682</v>
      </c>
      <c r="E2290">
        <v>87</v>
      </c>
    </row>
    <row r="2291" spans="1:5" x14ac:dyDescent="0.25">
      <c r="A2291" t="s">
        <v>91</v>
      </c>
      <c r="B2291" t="s">
        <v>2616</v>
      </c>
      <c r="C2291" t="s">
        <v>2629</v>
      </c>
      <c r="D2291" t="s">
        <v>2683</v>
      </c>
      <c r="E2291">
        <v>77</v>
      </c>
    </row>
    <row r="2292" spans="1:5" x14ac:dyDescent="0.25">
      <c r="A2292" t="s">
        <v>91</v>
      </c>
      <c r="B2292" t="s">
        <v>2616</v>
      </c>
      <c r="C2292" t="s">
        <v>2629</v>
      </c>
      <c r="D2292" t="s">
        <v>2684</v>
      </c>
      <c r="E2292">
        <v>79</v>
      </c>
    </row>
    <row r="2293" spans="1:5" x14ac:dyDescent="0.25">
      <c r="A2293" t="s">
        <v>91</v>
      </c>
      <c r="B2293" t="s">
        <v>2616</v>
      </c>
      <c r="C2293" t="s">
        <v>2629</v>
      </c>
      <c r="D2293" t="s">
        <v>2685</v>
      </c>
      <c r="E2293">
        <v>79</v>
      </c>
    </row>
    <row r="2294" spans="1:5" x14ac:dyDescent="0.25">
      <c r="A2294" t="s">
        <v>91</v>
      </c>
      <c r="B2294" t="s">
        <v>2616</v>
      </c>
      <c r="C2294" t="s">
        <v>2629</v>
      </c>
      <c r="D2294" t="s">
        <v>2686</v>
      </c>
      <c r="E2294">
        <v>70</v>
      </c>
    </row>
    <row r="2295" spans="1:5" x14ac:dyDescent="0.25">
      <c r="A2295" t="s">
        <v>91</v>
      </c>
      <c r="B2295" t="s">
        <v>2616</v>
      </c>
      <c r="C2295" t="s">
        <v>2629</v>
      </c>
      <c r="D2295" t="s">
        <v>2687</v>
      </c>
      <c r="E2295">
        <v>104</v>
      </c>
    </row>
    <row r="2296" spans="1:5" x14ac:dyDescent="0.25">
      <c r="A2296" t="s">
        <v>91</v>
      </c>
      <c r="B2296" t="s">
        <v>2616</v>
      </c>
      <c r="C2296" t="s">
        <v>2629</v>
      </c>
      <c r="D2296" t="s">
        <v>2688</v>
      </c>
      <c r="E2296">
        <v>101</v>
      </c>
    </row>
    <row r="2297" spans="1:5" x14ac:dyDescent="0.25">
      <c r="A2297" t="s">
        <v>91</v>
      </c>
      <c r="B2297" t="s">
        <v>2616</v>
      </c>
      <c r="C2297" t="s">
        <v>2629</v>
      </c>
      <c r="D2297" t="s">
        <v>2689</v>
      </c>
      <c r="E2297">
        <v>101</v>
      </c>
    </row>
    <row r="2298" spans="1:5" x14ac:dyDescent="0.25">
      <c r="A2298" t="s">
        <v>91</v>
      </c>
      <c r="B2298" t="s">
        <v>2616</v>
      </c>
      <c r="C2298" t="s">
        <v>2629</v>
      </c>
      <c r="D2298" t="s">
        <v>2690</v>
      </c>
      <c r="E2298">
        <v>105</v>
      </c>
    </row>
    <row r="2299" spans="1:5" x14ac:dyDescent="0.25">
      <c r="A2299" t="s">
        <v>91</v>
      </c>
      <c r="B2299" t="s">
        <v>2616</v>
      </c>
      <c r="C2299" t="s">
        <v>2634</v>
      </c>
      <c r="D2299" t="s">
        <v>2681</v>
      </c>
      <c r="E2299">
        <v>2</v>
      </c>
    </row>
    <row r="2300" spans="1:5" x14ac:dyDescent="0.25">
      <c r="A2300" t="s">
        <v>91</v>
      </c>
      <c r="B2300" t="s">
        <v>2616</v>
      </c>
      <c r="C2300" t="s">
        <v>2634</v>
      </c>
      <c r="D2300" t="s">
        <v>2682</v>
      </c>
      <c r="E2300">
        <v>6</v>
      </c>
    </row>
    <row r="2301" spans="1:5" x14ac:dyDescent="0.25">
      <c r="A2301" t="s">
        <v>91</v>
      </c>
      <c r="B2301" t="s">
        <v>2616</v>
      </c>
      <c r="C2301" t="s">
        <v>2634</v>
      </c>
      <c r="D2301" t="s">
        <v>2683</v>
      </c>
      <c r="E2301">
        <v>17</v>
      </c>
    </row>
    <row r="2302" spans="1:5" x14ac:dyDescent="0.25">
      <c r="A2302" t="s">
        <v>91</v>
      </c>
      <c r="B2302" t="s">
        <v>2616</v>
      </c>
      <c r="C2302" t="s">
        <v>2634</v>
      </c>
      <c r="D2302" t="s">
        <v>2684</v>
      </c>
      <c r="E2302">
        <v>27</v>
      </c>
    </row>
    <row r="2303" spans="1:5" x14ac:dyDescent="0.25">
      <c r="A2303" t="s">
        <v>91</v>
      </c>
      <c r="B2303" t="s">
        <v>2616</v>
      </c>
      <c r="C2303" t="s">
        <v>2634</v>
      </c>
      <c r="D2303" t="s">
        <v>2685</v>
      </c>
      <c r="E2303">
        <v>38</v>
      </c>
    </row>
    <row r="2304" spans="1:5" x14ac:dyDescent="0.25">
      <c r="A2304" t="s">
        <v>91</v>
      </c>
      <c r="B2304" t="s">
        <v>2616</v>
      </c>
      <c r="C2304" t="s">
        <v>2634</v>
      </c>
      <c r="D2304" t="s">
        <v>2686</v>
      </c>
      <c r="E2304">
        <v>53</v>
      </c>
    </row>
    <row r="2305" spans="1:5" x14ac:dyDescent="0.25">
      <c r="A2305" t="s">
        <v>91</v>
      </c>
      <c r="B2305" t="s">
        <v>2616</v>
      </c>
      <c r="C2305" t="s">
        <v>2634</v>
      </c>
      <c r="D2305" t="s">
        <v>2687</v>
      </c>
      <c r="E2305">
        <v>55</v>
      </c>
    </row>
    <row r="2306" spans="1:5" x14ac:dyDescent="0.25">
      <c r="A2306" t="s">
        <v>91</v>
      </c>
      <c r="B2306" t="s">
        <v>2616</v>
      </c>
      <c r="C2306" t="s">
        <v>2634</v>
      </c>
      <c r="D2306" t="s">
        <v>2688</v>
      </c>
      <c r="E2306">
        <v>56</v>
      </c>
    </row>
    <row r="2307" spans="1:5" x14ac:dyDescent="0.25">
      <c r="A2307" t="s">
        <v>91</v>
      </c>
      <c r="B2307" t="s">
        <v>2616</v>
      </c>
      <c r="C2307" t="s">
        <v>2634</v>
      </c>
      <c r="D2307" t="s">
        <v>2689</v>
      </c>
      <c r="E2307">
        <v>60</v>
      </c>
    </row>
    <row r="2308" spans="1:5" x14ac:dyDescent="0.25">
      <c r="A2308" t="s">
        <v>91</v>
      </c>
      <c r="B2308" t="s">
        <v>2616</v>
      </c>
      <c r="C2308" t="s">
        <v>2634</v>
      </c>
      <c r="D2308" t="s">
        <v>2690</v>
      </c>
      <c r="E2308">
        <v>42</v>
      </c>
    </row>
    <row r="2309" spans="1:5" x14ac:dyDescent="0.25">
      <c r="A2309" t="s">
        <v>91</v>
      </c>
      <c r="B2309" t="s">
        <v>2616</v>
      </c>
      <c r="C2309" t="s">
        <v>2633</v>
      </c>
      <c r="D2309" t="s">
        <v>2680</v>
      </c>
      <c r="E2309">
        <v>1</v>
      </c>
    </row>
    <row r="2310" spans="1:5" x14ac:dyDescent="0.25">
      <c r="A2310" t="s">
        <v>91</v>
      </c>
      <c r="B2310" t="s">
        <v>2616</v>
      </c>
      <c r="C2310" t="s">
        <v>2633</v>
      </c>
      <c r="D2310" t="s">
        <v>2681</v>
      </c>
      <c r="E2310">
        <v>3</v>
      </c>
    </row>
    <row r="2311" spans="1:5" x14ac:dyDescent="0.25">
      <c r="A2311" t="s">
        <v>91</v>
      </c>
      <c r="B2311" t="s">
        <v>2616</v>
      </c>
      <c r="C2311" t="s">
        <v>2633</v>
      </c>
      <c r="D2311" t="s">
        <v>2682</v>
      </c>
      <c r="E2311">
        <v>21</v>
      </c>
    </row>
    <row r="2312" spans="1:5" x14ac:dyDescent="0.25">
      <c r="A2312" t="s">
        <v>91</v>
      </c>
      <c r="B2312" t="s">
        <v>2616</v>
      </c>
      <c r="C2312" t="s">
        <v>2633</v>
      </c>
      <c r="D2312" t="s">
        <v>2683</v>
      </c>
      <c r="E2312">
        <v>48</v>
      </c>
    </row>
    <row r="2313" spans="1:5" x14ac:dyDescent="0.25">
      <c r="A2313" t="s">
        <v>91</v>
      </c>
      <c r="B2313" t="s">
        <v>2616</v>
      </c>
      <c r="C2313" t="s">
        <v>2633</v>
      </c>
      <c r="D2313" t="s">
        <v>2684</v>
      </c>
      <c r="E2313">
        <v>50</v>
      </c>
    </row>
    <row r="2314" spans="1:5" x14ac:dyDescent="0.25">
      <c r="A2314" t="s">
        <v>91</v>
      </c>
      <c r="B2314" t="s">
        <v>2616</v>
      </c>
      <c r="C2314" t="s">
        <v>2633</v>
      </c>
      <c r="D2314" t="s">
        <v>2685</v>
      </c>
      <c r="E2314">
        <v>76</v>
      </c>
    </row>
    <row r="2315" spans="1:5" x14ac:dyDescent="0.25">
      <c r="A2315" t="s">
        <v>91</v>
      </c>
      <c r="B2315" t="s">
        <v>2616</v>
      </c>
      <c r="C2315" t="s">
        <v>2633</v>
      </c>
      <c r="D2315" t="s">
        <v>2686</v>
      </c>
      <c r="E2315">
        <v>100</v>
      </c>
    </row>
    <row r="2316" spans="1:5" x14ac:dyDescent="0.25">
      <c r="A2316" t="s">
        <v>91</v>
      </c>
      <c r="B2316" t="s">
        <v>2616</v>
      </c>
      <c r="C2316" t="s">
        <v>2633</v>
      </c>
      <c r="D2316" t="s">
        <v>2687</v>
      </c>
      <c r="E2316">
        <v>146</v>
      </c>
    </row>
    <row r="2317" spans="1:5" x14ac:dyDescent="0.25">
      <c r="A2317" t="s">
        <v>91</v>
      </c>
      <c r="B2317" t="s">
        <v>2616</v>
      </c>
      <c r="C2317" t="s">
        <v>2633</v>
      </c>
      <c r="D2317" t="s">
        <v>2688</v>
      </c>
      <c r="E2317">
        <v>165</v>
      </c>
    </row>
    <row r="2318" spans="1:5" x14ac:dyDescent="0.25">
      <c r="A2318" t="s">
        <v>91</v>
      </c>
      <c r="B2318" t="s">
        <v>2616</v>
      </c>
      <c r="C2318" t="s">
        <v>2633</v>
      </c>
      <c r="D2318" t="s">
        <v>2689</v>
      </c>
      <c r="E2318">
        <v>138</v>
      </c>
    </row>
    <row r="2319" spans="1:5" x14ac:dyDescent="0.25">
      <c r="A2319" t="s">
        <v>91</v>
      </c>
      <c r="B2319" t="s">
        <v>2616</v>
      </c>
      <c r="C2319" t="s">
        <v>2633</v>
      </c>
      <c r="D2319" t="s">
        <v>2690</v>
      </c>
      <c r="E2319">
        <v>107</v>
      </c>
    </row>
    <row r="2320" spans="1:5" x14ac:dyDescent="0.25">
      <c r="A2320" t="s">
        <v>91</v>
      </c>
      <c r="B2320" t="s">
        <v>2616</v>
      </c>
      <c r="C2320" t="s">
        <v>2628</v>
      </c>
      <c r="D2320" t="s">
        <v>2677</v>
      </c>
      <c r="E2320">
        <v>7</v>
      </c>
    </row>
    <row r="2321" spans="1:5" x14ac:dyDescent="0.25">
      <c r="A2321" t="s">
        <v>91</v>
      </c>
      <c r="B2321" t="s">
        <v>2616</v>
      </c>
      <c r="C2321" t="s">
        <v>2628</v>
      </c>
      <c r="D2321" t="s">
        <v>2678</v>
      </c>
      <c r="E2321">
        <v>27</v>
      </c>
    </row>
    <row r="2322" spans="1:5" x14ac:dyDescent="0.25">
      <c r="A2322" t="s">
        <v>91</v>
      </c>
      <c r="B2322" t="s">
        <v>2616</v>
      </c>
      <c r="C2322" t="s">
        <v>2628</v>
      </c>
      <c r="D2322" t="s">
        <v>2679</v>
      </c>
      <c r="E2322">
        <v>38</v>
      </c>
    </row>
    <row r="2323" spans="1:5" x14ac:dyDescent="0.25">
      <c r="A2323" t="s">
        <v>91</v>
      </c>
      <c r="B2323" t="s">
        <v>2616</v>
      </c>
      <c r="C2323" t="s">
        <v>2628</v>
      </c>
      <c r="D2323" t="s">
        <v>2680</v>
      </c>
      <c r="E2323">
        <v>53</v>
      </c>
    </row>
    <row r="2324" spans="1:5" x14ac:dyDescent="0.25">
      <c r="A2324" t="s">
        <v>91</v>
      </c>
      <c r="B2324" t="s">
        <v>2616</v>
      </c>
      <c r="C2324" t="s">
        <v>2628</v>
      </c>
      <c r="D2324" t="s">
        <v>2681</v>
      </c>
      <c r="E2324">
        <v>24</v>
      </c>
    </row>
    <row r="2325" spans="1:5" x14ac:dyDescent="0.25">
      <c r="A2325" t="s">
        <v>91</v>
      </c>
      <c r="B2325" t="s">
        <v>2616</v>
      </c>
      <c r="C2325" t="s">
        <v>2628</v>
      </c>
      <c r="D2325" t="s">
        <v>2682</v>
      </c>
      <c r="E2325">
        <v>34</v>
      </c>
    </row>
    <row r="2326" spans="1:5" x14ac:dyDescent="0.25">
      <c r="A2326" t="s">
        <v>91</v>
      </c>
      <c r="B2326" t="s">
        <v>2616</v>
      </c>
      <c r="C2326" t="s">
        <v>2628</v>
      </c>
      <c r="D2326" t="s">
        <v>2683</v>
      </c>
      <c r="E2326">
        <v>60</v>
      </c>
    </row>
    <row r="2327" spans="1:5" x14ac:dyDescent="0.25">
      <c r="A2327" t="s">
        <v>91</v>
      </c>
      <c r="B2327" t="s">
        <v>2616</v>
      </c>
      <c r="C2327" t="s">
        <v>2628</v>
      </c>
      <c r="D2327" t="s">
        <v>2684</v>
      </c>
      <c r="E2327">
        <v>103</v>
      </c>
    </row>
    <row r="2328" spans="1:5" x14ac:dyDescent="0.25">
      <c r="A2328" t="s">
        <v>91</v>
      </c>
      <c r="B2328" t="s">
        <v>2616</v>
      </c>
      <c r="C2328" t="s">
        <v>2628</v>
      </c>
      <c r="D2328" t="s">
        <v>2685</v>
      </c>
      <c r="E2328">
        <v>110</v>
      </c>
    </row>
    <row r="2329" spans="1:5" x14ac:dyDescent="0.25">
      <c r="A2329" t="s">
        <v>91</v>
      </c>
      <c r="B2329" t="s">
        <v>2616</v>
      </c>
      <c r="C2329" t="s">
        <v>2628</v>
      </c>
      <c r="D2329" t="s">
        <v>2686</v>
      </c>
      <c r="E2329">
        <v>45</v>
      </c>
    </row>
    <row r="2330" spans="1:5" x14ac:dyDescent="0.25">
      <c r="A2330" t="s">
        <v>91</v>
      </c>
      <c r="B2330" t="s">
        <v>2616</v>
      </c>
      <c r="C2330" t="s">
        <v>2628</v>
      </c>
      <c r="D2330" t="s">
        <v>2687</v>
      </c>
      <c r="E2330">
        <v>32</v>
      </c>
    </row>
    <row r="2331" spans="1:5" x14ac:dyDescent="0.25">
      <c r="A2331" t="s">
        <v>91</v>
      </c>
      <c r="B2331" t="s">
        <v>2616</v>
      </c>
      <c r="C2331" t="s">
        <v>2628</v>
      </c>
      <c r="D2331" t="s">
        <v>2688</v>
      </c>
      <c r="E2331">
        <v>33</v>
      </c>
    </row>
    <row r="2332" spans="1:5" x14ac:dyDescent="0.25">
      <c r="A2332" t="s">
        <v>91</v>
      </c>
      <c r="B2332" t="s">
        <v>2616</v>
      </c>
      <c r="C2332" t="s">
        <v>2628</v>
      </c>
      <c r="D2332" t="s">
        <v>2689</v>
      </c>
      <c r="E2332">
        <v>22</v>
      </c>
    </row>
    <row r="2333" spans="1:5" x14ac:dyDescent="0.25">
      <c r="A2333" t="s">
        <v>91</v>
      </c>
      <c r="B2333" t="s">
        <v>2616</v>
      </c>
      <c r="C2333" t="s">
        <v>2628</v>
      </c>
      <c r="D2333" t="s">
        <v>2690</v>
      </c>
      <c r="E2333">
        <v>25</v>
      </c>
    </row>
    <row r="2334" spans="1:5" x14ac:dyDescent="0.25">
      <c r="A2334" t="s">
        <v>91</v>
      </c>
      <c r="B2334" t="s">
        <v>2616</v>
      </c>
      <c r="C2334" t="s">
        <v>2627</v>
      </c>
      <c r="D2334" t="s">
        <v>2677</v>
      </c>
      <c r="E2334">
        <v>342</v>
      </c>
    </row>
    <row r="2335" spans="1:5" x14ac:dyDescent="0.25">
      <c r="A2335" t="s">
        <v>91</v>
      </c>
      <c r="B2335" t="s">
        <v>2616</v>
      </c>
      <c r="C2335" t="s">
        <v>2627</v>
      </c>
      <c r="D2335" t="s">
        <v>2678</v>
      </c>
      <c r="E2335">
        <v>734</v>
      </c>
    </row>
    <row r="2336" spans="1:5" x14ac:dyDescent="0.25">
      <c r="A2336" t="s">
        <v>91</v>
      </c>
      <c r="B2336" t="s">
        <v>2616</v>
      </c>
      <c r="C2336" t="s">
        <v>2627</v>
      </c>
      <c r="D2336" t="s">
        <v>2679</v>
      </c>
      <c r="E2336">
        <v>973</v>
      </c>
    </row>
    <row r="2337" spans="1:5" x14ac:dyDescent="0.25">
      <c r="A2337" t="s">
        <v>91</v>
      </c>
      <c r="B2337" t="s">
        <v>2616</v>
      </c>
      <c r="C2337" t="s">
        <v>2627</v>
      </c>
      <c r="D2337" t="s">
        <v>2680</v>
      </c>
      <c r="E2337">
        <v>1011</v>
      </c>
    </row>
    <row r="2338" spans="1:5" x14ac:dyDescent="0.25">
      <c r="A2338" t="s">
        <v>91</v>
      </c>
      <c r="B2338" t="s">
        <v>2616</v>
      </c>
      <c r="C2338" t="s">
        <v>2627</v>
      </c>
      <c r="D2338" t="s">
        <v>2681</v>
      </c>
      <c r="E2338">
        <v>1164</v>
      </c>
    </row>
    <row r="2339" spans="1:5" x14ac:dyDescent="0.25">
      <c r="A2339" t="s">
        <v>91</v>
      </c>
      <c r="B2339" t="s">
        <v>2616</v>
      </c>
      <c r="C2339" t="s">
        <v>2627</v>
      </c>
      <c r="D2339" t="s">
        <v>2682</v>
      </c>
      <c r="E2339">
        <v>1176</v>
      </c>
    </row>
    <row r="2340" spans="1:5" x14ac:dyDescent="0.25">
      <c r="A2340" t="s">
        <v>91</v>
      </c>
      <c r="B2340" t="s">
        <v>2616</v>
      </c>
      <c r="C2340" t="s">
        <v>2627</v>
      </c>
      <c r="D2340" t="s">
        <v>2683</v>
      </c>
      <c r="E2340">
        <v>1189</v>
      </c>
    </row>
    <row r="2341" spans="1:5" x14ac:dyDescent="0.25">
      <c r="A2341" t="s">
        <v>91</v>
      </c>
      <c r="B2341" t="s">
        <v>2616</v>
      </c>
      <c r="C2341" t="s">
        <v>2627</v>
      </c>
      <c r="D2341" t="s">
        <v>2684</v>
      </c>
      <c r="E2341">
        <v>1236</v>
      </c>
    </row>
    <row r="2342" spans="1:5" x14ac:dyDescent="0.25">
      <c r="A2342" t="s">
        <v>91</v>
      </c>
      <c r="B2342" t="s">
        <v>2616</v>
      </c>
      <c r="C2342" t="s">
        <v>2627</v>
      </c>
      <c r="D2342" t="s">
        <v>2685</v>
      </c>
      <c r="E2342">
        <v>1527</v>
      </c>
    </row>
    <row r="2343" spans="1:5" x14ac:dyDescent="0.25">
      <c r="A2343" t="s">
        <v>91</v>
      </c>
      <c r="B2343" t="s">
        <v>2616</v>
      </c>
      <c r="C2343" t="s">
        <v>2627</v>
      </c>
      <c r="D2343" t="s">
        <v>2686</v>
      </c>
      <c r="E2343">
        <v>1966</v>
      </c>
    </row>
    <row r="2344" spans="1:5" x14ac:dyDescent="0.25">
      <c r="A2344" t="s">
        <v>91</v>
      </c>
      <c r="B2344" t="s">
        <v>2616</v>
      </c>
      <c r="C2344" t="s">
        <v>2627</v>
      </c>
      <c r="D2344" t="s">
        <v>2687</v>
      </c>
      <c r="E2344">
        <v>3125</v>
      </c>
    </row>
    <row r="2345" spans="1:5" x14ac:dyDescent="0.25">
      <c r="A2345" t="s">
        <v>91</v>
      </c>
      <c r="B2345" t="s">
        <v>2616</v>
      </c>
      <c r="C2345" t="s">
        <v>2627</v>
      </c>
      <c r="D2345" t="s">
        <v>2688</v>
      </c>
      <c r="E2345">
        <v>2919</v>
      </c>
    </row>
    <row r="2346" spans="1:5" x14ac:dyDescent="0.25">
      <c r="A2346" t="s">
        <v>91</v>
      </c>
      <c r="B2346" t="s">
        <v>2616</v>
      </c>
      <c r="C2346" t="s">
        <v>2627</v>
      </c>
      <c r="D2346" t="s">
        <v>2689</v>
      </c>
      <c r="E2346">
        <v>2278</v>
      </c>
    </row>
    <row r="2347" spans="1:5" x14ac:dyDescent="0.25">
      <c r="A2347" t="s">
        <v>91</v>
      </c>
      <c r="B2347" t="s">
        <v>2616</v>
      </c>
      <c r="C2347" t="s">
        <v>2627</v>
      </c>
      <c r="D2347" t="s">
        <v>2690</v>
      </c>
      <c r="E2347">
        <v>1679</v>
      </c>
    </row>
    <row r="2348" spans="1:5" x14ac:dyDescent="0.25">
      <c r="A2348" t="s">
        <v>91</v>
      </c>
      <c r="B2348" t="s">
        <v>2616</v>
      </c>
      <c r="C2348" t="s">
        <v>2732</v>
      </c>
      <c r="D2348" t="s">
        <v>2677</v>
      </c>
      <c r="E2348">
        <v>41</v>
      </c>
    </row>
    <row r="2349" spans="1:5" x14ac:dyDescent="0.25">
      <c r="A2349" t="s">
        <v>91</v>
      </c>
      <c r="B2349" t="s">
        <v>2616</v>
      </c>
      <c r="C2349" t="s">
        <v>2732</v>
      </c>
      <c r="D2349" t="s">
        <v>2678</v>
      </c>
      <c r="E2349">
        <v>23</v>
      </c>
    </row>
    <row r="2350" spans="1:5" x14ac:dyDescent="0.25">
      <c r="A2350" t="s">
        <v>91</v>
      </c>
      <c r="B2350" t="s">
        <v>2616</v>
      </c>
      <c r="C2350" t="s">
        <v>2626</v>
      </c>
      <c r="D2350" t="s">
        <v>2677</v>
      </c>
      <c r="E2350">
        <v>1</v>
      </c>
    </row>
    <row r="2351" spans="1:5" x14ac:dyDescent="0.25">
      <c r="A2351" t="s">
        <v>91</v>
      </c>
      <c r="B2351" t="s">
        <v>2616</v>
      </c>
      <c r="C2351" t="s">
        <v>2626</v>
      </c>
      <c r="D2351" t="s">
        <v>2678</v>
      </c>
      <c r="E2351">
        <v>6</v>
      </c>
    </row>
    <row r="2352" spans="1:5" x14ac:dyDescent="0.25">
      <c r="A2352" t="s">
        <v>91</v>
      </c>
      <c r="B2352" t="s">
        <v>2616</v>
      </c>
      <c r="C2352" t="s">
        <v>2626</v>
      </c>
      <c r="D2352" t="s">
        <v>2679</v>
      </c>
      <c r="E2352">
        <v>9</v>
      </c>
    </row>
    <row r="2353" spans="1:5" x14ac:dyDescent="0.25">
      <c r="A2353" t="s">
        <v>91</v>
      </c>
      <c r="B2353" t="s">
        <v>2616</v>
      </c>
      <c r="C2353" t="s">
        <v>2626</v>
      </c>
      <c r="D2353" t="s">
        <v>2680</v>
      </c>
      <c r="E2353">
        <v>11</v>
      </c>
    </row>
    <row r="2354" spans="1:5" x14ac:dyDescent="0.25">
      <c r="A2354" t="s">
        <v>91</v>
      </c>
      <c r="B2354" t="s">
        <v>2616</v>
      </c>
      <c r="C2354" t="s">
        <v>2626</v>
      </c>
      <c r="D2354" t="s">
        <v>2681</v>
      </c>
      <c r="E2354">
        <v>6</v>
      </c>
    </row>
    <row r="2355" spans="1:5" x14ac:dyDescent="0.25">
      <c r="A2355" t="s">
        <v>91</v>
      </c>
      <c r="B2355" t="s">
        <v>2616</v>
      </c>
      <c r="C2355" t="s">
        <v>131</v>
      </c>
      <c r="D2355" t="s">
        <v>2677</v>
      </c>
      <c r="E2355">
        <v>53</v>
      </c>
    </row>
    <row r="2356" spans="1:5" x14ac:dyDescent="0.25">
      <c r="A2356" t="s">
        <v>91</v>
      </c>
      <c r="B2356" t="s">
        <v>2616</v>
      </c>
      <c r="C2356" t="s">
        <v>131</v>
      </c>
      <c r="D2356" t="s">
        <v>2678</v>
      </c>
      <c r="E2356">
        <v>110</v>
      </c>
    </row>
    <row r="2357" spans="1:5" x14ac:dyDescent="0.25">
      <c r="A2357" t="s">
        <v>91</v>
      </c>
      <c r="B2357" t="s">
        <v>2616</v>
      </c>
      <c r="C2357" t="s">
        <v>131</v>
      </c>
      <c r="D2357" t="s">
        <v>2679</v>
      </c>
      <c r="E2357">
        <v>109</v>
      </c>
    </row>
    <row r="2358" spans="1:5" x14ac:dyDescent="0.25">
      <c r="A2358" t="s">
        <v>91</v>
      </c>
      <c r="B2358" t="s">
        <v>2616</v>
      </c>
      <c r="C2358" t="s">
        <v>131</v>
      </c>
      <c r="D2358" t="s">
        <v>2680</v>
      </c>
      <c r="E2358">
        <v>94</v>
      </c>
    </row>
    <row r="2359" spans="1:5" x14ac:dyDescent="0.25">
      <c r="A2359" t="s">
        <v>91</v>
      </c>
      <c r="B2359" t="s">
        <v>2616</v>
      </c>
      <c r="C2359" t="s">
        <v>131</v>
      </c>
      <c r="D2359" t="s">
        <v>2681</v>
      </c>
      <c r="E2359">
        <v>106</v>
      </c>
    </row>
    <row r="2360" spans="1:5" x14ac:dyDescent="0.25">
      <c r="A2360" t="s">
        <v>91</v>
      </c>
      <c r="B2360" t="s">
        <v>2616</v>
      </c>
      <c r="C2360" t="s">
        <v>131</v>
      </c>
      <c r="D2360" t="s">
        <v>2682</v>
      </c>
      <c r="E2360">
        <v>104</v>
      </c>
    </row>
    <row r="2361" spans="1:5" x14ac:dyDescent="0.25">
      <c r="A2361" t="s">
        <v>91</v>
      </c>
      <c r="B2361" t="s">
        <v>2616</v>
      </c>
      <c r="C2361" t="s">
        <v>131</v>
      </c>
      <c r="D2361" t="s">
        <v>2683</v>
      </c>
      <c r="E2361">
        <v>121</v>
      </c>
    </row>
    <row r="2362" spans="1:5" x14ac:dyDescent="0.25">
      <c r="A2362" t="s">
        <v>91</v>
      </c>
      <c r="B2362" t="s">
        <v>2616</v>
      </c>
      <c r="C2362" t="s">
        <v>131</v>
      </c>
      <c r="D2362" t="s">
        <v>2684</v>
      </c>
      <c r="E2362">
        <v>168</v>
      </c>
    </row>
    <row r="2363" spans="1:5" x14ac:dyDescent="0.25">
      <c r="A2363" t="s">
        <v>91</v>
      </c>
      <c r="B2363" t="s">
        <v>2616</v>
      </c>
      <c r="C2363" t="s">
        <v>131</v>
      </c>
      <c r="D2363" t="s">
        <v>2685</v>
      </c>
      <c r="E2363">
        <v>164</v>
      </c>
    </row>
    <row r="2364" spans="1:5" x14ac:dyDescent="0.25">
      <c r="A2364" t="s">
        <v>91</v>
      </c>
      <c r="B2364" t="s">
        <v>2616</v>
      </c>
      <c r="C2364" t="s">
        <v>131</v>
      </c>
      <c r="D2364" t="s">
        <v>2686</v>
      </c>
      <c r="E2364">
        <v>149</v>
      </c>
    </row>
    <row r="2365" spans="1:5" x14ac:dyDescent="0.25">
      <c r="A2365" t="s">
        <v>91</v>
      </c>
      <c r="B2365" t="s">
        <v>2616</v>
      </c>
      <c r="C2365" t="s">
        <v>131</v>
      </c>
      <c r="D2365" t="s">
        <v>2687</v>
      </c>
      <c r="E2365">
        <v>85</v>
      </c>
    </row>
    <row r="2366" spans="1:5" x14ac:dyDescent="0.25">
      <c r="A2366" t="s">
        <v>91</v>
      </c>
      <c r="B2366" t="s">
        <v>2616</v>
      </c>
      <c r="C2366" t="s">
        <v>108</v>
      </c>
      <c r="D2366" t="s">
        <v>2677</v>
      </c>
      <c r="E2366">
        <v>18</v>
      </c>
    </row>
    <row r="2367" spans="1:5" x14ac:dyDescent="0.25">
      <c r="A2367" t="s">
        <v>91</v>
      </c>
      <c r="B2367" t="s">
        <v>2616</v>
      </c>
      <c r="C2367" t="s">
        <v>108</v>
      </c>
      <c r="D2367" t="s">
        <v>2678</v>
      </c>
      <c r="E2367">
        <v>51</v>
      </c>
    </row>
    <row r="2368" spans="1:5" x14ac:dyDescent="0.25">
      <c r="A2368" t="s">
        <v>91</v>
      </c>
      <c r="B2368" t="s">
        <v>2616</v>
      </c>
      <c r="C2368" t="s">
        <v>108</v>
      </c>
      <c r="D2368" t="s">
        <v>2679</v>
      </c>
      <c r="E2368">
        <v>66</v>
      </c>
    </row>
    <row r="2369" spans="1:5" x14ac:dyDescent="0.25">
      <c r="A2369" t="s">
        <v>91</v>
      </c>
      <c r="B2369" t="s">
        <v>2616</v>
      </c>
      <c r="C2369" t="s">
        <v>108</v>
      </c>
      <c r="D2369" t="s">
        <v>2680</v>
      </c>
      <c r="E2369">
        <v>76</v>
      </c>
    </row>
    <row r="2370" spans="1:5" x14ac:dyDescent="0.25">
      <c r="A2370" t="s">
        <v>91</v>
      </c>
      <c r="B2370" t="s">
        <v>2616</v>
      </c>
      <c r="C2370" t="s">
        <v>108</v>
      </c>
      <c r="D2370" t="s">
        <v>2681</v>
      </c>
      <c r="E2370">
        <v>71</v>
      </c>
    </row>
    <row r="2371" spans="1:5" x14ac:dyDescent="0.25">
      <c r="A2371" t="s">
        <v>91</v>
      </c>
      <c r="B2371" t="s">
        <v>2616</v>
      </c>
      <c r="C2371" t="s">
        <v>108</v>
      </c>
      <c r="D2371" t="s">
        <v>2682</v>
      </c>
      <c r="E2371">
        <v>91</v>
      </c>
    </row>
    <row r="2372" spans="1:5" x14ac:dyDescent="0.25">
      <c r="A2372" t="s">
        <v>91</v>
      </c>
      <c r="B2372" t="s">
        <v>2616</v>
      </c>
      <c r="C2372" t="s">
        <v>108</v>
      </c>
      <c r="D2372" t="s">
        <v>2683</v>
      </c>
      <c r="E2372">
        <v>110</v>
      </c>
    </row>
    <row r="2373" spans="1:5" x14ac:dyDescent="0.25">
      <c r="A2373" t="s">
        <v>91</v>
      </c>
      <c r="B2373" t="s">
        <v>2616</v>
      </c>
      <c r="C2373" t="s">
        <v>108</v>
      </c>
      <c r="D2373" t="s">
        <v>2684</v>
      </c>
      <c r="E2373">
        <v>162</v>
      </c>
    </row>
    <row r="2374" spans="1:5" x14ac:dyDescent="0.25">
      <c r="A2374" t="s">
        <v>91</v>
      </c>
      <c r="B2374" t="s">
        <v>2616</v>
      </c>
      <c r="C2374" t="s">
        <v>108</v>
      </c>
      <c r="D2374" t="s">
        <v>2685</v>
      </c>
      <c r="E2374">
        <v>180</v>
      </c>
    </row>
    <row r="2375" spans="1:5" x14ac:dyDescent="0.25">
      <c r="A2375" t="s">
        <v>91</v>
      </c>
      <c r="B2375" t="s">
        <v>2616</v>
      </c>
      <c r="C2375" t="s">
        <v>108</v>
      </c>
      <c r="D2375" t="s">
        <v>2686</v>
      </c>
      <c r="E2375">
        <v>144</v>
      </c>
    </row>
    <row r="2376" spans="1:5" x14ac:dyDescent="0.25">
      <c r="A2376" t="s">
        <v>91</v>
      </c>
      <c r="B2376" t="s">
        <v>2616</v>
      </c>
      <c r="C2376" t="s">
        <v>108</v>
      </c>
      <c r="D2376" t="s">
        <v>2687</v>
      </c>
      <c r="E2376">
        <v>129</v>
      </c>
    </row>
    <row r="2377" spans="1:5" x14ac:dyDescent="0.25">
      <c r="A2377" t="s">
        <v>91</v>
      </c>
      <c r="B2377" t="s">
        <v>2616</v>
      </c>
      <c r="C2377" t="s">
        <v>108</v>
      </c>
      <c r="D2377" t="s">
        <v>2688</v>
      </c>
      <c r="E2377">
        <v>147</v>
      </c>
    </row>
    <row r="2378" spans="1:5" x14ac:dyDescent="0.25">
      <c r="A2378" t="s">
        <v>91</v>
      </c>
      <c r="B2378" t="s">
        <v>2616</v>
      </c>
      <c r="C2378" t="s">
        <v>108</v>
      </c>
      <c r="D2378" t="s">
        <v>2689</v>
      </c>
      <c r="E2378">
        <v>146</v>
      </c>
    </row>
    <row r="2379" spans="1:5" x14ac:dyDescent="0.25">
      <c r="A2379" t="s">
        <v>91</v>
      </c>
      <c r="B2379" t="s">
        <v>2616</v>
      </c>
      <c r="C2379" t="s">
        <v>108</v>
      </c>
      <c r="D2379" t="s">
        <v>2690</v>
      </c>
      <c r="E2379">
        <v>140</v>
      </c>
    </row>
    <row r="2380" spans="1:5" x14ac:dyDescent="0.25">
      <c r="A2380" t="s">
        <v>91</v>
      </c>
      <c r="B2380" t="s">
        <v>2616</v>
      </c>
      <c r="C2380" t="s">
        <v>2625</v>
      </c>
      <c r="D2380" t="s">
        <v>2677</v>
      </c>
      <c r="E2380">
        <v>17</v>
      </c>
    </row>
    <row r="2381" spans="1:5" x14ac:dyDescent="0.25">
      <c r="A2381" t="s">
        <v>91</v>
      </c>
      <c r="B2381" t="s">
        <v>2616</v>
      </c>
      <c r="C2381" t="s">
        <v>2625</v>
      </c>
      <c r="D2381" t="s">
        <v>2678</v>
      </c>
      <c r="E2381">
        <v>46</v>
      </c>
    </row>
    <row r="2382" spans="1:5" x14ac:dyDescent="0.25">
      <c r="A2382" t="s">
        <v>91</v>
      </c>
      <c r="B2382" t="s">
        <v>2616</v>
      </c>
      <c r="C2382" t="s">
        <v>2625</v>
      </c>
      <c r="D2382" t="s">
        <v>2679</v>
      </c>
      <c r="E2382">
        <v>69</v>
      </c>
    </row>
    <row r="2383" spans="1:5" x14ac:dyDescent="0.25">
      <c r="A2383" t="s">
        <v>91</v>
      </c>
      <c r="B2383" t="s">
        <v>2616</v>
      </c>
      <c r="C2383" t="s">
        <v>2625</v>
      </c>
      <c r="D2383" t="s">
        <v>2680</v>
      </c>
      <c r="E2383">
        <v>52</v>
      </c>
    </row>
    <row r="2384" spans="1:5" x14ac:dyDescent="0.25">
      <c r="A2384" t="s">
        <v>91</v>
      </c>
      <c r="B2384" t="s">
        <v>2616</v>
      </c>
      <c r="C2384" t="s">
        <v>2625</v>
      </c>
      <c r="D2384" t="s">
        <v>2681</v>
      </c>
      <c r="E2384">
        <v>56</v>
      </c>
    </row>
    <row r="2385" spans="1:5" x14ac:dyDescent="0.25">
      <c r="A2385" t="s">
        <v>91</v>
      </c>
      <c r="B2385" t="s">
        <v>2616</v>
      </c>
      <c r="C2385" t="s">
        <v>2625</v>
      </c>
      <c r="D2385" t="s">
        <v>2682</v>
      </c>
      <c r="E2385">
        <v>86</v>
      </c>
    </row>
    <row r="2386" spans="1:5" x14ac:dyDescent="0.25">
      <c r="A2386" t="s">
        <v>91</v>
      </c>
      <c r="B2386" t="s">
        <v>2616</v>
      </c>
      <c r="C2386" t="s">
        <v>2625</v>
      </c>
      <c r="D2386" t="s">
        <v>2683</v>
      </c>
      <c r="E2386">
        <v>83</v>
      </c>
    </row>
    <row r="2387" spans="1:5" x14ac:dyDescent="0.25">
      <c r="A2387" t="s">
        <v>91</v>
      </c>
      <c r="B2387" t="s">
        <v>2616</v>
      </c>
      <c r="C2387" t="s">
        <v>2625</v>
      </c>
      <c r="D2387" t="s">
        <v>2684</v>
      </c>
      <c r="E2387">
        <v>35</v>
      </c>
    </row>
    <row r="2388" spans="1:5" x14ac:dyDescent="0.25">
      <c r="A2388" t="s">
        <v>91</v>
      </c>
      <c r="B2388" t="s">
        <v>2616</v>
      </c>
      <c r="C2388" t="s">
        <v>2625</v>
      </c>
      <c r="D2388" t="s">
        <v>2687</v>
      </c>
      <c r="E2388">
        <v>1</v>
      </c>
    </row>
    <row r="2389" spans="1:5" x14ac:dyDescent="0.25">
      <c r="A2389" t="s">
        <v>91</v>
      </c>
      <c r="B2389" t="s">
        <v>2616</v>
      </c>
      <c r="C2389" t="s">
        <v>2625</v>
      </c>
      <c r="D2389" t="s">
        <v>2688</v>
      </c>
      <c r="E2389">
        <v>15</v>
      </c>
    </row>
    <row r="2390" spans="1:5" x14ac:dyDescent="0.25">
      <c r="A2390" t="s">
        <v>91</v>
      </c>
      <c r="B2390" t="s">
        <v>2616</v>
      </c>
      <c r="C2390" t="s">
        <v>2625</v>
      </c>
      <c r="D2390" t="s">
        <v>2689</v>
      </c>
      <c r="E2390">
        <v>38</v>
      </c>
    </row>
    <row r="2391" spans="1:5" x14ac:dyDescent="0.25">
      <c r="A2391" t="s">
        <v>91</v>
      </c>
      <c r="B2391" t="s">
        <v>2616</v>
      </c>
      <c r="C2391" t="s">
        <v>2625</v>
      </c>
      <c r="D2391" t="s">
        <v>2690</v>
      </c>
      <c r="E2391">
        <v>46</v>
      </c>
    </row>
    <row r="2392" spans="1:5" x14ac:dyDescent="0.25">
      <c r="A2392" t="s">
        <v>91</v>
      </c>
      <c r="B2392" t="s">
        <v>2616</v>
      </c>
      <c r="C2392" t="s">
        <v>2624</v>
      </c>
      <c r="D2392" t="s">
        <v>2677</v>
      </c>
      <c r="E2392">
        <v>17</v>
      </c>
    </row>
    <row r="2393" spans="1:5" x14ac:dyDescent="0.25">
      <c r="A2393" t="s">
        <v>91</v>
      </c>
      <c r="B2393" t="s">
        <v>2616</v>
      </c>
      <c r="C2393" t="s">
        <v>2624</v>
      </c>
      <c r="D2393" t="s">
        <v>2678</v>
      </c>
      <c r="E2393">
        <v>32</v>
      </c>
    </row>
    <row r="2394" spans="1:5" x14ac:dyDescent="0.25">
      <c r="A2394" t="s">
        <v>91</v>
      </c>
      <c r="B2394" t="s">
        <v>2616</v>
      </c>
      <c r="C2394" t="s">
        <v>2624</v>
      </c>
      <c r="D2394" t="s">
        <v>2679</v>
      </c>
      <c r="E2394">
        <v>26</v>
      </c>
    </row>
    <row r="2395" spans="1:5" x14ac:dyDescent="0.25">
      <c r="A2395" t="s">
        <v>91</v>
      </c>
      <c r="B2395" t="s">
        <v>2616</v>
      </c>
      <c r="C2395" t="s">
        <v>2624</v>
      </c>
      <c r="D2395" t="s">
        <v>2680</v>
      </c>
      <c r="E2395">
        <v>50</v>
      </c>
    </row>
    <row r="2396" spans="1:5" x14ac:dyDescent="0.25">
      <c r="A2396" t="s">
        <v>91</v>
      </c>
      <c r="B2396" t="s">
        <v>2616</v>
      </c>
      <c r="C2396" t="s">
        <v>2624</v>
      </c>
      <c r="D2396" t="s">
        <v>2681</v>
      </c>
      <c r="E2396">
        <v>71</v>
      </c>
    </row>
    <row r="2397" spans="1:5" x14ac:dyDescent="0.25">
      <c r="A2397" t="s">
        <v>91</v>
      </c>
      <c r="B2397" t="s">
        <v>2616</v>
      </c>
      <c r="C2397" t="s">
        <v>2624</v>
      </c>
      <c r="D2397" t="s">
        <v>2682</v>
      </c>
      <c r="E2397">
        <v>70</v>
      </c>
    </row>
    <row r="2398" spans="1:5" x14ac:dyDescent="0.25">
      <c r="A2398" t="s">
        <v>91</v>
      </c>
      <c r="B2398" t="s">
        <v>2616</v>
      </c>
      <c r="C2398" t="s">
        <v>2624</v>
      </c>
      <c r="D2398" t="s">
        <v>2683</v>
      </c>
      <c r="E2398">
        <v>87</v>
      </c>
    </row>
    <row r="2399" spans="1:5" x14ac:dyDescent="0.25">
      <c r="A2399" t="s">
        <v>91</v>
      </c>
      <c r="B2399" t="s">
        <v>2616</v>
      </c>
      <c r="C2399" t="s">
        <v>2624</v>
      </c>
      <c r="D2399" t="s">
        <v>2684</v>
      </c>
      <c r="E2399">
        <v>123</v>
      </c>
    </row>
    <row r="2400" spans="1:5" x14ac:dyDescent="0.25">
      <c r="A2400" t="s">
        <v>91</v>
      </c>
      <c r="B2400" t="s">
        <v>2616</v>
      </c>
      <c r="C2400" t="s">
        <v>2624</v>
      </c>
      <c r="D2400" t="s">
        <v>2685</v>
      </c>
      <c r="E2400">
        <v>141</v>
      </c>
    </row>
    <row r="2401" spans="1:5" x14ac:dyDescent="0.25">
      <c r="A2401" t="s">
        <v>91</v>
      </c>
      <c r="B2401" t="s">
        <v>2616</v>
      </c>
      <c r="C2401" t="s">
        <v>2624</v>
      </c>
      <c r="D2401" t="s">
        <v>2686</v>
      </c>
      <c r="E2401">
        <v>154</v>
      </c>
    </row>
    <row r="2402" spans="1:5" x14ac:dyDescent="0.25">
      <c r="A2402" t="s">
        <v>91</v>
      </c>
      <c r="B2402" t="s">
        <v>2616</v>
      </c>
      <c r="C2402" t="s">
        <v>2624</v>
      </c>
      <c r="D2402" t="s">
        <v>2687</v>
      </c>
      <c r="E2402">
        <v>125</v>
      </c>
    </row>
    <row r="2403" spans="1:5" x14ac:dyDescent="0.25">
      <c r="A2403" t="s">
        <v>91</v>
      </c>
      <c r="B2403" t="s">
        <v>2616</v>
      </c>
      <c r="C2403" t="s">
        <v>2624</v>
      </c>
      <c r="D2403" t="s">
        <v>2688</v>
      </c>
      <c r="E2403">
        <v>91</v>
      </c>
    </row>
    <row r="2404" spans="1:5" x14ac:dyDescent="0.25">
      <c r="A2404" t="s">
        <v>91</v>
      </c>
      <c r="B2404" t="s">
        <v>2616</v>
      </c>
      <c r="C2404" t="s">
        <v>2624</v>
      </c>
      <c r="D2404" t="s">
        <v>2689</v>
      </c>
      <c r="E2404">
        <v>57</v>
      </c>
    </row>
    <row r="2405" spans="1:5" x14ac:dyDescent="0.25">
      <c r="A2405" t="s">
        <v>91</v>
      </c>
      <c r="B2405" t="s">
        <v>2616</v>
      </c>
      <c r="C2405" t="s">
        <v>2624</v>
      </c>
      <c r="D2405" t="s">
        <v>2690</v>
      </c>
      <c r="E2405">
        <v>43</v>
      </c>
    </row>
    <row r="2406" spans="1:5" x14ac:dyDescent="0.25">
      <c r="A2406" t="s">
        <v>91</v>
      </c>
      <c r="B2406" t="s">
        <v>2616</v>
      </c>
      <c r="C2406" t="s">
        <v>2623</v>
      </c>
      <c r="D2406" t="s">
        <v>2677</v>
      </c>
      <c r="E2406">
        <v>13</v>
      </c>
    </row>
    <row r="2407" spans="1:5" x14ac:dyDescent="0.25">
      <c r="A2407" t="s">
        <v>91</v>
      </c>
      <c r="B2407" t="s">
        <v>2616</v>
      </c>
      <c r="C2407" t="s">
        <v>2623</v>
      </c>
      <c r="D2407" t="s">
        <v>2678</v>
      </c>
      <c r="E2407">
        <v>25</v>
      </c>
    </row>
    <row r="2408" spans="1:5" x14ac:dyDescent="0.25">
      <c r="A2408" t="s">
        <v>91</v>
      </c>
      <c r="B2408" t="s">
        <v>2616</v>
      </c>
      <c r="C2408" t="s">
        <v>2623</v>
      </c>
      <c r="D2408" t="s">
        <v>2679</v>
      </c>
      <c r="E2408">
        <v>35</v>
      </c>
    </row>
    <row r="2409" spans="1:5" x14ac:dyDescent="0.25">
      <c r="A2409" t="s">
        <v>91</v>
      </c>
      <c r="B2409" t="s">
        <v>2616</v>
      </c>
      <c r="C2409" t="s">
        <v>2623</v>
      </c>
      <c r="D2409" t="s">
        <v>2680</v>
      </c>
      <c r="E2409">
        <v>45</v>
      </c>
    </row>
    <row r="2410" spans="1:5" x14ac:dyDescent="0.25">
      <c r="A2410" t="s">
        <v>91</v>
      </c>
      <c r="B2410" t="s">
        <v>2616</v>
      </c>
      <c r="C2410" t="s">
        <v>2623</v>
      </c>
      <c r="D2410" t="s">
        <v>2681</v>
      </c>
      <c r="E2410">
        <v>59</v>
      </c>
    </row>
    <row r="2411" spans="1:5" x14ac:dyDescent="0.25">
      <c r="A2411" t="s">
        <v>91</v>
      </c>
      <c r="B2411" t="s">
        <v>2616</v>
      </c>
      <c r="C2411" t="s">
        <v>2623</v>
      </c>
      <c r="D2411" t="s">
        <v>2682</v>
      </c>
      <c r="E2411">
        <v>62</v>
      </c>
    </row>
    <row r="2412" spans="1:5" x14ac:dyDescent="0.25">
      <c r="A2412" t="s">
        <v>91</v>
      </c>
      <c r="B2412" t="s">
        <v>2616</v>
      </c>
      <c r="C2412" t="s">
        <v>2623</v>
      </c>
      <c r="D2412" t="s">
        <v>2683</v>
      </c>
      <c r="E2412">
        <v>85</v>
      </c>
    </row>
    <row r="2413" spans="1:5" x14ac:dyDescent="0.25">
      <c r="A2413" t="s">
        <v>91</v>
      </c>
      <c r="B2413" t="s">
        <v>2616</v>
      </c>
      <c r="C2413" t="s">
        <v>2623</v>
      </c>
      <c r="D2413" t="s">
        <v>2684</v>
      </c>
      <c r="E2413">
        <v>89</v>
      </c>
    </row>
    <row r="2414" spans="1:5" x14ac:dyDescent="0.25">
      <c r="A2414" t="s">
        <v>91</v>
      </c>
      <c r="B2414" t="s">
        <v>2616</v>
      </c>
      <c r="C2414" t="s">
        <v>2623</v>
      </c>
      <c r="D2414" t="s">
        <v>2685</v>
      </c>
      <c r="E2414">
        <v>95</v>
      </c>
    </row>
    <row r="2415" spans="1:5" x14ac:dyDescent="0.25">
      <c r="A2415" t="s">
        <v>91</v>
      </c>
      <c r="B2415" t="s">
        <v>2616</v>
      </c>
      <c r="C2415" t="s">
        <v>2623</v>
      </c>
      <c r="D2415" t="s">
        <v>2686</v>
      </c>
      <c r="E2415">
        <v>95</v>
      </c>
    </row>
    <row r="2416" spans="1:5" x14ac:dyDescent="0.25">
      <c r="A2416" t="s">
        <v>91</v>
      </c>
      <c r="B2416" t="s">
        <v>2616</v>
      </c>
      <c r="C2416" t="s">
        <v>2623</v>
      </c>
      <c r="D2416" t="s">
        <v>2687</v>
      </c>
      <c r="E2416">
        <v>84</v>
      </c>
    </row>
    <row r="2417" spans="1:5" x14ac:dyDescent="0.25">
      <c r="A2417" t="s">
        <v>91</v>
      </c>
      <c r="B2417" t="s">
        <v>2616</v>
      </c>
      <c r="C2417" t="s">
        <v>2623</v>
      </c>
      <c r="D2417" t="s">
        <v>2688</v>
      </c>
      <c r="E2417">
        <v>88</v>
      </c>
    </row>
    <row r="2418" spans="1:5" x14ac:dyDescent="0.25">
      <c r="A2418" t="s">
        <v>91</v>
      </c>
      <c r="B2418" t="s">
        <v>2616</v>
      </c>
      <c r="C2418" t="s">
        <v>2623</v>
      </c>
      <c r="D2418" t="s">
        <v>2689</v>
      </c>
      <c r="E2418">
        <v>77</v>
      </c>
    </row>
    <row r="2419" spans="1:5" x14ac:dyDescent="0.25">
      <c r="A2419" t="s">
        <v>91</v>
      </c>
      <c r="B2419" t="s">
        <v>2616</v>
      </c>
      <c r="C2419" t="s">
        <v>2623</v>
      </c>
      <c r="D2419" t="s">
        <v>2690</v>
      </c>
      <c r="E2419">
        <v>97</v>
      </c>
    </row>
    <row r="2420" spans="1:5" x14ac:dyDescent="0.25">
      <c r="A2420" t="s">
        <v>91</v>
      </c>
      <c r="B2420" t="s">
        <v>2616</v>
      </c>
      <c r="C2420" t="s">
        <v>242</v>
      </c>
      <c r="D2420" t="s">
        <v>2677</v>
      </c>
      <c r="E2420">
        <v>25</v>
      </c>
    </row>
    <row r="2421" spans="1:5" x14ac:dyDescent="0.25">
      <c r="A2421" t="s">
        <v>91</v>
      </c>
      <c r="B2421" t="s">
        <v>2616</v>
      </c>
      <c r="C2421" t="s">
        <v>242</v>
      </c>
      <c r="D2421" t="s">
        <v>2678</v>
      </c>
      <c r="E2421">
        <v>25</v>
      </c>
    </row>
    <row r="2422" spans="1:5" x14ac:dyDescent="0.25">
      <c r="A2422" t="s">
        <v>91</v>
      </c>
      <c r="B2422" t="s">
        <v>2616</v>
      </c>
      <c r="C2422" t="s">
        <v>2622</v>
      </c>
      <c r="D2422" t="s">
        <v>2677</v>
      </c>
      <c r="E2422">
        <v>37</v>
      </c>
    </row>
    <row r="2423" spans="1:5" x14ac:dyDescent="0.25">
      <c r="A2423" t="s">
        <v>91</v>
      </c>
      <c r="B2423" t="s">
        <v>2616</v>
      </c>
      <c r="C2423" t="s">
        <v>2622</v>
      </c>
      <c r="D2423" t="s">
        <v>2678</v>
      </c>
      <c r="E2423">
        <v>53</v>
      </c>
    </row>
    <row r="2424" spans="1:5" x14ac:dyDescent="0.25">
      <c r="A2424" t="s">
        <v>91</v>
      </c>
      <c r="B2424" t="s">
        <v>2616</v>
      </c>
      <c r="C2424" t="s">
        <v>2622</v>
      </c>
      <c r="D2424" t="s">
        <v>2679</v>
      </c>
      <c r="E2424">
        <v>62</v>
      </c>
    </row>
    <row r="2425" spans="1:5" x14ac:dyDescent="0.25">
      <c r="A2425" t="s">
        <v>91</v>
      </c>
      <c r="B2425" t="s">
        <v>2616</v>
      </c>
      <c r="C2425" t="s">
        <v>2622</v>
      </c>
      <c r="D2425" t="s">
        <v>2680</v>
      </c>
      <c r="E2425">
        <v>51</v>
      </c>
    </row>
    <row r="2426" spans="1:5" x14ac:dyDescent="0.25">
      <c r="A2426" t="s">
        <v>91</v>
      </c>
      <c r="B2426" t="s">
        <v>2616</v>
      </c>
      <c r="C2426" t="s">
        <v>2622</v>
      </c>
      <c r="D2426" t="s">
        <v>2681</v>
      </c>
      <c r="E2426">
        <v>51</v>
      </c>
    </row>
    <row r="2427" spans="1:5" x14ac:dyDescent="0.25">
      <c r="A2427" t="s">
        <v>91</v>
      </c>
      <c r="B2427" t="s">
        <v>2616</v>
      </c>
      <c r="C2427" t="s">
        <v>2622</v>
      </c>
      <c r="D2427" t="s">
        <v>2682</v>
      </c>
      <c r="E2427">
        <v>48</v>
      </c>
    </row>
    <row r="2428" spans="1:5" x14ac:dyDescent="0.25">
      <c r="A2428" t="s">
        <v>91</v>
      </c>
      <c r="B2428" t="s">
        <v>2616</v>
      </c>
      <c r="C2428" t="s">
        <v>2622</v>
      </c>
      <c r="D2428" t="s">
        <v>2683</v>
      </c>
      <c r="E2428">
        <v>48</v>
      </c>
    </row>
    <row r="2429" spans="1:5" x14ac:dyDescent="0.25">
      <c r="A2429" t="s">
        <v>91</v>
      </c>
      <c r="B2429" t="s">
        <v>2616</v>
      </c>
      <c r="C2429" t="s">
        <v>2622</v>
      </c>
      <c r="D2429" t="s">
        <v>2684</v>
      </c>
      <c r="E2429">
        <v>46</v>
      </c>
    </row>
    <row r="2430" spans="1:5" x14ac:dyDescent="0.25">
      <c r="A2430" t="s">
        <v>91</v>
      </c>
      <c r="B2430" t="s">
        <v>2616</v>
      </c>
      <c r="C2430" t="s">
        <v>2622</v>
      </c>
      <c r="D2430" t="s">
        <v>2685</v>
      </c>
      <c r="E2430">
        <v>46</v>
      </c>
    </row>
    <row r="2431" spans="1:5" x14ac:dyDescent="0.25">
      <c r="A2431" t="s">
        <v>91</v>
      </c>
      <c r="B2431" t="s">
        <v>2616</v>
      </c>
      <c r="C2431" t="s">
        <v>2622</v>
      </c>
      <c r="D2431" t="s">
        <v>2686</v>
      </c>
      <c r="E2431">
        <v>45</v>
      </c>
    </row>
    <row r="2432" spans="1:5" x14ac:dyDescent="0.25">
      <c r="A2432" t="s">
        <v>91</v>
      </c>
      <c r="B2432" t="s">
        <v>2616</v>
      </c>
      <c r="C2432" t="s">
        <v>2622</v>
      </c>
      <c r="D2432" t="s">
        <v>2687</v>
      </c>
      <c r="E2432">
        <v>48</v>
      </c>
    </row>
    <row r="2433" spans="1:5" x14ac:dyDescent="0.25">
      <c r="A2433" t="s">
        <v>91</v>
      </c>
      <c r="B2433" t="s">
        <v>2616</v>
      </c>
      <c r="C2433" t="s">
        <v>2622</v>
      </c>
      <c r="D2433" t="s">
        <v>2688</v>
      </c>
      <c r="E2433">
        <v>58</v>
      </c>
    </row>
    <row r="2434" spans="1:5" x14ac:dyDescent="0.25">
      <c r="A2434" t="s">
        <v>91</v>
      </c>
      <c r="B2434" t="s">
        <v>2616</v>
      </c>
      <c r="C2434" t="s">
        <v>2622</v>
      </c>
      <c r="D2434" t="s">
        <v>2689</v>
      </c>
      <c r="E2434">
        <v>63</v>
      </c>
    </row>
    <row r="2435" spans="1:5" x14ac:dyDescent="0.25">
      <c r="A2435" t="s">
        <v>91</v>
      </c>
      <c r="B2435" t="s">
        <v>2616</v>
      </c>
      <c r="C2435" t="s">
        <v>2622</v>
      </c>
      <c r="D2435" t="s">
        <v>2690</v>
      </c>
      <c r="E2435">
        <v>64</v>
      </c>
    </row>
    <row r="2436" spans="1:5" x14ac:dyDescent="0.25">
      <c r="A2436" t="s">
        <v>91</v>
      </c>
      <c r="B2436" t="s">
        <v>2616</v>
      </c>
      <c r="C2436" t="s">
        <v>2621</v>
      </c>
      <c r="D2436" t="s">
        <v>2677</v>
      </c>
      <c r="E2436">
        <v>73</v>
      </c>
    </row>
    <row r="2437" spans="1:5" x14ac:dyDescent="0.25">
      <c r="A2437" t="s">
        <v>91</v>
      </c>
      <c r="B2437" t="s">
        <v>2616</v>
      </c>
      <c r="C2437" t="s">
        <v>2621</v>
      </c>
      <c r="D2437" t="s">
        <v>2678</v>
      </c>
      <c r="E2437">
        <v>143</v>
      </c>
    </row>
    <row r="2438" spans="1:5" x14ac:dyDescent="0.25">
      <c r="A2438" t="s">
        <v>91</v>
      </c>
      <c r="B2438" t="s">
        <v>2616</v>
      </c>
      <c r="C2438" t="s">
        <v>2621</v>
      </c>
      <c r="D2438" t="s">
        <v>2679</v>
      </c>
      <c r="E2438">
        <v>135</v>
      </c>
    </row>
    <row r="2439" spans="1:5" x14ac:dyDescent="0.25">
      <c r="A2439" t="s">
        <v>91</v>
      </c>
      <c r="B2439" t="s">
        <v>2616</v>
      </c>
      <c r="C2439" t="s">
        <v>2621</v>
      </c>
      <c r="D2439" t="s">
        <v>2680</v>
      </c>
      <c r="E2439">
        <v>144</v>
      </c>
    </row>
    <row r="2440" spans="1:5" x14ac:dyDescent="0.25">
      <c r="A2440" t="s">
        <v>91</v>
      </c>
      <c r="B2440" t="s">
        <v>2616</v>
      </c>
      <c r="C2440" t="s">
        <v>2621</v>
      </c>
      <c r="D2440" t="s">
        <v>2681</v>
      </c>
      <c r="E2440">
        <v>130</v>
      </c>
    </row>
    <row r="2441" spans="1:5" x14ac:dyDescent="0.25">
      <c r="A2441" t="s">
        <v>91</v>
      </c>
      <c r="B2441" t="s">
        <v>2616</v>
      </c>
      <c r="C2441" t="s">
        <v>2621</v>
      </c>
      <c r="D2441" t="s">
        <v>2682</v>
      </c>
      <c r="E2441">
        <v>110</v>
      </c>
    </row>
    <row r="2442" spans="1:5" x14ac:dyDescent="0.25">
      <c r="A2442" t="s">
        <v>91</v>
      </c>
      <c r="B2442" t="s">
        <v>2616</v>
      </c>
      <c r="C2442" t="s">
        <v>2621</v>
      </c>
      <c r="D2442" t="s">
        <v>2683</v>
      </c>
      <c r="E2442">
        <v>73</v>
      </c>
    </row>
    <row r="2443" spans="1:5" x14ac:dyDescent="0.25">
      <c r="A2443" t="s">
        <v>91</v>
      </c>
      <c r="B2443" t="s">
        <v>2616</v>
      </c>
      <c r="C2443" t="s">
        <v>2621</v>
      </c>
      <c r="D2443" t="s">
        <v>2684</v>
      </c>
      <c r="E2443">
        <v>72</v>
      </c>
    </row>
    <row r="2444" spans="1:5" x14ac:dyDescent="0.25">
      <c r="A2444" t="s">
        <v>91</v>
      </c>
      <c r="B2444" t="s">
        <v>2616</v>
      </c>
      <c r="C2444" t="s">
        <v>2621</v>
      </c>
      <c r="D2444" t="s">
        <v>2685</v>
      </c>
      <c r="E2444">
        <v>71</v>
      </c>
    </row>
    <row r="2445" spans="1:5" x14ac:dyDescent="0.25">
      <c r="A2445" t="s">
        <v>91</v>
      </c>
      <c r="B2445" t="s">
        <v>2616</v>
      </c>
      <c r="C2445" t="s">
        <v>2621</v>
      </c>
      <c r="D2445" t="s">
        <v>2686</v>
      </c>
      <c r="E2445">
        <v>70</v>
      </c>
    </row>
    <row r="2446" spans="1:5" x14ac:dyDescent="0.25">
      <c r="A2446" t="s">
        <v>91</v>
      </c>
      <c r="B2446" t="s">
        <v>2616</v>
      </c>
      <c r="C2446" t="s">
        <v>2621</v>
      </c>
      <c r="D2446" t="s">
        <v>2687</v>
      </c>
      <c r="E2446">
        <v>68</v>
      </c>
    </row>
    <row r="2447" spans="1:5" x14ac:dyDescent="0.25">
      <c r="A2447" t="s">
        <v>91</v>
      </c>
      <c r="B2447" t="s">
        <v>2616</v>
      </c>
      <c r="C2447" t="s">
        <v>2621</v>
      </c>
      <c r="D2447" t="s">
        <v>2688</v>
      </c>
      <c r="E2447">
        <v>53</v>
      </c>
    </row>
    <row r="2448" spans="1:5" x14ac:dyDescent="0.25">
      <c r="A2448" t="s">
        <v>91</v>
      </c>
      <c r="B2448" t="s">
        <v>2616</v>
      </c>
      <c r="C2448" t="s">
        <v>2621</v>
      </c>
      <c r="D2448" t="s">
        <v>2689</v>
      </c>
      <c r="E2448">
        <v>42</v>
      </c>
    </row>
    <row r="2449" spans="1:5" x14ac:dyDescent="0.25">
      <c r="A2449" t="s">
        <v>91</v>
      </c>
      <c r="B2449" t="s">
        <v>2616</v>
      </c>
      <c r="C2449" t="s">
        <v>2621</v>
      </c>
      <c r="D2449" t="s">
        <v>2690</v>
      </c>
      <c r="E2449">
        <v>37</v>
      </c>
    </row>
    <row r="2450" spans="1:5" x14ac:dyDescent="0.25">
      <c r="A2450" t="s">
        <v>91</v>
      </c>
      <c r="B2450" t="s">
        <v>2616</v>
      </c>
      <c r="C2450" t="s">
        <v>2620</v>
      </c>
      <c r="D2450" t="s">
        <v>2677</v>
      </c>
      <c r="E2450">
        <v>23</v>
      </c>
    </row>
    <row r="2451" spans="1:5" x14ac:dyDescent="0.25">
      <c r="A2451" t="s">
        <v>91</v>
      </c>
      <c r="B2451" t="s">
        <v>2616</v>
      </c>
      <c r="C2451" t="s">
        <v>2620</v>
      </c>
      <c r="D2451" t="s">
        <v>2678</v>
      </c>
      <c r="E2451">
        <v>39</v>
      </c>
    </row>
    <row r="2452" spans="1:5" x14ac:dyDescent="0.25">
      <c r="A2452" t="s">
        <v>91</v>
      </c>
      <c r="B2452" t="s">
        <v>2616</v>
      </c>
      <c r="C2452" t="s">
        <v>2620</v>
      </c>
      <c r="D2452" t="s">
        <v>2679</v>
      </c>
      <c r="E2452">
        <v>32</v>
      </c>
    </row>
    <row r="2453" spans="1:5" x14ac:dyDescent="0.25">
      <c r="A2453" t="s">
        <v>91</v>
      </c>
      <c r="B2453" t="s">
        <v>2616</v>
      </c>
      <c r="C2453" t="s">
        <v>2620</v>
      </c>
      <c r="D2453" t="s">
        <v>2680</v>
      </c>
      <c r="E2453">
        <v>33</v>
      </c>
    </row>
    <row r="2454" spans="1:5" x14ac:dyDescent="0.25">
      <c r="A2454" t="s">
        <v>91</v>
      </c>
      <c r="B2454" t="s">
        <v>2616</v>
      </c>
      <c r="C2454" t="s">
        <v>2620</v>
      </c>
      <c r="D2454" t="s">
        <v>2681</v>
      </c>
      <c r="E2454">
        <v>26</v>
      </c>
    </row>
    <row r="2455" spans="1:5" x14ac:dyDescent="0.25">
      <c r="A2455" t="s">
        <v>91</v>
      </c>
      <c r="B2455" t="s">
        <v>2616</v>
      </c>
      <c r="C2455" t="s">
        <v>2620</v>
      </c>
      <c r="D2455" t="s">
        <v>2682</v>
      </c>
      <c r="E2455">
        <v>27</v>
      </c>
    </row>
    <row r="2456" spans="1:5" x14ac:dyDescent="0.25">
      <c r="A2456" t="s">
        <v>91</v>
      </c>
      <c r="B2456" t="s">
        <v>2616</v>
      </c>
      <c r="C2456" t="s">
        <v>2620</v>
      </c>
      <c r="D2456" t="s">
        <v>2683</v>
      </c>
      <c r="E2456">
        <v>24</v>
      </c>
    </row>
    <row r="2457" spans="1:5" x14ac:dyDescent="0.25">
      <c r="A2457" t="s">
        <v>91</v>
      </c>
      <c r="B2457" t="s">
        <v>2616</v>
      </c>
      <c r="C2457" t="s">
        <v>2620</v>
      </c>
      <c r="D2457" t="s">
        <v>2684</v>
      </c>
      <c r="E2457">
        <v>31</v>
      </c>
    </row>
    <row r="2458" spans="1:5" x14ac:dyDescent="0.25">
      <c r="A2458" t="s">
        <v>91</v>
      </c>
      <c r="B2458" t="s">
        <v>2616</v>
      </c>
      <c r="C2458" t="s">
        <v>2620</v>
      </c>
      <c r="D2458" t="s">
        <v>2685</v>
      </c>
      <c r="E2458">
        <v>40</v>
      </c>
    </row>
    <row r="2459" spans="1:5" x14ac:dyDescent="0.25">
      <c r="A2459" t="s">
        <v>91</v>
      </c>
      <c r="B2459" t="s">
        <v>2616</v>
      </c>
      <c r="C2459" t="s">
        <v>2620</v>
      </c>
      <c r="D2459" t="s">
        <v>2686</v>
      </c>
      <c r="E2459">
        <v>37</v>
      </c>
    </row>
    <row r="2460" spans="1:5" x14ac:dyDescent="0.25">
      <c r="A2460" t="s">
        <v>91</v>
      </c>
      <c r="B2460" t="s">
        <v>2616</v>
      </c>
      <c r="C2460" t="s">
        <v>2620</v>
      </c>
      <c r="D2460" t="s">
        <v>2687</v>
      </c>
      <c r="E2460">
        <v>37</v>
      </c>
    </row>
    <row r="2461" spans="1:5" x14ac:dyDescent="0.25">
      <c r="A2461" t="s">
        <v>91</v>
      </c>
      <c r="B2461" t="s">
        <v>2616</v>
      </c>
      <c r="C2461" t="s">
        <v>2620</v>
      </c>
      <c r="D2461" t="s">
        <v>2688</v>
      </c>
      <c r="E2461">
        <v>37</v>
      </c>
    </row>
    <row r="2462" spans="1:5" x14ac:dyDescent="0.25">
      <c r="A2462" t="s">
        <v>91</v>
      </c>
      <c r="B2462" t="s">
        <v>2616</v>
      </c>
      <c r="C2462" t="s">
        <v>2620</v>
      </c>
      <c r="D2462" t="s">
        <v>2689</v>
      </c>
      <c r="E2462">
        <v>24</v>
      </c>
    </row>
    <row r="2463" spans="1:5" x14ac:dyDescent="0.25">
      <c r="A2463" t="s">
        <v>91</v>
      </c>
      <c r="B2463" t="s">
        <v>2616</v>
      </c>
      <c r="C2463" t="s">
        <v>2620</v>
      </c>
      <c r="D2463" t="s">
        <v>2690</v>
      </c>
      <c r="E2463">
        <v>33</v>
      </c>
    </row>
    <row r="2464" spans="1:5" x14ac:dyDescent="0.25">
      <c r="A2464" t="s">
        <v>91</v>
      </c>
      <c r="B2464" t="s">
        <v>2616</v>
      </c>
      <c r="C2464" t="s">
        <v>2619</v>
      </c>
      <c r="D2464" t="s">
        <v>2677</v>
      </c>
      <c r="E2464">
        <v>12</v>
      </c>
    </row>
    <row r="2465" spans="1:5" x14ac:dyDescent="0.25">
      <c r="A2465" t="s">
        <v>91</v>
      </c>
      <c r="B2465" t="s">
        <v>2616</v>
      </c>
      <c r="C2465" t="s">
        <v>2619</v>
      </c>
      <c r="D2465" t="s">
        <v>2678</v>
      </c>
      <c r="E2465">
        <v>36</v>
      </c>
    </row>
    <row r="2466" spans="1:5" x14ac:dyDescent="0.25">
      <c r="A2466" t="s">
        <v>91</v>
      </c>
      <c r="B2466" t="s">
        <v>2616</v>
      </c>
      <c r="C2466" t="s">
        <v>2619</v>
      </c>
      <c r="D2466" t="s">
        <v>2679</v>
      </c>
      <c r="E2466">
        <v>33</v>
      </c>
    </row>
    <row r="2467" spans="1:5" x14ac:dyDescent="0.25">
      <c r="A2467" t="s">
        <v>91</v>
      </c>
      <c r="B2467" t="s">
        <v>2616</v>
      </c>
      <c r="C2467" t="s">
        <v>2619</v>
      </c>
      <c r="D2467" t="s">
        <v>2680</v>
      </c>
      <c r="E2467">
        <v>52</v>
      </c>
    </row>
    <row r="2468" spans="1:5" x14ac:dyDescent="0.25">
      <c r="A2468" t="s">
        <v>91</v>
      </c>
      <c r="B2468" t="s">
        <v>2616</v>
      </c>
      <c r="C2468" t="s">
        <v>2619</v>
      </c>
      <c r="D2468" t="s">
        <v>2681</v>
      </c>
      <c r="E2468">
        <v>71</v>
      </c>
    </row>
    <row r="2469" spans="1:5" x14ac:dyDescent="0.25">
      <c r="A2469" t="s">
        <v>91</v>
      </c>
      <c r="B2469" t="s">
        <v>2616</v>
      </c>
      <c r="C2469" t="s">
        <v>2619</v>
      </c>
      <c r="D2469" t="s">
        <v>2682</v>
      </c>
      <c r="E2469">
        <v>54</v>
      </c>
    </row>
    <row r="2470" spans="1:5" x14ac:dyDescent="0.25">
      <c r="A2470" t="s">
        <v>91</v>
      </c>
      <c r="B2470" t="s">
        <v>2616</v>
      </c>
      <c r="C2470" t="s">
        <v>2619</v>
      </c>
      <c r="D2470" t="s">
        <v>2683</v>
      </c>
      <c r="E2470">
        <v>65</v>
      </c>
    </row>
    <row r="2471" spans="1:5" x14ac:dyDescent="0.25">
      <c r="A2471" t="s">
        <v>91</v>
      </c>
      <c r="B2471" t="s">
        <v>2616</v>
      </c>
      <c r="C2471" t="s">
        <v>2619</v>
      </c>
      <c r="D2471" t="s">
        <v>2684</v>
      </c>
      <c r="E2471">
        <v>69</v>
      </c>
    </row>
    <row r="2472" spans="1:5" x14ac:dyDescent="0.25">
      <c r="A2472" t="s">
        <v>91</v>
      </c>
      <c r="B2472" t="s">
        <v>2616</v>
      </c>
      <c r="C2472" t="s">
        <v>2619</v>
      </c>
      <c r="D2472" t="s">
        <v>2685</v>
      </c>
      <c r="E2472">
        <v>67</v>
      </c>
    </row>
    <row r="2473" spans="1:5" x14ac:dyDescent="0.25">
      <c r="A2473" t="s">
        <v>91</v>
      </c>
      <c r="B2473" t="s">
        <v>2616</v>
      </c>
      <c r="C2473" t="s">
        <v>2619</v>
      </c>
      <c r="D2473" t="s">
        <v>2686</v>
      </c>
      <c r="E2473">
        <v>65</v>
      </c>
    </row>
    <row r="2474" spans="1:5" x14ac:dyDescent="0.25">
      <c r="A2474" t="s">
        <v>91</v>
      </c>
      <c r="B2474" t="s">
        <v>2616</v>
      </c>
      <c r="C2474" t="s">
        <v>2619</v>
      </c>
      <c r="D2474" t="s">
        <v>2687</v>
      </c>
      <c r="E2474">
        <v>73</v>
      </c>
    </row>
    <row r="2475" spans="1:5" x14ac:dyDescent="0.25">
      <c r="A2475" t="s">
        <v>91</v>
      </c>
      <c r="B2475" t="s">
        <v>2616</v>
      </c>
      <c r="C2475" t="s">
        <v>2619</v>
      </c>
      <c r="D2475" t="s">
        <v>2688</v>
      </c>
      <c r="E2475">
        <v>78</v>
      </c>
    </row>
    <row r="2476" spans="1:5" x14ac:dyDescent="0.25">
      <c r="A2476" t="s">
        <v>91</v>
      </c>
      <c r="B2476" t="s">
        <v>2616</v>
      </c>
      <c r="C2476" t="s">
        <v>2619</v>
      </c>
      <c r="D2476" t="s">
        <v>2689</v>
      </c>
      <c r="E2476">
        <v>90</v>
      </c>
    </row>
    <row r="2477" spans="1:5" x14ac:dyDescent="0.25">
      <c r="A2477" t="s">
        <v>91</v>
      </c>
      <c r="B2477" t="s">
        <v>2616</v>
      </c>
      <c r="C2477" t="s">
        <v>2619</v>
      </c>
      <c r="D2477" t="s">
        <v>2690</v>
      </c>
      <c r="E2477">
        <v>83</v>
      </c>
    </row>
    <row r="2478" spans="1:5" x14ac:dyDescent="0.25">
      <c r="A2478" t="s">
        <v>91</v>
      </c>
      <c r="B2478" t="s">
        <v>2616</v>
      </c>
      <c r="C2478" t="s">
        <v>2617</v>
      </c>
      <c r="D2478" t="s">
        <v>2677</v>
      </c>
      <c r="E2478">
        <v>29</v>
      </c>
    </row>
    <row r="2479" spans="1:5" x14ac:dyDescent="0.25">
      <c r="A2479" t="s">
        <v>91</v>
      </c>
      <c r="B2479" t="s">
        <v>2616</v>
      </c>
      <c r="C2479" t="s">
        <v>2617</v>
      </c>
      <c r="D2479" t="s">
        <v>2678</v>
      </c>
      <c r="E2479">
        <v>43</v>
      </c>
    </row>
    <row r="2480" spans="1:5" x14ac:dyDescent="0.25">
      <c r="A2480" t="s">
        <v>91</v>
      </c>
      <c r="B2480" t="s">
        <v>2616</v>
      </c>
      <c r="C2480" t="s">
        <v>2617</v>
      </c>
      <c r="D2480" t="s">
        <v>2679</v>
      </c>
      <c r="E2480">
        <v>50</v>
      </c>
    </row>
    <row r="2481" spans="1:5" x14ac:dyDescent="0.25">
      <c r="A2481" t="s">
        <v>91</v>
      </c>
      <c r="B2481" t="s">
        <v>2616</v>
      </c>
      <c r="C2481" t="s">
        <v>2617</v>
      </c>
      <c r="D2481" t="s">
        <v>2680</v>
      </c>
      <c r="E2481">
        <v>57</v>
      </c>
    </row>
    <row r="2482" spans="1:5" x14ac:dyDescent="0.25">
      <c r="A2482" t="s">
        <v>91</v>
      </c>
      <c r="B2482" t="s">
        <v>2616</v>
      </c>
      <c r="C2482" t="s">
        <v>2617</v>
      </c>
      <c r="D2482" t="s">
        <v>2681</v>
      </c>
      <c r="E2482">
        <v>74</v>
      </c>
    </row>
    <row r="2483" spans="1:5" x14ac:dyDescent="0.25">
      <c r="A2483" t="s">
        <v>91</v>
      </c>
      <c r="B2483" t="s">
        <v>2616</v>
      </c>
      <c r="C2483" t="s">
        <v>2617</v>
      </c>
      <c r="D2483" t="s">
        <v>2682</v>
      </c>
      <c r="E2483">
        <v>110</v>
      </c>
    </row>
    <row r="2484" spans="1:5" x14ac:dyDescent="0.25">
      <c r="A2484" t="s">
        <v>91</v>
      </c>
      <c r="B2484" t="s">
        <v>2616</v>
      </c>
      <c r="C2484" t="s">
        <v>2617</v>
      </c>
      <c r="D2484" t="s">
        <v>2683</v>
      </c>
      <c r="E2484">
        <v>66</v>
      </c>
    </row>
    <row r="2485" spans="1:5" x14ac:dyDescent="0.25">
      <c r="A2485" t="s">
        <v>91</v>
      </c>
      <c r="B2485" t="s">
        <v>2616</v>
      </c>
      <c r="C2485" t="s">
        <v>2617</v>
      </c>
      <c r="D2485" t="s">
        <v>2684</v>
      </c>
      <c r="E2485">
        <v>57</v>
      </c>
    </row>
    <row r="2486" spans="1:5" x14ac:dyDescent="0.25">
      <c r="A2486" t="s">
        <v>91</v>
      </c>
      <c r="B2486" t="s">
        <v>2616</v>
      </c>
      <c r="C2486" t="s">
        <v>2617</v>
      </c>
      <c r="D2486" t="s">
        <v>2685</v>
      </c>
      <c r="E2486">
        <v>49</v>
      </c>
    </row>
    <row r="2487" spans="1:5" x14ac:dyDescent="0.25">
      <c r="A2487" t="s">
        <v>91</v>
      </c>
      <c r="B2487" t="s">
        <v>2616</v>
      </c>
      <c r="C2487" t="s">
        <v>2617</v>
      </c>
      <c r="D2487" t="s">
        <v>2686</v>
      </c>
      <c r="E2487">
        <v>51</v>
      </c>
    </row>
    <row r="2488" spans="1:5" x14ac:dyDescent="0.25">
      <c r="A2488" t="s">
        <v>91</v>
      </c>
      <c r="B2488" t="s">
        <v>2616</v>
      </c>
      <c r="C2488" t="s">
        <v>2617</v>
      </c>
      <c r="D2488" t="s">
        <v>2687</v>
      </c>
      <c r="E2488">
        <v>56</v>
      </c>
    </row>
    <row r="2489" spans="1:5" x14ac:dyDescent="0.25">
      <c r="A2489" t="s">
        <v>91</v>
      </c>
      <c r="B2489" t="s">
        <v>2616</v>
      </c>
      <c r="C2489" t="s">
        <v>2617</v>
      </c>
      <c r="D2489" t="s">
        <v>2688</v>
      </c>
      <c r="E2489">
        <v>80</v>
      </c>
    </row>
    <row r="2490" spans="1:5" x14ac:dyDescent="0.25">
      <c r="A2490" t="s">
        <v>91</v>
      </c>
      <c r="B2490" t="s">
        <v>2616</v>
      </c>
      <c r="C2490" t="s">
        <v>2617</v>
      </c>
      <c r="D2490" t="s">
        <v>2689</v>
      </c>
      <c r="E2490">
        <v>57</v>
      </c>
    </row>
    <row r="2491" spans="1:5" x14ac:dyDescent="0.25">
      <c r="A2491" t="s">
        <v>91</v>
      </c>
      <c r="B2491" t="s">
        <v>2616</v>
      </c>
      <c r="C2491" t="s">
        <v>2617</v>
      </c>
      <c r="D2491" t="s">
        <v>2690</v>
      </c>
      <c r="E2491">
        <v>52</v>
      </c>
    </row>
    <row r="2492" spans="1:5" x14ac:dyDescent="0.25">
      <c r="A2492" t="s">
        <v>91</v>
      </c>
      <c r="B2492" t="s">
        <v>2733</v>
      </c>
      <c r="C2492" t="s">
        <v>2734</v>
      </c>
      <c r="D2492" t="s">
        <v>2684</v>
      </c>
      <c r="E2492">
        <v>1</v>
      </c>
    </row>
    <row r="2493" spans="1:5" x14ac:dyDescent="0.25">
      <c r="A2493" t="s">
        <v>91</v>
      </c>
      <c r="B2493" t="s">
        <v>2733</v>
      </c>
      <c r="C2493" t="s">
        <v>2615</v>
      </c>
      <c r="D2493" t="s">
        <v>2686</v>
      </c>
      <c r="E2493">
        <v>11</v>
      </c>
    </row>
    <row r="2494" spans="1:5" x14ac:dyDescent="0.25">
      <c r="A2494" t="s">
        <v>91</v>
      </c>
      <c r="B2494" t="s">
        <v>2733</v>
      </c>
      <c r="C2494" t="s">
        <v>2606</v>
      </c>
      <c r="D2494" t="s">
        <v>2680</v>
      </c>
      <c r="E2494">
        <v>1</v>
      </c>
    </row>
    <row r="2495" spans="1:5" x14ac:dyDescent="0.25">
      <c r="A2495" t="s">
        <v>91</v>
      </c>
      <c r="B2495" t="s">
        <v>2733</v>
      </c>
      <c r="C2495" t="s">
        <v>2606</v>
      </c>
      <c r="D2495" t="s">
        <v>2684</v>
      </c>
      <c r="E2495">
        <v>6</v>
      </c>
    </row>
    <row r="2496" spans="1:5" x14ac:dyDescent="0.25">
      <c r="A2496" t="s">
        <v>91</v>
      </c>
      <c r="B2496" t="s">
        <v>2733</v>
      </c>
      <c r="C2496" t="s">
        <v>2606</v>
      </c>
      <c r="D2496" t="s">
        <v>2685</v>
      </c>
      <c r="E2496">
        <v>3</v>
      </c>
    </row>
    <row r="2497" spans="1:5" x14ac:dyDescent="0.25">
      <c r="A2497" t="s">
        <v>91</v>
      </c>
      <c r="B2497" t="s">
        <v>2733</v>
      </c>
      <c r="C2497" t="s">
        <v>2606</v>
      </c>
      <c r="D2497" t="s">
        <v>2686</v>
      </c>
      <c r="E2497">
        <v>6</v>
      </c>
    </row>
    <row r="2498" spans="1:5" x14ac:dyDescent="0.25">
      <c r="A2498" t="s">
        <v>91</v>
      </c>
      <c r="B2498" t="s">
        <v>2733</v>
      </c>
      <c r="C2498" t="s">
        <v>2607</v>
      </c>
      <c r="D2498" t="s">
        <v>2678</v>
      </c>
      <c r="E2498">
        <v>5</v>
      </c>
    </row>
    <row r="2499" spans="1:5" x14ac:dyDescent="0.25">
      <c r="A2499" t="s">
        <v>91</v>
      </c>
      <c r="B2499" t="s">
        <v>2733</v>
      </c>
      <c r="C2499" t="s">
        <v>2607</v>
      </c>
      <c r="D2499" t="s">
        <v>2681</v>
      </c>
      <c r="E2499">
        <v>4</v>
      </c>
    </row>
    <row r="2500" spans="1:5" x14ac:dyDescent="0.25">
      <c r="A2500" t="s">
        <v>91</v>
      </c>
      <c r="B2500" t="s">
        <v>2733</v>
      </c>
      <c r="C2500" t="s">
        <v>2607</v>
      </c>
      <c r="D2500" t="s">
        <v>2682</v>
      </c>
      <c r="E2500">
        <v>12</v>
      </c>
    </row>
    <row r="2501" spans="1:5" x14ac:dyDescent="0.25">
      <c r="A2501" t="s">
        <v>91</v>
      </c>
      <c r="B2501" t="s">
        <v>2733</v>
      </c>
      <c r="C2501" t="s">
        <v>2607</v>
      </c>
      <c r="D2501" t="s">
        <v>2683</v>
      </c>
      <c r="E2501">
        <v>9</v>
      </c>
    </row>
    <row r="2502" spans="1:5" x14ac:dyDescent="0.25">
      <c r="A2502" t="s">
        <v>91</v>
      </c>
      <c r="B2502" t="s">
        <v>2733</v>
      </c>
      <c r="C2502" t="s">
        <v>2607</v>
      </c>
      <c r="D2502" t="s">
        <v>2684</v>
      </c>
      <c r="E2502">
        <v>8</v>
      </c>
    </row>
    <row r="2503" spans="1:5" x14ac:dyDescent="0.25">
      <c r="A2503" t="s">
        <v>91</v>
      </c>
      <c r="B2503" t="s">
        <v>2733</v>
      </c>
      <c r="C2503" t="s">
        <v>2613</v>
      </c>
      <c r="D2503" t="s">
        <v>2685</v>
      </c>
      <c r="E2503">
        <v>1</v>
      </c>
    </row>
    <row r="2504" spans="1:5" x14ac:dyDescent="0.25">
      <c r="A2504" t="s">
        <v>91</v>
      </c>
      <c r="B2504" t="s">
        <v>2733</v>
      </c>
      <c r="C2504" t="s">
        <v>2613</v>
      </c>
      <c r="D2504" t="s">
        <v>2686</v>
      </c>
      <c r="E2504">
        <v>7</v>
      </c>
    </row>
    <row r="2505" spans="1:5" x14ac:dyDescent="0.25">
      <c r="A2505" t="s">
        <v>91</v>
      </c>
      <c r="B2505" t="s">
        <v>2733</v>
      </c>
      <c r="C2505" t="s">
        <v>2613</v>
      </c>
      <c r="D2505" t="s">
        <v>2687</v>
      </c>
      <c r="E2505">
        <v>2</v>
      </c>
    </row>
    <row r="2506" spans="1:5" x14ac:dyDescent="0.25">
      <c r="A2506" t="s">
        <v>91</v>
      </c>
      <c r="B2506" t="s">
        <v>2733</v>
      </c>
      <c r="C2506" t="s">
        <v>2614</v>
      </c>
      <c r="D2506" t="s">
        <v>2682</v>
      </c>
      <c r="E2506">
        <v>1</v>
      </c>
    </row>
    <row r="2507" spans="1:5" x14ac:dyDescent="0.25">
      <c r="A2507" t="s">
        <v>91</v>
      </c>
      <c r="B2507" t="s">
        <v>2733</v>
      </c>
      <c r="C2507" t="s">
        <v>2614</v>
      </c>
      <c r="D2507" t="s">
        <v>2683</v>
      </c>
      <c r="E2507">
        <v>1</v>
      </c>
    </row>
    <row r="2508" spans="1:5" x14ac:dyDescent="0.25">
      <c r="A2508" t="s">
        <v>91</v>
      </c>
      <c r="B2508" t="s">
        <v>2733</v>
      </c>
      <c r="C2508" t="s">
        <v>2614</v>
      </c>
      <c r="D2508" t="s">
        <v>2684</v>
      </c>
      <c r="E2508">
        <v>1</v>
      </c>
    </row>
    <row r="2509" spans="1:5" x14ac:dyDescent="0.25">
      <c r="A2509" t="s">
        <v>91</v>
      </c>
      <c r="B2509" t="s">
        <v>2733</v>
      </c>
      <c r="C2509" t="s">
        <v>2614</v>
      </c>
      <c r="D2509" t="s">
        <v>2685</v>
      </c>
      <c r="E2509">
        <v>2</v>
      </c>
    </row>
    <row r="2510" spans="1:5" x14ac:dyDescent="0.25">
      <c r="A2510" t="s">
        <v>91</v>
      </c>
      <c r="B2510" t="s">
        <v>2733</v>
      </c>
      <c r="C2510" t="s">
        <v>2614</v>
      </c>
      <c r="D2510" t="s">
        <v>2686</v>
      </c>
      <c r="E2510">
        <v>16</v>
      </c>
    </row>
    <row r="2511" spans="1:5" x14ac:dyDescent="0.25">
      <c r="A2511" t="s">
        <v>91</v>
      </c>
      <c r="B2511" t="s">
        <v>2733</v>
      </c>
      <c r="C2511" t="s">
        <v>2614</v>
      </c>
      <c r="D2511" t="s">
        <v>2687</v>
      </c>
      <c r="E2511">
        <v>3</v>
      </c>
    </row>
    <row r="2512" spans="1:5" x14ac:dyDescent="0.25">
      <c r="A2512" t="s">
        <v>91</v>
      </c>
      <c r="B2512" t="s">
        <v>2733</v>
      </c>
      <c r="C2512" t="s">
        <v>2603</v>
      </c>
      <c r="D2512" t="s">
        <v>2679</v>
      </c>
      <c r="E2512">
        <v>1</v>
      </c>
    </row>
    <row r="2513" spans="1:5" x14ac:dyDescent="0.25">
      <c r="A2513" t="s">
        <v>91</v>
      </c>
      <c r="B2513" t="s">
        <v>2733</v>
      </c>
      <c r="C2513" t="s">
        <v>2603</v>
      </c>
      <c r="D2513" t="s">
        <v>2683</v>
      </c>
      <c r="E2513">
        <v>1</v>
      </c>
    </row>
    <row r="2514" spans="1:5" x14ac:dyDescent="0.25">
      <c r="A2514" t="s">
        <v>91</v>
      </c>
      <c r="B2514" t="s">
        <v>2733</v>
      </c>
      <c r="C2514" t="s">
        <v>2603</v>
      </c>
      <c r="D2514" t="s">
        <v>2684</v>
      </c>
      <c r="E2514">
        <v>2</v>
      </c>
    </row>
    <row r="2515" spans="1:5" x14ac:dyDescent="0.25">
      <c r="A2515" t="s">
        <v>91</v>
      </c>
      <c r="B2515" t="s">
        <v>2733</v>
      </c>
      <c r="C2515" t="s">
        <v>2612</v>
      </c>
      <c r="D2515" t="s">
        <v>2680</v>
      </c>
      <c r="E2515">
        <v>1</v>
      </c>
    </row>
    <row r="2516" spans="1:5" x14ac:dyDescent="0.25">
      <c r="A2516" t="s">
        <v>91</v>
      </c>
      <c r="B2516" t="s">
        <v>2733</v>
      </c>
      <c r="C2516" t="s">
        <v>2612</v>
      </c>
      <c r="D2516" t="s">
        <v>2684</v>
      </c>
      <c r="E2516">
        <v>1</v>
      </c>
    </row>
    <row r="2517" spans="1:5" x14ac:dyDescent="0.25">
      <c r="A2517" t="s">
        <v>91</v>
      </c>
      <c r="B2517" t="s">
        <v>2733</v>
      </c>
      <c r="C2517" t="s">
        <v>2612</v>
      </c>
      <c r="D2517" t="s">
        <v>2685</v>
      </c>
      <c r="E2517">
        <v>6</v>
      </c>
    </row>
    <row r="2518" spans="1:5" x14ac:dyDescent="0.25">
      <c r="A2518" t="s">
        <v>91</v>
      </c>
      <c r="B2518" t="s">
        <v>2733</v>
      </c>
      <c r="C2518" t="s">
        <v>2612</v>
      </c>
      <c r="D2518" t="s">
        <v>2686</v>
      </c>
      <c r="E2518">
        <v>39</v>
      </c>
    </row>
    <row r="2519" spans="1:5" x14ac:dyDescent="0.25">
      <c r="A2519" t="s">
        <v>91</v>
      </c>
      <c r="B2519" t="s">
        <v>2733</v>
      </c>
      <c r="C2519" t="s">
        <v>2612</v>
      </c>
      <c r="D2519" t="s">
        <v>2687</v>
      </c>
      <c r="E2519">
        <v>7</v>
      </c>
    </row>
    <row r="2520" spans="1:5" x14ac:dyDescent="0.25">
      <c r="A2520" t="s">
        <v>91</v>
      </c>
      <c r="B2520" t="s">
        <v>2733</v>
      </c>
      <c r="C2520" t="s">
        <v>2735</v>
      </c>
      <c r="D2520" t="s">
        <v>2678</v>
      </c>
      <c r="E2520">
        <v>1</v>
      </c>
    </row>
    <row r="2521" spans="1:5" x14ac:dyDescent="0.25">
      <c r="A2521" t="s">
        <v>91</v>
      </c>
      <c r="B2521" t="s">
        <v>2733</v>
      </c>
      <c r="C2521" t="s">
        <v>2602</v>
      </c>
      <c r="D2521" t="s">
        <v>2677</v>
      </c>
      <c r="E2521">
        <v>119</v>
      </c>
    </row>
    <row r="2522" spans="1:5" x14ac:dyDescent="0.25">
      <c r="A2522" t="s">
        <v>91</v>
      </c>
      <c r="B2522" t="s">
        <v>2733</v>
      </c>
      <c r="C2522" t="s">
        <v>2602</v>
      </c>
      <c r="D2522" t="s">
        <v>2678</v>
      </c>
      <c r="E2522">
        <v>212</v>
      </c>
    </row>
    <row r="2523" spans="1:5" x14ac:dyDescent="0.25">
      <c r="A2523" t="s">
        <v>91</v>
      </c>
      <c r="B2523" t="s">
        <v>2733</v>
      </c>
      <c r="C2523" t="s">
        <v>2602</v>
      </c>
      <c r="D2523" t="s">
        <v>2679</v>
      </c>
      <c r="E2523">
        <v>280</v>
      </c>
    </row>
    <row r="2524" spans="1:5" x14ac:dyDescent="0.25">
      <c r="A2524" t="s">
        <v>91</v>
      </c>
      <c r="B2524" t="s">
        <v>2733</v>
      </c>
      <c r="C2524" t="s">
        <v>2602</v>
      </c>
      <c r="D2524" t="s">
        <v>2680</v>
      </c>
      <c r="E2524">
        <v>343</v>
      </c>
    </row>
    <row r="2525" spans="1:5" x14ac:dyDescent="0.25">
      <c r="A2525" t="s">
        <v>91</v>
      </c>
      <c r="B2525" t="s">
        <v>2733</v>
      </c>
      <c r="C2525" t="s">
        <v>2602</v>
      </c>
      <c r="D2525" t="s">
        <v>2681</v>
      </c>
      <c r="E2525">
        <v>385</v>
      </c>
    </row>
    <row r="2526" spans="1:5" x14ac:dyDescent="0.25">
      <c r="A2526" t="s">
        <v>91</v>
      </c>
      <c r="B2526" t="s">
        <v>2733</v>
      </c>
      <c r="C2526" t="s">
        <v>2602</v>
      </c>
      <c r="D2526" t="s">
        <v>2682</v>
      </c>
      <c r="E2526">
        <v>320</v>
      </c>
    </row>
    <row r="2527" spans="1:5" x14ac:dyDescent="0.25">
      <c r="A2527" t="s">
        <v>91</v>
      </c>
      <c r="B2527" t="s">
        <v>2733</v>
      </c>
      <c r="C2527" t="s">
        <v>2602</v>
      </c>
      <c r="D2527" t="s">
        <v>2683</v>
      </c>
      <c r="E2527">
        <v>373</v>
      </c>
    </row>
    <row r="2528" spans="1:5" x14ac:dyDescent="0.25">
      <c r="A2528" t="s">
        <v>91</v>
      </c>
      <c r="B2528" t="s">
        <v>2733</v>
      </c>
      <c r="C2528" t="s">
        <v>2602</v>
      </c>
      <c r="D2528" t="s">
        <v>2684</v>
      </c>
      <c r="E2528">
        <v>400</v>
      </c>
    </row>
    <row r="2529" spans="1:5" x14ac:dyDescent="0.25">
      <c r="A2529" t="s">
        <v>91</v>
      </c>
      <c r="B2529" t="s">
        <v>2733</v>
      </c>
      <c r="C2529" t="s">
        <v>2602</v>
      </c>
      <c r="D2529" t="s">
        <v>2685</v>
      </c>
      <c r="E2529">
        <v>425</v>
      </c>
    </row>
    <row r="2530" spans="1:5" x14ac:dyDescent="0.25">
      <c r="A2530" t="s">
        <v>91</v>
      </c>
      <c r="B2530" t="s">
        <v>2733</v>
      </c>
      <c r="C2530" t="s">
        <v>2602</v>
      </c>
      <c r="D2530" t="s">
        <v>2686</v>
      </c>
      <c r="E2530">
        <v>376</v>
      </c>
    </row>
    <row r="2531" spans="1:5" x14ac:dyDescent="0.25">
      <c r="A2531" t="s">
        <v>91</v>
      </c>
      <c r="B2531" t="s">
        <v>2733</v>
      </c>
      <c r="C2531" t="s">
        <v>2602</v>
      </c>
      <c r="D2531" t="s">
        <v>2687</v>
      </c>
      <c r="E2531">
        <v>19</v>
      </c>
    </row>
    <row r="2532" spans="1:5" x14ac:dyDescent="0.25">
      <c r="A2532" t="s">
        <v>91</v>
      </c>
      <c r="B2532" t="s">
        <v>2733</v>
      </c>
      <c r="C2532" t="s">
        <v>2610</v>
      </c>
      <c r="D2532" t="s">
        <v>2680</v>
      </c>
      <c r="E2532">
        <v>1</v>
      </c>
    </row>
    <row r="2533" spans="1:5" x14ac:dyDescent="0.25">
      <c r="A2533" t="s">
        <v>91</v>
      </c>
      <c r="B2533" t="s">
        <v>2733</v>
      </c>
      <c r="C2533" t="s">
        <v>2610</v>
      </c>
      <c r="D2533" t="s">
        <v>2682</v>
      </c>
      <c r="E2533">
        <v>2</v>
      </c>
    </row>
    <row r="2534" spans="1:5" x14ac:dyDescent="0.25">
      <c r="A2534" t="s">
        <v>91</v>
      </c>
      <c r="B2534" t="s">
        <v>2733</v>
      </c>
      <c r="C2534" t="s">
        <v>2610</v>
      </c>
      <c r="D2534" t="s">
        <v>2683</v>
      </c>
      <c r="E2534">
        <v>1</v>
      </c>
    </row>
    <row r="2535" spans="1:5" x14ac:dyDescent="0.25">
      <c r="A2535" t="s">
        <v>91</v>
      </c>
      <c r="B2535" t="s">
        <v>2733</v>
      </c>
      <c r="C2535" t="s">
        <v>2610</v>
      </c>
      <c r="D2535" t="s">
        <v>2684</v>
      </c>
      <c r="E2535">
        <v>1</v>
      </c>
    </row>
    <row r="2536" spans="1:5" x14ac:dyDescent="0.25">
      <c r="A2536" t="s">
        <v>91</v>
      </c>
      <c r="B2536" t="s">
        <v>2733</v>
      </c>
      <c r="C2536" t="s">
        <v>2610</v>
      </c>
      <c r="D2536" t="s">
        <v>2686</v>
      </c>
      <c r="E2536">
        <v>7</v>
      </c>
    </row>
    <row r="2537" spans="1:5" x14ac:dyDescent="0.25">
      <c r="A2537" t="s">
        <v>91</v>
      </c>
      <c r="B2537" t="s">
        <v>2733</v>
      </c>
      <c r="C2537" t="s">
        <v>2601</v>
      </c>
      <c r="D2537" t="s">
        <v>2677</v>
      </c>
      <c r="E2537">
        <v>8</v>
      </c>
    </row>
    <row r="2538" spans="1:5" x14ac:dyDescent="0.25">
      <c r="A2538" t="s">
        <v>91</v>
      </c>
      <c r="B2538" t="s">
        <v>2733</v>
      </c>
      <c r="C2538" t="s">
        <v>2601</v>
      </c>
      <c r="D2538" t="s">
        <v>2678</v>
      </c>
      <c r="E2538">
        <v>24</v>
      </c>
    </row>
    <row r="2539" spans="1:5" x14ac:dyDescent="0.25">
      <c r="A2539" t="s">
        <v>91</v>
      </c>
      <c r="B2539" t="s">
        <v>2733</v>
      </c>
      <c r="C2539" t="s">
        <v>2601</v>
      </c>
      <c r="D2539" t="s">
        <v>2679</v>
      </c>
      <c r="E2539">
        <v>14</v>
      </c>
    </row>
    <row r="2540" spans="1:5" x14ac:dyDescent="0.25">
      <c r="A2540" t="s">
        <v>91</v>
      </c>
      <c r="B2540" t="s">
        <v>2733</v>
      </c>
      <c r="C2540" t="s">
        <v>2609</v>
      </c>
      <c r="D2540" t="s">
        <v>2682</v>
      </c>
      <c r="E2540">
        <v>3</v>
      </c>
    </row>
    <row r="2541" spans="1:5" x14ac:dyDescent="0.25">
      <c r="A2541" t="s">
        <v>91</v>
      </c>
      <c r="B2541" t="s">
        <v>2733</v>
      </c>
      <c r="C2541" t="s">
        <v>2609</v>
      </c>
      <c r="D2541" t="s">
        <v>2684</v>
      </c>
      <c r="E2541">
        <v>5</v>
      </c>
    </row>
    <row r="2542" spans="1:5" x14ac:dyDescent="0.25">
      <c r="A2542" t="s">
        <v>91</v>
      </c>
      <c r="B2542" t="s">
        <v>2733</v>
      </c>
      <c r="C2542" t="s">
        <v>2609</v>
      </c>
      <c r="D2542" t="s">
        <v>2685</v>
      </c>
      <c r="E2542">
        <v>15</v>
      </c>
    </row>
    <row r="2543" spans="1:5" x14ac:dyDescent="0.25">
      <c r="A2543" t="s">
        <v>91</v>
      </c>
      <c r="B2543" t="s">
        <v>2733</v>
      </c>
      <c r="C2543" t="s">
        <v>2609</v>
      </c>
      <c r="D2543" t="s">
        <v>2686</v>
      </c>
      <c r="E2543">
        <v>18</v>
      </c>
    </row>
    <row r="2544" spans="1:5" x14ac:dyDescent="0.25">
      <c r="A2544" t="s">
        <v>91</v>
      </c>
      <c r="B2544" t="s">
        <v>2733</v>
      </c>
      <c r="C2544" t="s">
        <v>2600</v>
      </c>
      <c r="D2544" t="s">
        <v>2677</v>
      </c>
      <c r="E2544">
        <v>44</v>
      </c>
    </row>
    <row r="2545" spans="1:5" x14ac:dyDescent="0.25">
      <c r="A2545" t="s">
        <v>91</v>
      </c>
      <c r="B2545" t="s">
        <v>2733</v>
      </c>
      <c r="C2545" t="s">
        <v>2600</v>
      </c>
      <c r="D2545" t="s">
        <v>2678</v>
      </c>
      <c r="E2545">
        <v>101</v>
      </c>
    </row>
    <row r="2546" spans="1:5" x14ac:dyDescent="0.25">
      <c r="A2546" t="s">
        <v>91</v>
      </c>
      <c r="B2546" t="s">
        <v>2733</v>
      </c>
      <c r="C2546" t="s">
        <v>2600</v>
      </c>
      <c r="D2546" t="s">
        <v>2679</v>
      </c>
      <c r="E2546">
        <v>99</v>
      </c>
    </row>
    <row r="2547" spans="1:5" x14ac:dyDescent="0.25">
      <c r="A2547" t="s">
        <v>91</v>
      </c>
      <c r="B2547" t="s">
        <v>2733</v>
      </c>
      <c r="C2547" t="s">
        <v>2600</v>
      </c>
      <c r="D2547" t="s">
        <v>2680</v>
      </c>
      <c r="E2547">
        <v>119</v>
      </c>
    </row>
    <row r="2548" spans="1:5" x14ac:dyDescent="0.25">
      <c r="A2548" t="s">
        <v>91</v>
      </c>
      <c r="B2548" t="s">
        <v>2733</v>
      </c>
      <c r="C2548" t="s">
        <v>2600</v>
      </c>
      <c r="D2548" t="s">
        <v>2681</v>
      </c>
      <c r="E2548">
        <v>125</v>
      </c>
    </row>
    <row r="2549" spans="1:5" x14ac:dyDescent="0.25">
      <c r="A2549" t="s">
        <v>91</v>
      </c>
      <c r="B2549" t="s">
        <v>2733</v>
      </c>
      <c r="C2549" t="s">
        <v>2600</v>
      </c>
      <c r="D2549" t="s">
        <v>2682</v>
      </c>
      <c r="E2549">
        <v>134</v>
      </c>
    </row>
    <row r="2550" spans="1:5" x14ac:dyDescent="0.25">
      <c r="A2550" t="s">
        <v>91</v>
      </c>
      <c r="B2550" t="s">
        <v>2733</v>
      </c>
      <c r="C2550" t="s">
        <v>2600</v>
      </c>
      <c r="D2550" t="s">
        <v>2683</v>
      </c>
      <c r="E2550">
        <v>141</v>
      </c>
    </row>
    <row r="2551" spans="1:5" x14ac:dyDescent="0.25">
      <c r="A2551" t="s">
        <v>91</v>
      </c>
      <c r="B2551" t="s">
        <v>2733</v>
      </c>
      <c r="C2551" t="s">
        <v>2600</v>
      </c>
      <c r="D2551" t="s">
        <v>2684</v>
      </c>
      <c r="E2551">
        <v>147</v>
      </c>
    </row>
    <row r="2552" spans="1:5" x14ac:dyDescent="0.25">
      <c r="A2552" t="s">
        <v>91</v>
      </c>
      <c r="B2552" t="s">
        <v>2733</v>
      </c>
      <c r="C2552" t="s">
        <v>2600</v>
      </c>
      <c r="D2552" t="s">
        <v>2685</v>
      </c>
      <c r="E2552">
        <v>165</v>
      </c>
    </row>
    <row r="2553" spans="1:5" x14ac:dyDescent="0.25">
      <c r="A2553" t="s">
        <v>91</v>
      </c>
      <c r="B2553" t="s">
        <v>2733</v>
      </c>
      <c r="C2553" t="s">
        <v>2600</v>
      </c>
      <c r="D2553" t="s">
        <v>2686</v>
      </c>
      <c r="E2553">
        <v>145</v>
      </c>
    </row>
    <row r="2554" spans="1:5" x14ac:dyDescent="0.25">
      <c r="A2554" t="s">
        <v>91</v>
      </c>
      <c r="B2554" t="s">
        <v>2733</v>
      </c>
      <c r="C2554" t="s">
        <v>2600</v>
      </c>
      <c r="D2554" t="s">
        <v>2687</v>
      </c>
      <c r="E2554">
        <v>4</v>
      </c>
    </row>
    <row r="2555" spans="1:5" x14ac:dyDescent="0.25">
      <c r="A2555" t="s">
        <v>91</v>
      </c>
      <c r="B2555" t="s">
        <v>2733</v>
      </c>
      <c r="C2555" t="s">
        <v>2599</v>
      </c>
      <c r="D2555" t="s">
        <v>2677</v>
      </c>
      <c r="E2555">
        <v>10</v>
      </c>
    </row>
    <row r="2556" spans="1:5" x14ac:dyDescent="0.25">
      <c r="A2556" t="s">
        <v>91</v>
      </c>
      <c r="B2556" t="s">
        <v>2733</v>
      </c>
      <c r="C2556" t="s">
        <v>2599</v>
      </c>
      <c r="D2556" t="s">
        <v>2678</v>
      </c>
      <c r="E2556">
        <v>25</v>
      </c>
    </row>
    <row r="2557" spans="1:5" x14ac:dyDescent="0.25">
      <c r="A2557" t="s">
        <v>91</v>
      </c>
      <c r="B2557" t="s">
        <v>2733</v>
      </c>
      <c r="C2557" t="s">
        <v>2599</v>
      </c>
      <c r="D2557" t="s">
        <v>2679</v>
      </c>
      <c r="E2557">
        <v>25</v>
      </c>
    </row>
    <row r="2558" spans="1:5" x14ac:dyDescent="0.25">
      <c r="A2558" t="s">
        <v>91</v>
      </c>
      <c r="B2558" t="s">
        <v>2733</v>
      </c>
      <c r="C2558" t="s">
        <v>2599</v>
      </c>
      <c r="D2558" t="s">
        <v>2680</v>
      </c>
      <c r="E2558">
        <v>22</v>
      </c>
    </row>
    <row r="2559" spans="1:5" x14ac:dyDescent="0.25">
      <c r="A2559" t="s">
        <v>91</v>
      </c>
      <c r="B2559" t="s">
        <v>2733</v>
      </c>
      <c r="C2559" t="s">
        <v>2599</v>
      </c>
      <c r="D2559" t="s">
        <v>2681</v>
      </c>
      <c r="E2559">
        <v>27</v>
      </c>
    </row>
    <row r="2560" spans="1:5" x14ac:dyDescent="0.25">
      <c r="A2560" t="s">
        <v>91</v>
      </c>
      <c r="B2560" t="s">
        <v>2733</v>
      </c>
      <c r="C2560" t="s">
        <v>2599</v>
      </c>
      <c r="D2560" t="s">
        <v>2682</v>
      </c>
      <c r="E2560">
        <v>28</v>
      </c>
    </row>
    <row r="2561" spans="1:5" x14ac:dyDescent="0.25">
      <c r="A2561" t="s">
        <v>91</v>
      </c>
      <c r="B2561" t="s">
        <v>2733</v>
      </c>
      <c r="C2561" t="s">
        <v>2599</v>
      </c>
      <c r="D2561" t="s">
        <v>2683</v>
      </c>
      <c r="E2561">
        <v>29</v>
      </c>
    </row>
    <row r="2562" spans="1:5" x14ac:dyDescent="0.25">
      <c r="A2562" t="s">
        <v>91</v>
      </c>
      <c r="B2562" t="s">
        <v>2733</v>
      </c>
      <c r="C2562" t="s">
        <v>2599</v>
      </c>
      <c r="D2562" t="s">
        <v>2684</v>
      </c>
      <c r="E2562">
        <v>32</v>
      </c>
    </row>
    <row r="2563" spans="1:5" x14ac:dyDescent="0.25">
      <c r="A2563" t="s">
        <v>91</v>
      </c>
      <c r="B2563" t="s">
        <v>2733</v>
      </c>
      <c r="C2563" t="s">
        <v>2599</v>
      </c>
      <c r="D2563" t="s">
        <v>2685</v>
      </c>
      <c r="E2563">
        <v>44</v>
      </c>
    </row>
    <row r="2564" spans="1:5" x14ac:dyDescent="0.25">
      <c r="A2564" t="s">
        <v>91</v>
      </c>
      <c r="B2564" t="s">
        <v>2733</v>
      </c>
      <c r="C2564" t="s">
        <v>2599</v>
      </c>
      <c r="D2564" t="s">
        <v>2686</v>
      </c>
      <c r="E2564">
        <v>36</v>
      </c>
    </row>
    <row r="2565" spans="1:5" x14ac:dyDescent="0.25">
      <c r="A2565" t="s">
        <v>91</v>
      </c>
      <c r="B2565" t="s">
        <v>2733</v>
      </c>
      <c r="C2565" t="s">
        <v>2599</v>
      </c>
      <c r="D2565" t="s">
        <v>2687</v>
      </c>
      <c r="E2565">
        <v>1</v>
      </c>
    </row>
    <row r="2566" spans="1:5" x14ac:dyDescent="0.25">
      <c r="A2566" t="s">
        <v>91</v>
      </c>
      <c r="B2566" t="s">
        <v>2733</v>
      </c>
      <c r="C2566" t="s">
        <v>2598</v>
      </c>
      <c r="D2566" t="s">
        <v>2677</v>
      </c>
      <c r="E2566">
        <v>13</v>
      </c>
    </row>
    <row r="2567" spans="1:5" x14ac:dyDescent="0.25">
      <c r="A2567" t="s">
        <v>91</v>
      </c>
      <c r="B2567" t="s">
        <v>2733</v>
      </c>
      <c r="C2567" t="s">
        <v>2598</v>
      </c>
      <c r="D2567" t="s">
        <v>2678</v>
      </c>
      <c r="E2567">
        <v>38</v>
      </c>
    </row>
    <row r="2568" spans="1:5" x14ac:dyDescent="0.25">
      <c r="A2568" t="s">
        <v>91</v>
      </c>
      <c r="B2568" t="s">
        <v>2733</v>
      </c>
      <c r="C2568" t="s">
        <v>2598</v>
      </c>
      <c r="D2568" t="s">
        <v>2679</v>
      </c>
      <c r="E2568">
        <v>44</v>
      </c>
    </row>
    <row r="2569" spans="1:5" x14ac:dyDescent="0.25">
      <c r="A2569" t="s">
        <v>91</v>
      </c>
      <c r="B2569" t="s">
        <v>2733</v>
      </c>
      <c r="C2569" t="s">
        <v>2598</v>
      </c>
      <c r="D2569" t="s">
        <v>2680</v>
      </c>
      <c r="E2569">
        <v>40</v>
      </c>
    </row>
    <row r="2570" spans="1:5" x14ac:dyDescent="0.25">
      <c r="A2570" t="s">
        <v>91</v>
      </c>
      <c r="B2570" t="s">
        <v>2733</v>
      </c>
      <c r="C2570" t="s">
        <v>2598</v>
      </c>
      <c r="D2570" t="s">
        <v>2681</v>
      </c>
      <c r="E2570">
        <v>35</v>
      </c>
    </row>
    <row r="2571" spans="1:5" x14ac:dyDescent="0.25">
      <c r="A2571" t="s">
        <v>91</v>
      </c>
      <c r="B2571" t="s">
        <v>2733</v>
      </c>
      <c r="C2571" t="s">
        <v>2598</v>
      </c>
      <c r="D2571" t="s">
        <v>2682</v>
      </c>
      <c r="E2571">
        <v>52</v>
      </c>
    </row>
    <row r="2572" spans="1:5" x14ac:dyDescent="0.25">
      <c r="A2572" t="s">
        <v>91</v>
      </c>
      <c r="B2572" t="s">
        <v>2733</v>
      </c>
      <c r="C2572" t="s">
        <v>2598</v>
      </c>
      <c r="D2572" t="s">
        <v>2683</v>
      </c>
      <c r="E2572">
        <v>55</v>
      </c>
    </row>
    <row r="2573" spans="1:5" x14ac:dyDescent="0.25">
      <c r="A2573" t="s">
        <v>91</v>
      </c>
      <c r="B2573" t="s">
        <v>2733</v>
      </c>
      <c r="C2573" t="s">
        <v>2598</v>
      </c>
      <c r="D2573" t="s">
        <v>2684</v>
      </c>
      <c r="E2573">
        <v>55</v>
      </c>
    </row>
    <row r="2574" spans="1:5" x14ac:dyDescent="0.25">
      <c r="A2574" t="s">
        <v>91</v>
      </c>
      <c r="B2574" t="s">
        <v>2733</v>
      </c>
      <c r="C2574" t="s">
        <v>2598</v>
      </c>
      <c r="D2574" t="s">
        <v>2685</v>
      </c>
      <c r="E2574">
        <v>75</v>
      </c>
    </row>
    <row r="2575" spans="1:5" x14ac:dyDescent="0.25">
      <c r="A2575" t="s">
        <v>91</v>
      </c>
      <c r="B2575" t="s">
        <v>2733</v>
      </c>
      <c r="C2575" t="s">
        <v>2598</v>
      </c>
      <c r="D2575" t="s">
        <v>2686</v>
      </c>
      <c r="E2575">
        <v>69</v>
      </c>
    </row>
    <row r="2576" spans="1:5" x14ac:dyDescent="0.25">
      <c r="A2576" t="s">
        <v>91</v>
      </c>
      <c r="B2576" t="s">
        <v>2733</v>
      </c>
      <c r="C2576" t="s">
        <v>2598</v>
      </c>
      <c r="D2576" t="s">
        <v>2687</v>
      </c>
      <c r="E2576">
        <v>1</v>
      </c>
    </row>
    <row r="2577" spans="1:5" x14ac:dyDescent="0.25">
      <c r="A2577" t="s">
        <v>91</v>
      </c>
      <c r="B2577" t="s">
        <v>2733</v>
      </c>
      <c r="C2577" t="s">
        <v>2605</v>
      </c>
      <c r="D2577" t="s">
        <v>2678</v>
      </c>
      <c r="E2577">
        <v>2</v>
      </c>
    </row>
    <row r="2578" spans="1:5" x14ac:dyDescent="0.25">
      <c r="A2578" t="s">
        <v>91</v>
      </c>
      <c r="B2578" t="s">
        <v>2733</v>
      </c>
      <c r="C2578" t="s">
        <v>2605</v>
      </c>
      <c r="D2578" t="s">
        <v>2680</v>
      </c>
      <c r="E2578">
        <v>5</v>
      </c>
    </row>
    <row r="2579" spans="1:5" x14ac:dyDescent="0.25">
      <c r="A2579" t="s">
        <v>91</v>
      </c>
      <c r="B2579" t="s">
        <v>2733</v>
      </c>
      <c r="C2579" t="s">
        <v>2605</v>
      </c>
      <c r="D2579" t="s">
        <v>2681</v>
      </c>
      <c r="E2579">
        <v>22</v>
      </c>
    </row>
    <row r="2580" spans="1:5" x14ac:dyDescent="0.25">
      <c r="A2580" t="s">
        <v>91</v>
      </c>
      <c r="B2580" t="s">
        <v>2733</v>
      </c>
      <c r="C2580" t="s">
        <v>2605</v>
      </c>
      <c r="D2580" t="s">
        <v>2682</v>
      </c>
      <c r="E2580">
        <v>12</v>
      </c>
    </row>
    <row r="2581" spans="1:5" x14ac:dyDescent="0.25">
      <c r="A2581" t="s">
        <v>91</v>
      </c>
      <c r="B2581" t="s">
        <v>2733</v>
      </c>
      <c r="C2581" t="s">
        <v>2605</v>
      </c>
      <c r="D2581" t="s">
        <v>2683</v>
      </c>
      <c r="E2581">
        <v>8</v>
      </c>
    </row>
    <row r="2582" spans="1:5" x14ac:dyDescent="0.25">
      <c r="A2582" t="s">
        <v>91</v>
      </c>
      <c r="B2582" t="s">
        <v>2733</v>
      </c>
      <c r="C2582" t="s">
        <v>2605</v>
      </c>
      <c r="D2582" t="s">
        <v>2684</v>
      </c>
      <c r="E2582">
        <v>7</v>
      </c>
    </row>
    <row r="2583" spans="1:5" x14ac:dyDescent="0.25">
      <c r="A2583" t="s">
        <v>91</v>
      </c>
      <c r="B2583" t="s">
        <v>2733</v>
      </c>
      <c r="C2583" t="s">
        <v>2736</v>
      </c>
      <c r="D2583" t="s">
        <v>2677</v>
      </c>
      <c r="E2583">
        <v>3</v>
      </c>
    </row>
    <row r="2584" spans="1:5" x14ac:dyDescent="0.25">
      <c r="A2584" t="s">
        <v>91</v>
      </c>
      <c r="B2584" t="s">
        <v>2733</v>
      </c>
      <c r="C2584" t="s">
        <v>2736</v>
      </c>
      <c r="D2584" t="s">
        <v>2678</v>
      </c>
      <c r="E2584">
        <v>2</v>
      </c>
    </row>
    <row r="2585" spans="1:5" x14ac:dyDescent="0.25">
      <c r="A2585" t="s">
        <v>91</v>
      </c>
      <c r="B2585" t="s">
        <v>2733</v>
      </c>
      <c r="C2585" t="s">
        <v>2736</v>
      </c>
      <c r="D2585" t="s">
        <v>2679</v>
      </c>
      <c r="E2585">
        <v>3</v>
      </c>
    </row>
    <row r="2586" spans="1:5" x14ac:dyDescent="0.25">
      <c r="A2586" t="s">
        <v>91</v>
      </c>
      <c r="B2586" t="s">
        <v>2733</v>
      </c>
      <c r="C2586" t="s">
        <v>2737</v>
      </c>
      <c r="D2586" t="s">
        <v>2677</v>
      </c>
      <c r="E2586">
        <v>8</v>
      </c>
    </row>
    <row r="2587" spans="1:5" x14ac:dyDescent="0.25">
      <c r="A2587" t="s">
        <v>91</v>
      </c>
      <c r="B2587" t="s">
        <v>2733</v>
      </c>
      <c r="C2587" t="s">
        <v>2737</v>
      </c>
      <c r="D2587" t="s">
        <v>2678</v>
      </c>
      <c r="E2587">
        <v>3</v>
      </c>
    </row>
    <row r="2588" spans="1:5" x14ac:dyDescent="0.25">
      <c r="A2588" t="s">
        <v>91</v>
      </c>
      <c r="B2588" t="s">
        <v>2733</v>
      </c>
      <c r="C2588" t="s">
        <v>2650</v>
      </c>
      <c r="D2588" t="s">
        <v>2677</v>
      </c>
      <c r="E2588">
        <v>6</v>
      </c>
    </row>
    <row r="2589" spans="1:5" x14ac:dyDescent="0.25">
      <c r="A2589" t="s">
        <v>91</v>
      </c>
      <c r="B2589" t="s">
        <v>2733</v>
      </c>
      <c r="C2589" t="s">
        <v>2650</v>
      </c>
      <c r="D2589" t="s">
        <v>2678</v>
      </c>
      <c r="E2589">
        <v>17</v>
      </c>
    </row>
    <row r="2590" spans="1:5" x14ac:dyDescent="0.25">
      <c r="A2590" t="s">
        <v>91</v>
      </c>
      <c r="B2590" t="s">
        <v>2733</v>
      </c>
      <c r="C2590" t="s">
        <v>2650</v>
      </c>
      <c r="D2590" t="s">
        <v>2679</v>
      </c>
      <c r="E2590">
        <v>18</v>
      </c>
    </row>
    <row r="2591" spans="1:5" x14ac:dyDescent="0.25">
      <c r="A2591" t="s">
        <v>91</v>
      </c>
      <c r="B2591" t="s">
        <v>2733</v>
      </c>
      <c r="C2591" t="s">
        <v>2650</v>
      </c>
      <c r="D2591" t="s">
        <v>2680</v>
      </c>
      <c r="E2591">
        <v>8</v>
      </c>
    </row>
    <row r="2592" spans="1:5" x14ac:dyDescent="0.25">
      <c r="A2592" t="s">
        <v>91</v>
      </c>
      <c r="B2592" t="s">
        <v>2733</v>
      </c>
      <c r="C2592" t="s">
        <v>2650</v>
      </c>
      <c r="D2592" t="s">
        <v>2681</v>
      </c>
      <c r="E2592">
        <v>5</v>
      </c>
    </row>
    <row r="2593" spans="1:5" x14ac:dyDescent="0.25">
      <c r="A2593" t="s">
        <v>91</v>
      </c>
      <c r="B2593" t="s">
        <v>2733</v>
      </c>
      <c r="C2593" t="s">
        <v>2632</v>
      </c>
      <c r="D2593" t="s">
        <v>2677</v>
      </c>
      <c r="E2593">
        <v>4</v>
      </c>
    </row>
    <row r="2594" spans="1:5" x14ac:dyDescent="0.25">
      <c r="A2594" t="s">
        <v>91</v>
      </c>
      <c r="B2594" t="s">
        <v>2733</v>
      </c>
      <c r="C2594" t="s">
        <v>2632</v>
      </c>
      <c r="D2594" t="s">
        <v>2678</v>
      </c>
      <c r="E2594">
        <v>23</v>
      </c>
    </row>
    <row r="2595" spans="1:5" x14ac:dyDescent="0.25">
      <c r="A2595" t="s">
        <v>91</v>
      </c>
      <c r="B2595" t="s">
        <v>2733</v>
      </c>
      <c r="C2595" t="s">
        <v>2632</v>
      </c>
      <c r="D2595" t="s">
        <v>2679</v>
      </c>
      <c r="E2595">
        <v>21</v>
      </c>
    </row>
    <row r="2596" spans="1:5" x14ac:dyDescent="0.25">
      <c r="A2596" t="s">
        <v>91</v>
      </c>
      <c r="B2596" t="s">
        <v>2733</v>
      </c>
      <c r="C2596" t="s">
        <v>2632</v>
      </c>
      <c r="D2596" t="s">
        <v>2680</v>
      </c>
      <c r="E2596">
        <v>20</v>
      </c>
    </row>
    <row r="2597" spans="1:5" x14ac:dyDescent="0.25">
      <c r="A2597" t="s">
        <v>91</v>
      </c>
      <c r="B2597" t="s">
        <v>2733</v>
      </c>
      <c r="C2597" t="s">
        <v>2632</v>
      </c>
      <c r="D2597" t="s">
        <v>2681</v>
      </c>
      <c r="E2597">
        <v>40</v>
      </c>
    </row>
    <row r="2598" spans="1:5" x14ac:dyDescent="0.25">
      <c r="A2598" t="s">
        <v>91</v>
      </c>
      <c r="B2598" t="s">
        <v>2733</v>
      </c>
      <c r="C2598" t="s">
        <v>2632</v>
      </c>
      <c r="D2598" t="s">
        <v>2682</v>
      </c>
      <c r="E2598">
        <v>68</v>
      </c>
    </row>
    <row r="2599" spans="1:5" x14ac:dyDescent="0.25">
      <c r="A2599" t="s">
        <v>91</v>
      </c>
      <c r="B2599" t="s">
        <v>2733</v>
      </c>
      <c r="C2599" t="s">
        <v>2632</v>
      </c>
      <c r="D2599" t="s">
        <v>2683</v>
      </c>
      <c r="E2599">
        <v>36</v>
      </c>
    </row>
    <row r="2600" spans="1:5" x14ac:dyDescent="0.25">
      <c r="A2600" t="s">
        <v>91</v>
      </c>
      <c r="B2600" t="s">
        <v>2733</v>
      </c>
      <c r="C2600" t="s">
        <v>2632</v>
      </c>
      <c r="D2600" t="s">
        <v>2684</v>
      </c>
      <c r="E2600">
        <v>54</v>
      </c>
    </row>
    <row r="2601" spans="1:5" x14ac:dyDescent="0.25">
      <c r="A2601" t="s">
        <v>91</v>
      </c>
      <c r="B2601" t="s">
        <v>2733</v>
      </c>
      <c r="C2601" t="s">
        <v>2632</v>
      </c>
      <c r="D2601" t="s">
        <v>2685</v>
      </c>
      <c r="E2601">
        <v>57</v>
      </c>
    </row>
    <row r="2602" spans="1:5" x14ac:dyDescent="0.25">
      <c r="A2602" t="s">
        <v>91</v>
      </c>
      <c r="B2602" t="s">
        <v>2733</v>
      </c>
      <c r="C2602" t="s">
        <v>2632</v>
      </c>
      <c r="D2602" t="s">
        <v>2686</v>
      </c>
      <c r="E2602">
        <v>56</v>
      </c>
    </row>
    <row r="2603" spans="1:5" x14ac:dyDescent="0.25">
      <c r="A2603" t="s">
        <v>91</v>
      </c>
      <c r="B2603" t="s">
        <v>2733</v>
      </c>
      <c r="C2603" t="s">
        <v>2632</v>
      </c>
      <c r="D2603" t="s">
        <v>2687</v>
      </c>
      <c r="E2603">
        <v>81</v>
      </c>
    </row>
    <row r="2604" spans="1:5" x14ac:dyDescent="0.25">
      <c r="A2604" t="s">
        <v>91</v>
      </c>
      <c r="B2604" t="s">
        <v>2733</v>
      </c>
      <c r="C2604" t="s">
        <v>2632</v>
      </c>
      <c r="D2604" t="s">
        <v>2688</v>
      </c>
      <c r="E2604">
        <v>96</v>
      </c>
    </row>
    <row r="2605" spans="1:5" x14ac:dyDescent="0.25">
      <c r="A2605" t="s">
        <v>91</v>
      </c>
      <c r="B2605" t="s">
        <v>2733</v>
      </c>
      <c r="C2605" t="s">
        <v>2632</v>
      </c>
      <c r="D2605" t="s">
        <v>2689</v>
      </c>
      <c r="E2605">
        <v>67</v>
      </c>
    </row>
    <row r="2606" spans="1:5" x14ac:dyDescent="0.25">
      <c r="A2606" t="s">
        <v>91</v>
      </c>
      <c r="B2606" t="s">
        <v>2733</v>
      </c>
      <c r="C2606" t="s">
        <v>2632</v>
      </c>
      <c r="D2606" t="s">
        <v>2690</v>
      </c>
      <c r="E2606">
        <v>81</v>
      </c>
    </row>
    <row r="2607" spans="1:5" x14ac:dyDescent="0.25">
      <c r="A2607" t="s">
        <v>91</v>
      </c>
      <c r="B2607" t="s">
        <v>2733</v>
      </c>
      <c r="C2607" t="s">
        <v>2649</v>
      </c>
      <c r="D2607" t="s">
        <v>2677</v>
      </c>
      <c r="E2607">
        <v>4</v>
      </c>
    </row>
    <row r="2608" spans="1:5" x14ac:dyDescent="0.25">
      <c r="A2608" t="s">
        <v>91</v>
      </c>
      <c r="B2608" t="s">
        <v>2733</v>
      </c>
      <c r="C2608" t="s">
        <v>2649</v>
      </c>
      <c r="D2608" t="s">
        <v>2678</v>
      </c>
      <c r="E2608">
        <v>24</v>
      </c>
    </row>
    <row r="2609" spans="1:5" x14ac:dyDescent="0.25">
      <c r="A2609" t="s">
        <v>91</v>
      </c>
      <c r="B2609" t="s">
        <v>2733</v>
      </c>
      <c r="C2609" t="s">
        <v>2649</v>
      </c>
      <c r="D2609" t="s">
        <v>2679</v>
      </c>
      <c r="E2609">
        <v>9</v>
      </c>
    </row>
    <row r="2610" spans="1:5" x14ac:dyDescent="0.25">
      <c r="A2610" t="s">
        <v>91</v>
      </c>
      <c r="B2610" t="s">
        <v>2733</v>
      </c>
      <c r="C2610" t="s">
        <v>2649</v>
      </c>
      <c r="D2610" t="s">
        <v>2680</v>
      </c>
      <c r="E2610">
        <v>21</v>
      </c>
    </row>
    <row r="2611" spans="1:5" x14ac:dyDescent="0.25">
      <c r="A2611" t="s">
        <v>91</v>
      </c>
      <c r="B2611" t="s">
        <v>2733</v>
      </c>
      <c r="C2611" t="s">
        <v>2649</v>
      </c>
      <c r="D2611" t="s">
        <v>2681</v>
      </c>
      <c r="E2611">
        <v>11</v>
      </c>
    </row>
    <row r="2612" spans="1:5" x14ac:dyDescent="0.25">
      <c r="A2612" t="s">
        <v>91</v>
      </c>
      <c r="B2612" t="s">
        <v>2733</v>
      </c>
      <c r="C2612" t="s">
        <v>2649</v>
      </c>
      <c r="D2612" t="s">
        <v>2682</v>
      </c>
      <c r="E2612">
        <v>19</v>
      </c>
    </row>
    <row r="2613" spans="1:5" x14ac:dyDescent="0.25">
      <c r="A2613" t="s">
        <v>91</v>
      </c>
      <c r="B2613" t="s">
        <v>2733</v>
      </c>
      <c r="C2613" t="s">
        <v>2649</v>
      </c>
      <c r="D2613" t="s">
        <v>2683</v>
      </c>
      <c r="E2613">
        <v>26</v>
      </c>
    </row>
    <row r="2614" spans="1:5" x14ac:dyDescent="0.25">
      <c r="A2614" t="s">
        <v>91</v>
      </c>
      <c r="B2614" t="s">
        <v>2733</v>
      </c>
      <c r="C2614" t="s">
        <v>2649</v>
      </c>
      <c r="D2614" t="s">
        <v>2684</v>
      </c>
      <c r="E2614">
        <v>34</v>
      </c>
    </row>
    <row r="2615" spans="1:5" x14ac:dyDescent="0.25">
      <c r="A2615" t="s">
        <v>91</v>
      </c>
      <c r="B2615" t="s">
        <v>2733</v>
      </c>
      <c r="C2615" t="s">
        <v>2649</v>
      </c>
      <c r="D2615" t="s">
        <v>2685</v>
      </c>
      <c r="E2615">
        <v>38</v>
      </c>
    </row>
    <row r="2616" spans="1:5" x14ac:dyDescent="0.25">
      <c r="A2616" t="s">
        <v>91</v>
      </c>
      <c r="B2616" t="s">
        <v>2733</v>
      </c>
      <c r="C2616" t="s">
        <v>2649</v>
      </c>
      <c r="D2616" t="s">
        <v>2686</v>
      </c>
      <c r="E2616">
        <v>20</v>
      </c>
    </row>
    <row r="2617" spans="1:5" x14ac:dyDescent="0.25">
      <c r="A2617" t="s">
        <v>91</v>
      </c>
      <c r="B2617" t="s">
        <v>2733</v>
      </c>
      <c r="C2617" t="s">
        <v>2649</v>
      </c>
      <c r="D2617" t="s">
        <v>2687</v>
      </c>
      <c r="E2617">
        <v>15</v>
      </c>
    </row>
    <row r="2618" spans="1:5" x14ac:dyDescent="0.25">
      <c r="A2618" t="s">
        <v>91</v>
      </c>
      <c r="B2618" t="s">
        <v>2733</v>
      </c>
      <c r="C2618" t="s">
        <v>2649</v>
      </c>
      <c r="D2618" t="s">
        <v>2688</v>
      </c>
      <c r="E2618">
        <v>17</v>
      </c>
    </row>
    <row r="2619" spans="1:5" x14ac:dyDescent="0.25">
      <c r="A2619" t="s">
        <v>91</v>
      </c>
      <c r="B2619" t="s">
        <v>2733</v>
      </c>
      <c r="C2619" t="s">
        <v>2649</v>
      </c>
      <c r="D2619" t="s">
        <v>2689</v>
      </c>
      <c r="E2619">
        <v>6</v>
      </c>
    </row>
    <row r="2620" spans="1:5" x14ac:dyDescent="0.25">
      <c r="A2620" t="s">
        <v>91</v>
      </c>
      <c r="B2620" t="s">
        <v>2733</v>
      </c>
      <c r="C2620" t="s">
        <v>2648</v>
      </c>
      <c r="D2620" t="s">
        <v>2677</v>
      </c>
      <c r="E2620">
        <v>3</v>
      </c>
    </row>
    <row r="2621" spans="1:5" x14ac:dyDescent="0.25">
      <c r="A2621" t="s">
        <v>91</v>
      </c>
      <c r="B2621" t="s">
        <v>2733</v>
      </c>
      <c r="C2621" t="s">
        <v>2648</v>
      </c>
      <c r="D2621" t="s">
        <v>2678</v>
      </c>
      <c r="E2621">
        <v>1</v>
      </c>
    </row>
    <row r="2622" spans="1:5" x14ac:dyDescent="0.25">
      <c r="A2622" t="s">
        <v>91</v>
      </c>
      <c r="B2622" t="s">
        <v>2733</v>
      </c>
      <c r="C2622" t="s">
        <v>2648</v>
      </c>
      <c r="D2622" t="s">
        <v>2679</v>
      </c>
      <c r="E2622">
        <v>8</v>
      </c>
    </row>
    <row r="2623" spans="1:5" x14ac:dyDescent="0.25">
      <c r="A2623" t="s">
        <v>91</v>
      </c>
      <c r="B2623" t="s">
        <v>2733</v>
      </c>
      <c r="C2623" t="s">
        <v>2648</v>
      </c>
      <c r="D2623" t="s">
        <v>2680</v>
      </c>
      <c r="E2623">
        <v>36</v>
      </c>
    </row>
    <row r="2624" spans="1:5" x14ac:dyDescent="0.25">
      <c r="A2624" t="s">
        <v>91</v>
      </c>
      <c r="B2624" t="s">
        <v>2733</v>
      </c>
      <c r="C2624" t="s">
        <v>2648</v>
      </c>
      <c r="D2624" t="s">
        <v>2681</v>
      </c>
      <c r="E2624">
        <v>20</v>
      </c>
    </row>
    <row r="2625" spans="1:5" x14ac:dyDescent="0.25">
      <c r="A2625" t="s">
        <v>91</v>
      </c>
      <c r="B2625" t="s">
        <v>2733</v>
      </c>
      <c r="C2625" t="s">
        <v>2648</v>
      </c>
      <c r="D2625" t="s">
        <v>2682</v>
      </c>
      <c r="E2625">
        <v>1</v>
      </c>
    </row>
    <row r="2626" spans="1:5" x14ac:dyDescent="0.25">
      <c r="A2626" t="s">
        <v>91</v>
      </c>
      <c r="B2626" t="s">
        <v>2733</v>
      </c>
      <c r="C2626" t="s">
        <v>2738</v>
      </c>
      <c r="D2626" t="s">
        <v>2678</v>
      </c>
      <c r="E2626">
        <v>2</v>
      </c>
    </row>
    <row r="2627" spans="1:5" x14ac:dyDescent="0.25">
      <c r="A2627" t="s">
        <v>91</v>
      </c>
      <c r="B2627" t="s">
        <v>2733</v>
      </c>
      <c r="C2627" t="s">
        <v>2738</v>
      </c>
      <c r="D2627" t="s">
        <v>2680</v>
      </c>
      <c r="E2627">
        <v>1</v>
      </c>
    </row>
    <row r="2628" spans="1:5" x14ac:dyDescent="0.25">
      <c r="A2628" t="s">
        <v>91</v>
      </c>
      <c r="B2628" t="s">
        <v>2733</v>
      </c>
      <c r="C2628" t="s">
        <v>2738</v>
      </c>
      <c r="D2628" t="s">
        <v>2681</v>
      </c>
      <c r="E2628">
        <v>8</v>
      </c>
    </row>
    <row r="2629" spans="1:5" x14ac:dyDescent="0.25">
      <c r="A2629" t="s">
        <v>91</v>
      </c>
      <c r="B2629" t="s">
        <v>2733</v>
      </c>
      <c r="C2629" t="s">
        <v>2647</v>
      </c>
      <c r="D2629" t="s">
        <v>2677</v>
      </c>
      <c r="E2629">
        <v>7</v>
      </c>
    </row>
    <row r="2630" spans="1:5" x14ac:dyDescent="0.25">
      <c r="A2630" t="s">
        <v>91</v>
      </c>
      <c r="B2630" t="s">
        <v>2733</v>
      </c>
      <c r="C2630" t="s">
        <v>2647</v>
      </c>
      <c r="D2630" t="s">
        <v>2678</v>
      </c>
      <c r="E2630">
        <v>4</v>
      </c>
    </row>
    <row r="2631" spans="1:5" x14ac:dyDescent="0.25">
      <c r="A2631" t="s">
        <v>91</v>
      </c>
      <c r="B2631" t="s">
        <v>2733</v>
      </c>
      <c r="C2631" t="s">
        <v>2647</v>
      </c>
      <c r="D2631" t="s">
        <v>2679</v>
      </c>
      <c r="E2631">
        <v>6</v>
      </c>
    </row>
    <row r="2632" spans="1:5" x14ac:dyDescent="0.25">
      <c r="A2632" t="s">
        <v>91</v>
      </c>
      <c r="B2632" t="s">
        <v>2733</v>
      </c>
      <c r="C2632" t="s">
        <v>2647</v>
      </c>
      <c r="D2632" t="s">
        <v>2680</v>
      </c>
      <c r="E2632">
        <v>3</v>
      </c>
    </row>
    <row r="2633" spans="1:5" x14ac:dyDescent="0.25">
      <c r="A2633" t="s">
        <v>91</v>
      </c>
      <c r="B2633" t="s">
        <v>2733</v>
      </c>
      <c r="C2633" t="s">
        <v>129</v>
      </c>
      <c r="D2633" t="s">
        <v>2677</v>
      </c>
      <c r="E2633">
        <v>22</v>
      </c>
    </row>
    <row r="2634" spans="1:5" x14ac:dyDescent="0.25">
      <c r="A2634" t="s">
        <v>91</v>
      </c>
      <c r="B2634" t="s">
        <v>2733</v>
      </c>
      <c r="C2634" t="s">
        <v>129</v>
      </c>
      <c r="D2634" t="s">
        <v>2678</v>
      </c>
      <c r="E2634">
        <v>27</v>
      </c>
    </row>
    <row r="2635" spans="1:5" x14ac:dyDescent="0.25">
      <c r="A2635" t="s">
        <v>91</v>
      </c>
      <c r="B2635" t="s">
        <v>2733</v>
      </c>
      <c r="C2635" t="s">
        <v>129</v>
      </c>
      <c r="D2635" t="s">
        <v>2679</v>
      </c>
      <c r="E2635">
        <v>44</v>
      </c>
    </row>
    <row r="2636" spans="1:5" x14ac:dyDescent="0.25">
      <c r="A2636" t="s">
        <v>91</v>
      </c>
      <c r="B2636" t="s">
        <v>2733</v>
      </c>
      <c r="C2636" t="s">
        <v>129</v>
      </c>
      <c r="D2636" t="s">
        <v>2680</v>
      </c>
      <c r="E2636">
        <v>60</v>
      </c>
    </row>
    <row r="2637" spans="1:5" x14ac:dyDescent="0.25">
      <c r="A2637" t="s">
        <v>91</v>
      </c>
      <c r="B2637" t="s">
        <v>2733</v>
      </c>
      <c r="C2637" t="s">
        <v>129</v>
      </c>
      <c r="D2637" t="s">
        <v>2681</v>
      </c>
      <c r="E2637">
        <v>48</v>
      </c>
    </row>
    <row r="2638" spans="1:5" x14ac:dyDescent="0.25">
      <c r="A2638" t="s">
        <v>91</v>
      </c>
      <c r="B2638" t="s">
        <v>2733</v>
      </c>
      <c r="C2638" t="s">
        <v>129</v>
      </c>
      <c r="D2638" t="s">
        <v>2682</v>
      </c>
      <c r="E2638">
        <v>34</v>
      </c>
    </row>
    <row r="2639" spans="1:5" x14ac:dyDescent="0.25">
      <c r="A2639" t="s">
        <v>91</v>
      </c>
      <c r="B2639" t="s">
        <v>2733</v>
      </c>
      <c r="C2639" t="s">
        <v>129</v>
      </c>
      <c r="D2639" t="s">
        <v>2683</v>
      </c>
      <c r="E2639">
        <v>22</v>
      </c>
    </row>
    <row r="2640" spans="1:5" x14ac:dyDescent="0.25">
      <c r="A2640" t="s">
        <v>91</v>
      </c>
      <c r="B2640" t="s">
        <v>2733</v>
      </c>
      <c r="C2640" t="s">
        <v>129</v>
      </c>
      <c r="D2640" t="s">
        <v>2684</v>
      </c>
      <c r="E2640">
        <v>4</v>
      </c>
    </row>
    <row r="2641" spans="1:5" x14ac:dyDescent="0.25">
      <c r="A2641" t="s">
        <v>91</v>
      </c>
      <c r="B2641" t="s">
        <v>2733</v>
      </c>
      <c r="C2641" t="s">
        <v>129</v>
      </c>
      <c r="D2641" t="s">
        <v>2685</v>
      </c>
      <c r="E2641">
        <v>18</v>
      </c>
    </row>
    <row r="2642" spans="1:5" x14ac:dyDescent="0.25">
      <c r="A2642" t="s">
        <v>91</v>
      </c>
      <c r="B2642" t="s">
        <v>2733</v>
      </c>
      <c r="C2642" t="s">
        <v>129</v>
      </c>
      <c r="D2642" t="s">
        <v>2686</v>
      </c>
      <c r="E2642">
        <v>65</v>
      </c>
    </row>
    <row r="2643" spans="1:5" x14ac:dyDescent="0.25">
      <c r="A2643" t="s">
        <v>91</v>
      </c>
      <c r="B2643" t="s">
        <v>2733</v>
      </c>
      <c r="C2643" t="s">
        <v>129</v>
      </c>
      <c r="D2643" t="s">
        <v>2687</v>
      </c>
      <c r="E2643">
        <v>81</v>
      </c>
    </row>
    <row r="2644" spans="1:5" x14ac:dyDescent="0.25">
      <c r="A2644" t="s">
        <v>91</v>
      </c>
      <c r="B2644" t="s">
        <v>2733</v>
      </c>
      <c r="C2644" t="s">
        <v>129</v>
      </c>
      <c r="D2644" t="s">
        <v>2688</v>
      </c>
      <c r="E2644">
        <v>95</v>
      </c>
    </row>
    <row r="2645" spans="1:5" x14ac:dyDescent="0.25">
      <c r="A2645" t="s">
        <v>91</v>
      </c>
      <c r="B2645" t="s">
        <v>2733</v>
      </c>
      <c r="C2645" t="s">
        <v>129</v>
      </c>
      <c r="D2645" t="s">
        <v>2689</v>
      </c>
      <c r="E2645">
        <v>87</v>
      </c>
    </row>
    <row r="2646" spans="1:5" x14ac:dyDescent="0.25">
      <c r="A2646" t="s">
        <v>91</v>
      </c>
      <c r="B2646" t="s">
        <v>2733</v>
      </c>
      <c r="C2646" t="s">
        <v>129</v>
      </c>
      <c r="D2646" t="s">
        <v>2690</v>
      </c>
      <c r="E2646">
        <v>42</v>
      </c>
    </row>
    <row r="2647" spans="1:5" x14ac:dyDescent="0.25">
      <c r="A2647" t="s">
        <v>91</v>
      </c>
      <c r="B2647" t="s">
        <v>2733</v>
      </c>
      <c r="C2647" t="s">
        <v>2654</v>
      </c>
      <c r="D2647" t="s">
        <v>2677</v>
      </c>
      <c r="E2647">
        <v>3</v>
      </c>
    </row>
    <row r="2648" spans="1:5" x14ac:dyDescent="0.25">
      <c r="A2648" t="s">
        <v>91</v>
      </c>
      <c r="B2648" t="s">
        <v>2733</v>
      </c>
      <c r="C2648" t="s">
        <v>2654</v>
      </c>
      <c r="D2648" t="s">
        <v>2678</v>
      </c>
      <c r="E2648">
        <v>8</v>
      </c>
    </row>
    <row r="2649" spans="1:5" x14ac:dyDescent="0.25">
      <c r="A2649" t="s">
        <v>91</v>
      </c>
      <c r="B2649" t="s">
        <v>2733</v>
      </c>
      <c r="C2649" t="s">
        <v>2654</v>
      </c>
      <c r="D2649" t="s">
        <v>2679</v>
      </c>
      <c r="E2649">
        <v>6</v>
      </c>
    </row>
    <row r="2650" spans="1:5" x14ac:dyDescent="0.25">
      <c r="A2650" t="s">
        <v>91</v>
      </c>
      <c r="B2650" t="s">
        <v>2733</v>
      </c>
      <c r="C2650" t="s">
        <v>2654</v>
      </c>
      <c r="D2650" t="s">
        <v>2680</v>
      </c>
      <c r="E2650">
        <v>3</v>
      </c>
    </row>
    <row r="2651" spans="1:5" x14ac:dyDescent="0.25">
      <c r="A2651" t="s">
        <v>91</v>
      </c>
      <c r="B2651" t="s">
        <v>2733</v>
      </c>
      <c r="C2651" t="s">
        <v>2654</v>
      </c>
      <c r="D2651" t="s">
        <v>2681</v>
      </c>
      <c r="E2651">
        <v>14</v>
      </c>
    </row>
    <row r="2652" spans="1:5" x14ac:dyDescent="0.25">
      <c r="A2652" t="s">
        <v>91</v>
      </c>
      <c r="B2652" t="s">
        <v>2733</v>
      </c>
      <c r="C2652" t="s">
        <v>2654</v>
      </c>
      <c r="D2652" t="s">
        <v>2682</v>
      </c>
      <c r="E2652">
        <v>14</v>
      </c>
    </row>
    <row r="2653" spans="1:5" x14ac:dyDescent="0.25">
      <c r="A2653" t="s">
        <v>91</v>
      </c>
      <c r="B2653" t="s">
        <v>2733</v>
      </c>
      <c r="C2653" t="s">
        <v>2654</v>
      </c>
      <c r="D2653" t="s">
        <v>2683</v>
      </c>
      <c r="E2653">
        <v>4</v>
      </c>
    </row>
    <row r="2654" spans="1:5" x14ac:dyDescent="0.25">
      <c r="A2654" t="s">
        <v>91</v>
      </c>
      <c r="B2654" t="s">
        <v>2733</v>
      </c>
      <c r="C2654" t="s">
        <v>2654</v>
      </c>
      <c r="D2654" t="s">
        <v>2684</v>
      </c>
      <c r="E2654">
        <v>2</v>
      </c>
    </row>
    <row r="2655" spans="1:5" x14ac:dyDescent="0.25">
      <c r="A2655" t="s">
        <v>91</v>
      </c>
      <c r="B2655" t="s">
        <v>2733</v>
      </c>
      <c r="C2655" t="s">
        <v>2654</v>
      </c>
      <c r="D2655" t="s">
        <v>2685</v>
      </c>
      <c r="E2655">
        <v>11</v>
      </c>
    </row>
    <row r="2656" spans="1:5" x14ac:dyDescent="0.25">
      <c r="A2656" t="s">
        <v>91</v>
      </c>
      <c r="B2656" t="s">
        <v>2733</v>
      </c>
      <c r="C2656" t="s">
        <v>2654</v>
      </c>
      <c r="D2656" t="s">
        <v>2686</v>
      </c>
      <c r="E2656">
        <v>6</v>
      </c>
    </row>
    <row r="2657" spans="1:5" x14ac:dyDescent="0.25">
      <c r="A2657" t="s">
        <v>91</v>
      </c>
      <c r="B2657" t="s">
        <v>2733</v>
      </c>
      <c r="C2657" t="s">
        <v>2654</v>
      </c>
      <c r="D2657" t="s">
        <v>2687</v>
      </c>
      <c r="E2657">
        <v>7</v>
      </c>
    </row>
    <row r="2658" spans="1:5" x14ac:dyDescent="0.25">
      <c r="A2658" t="s">
        <v>91</v>
      </c>
      <c r="B2658" t="s">
        <v>2733</v>
      </c>
      <c r="C2658" t="s">
        <v>2654</v>
      </c>
      <c r="D2658" t="s">
        <v>2688</v>
      </c>
      <c r="E2658">
        <v>7</v>
      </c>
    </row>
    <row r="2659" spans="1:5" x14ac:dyDescent="0.25">
      <c r="A2659" t="s">
        <v>91</v>
      </c>
      <c r="B2659" t="s">
        <v>2733</v>
      </c>
      <c r="C2659" t="s">
        <v>2654</v>
      </c>
      <c r="D2659" t="s">
        <v>2689</v>
      </c>
      <c r="E2659">
        <v>3</v>
      </c>
    </row>
    <row r="2660" spans="1:5" x14ac:dyDescent="0.25">
      <c r="A2660" t="s">
        <v>91</v>
      </c>
      <c r="B2660" t="s">
        <v>2733</v>
      </c>
      <c r="C2660" t="s">
        <v>2654</v>
      </c>
      <c r="D2660" t="s">
        <v>2690</v>
      </c>
      <c r="E2660">
        <v>5</v>
      </c>
    </row>
    <row r="2661" spans="1:5" x14ac:dyDescent="0.25">
      <c r="A2661" t="s">
        <v>91</v>
      </c>
      <c r="B2661" t="s">
        <v>2733</v>
      </c>
      <c r="C2661" t="s">
        <v>2646</v>
      </c>
      <c r="D2661" t="s">
        <v>2677</v>
      </c>
      <c r="E2661">
        <v>4</v>
      </c>
    </row>
    <row r="2662" spans="1:5" x14ac:dyDescent="0.25">
      <c r="A2662" t="s">
        <v>91</v>
      </c>
      <c r="B2662" t="s">
        <v>2733</v>
      </c>
      <c r="C2662" t="s">
        <v>2646</v>
      </c>
      <c r="D2662" t="s">
        <v>2678</v>
      </c>
      <c r="E2662">
        <v>16</v>
      </c>
    </row>
    <row r="2663" spans="1:5" x14ac:dyDescent="0.25">
      <c r="A2663" t="s">
        <v>91</v>
      </c>
      <c r="B2663" t="s">
        <v>2733</v>
      </c>
      <c r="C2663" t="s">
        <v>2646</v>
      </c>
      <c r="D2663" t="s">
        <v>2679</v>
      </c>
      <c r="E2663">
        <v>9</v>
      </c>
    </row>
    <row r="2664" spans="1:5" x14ac:dyDescent="0.25">
      <c r="A2664" t="s">
        <v>91</v>
      </c>
      <c r="B2664" t="s">
        <v>2733</v>
      </c>
      <c r="C2664" t="s">
        <v>2646</v>
      </c>
      <c r="D2664" t="s">
        <v>2680</v>
      </c>
      <c r="E2664">
        <v>7</v>
      </c>
    </row>
    <row r="2665" spans="1:5" x14ac:dyDescent="0.25">
      <c r="A2665" t="s">
        <v>91</v>
      </c>
      <c r="B2665" t="s">
        <v>2733</v>
      </c>
      <c r="C2665" t="s">
        <v>2646</v>
      </c>
      <c r="D2665" t="s">
        <v>2681</v>
      </c>
      <c r="E2665">
        <v>2</v>
      </c>
    </row>
    <row r="2666" spans="1:5" x14ac:dyDescent="0.25">
      <c r="A2666" t="s">
        <v>91</v>
      </c>
      <c r="B2666" t="s">
        <v>2733</v>
      </c>
      <c r="C2666" t="s">
        <v>2646</v>
      </c>
      <c r="D2666" t="s">
        <v>2682</v>
      </c>
      <c r="E2666">
        <v>1</v>
      </c>
    </row>
    <row r="2667" spans="1:5" x14ac:dyDescent="0.25">
      <c r="A2667" t="s">
        <v>91</v>
      </c>
      <c r="B2667" t="s">
        <v>2733</v>
      </c>
      <c r="C2667" t="s">
        <v>2739</v>
      </c>
      <c r="D2667" t="s">
        <v>2680</v>
      </c>
      <c r="E2667">
        <v>1</v>
      </c>
    </row>
    <row r="2668" spans="1:5" x14ac:dyDescent="0.25">
      <c r="A2668" t="s">
        <v>91</v>
      </c>
      <c r="B2668" t="s">
        <v>2733</v>
      </c>
      <c r="C2668" t="s">
        <v>2634</v>
      </c>
      <c r="D2668" t="s">
        <v>2681</v>
      </c>
      <c r="E2668">
        <v>2</v>
      </c>
    </row>
    <row r="2669" spans="1:5" x14ac:dyDescent="0.25">
      <c r="A2669" t="s">
        <v>91</v>
      </c>
      <c r="B2669" t="s">
        <v>2733</v>
      </c>
      <c r="C2669" t="s">
        <v>2634</v>
      </c>
      <c r="D2669" t="s">
        <v>2682</v>
      </c>
      <c r="E2669">
        <v>1</v>
      </c>
    </row>
    <row r="2670" spans="1:5" x14ac:dyDescent="0.25">
      <c r="A2670" t="s">
        <v>91</v>
      </c>
      <c r="B2670" t="s">
        <v>2733</v>
      </c>
      <c r="C2670" t="s">
        <v>2633</v>
      </c>
      <c r="D2670" t="s">
        <v>2681</v>
      </c>
      <c r="E2670">
        <v>2</v>
      </c>
    </row>
    <row r="2671" spans="1:5" x14ac:dyDescent="0.25">
      <c r="A2671" t="s">
        <v>91</v>
      </c>
      <c r="B2671" t="s">
        <v>2733</v>
      </c>
      <c r="C2671" t="s">
        <v>2633</v>
      </c>
      <c r="D2671" t="s">
        <v>2682</v>
      </c>
      <c r="E2671">
        <v>4</v>
      </c>
    </row>
    <row r="2672" spans="1:5" x14ac:dyDescent="0.25">
      <c r="A2672" t="s">
        <v>91</v>
      </c>
      <c r="B2672" t="s">
        <v>2733</v>
      </c>
      <c r="C2672" t="s">
        <v>2633</v>
      </c>
      <c r="D2672" t="s">
        <v>2683</v>
      </c>
      <c r="E2672">
        <v>2</v>
      </c>
    </row>
    <row r="2673" spans="1:5" x14ac:dyDescent="0.25">
      <c r="A2673" t="s">
        <v>91</v>
      </c>
      <c r="B2673" t="s">
        <v>2733</v>
      </c>
      <c r="C2673" t="s">
        <v>2740</v>
      </c>
      <c r="D2673" t="s">
        <v>2677</v>
      </c>
      <c r="E2673">
        <v>5</v>
      </c>
    </row>
    <row r="2674" spans="1:5" x14ac:dyDescent="0.25">
      <c r="A2674" t="s">
        <v>91</v>
      </c>
      <c r="B2674" t="s">
        <v>2733</v>
      </c>
      <c r="C2674" t="s">
        <v>2645</v>
      </c>
      <c r="D2674" t="s">
        <v>2681</v>
      </c>
      <c r="E2674">
        <v>2</v>
      </c>
    </row>
    <row r="2675" spans="1:5" x14ac:dyDescent="0.25">
      <c r="A2675" t="s">
        <v>91</v>
      </c>
      <c r="B2675" t="s">
        <v>2733</v>
      </c>
      <c r="C2675" t="s">
        <v>2645</v>
      </c>
      <c r="D2675" t="s">
        <v>2682</v>
      </c>
      <c r="E2675">
        <v>5</v>
      </c>
    </row>
    <row r="2676" spans="1:5" x14ac:dyDescent="0.25">
      <c r="A2676" t="s">
        <v>91</v>
      </c>
      <c r="B2676" t="s">
        <v>2733</v>
      </c>
      <c r="C2676" t="s">
        <v>2741</v>
      </c>
      <c r="D2676" t="s">
        <v>2679</v>
      </c>
      <c r="E2676">
        <v>1</v>
      </c>
    </row>
    <row r="2677" spans="1:5" x14ac:dyDescent="0.25">
      <c r="A2677" t="s">
        <v>91</v>
      </c>
      <c r="B2677" t="s">
        <v>2733</v>
      </c>
      <c r="C2677" t="s">
        <v>2741</v>
      </c>
      <c r="D2677" t="s">
        <v>2680</v>
      </c>
      <c r="E2677">
        <v>6</v>
      </c>
    </row>
    <row r="2678" spans="1:5" x14ac:dyDescent="0.25">
      <c r="A2678" t="s">
        <v>91</v>
      </c>
      <c r="B2678" t="s">
        <v>2733</v>
      </c>
      <c r="C2678" t="s">
        <v>2644</v>
      </c>
      <c r="D2678" t="s">
        <v>2678</v>
      </c>
      <c r="E2678">
        <v>2</v>
      </c>
    </row>
    <row r="2679" spans="1:5" x14ac:dyDescent="0.25">
      <c r="A2679" t="s">
        <v>91</v>
      </c>
      <c r="B2679" t="s">
        <v>2733</v>
      </c>
      <c r="C2679" t="s">
        <v>2644</v>
      </c>
      <c r="D2679" t="s">
        <v>2679</v>
      </c>
      <c r="E2679">
        <v>4</v>
      </c>
    </row>
    <row r="2680" spans="1:5" x14ac:dyDescent="0.25">
      <c r="A2680" t="s">
        <v>91</v>
      </c>
      <c r="B2680" t="s">
        <v>2733</v>
      </c>
      <c r="C2680" t="s">
        <v>2644</v>
      </c>
      <c r="D2680" t="s">
        <v>2681</v>
      </c>
      <c r="E2680">
        <v>1</v>
      </c>
    </row>
    <row r="2681" spans="1:5" x14ac:dyDescent="0.25">
      <c r="A2681" t="s">
        <v>91</v>
      </c>
      <c r="B2681" t="s">
        <v>2733</v>
      </c>
      <c r="C2681" t="s">
        <v>2644</v>
      </c>
      <c r="D2681" t="s">
        <v>2684</v>
      </c>
      <c r="E2681">
        <v>1</v>
      </c>
    </row>
    <row r="2682" spans="1:5" x14ac:dyDescent="0.25">
      <c r="A2682" t="s">
        <v>91</v>
      </c>
      <c r="B2682" t="s">
        <v>2733</v>
      </c>
      <c r="C2682" t="s">
        <v>2643</v>
      </c>
      <c r="D2682" t="s">
        <v>2677</v>
      </c>
      <c r="E2682">
        <v>14</v>
      </c>
    </row>
    <row r="2683" spans="1:5" x14ac:dyDescent="0.25">
      <c r="A2683" t="s">
        <v>91</v>
      </c>
      <c r="B2683" t="s">
        <v>2733</v>
      </c>
      <c r="C2683" t="s">
        <v>2643</v>
      </c>
      <c r="D2683" t="s">
        <v>2678</v>
      </c>
      <c r="E2683">
        <v>24</v>
      </c>
    </row>
    <row r="2684" spans="1:5" x14ac:dyDescent="0.25">
      <c r="A2684" t="s">
        <v>91</v>
      </c>
      <c r="B2684" t="s">
        <v>2733</v>
      </c>
      <c r="C2684" t="s">
        <v>2643</v>
      </c>
      <c r="D2684" t="s">
        <v>2679</v>
      </c>
      <c r="E2684">
        <v>28</v>
      </c>
    </row>
    <row r="2685" spans="1:5" x14ac:dyDescent="0.25">
      <c r="A2685" t="s">
        <v>91</v>
      </c>
      <c r="B2685" t="s">
        <v>2733</v>
      </c>
      <c r="C2685" t="s">
        <v>2643</v>
      </c>
      <c r="D2685" t="s">
        <v>2680</v>
      </c>
      <c r="E2685">
        <v>29</v>
      </c>
    </row>
    <row r="2686" spans="1:5" x14ac:dyDescent="0.25">
      <c r="A2686" t="s">
        <v>91</v>
      </c>
      <c r="B2686" t="s">
        <v>2733</v>
      </c>
      <c r="C2686" t="s">
        <v>2643</v>
      </c>
      <c r="D2686" t="s">
        <v>2681</v>
      </c>
      <c r="E2686">
        <v>34</v>
      </c>
    </row>
    <row r="2687" spans="1:5" x14ac:dyDescent="0.25">
      <c r="A2687" t="s">
        <v>91</v>
      </c>
      <c r="B2687" t="s">
        <v>2733</v>
      </c>
      <c r="C2687" t="s">
        <v>2643</v>
      </c>
      <c r="D2687" t="s">
        <v>2682</v>
      </c>
      <c r="E2687">
        <v>36</v>
      </c>
    </row>
    <row r="2688" spans="1:5" x14ac:dyDescent="0.25">
      <c r="A2688" t="s">
        <v>91</v>
      </c>
      <c r="B2688" t="s">
        <v>2733</v>
      </c>
      <c r="C2688" t="s">
        <v>2643</v>
      </c>
      <c r="D2688" t="s">
        <v>2683</v>
      </c>
      <c r="E2688">
        <v>24</v>
      </c>
    </row>
    <row r="2689" spans="1:5" x14ac:dyDescent="0.25">
      <c r="A2689" t="s">
        <v>91</v>
      </c>
      <c r="B2689" t="s">
        <v>2733</v>
      </c>
      <c r="C2689" t="s">
        <v>2643</v>
      </c>
      <c r="D2689" t="s">
        <v>2684</v>
      </c>
      <c r="E2689">
        <v>36</v>
      </c>
    </row>
    <row r="2690" spans="1:5" x14ac:dyDescent="0.25">
      <c r="A2690" t="s">
        <v>91</v>
      </c>
      <c r="B2690" t="s">
        <v>2733</v>
      </c>
      <c r="C2690" t="s">
        <v>2643</v>
      </c>
      <c r="D2690" t="s">
        <v>2685</v>
      </c>
      <c r="E2690">
        <v>27</v>
      </c>
    </row>
    <row r="2691" spans="1:5" x14ac:dyDescent="0.25">
      <c r="A2691" t="s">
        <v>91</v>
      </c>
      <c r="B2691" t="s">
        <v>2733</v>
      </c>
      <c r="C2691" t="s">
        <v>2643</v>
      </c>
      <c r="D2691" t="s">
        <v>2686</v>
      </c>
      <c r="E2691">
        <v>34</v>
      </c>
    </row>
    <row r="2692" spans="1:5" x14ac:dyDescent="0.25">
      <c r="A2692" t="s">
        <v>91</v>
      </c>
      <c r="B2692" t="s">
        <v>2733</v>
      </c>
      <c r="C2692" t="s">
        <v>2643</v>
      </c>
      <c r="D2692" t="s">
        <v>2687</v>
      </c>
      <c r="E2692">
        <v>32</v>
      </c>
    </row>
    <row r="2693" spans="1:5" x14ac:dyDescent="0.25">
      <c r="A2693" t="s">
        <v>91</v>
      </c>
      <c r="B2693" t="s">
        <v>2733</v>
      </c>
      <c r="C2693" t="s">
        <v>2643</v>
      </c>
      <c r="D2693" t="s">
        <v>2688</v>
      </c>
      <c r="E2693">
        <v>30</v>
      </c>
    </row>
    <row r="2694" spans="1:5" x14ac:dyDescent="0.25">
      <c r="A2694" t="s">
        <v>91</v>
      </c>
      <c r="B2694" t="s">
        <v>2733</v>
      </c>
      <c r="C2694" t="s">
        <v>2643</v>
      </c>
      <c r="D2694" t="s">
        <v>2689</v>
      </c>
      <c r="E2694">
        <v>34</v>
      </c>
    </row>
    <row r="2695" spans="1:5" x14ac:dyDescent="0.25">
      <c r="A2695" t="s">
        <v>91</v>
      </c>
      <c r="B2695" t="s">
        <v>2733</v>
      </c>
      <c r="C2695" t="s">
        <v>2643</v>
      </c>
      <c r="D2695" t="s">
        <v>2690</v>
      </c>
      <c r="E2695">
        <v>35</v>
      </c>
    </row>
    <row r="2696" spans="1:5" x14ac:dyDescent="0.25">
      <c r="A2696" t="s">
        <v>91</v>
      </c>
      <c r="B2696" t="s">
        <v>2733</v>
      </c>
      <c r="C2696" t="s">
        <v>2626</v>
      </c>
      <c r="D2696" t="s">
        <v>2679</v>
      </c>
      <c r="E2696">
        <v>2</v>
      </c>
    </row>
    <row r="2697" spans="1:5" x14ac:dyDescent="0.25">
      <c r="A2697" t="s">
        <v>91</v>
      </c>
      <c r="B2697" t="s">
        <v>2733</v>
      </c>
      <c r="C2697" t="s">
        <v>2626</v>
      </c>
      <c r="D2697" t="s">
        <v>2680</v>
      </c>
      <c r="E2697">
        <v>3</v>
      </c>
    </row>
    <row r="2698" spans="1:5" x14ac:dyDescent="0.25">
      <c r="A2698" t="s">
        <v>91</v>
      </c>
      <c r="B2698" t="s">
        <v>2733</v>
      </c>
      <c r="C2698" t="s">
        <v>2626</v>
      </c>
      <c r="D2698" t="s">
        <v>2681</v>
      </c>
      <c r="E2698">
        <v>4</v>
      </c>
    </row>
    <row r="2699" spans="1:5" x14ac:dyDescent="0.25">
      <c r="A2699" t="s">
        <v>91</v>
      </c>
      <c r="B2699" t="s">
        <v>2733</v>
      </c>
      <c r="C2699" t="s">
        <v>2626</v>
      </c>
      <c r="D2699" t="s">
        <v>2682</v>
      </c>
      <c r="E2699">
        <v>3</v>
      </c>
    </row>
    <row r="2700" spans="1:5" x14ac:dyDescent="0.25">
      <c r="A2700" t="s">
        <v>91</v>
      </c>
      <c r="B2700" t="s">
        <v>2733</v>
      </c>
      <c r="C2700" t="s">
        <v>2626</v>
      </c>
      <c r="D2700" t="s">
        <v>2683</v>
      </c>
      <c r="E2700">
        <v>1</v>
      </c>
    </row>
    <row r="2701" spans="1:5" x14ac:dyDescent="0.25">
      <c r="A2701" t="s">
        <v>91</v>
      </c>
      <c r="B2701" t="s">
        <v>2733</v>
      </c>
      <c r="C2701" t="s">
        <v>2742</v>
      </c>
      <c r="D2701" t="s">
        <v>2677</v>
      </c>
      <c r="E2701">
        <v>2</v>
      </c>
    </row>
    <row r="2702" spans="1:5" x14ac:dyDescent="0.25">
      <c r="A2702" t="s">
        <v>91</v>
      </c>
      <c r="B2702" t="s">
        <v>2733</v>
      </c>
      <c r="C2702" t="s">
        <v>2641</v>
      </c>
      <c r="D2702" t="s">
        <v>2677</v>
      </c>
      <c r="E2702">
        <v>4</v>
      </c>
    </row>
    <row r="2703" spans="1:5" x14ac:dyDescent="0.25">
      <c r="A2703" t="s">
        <v>91</v>
      </c>
      <c r="B2703" t="s">
        <v>2733</v>
      </c>
      <c r="C2703" t="s">
        <v>2641</v>
      </c>
      <c r="D2703" t="s">
        <v>2678</v>
      </c>
      <c r="E2703">
        <v>2</v>
      </c>
    </row>
    <row r="2704" spans="1:5" x14ac:dyDescent="0.25">
      <c r="A2704" t="s">
        <v>91</v>
      </c>
      <c r="B2704" t="s">
        <v>2733</v>
      </c>
      <c r="C2704" t="s">
        <v>2641</v>
      </c>
      <c r="D2704" t="s">
        <v>2679</v>
      </c>
      <c r="E2704">
        <v>4</v>
      </c>
    </row>
    <row r="2705" spans="1:5" x14ac:dyDescent="0.25">
      <c r="A2705" t="s">
        <v>91</v>
      </c>
      <c r="B2705" t="s">
        <v>2733</v>
      </c>
      <c r="C2705" t="s">
        <v>2641</v>
      </c>
      <c r="D2705" t="s">
        <v>2680</v>
      </c>
      <c r="E2705">
        <v>4</v>
      </c>
    </row>
    <row r="2706" spans="1:5" x14ac:dyDescent="0.25">
      <c r="A2706" t="s">
        <v>91</v>
      </c>
      <c r="B2706" t="s">
        <v>2733</v>
      </c>
      <c r="C2706" t="s">
        <v>2641</v>
      </c>
      <c r="D2706" t="s">
        <v>2681</v>
      </c>
      <c r="E2706">
        <v>9</v>
      </c>
    </row>
    <row r="2707" spans="1:5" x14ac:dyDescent="0.25">
      <c r="A2707" t="s">
        <v>91</v>
      </c>
      <c r="B2707" t="s">
        <v>2733</v>
      </c>
      <c r="C2707" t="s">
        <v>2641</v>
      </c>
      <c r="D2707" t="s">
        <v>2682</v>
      </c>
      <c r="E2707">
        <v>2</v>
      </c>
    </row>
    <row r="2708" spans="1:5" x14ac:dyDescent="0.25">
      <c r="A2708" t="s">
        <v>91</v>
      </c>
      <c r="B2708" t="s">
        <v>2733</v>
      </c>
      <c r="C2708" t="s">
        <v>2641</v>
      </c>
      <c r="D2708" t="s">
        <v>2683</v>
      </c>
      <c r="E2708">
        <v>1</v>
      </c>
    </row>
    <row r="2709" spans="1:5" x14ac:dyDescent="0.25">
      <c r="A2709" t="s">
        <v>91</v>
      </c>
      <c r="B2709" t="s">
        <v>2733</v>
      </c>
      <c r="C2709" t="s">
        <v>2640</v>
      </c>
      <c r="D2709" t="s">
        <v>2677</v>
      </c>
      <c r="E2709">
        <v>3</v>
      </c>
    </row>
    <row r="2710" spans="1:5" x14ac:dyDescent="0.25">
      <c r="A2710" t="s">
        <v>91</v>
      </c>
      <c r="B2710" t="s">
        <v>2733</v>
      </c>
      <c r="C2710" t="s">
        <v>2640</v>
      </c>
      <c r="D2710" t="s">
        <v>2678</v>
      </c>
      <c r="E2710">
        <v>10</v>
      </c>
    </row>
    <row r="2711" spans="1:5" x14ac:dyDescent="0.25">
      <c r="A2711" t="s">
        <v>91</v>
      </c>
      <c r="B2711" t="s">
        <v>2733</v>
      </c>
      <c r="C2711" t="s">
        <v>2640</v>
      </c>
      <c r="D2711" t="s">
        <v>2679</v>
      </c>
      <c r="E2711">
        <v>28</v>
      </c>
    </row>
    <row r="2712" spans="1:5" x14ac:dyDescent="0.25">
      <c r="A2712" t="s">
        <v>91</v>
      </c>
      <c r="B2712" t="s">
        <v>2733</v>
      </c>
      <c r="C2712" t="s">
        <v>2640</v>
      </c>
      <c r="D2712" t="s">
        <v>2680</v>
      </c>
      <c r="E2712">
        <v>9</v>
      </c>
    </row>
    <row r="2713" spans="1:5" x14ac:dyDescent="0.25">
      <c r="A2713" t="s">
        <v>91</v>
      </c>
      <c r="B2713" t="s">
        <v>2733</v>
      </c>
      <c r="C2713" t="s">
        <v>2640</v>
      </c>
      <c r="D2713" t="s">
        <v>2681</v>
      </c>
      <c r="E2713">
        <v>22</v>
      </c>
    </row>
    <row r="2714" spans="1:5" x14ac:dyDescent="0.25">
      <c r="A2714" t="s">
        <v>91</v>
      </c>
      <c r="B2714" t="s">
        <v>2733</v>
      </c>
      <c r="C2714" t="s">
        <v>2640</v>
      </c>
      <c r="D2714" t="s">
        <v>2682</v>
      </c>
      <c r="E2714">
        <v>9</v>
      </c>
    </row>
    <row r="2715" spans="1:5" x14ac:dyDescent="0.25">
      <c r="A2715" t="s">
        <v>91</v>
      </c>
      <c r="B2715" t="s">
        <v>2733</v>
      </c>
      <c r="C2715" t="s">
        <v>2640</v>
      </c>
      <c r="D2715" t="s">
        <v>2683</v>
      </c>
      <c r="E2715">
        <v>12</v>
      </c>
    </row>
    <row r="2716" spans="1:5" x14ac:dyDescent="0.25">
      <c r="A2716" t="s">
        <v>91</v>
      </c>
      <c r="B2716" t="s">
        <v>2733</v>
      </c>
      <c r="C2716" t="s">
        <v>2640</v>
      </c>
      <c r="D2716" t="s">
        <v>2684</v>
      </c>
      <c r="E2716">
        <v>12</v>
      </c>
    </row>
    <row r="2717" spans="1:5" x14ac:dyDescent="0.25">
      <c r="A2717" t="s">
        <v>91</v>
      </c>
      <c r="B2717" t="s">
        <v>2733</v>
      </c>
      <c r="C2717" t="s">
        <v>2640</v>
      </c>
      <c r="D2717" t="s">
        <v>2685</v>
      </c>
      <c r="E2717">
        <v>28</v>
      </c>
    </row>
    <row r="2718" spans="1:5" x14ac:dyDescent="0.25">
      <c r="A2718" t="s">
        <v>91</v>
      </c>
      <c r="B2718" t="s">
        <v>2733</v>
      </c>
      <c r="C2718" t="s">
        <v>2640</v>
      </c>
      <c r="D2718" t="s">
        <v>2686</v>
      </c>
      <c r="E2718">
        <v>25</v>
      </c>
    </row>
    <row r="2719" spans="1:5" x14ac:dyDescent="0.25">
      <c r="A2719" t="s">
        <v>91</v>
      </c>
      <c r="B2719" t="s">
        <v>2733</v>
      </c>
      <c r="C2719" t="s">
        <v>2640</v>
      </c>
      <c r="D2719" t="s">
        <v>2687</v>
      </c>
      <c r="E2719">
        <v>27</v>
      </c>
    </row>
    <row r="2720" spans="1:5" x14ac:dyDescent="0.25">
      <c r="A2720" t="s">
        <v>91</v>
      </c>
      <c r="B2720" t="s">
        <v>2733</v>
      </c>
      <c r="C2720" t="s">
        <v>2640</v>
      </c>
      <c r="D2720" t="s">
        <v>2688</v>
      </c>
      <c r="E2720">
        <v>25</v>
      </c>
    </row>
    <row r="2721" spans="1:5" x14ac:dyDescent="0.25">
      <c r="A2721" t="s">
        <v>91</v>
      </c>
      <c r="B2721" t="s">
        <v>2733</v>
      </c>
      <c r="C2721" t="s">
        <v>2640</v>
      </c>
      <c r="D2721" t="s">
        <v>2689</v>
      </c>
      <c r="E2721">
        <v>21</v>
      </c>
    </row>
    <row r="2722" spans="1:5" x14ac:dyDescent="0.25">
      <c r="A2722" t="s">
        <v>91</v>
      </c>
      <c r="B2722" t="s">
        <v>2733</v>
      </c>
      <c r="C2722" t="s">
        <v>2640</v>
      </c>
      <c r="D2722" t="s">
        <v>2690</v>
      </c>
      <c r="E2722">
        <v>20</v>
      </c>
    </row>
    <row r="2723" spans="1:5" x14ac:dyDescent="0.25">
      <c r="A2723" t="s">
        <v>91</v>
      </c>
      <c r="B2723" t="s">
        <v>2733</v>
      </c>
      <c r="C2723" t="s">
        <v>2653</v>
      </c>
      <c r="D2723" t="s">
        <v>2681</v>
      </c>
      <c r="E2723">
        <v>1</v>
      </c>
    </row>
    <row r="2724" spans="1:5" x14ac:dyDescent="0.25">
      <c r="A2724" t="s">
        <v>91</v>
      </c>
      <c r="B2724" t="s">
        <v>2733</v>
      </c>
      <c r="C2724" t="s">
        <v>2653</v>
      </c>
      <c r="D2724" t="s">
        <v>2682</v>
      </c>
      <c r="E2724">
        <v>10</v>
      </c>
    </row>
    <row r="2725" spans="1:5" x14ac:dyDescent="0.25">
      <c r="A2725" t="s">
        <v>91</v>
      </c>
      <c r="B2725" t="s">
        <v>2733</v>
      </c>
      <c r="C2725" t="s">
        <v>2653</v>
      </c>
      <c r="D2725" t="s">
        <v>2683</v>
      </c>
      <c r="E2725">
        <v>2</v>
      </c>
    </row>
    <row r="2726" spans="1:5" x14ac:dyDescent="0.25">
      <c r="A2726" t="s">
        <v>91</v>
      </c>
      <c r="B2726" t="s">
        <v>2733</v>
      </c>
      <c r="C2726" t="s">
        <v>2653</v>
      </c>
      <c r="D2726" t="s">
        <v>2684</v>
      </c>
      <c r="E2726">
        <v>26</v>
      </c>
    </row>
    <row r="2727" spans="1:5" x14ac:dyDescent="0.25">
      <c r="A2727" t="s">
        <v>91</v>
      </c>
      <c r="B2727" t="s">
        <v>2733</v>
      </c>
      <c r="C2727" t="s">
        <v>2653</v>
      </c>
      <c r="D2727" t="s">
        <v>2685</v>
      </c>
      <c r="E2727">
        <v>20</v>
      </c>
    </row>
    <row r="2728" spans="1:5" x14ac:dyDescent="0.25">
      <c r="A2728" t="s">
        <v>91</v>
      </c>
      <c r="B2728" t="s">
        <v>2733</v>
      </c>
      <c r="C2728" t="s">
        <v>2653</v>
      </c>
      <c r="D2728" t="s">
        <v>2686</v>
      </c>
      <c r="E2728">
        <v>23</v>
      </c>
    </row>
    <row r="2729" spans="1:5" x14ac:dyDescent="0.25">
      <c r="A2729" t="s">
        <v>91</v>
      </c>
      <c r="B2729" t="s">
        <v>2733</v>
      </c>
      <c r="C2729" t="s">
        <v>2653</v>
      </c>
      <c r="D2729" t="s">
        <v>2687</v>
      </c>
      <c r="E2729">
        <v>24</v>
      </c>
    </row>
    <row r="2730" spans="1:5" x14ac:dyDescent="0.25">
      <c r="A2730" t="s">
        <v>91</v>
      </c>
      <c r="B2730" t="s">
        <v>2733</v>
      </c>
      <c r="C2730" t="s">
        <v>2653</v>
      </c>
      <c r="D2730" t="s">
        <v>2688</v>
      </c>
      <c r="E2730">
        <v>38</v>
      </c>
    </row>
    <row r="2731" spans="1:5" x14ac:dyDescent="0.25">
      <c r="A2731" t="s">
        <v>91</v>
      </c>
      <c r="B2731" t="s">
        <v>2733</v>
      </c>
      <c r="C2731" t="s">
        <v>2653</v>
      </c>
      <c r="D2731" t="s">
        <v>2689</v>
      </c>
      <c r="E2731">
        <v>30</v>
      </c>
    </row>
    <row r="2732" spans="1:5" x14ac:dyDescent="0.25">
      <c r="A2732" t="s">
        <v>91</v>
      </c>
      <c r="B2732" t="s">
        <v>2733</v>
      </c>
      <c r="C2732" t="s">
        <v>2653</v>
      </c>
      <c r="D2732" t="s">
        <v>2690</v>
      </c>
      <c r="E2732">
        <v>32</v>
      </c>
    </row>
    <row r="2733" spans="1:5" x14ac:dyDescent="0.25">
      <c r="A2733" t="s">
        <v>91</v>
      </c>
      <c r="B2733" t="s">
        <v>2733</v>
      </c>
      <c r="C2733" t="s">
        <v>2639</v>
      </c>
      <c r="D2733" t="s">
        <v>2677</v>
      </c>
      <c r="E2733">
        <v>14</v>
      </c>
    </row>
    <row r="2734" spans="1:5" x14ac:dyDescent="0.25">
      <c r="A2734" t="s">
        <v>91</v>
      </c>
      <c r="B2734" t="s">
        <v>2733</v>
      </c>
      <c r="C2734" t="s">
        <v>2639</v>
      </c>
      <c r="D2734" t="s">
        <v>2678</v>
      </c>
      <c r="E2734">
        <v>23</v>
      </c>
    </row>
    <row r="2735" spans="1:5" x14ac:dyDescent="0.25">
      <c r="A2735" t="s">
        <v>91</v>
      </c>
      <c r="B2735" t="s">
        <v>2733</v>
      </c>
      <c r="C2735" t="s">
        <v>2639</v>
      </c>
      <c r="D2735" t="s">
        <v>2679</v>
      </c>
      <c r="E2735">
        <v>17</v>
      </c>
    </row>
    <row r="2736" spans="1:5" x14ac:dyDescent="0.25">
      <c r="A2736" t="s">
        <v>91</v>
      </c>
      <c r="B2736" t="s">
        <v>2733</v>
      </c>
      <c r="C2736" t="s">
        <v>2639</v>
      </c>
      <c r="D2736" t="s">
        <v>2680</v>
      </c>
      <c r="E2736">
        <v>20</v>
      </c>
    </row>
    <row r="2737" spans="1:5" x14ac:dyDescent="0.25">
      <c r="A2737" t="s">
        <v>91</v>
      </c>
      <c r="B2737" t="s">
        <v>2733</v>
      </c>
      <c r="C2737" t="s">
        <v>2639</v>
      </c>
      <c r="D2737" t="s">
        <v>2681</v>
      </c>
      <c r="E2737">
        <v>13</v>
      </c>
    </row>
    <row r="2738" spans="1:5" x14ac:dyDescent="0.25">
      <c r="A2738" t="s">
        <v>91</v>
      </c>
      <c r="B2738" t="s">
        <v>2733</v>
      </c>
      <c r="C2738" t="s">
        <v>2639</v>
      </c>
      <c r="D2738" t="s">
        <v>2682</v>
      </c>
      <c r="E2738">
        <v>4</v>
      </c>
    </row>
    <row r="2739" spans="1:5" x14ac:dyDescent="0.25">
      <c r="A2739" t="s">
        <v>91</v>
      </c>
      <c r="B2739" t="s">
        <v>2733</v>
      </c>
      <c r="C2739" t="s">
        <v>2638</v>
      </c>
      <c r="D2739" t="s">
        <v>2677</v>
      </c>
      <c r="E2739">
        <v>3</v>
      </c>
    </row>
    <row r="2740" spans="1:5" x14ac:dyDescent="0.25">
      <c r="A2740" t="s">
        <v>91</v>
      </c>
      <c r="B2740" t="s">
        <v>2733</v>
      </c>
      <c r="C2740" t="s">
        <v>2638</v>
      </c>
      <c r="D2740" t="s">
        <v>2678</v>
      </c>
      <c r="E2740">
        <v>10</v>
      </c>
    </row>
    <row r="2741" spans="1:5" x14ac:dyDescent="0.25">
      <c r="A2741" t="s">
        <v>91</v>
      </c>
      <c r="B2741" t="s">
        <v>2733</v>
      </c>
      <c r="C2741" t="s">
        <v>2638</v>
      </c>
      <c r="D2741" t="s">
        <v>2679</v>
      </c>
      <c r="E2741">
        <v>9</v>
      </c>
    </row>
    <row r="2742" spans="1:5" x14ac:dyDescent="0.25">
      <c r="A2742" t="s">
        <v>91</v>
      </c>
      <c r="B2742" t="s">
        <v>2733</v>
      </c>
      <c r="C2742" t="s">
        <v>2638</v>
      </c>
      <c r="D2742" t="s">
        <v>2680</v>
      </c>
      <c r="E2742">
        <v>11</v>
      </c>
    </row>
    <row r="2743" spans="1:5" x14ac:dyDescent="0.25">
      <c r="A2743" t="s">
        <v>91</v>
      </c>
      <c r="B2743" t="s">
        <v>2733</v>
      </c>
      <c r="C2743" t="s">
        <v>2638</v>
      </c>
      <c r="D2743" t="s">
        <v>2681</v>
      </c>
      <c r="E2743">
        <v>10</v>
      </c>
    </row>
    <row r="2744" spans="1:5" x14ac:dyDescent="0.25">
      <c r="A2744" t="s">
        <v>91</v>
      </c>
      <c r="B2744" t="s">
        <v>2733</v>
      </c>
      <c r="C2744" t="s">
        <v>2617</v>
      </c>
      <c r="D2744" t="s">
        <v>2677</v>
      </c>
      <c r="E2744">
        <v>11</v>
      </c>
    </row>
    <row r="2745" spans="1:5" x14ac:dyDescent="0.25">
      <c r="A2745" t="s">
        <v>91</v>
      </c>
      <c r="B2745" t="s">
        <v>2733</v>
      </c>
      <c r="C2745" t="s">
        <v>2617</v>
      </c>
      <c r="D2745" t="s">
        <v>2678</v>
      </c>
      <c r="E2745">
        <v>8</v>
      </c>
    </row>
    <row r="2746" spans="1:5" x14ac:dyDescent="0.25">
      <c r="A2746" t="s">
        <v>91</v>
      </c>
      <c r="B2746" t="s">
        <v>2733</v>
      </c>
      <c r="C2746" t="s">
        <v>2617</v>
      </c>
      <c r="D2746" t="s">
        <v>2679</v>
      </c>
      <c r="E2746">
        <v>7</v>
      </c>
    </row>
    <row r="2747" spans="1:5" x14ac:dyDescent="0.25">
      <c r="A2747" t="s">
        <v>91</v>
      </c>
      <c r="B2747" t="s">
        <v>2733</v>
      </c>
      <c r="C2747" t="s">
        <v>2617</v>
      </c>
      <c r="D2747" t="s">
        <v>2680</v>
      </c>
      <c r="E2747">
        <v>5</v>
      </c>
    </row>
    <row r="2748" spans="1:5" x14ac:dyDescent="0.25">
      <c r="A2748" t="s">
        <v>91</v>
      </c>
      <c r="B2748" t="s">
        <v>2733</v>
      </c>
      <c r="C2748" t="s">
        <v>2617</v>
      </c>
      <c r="D2748" t="s">
        <v>2681</v>
      </c>
      <c r="E2748">
        <v>12</v>
      </c>
    </row>
    <row r="2749" spans="1:5" x14ac:dyDescent="0.25">
      <c r="A2749" t="s">
        <v>2743</v>
      </c>
      <c r="C2749" t="s">
        <v>2743</v>
      </c>
      <c r="D2749" t="s">
        <v>2677</v>
      </c>
      <c r="E2749">
        <v>40</v>
      </c>
    </row>
    <row r="2750" spans="1:5" x14ac:dyDescent="0.25">
      <c r="A2750" t="s">
        <v>2743</v>
      </c>
      <c r="C2750" t="s">
        <v>2743</v>
      </c>
      <c r="D2750" t="s">
        <v>2678</v>
      </c>
      <c r="E2750">
        <v>55</v>
      </c>
    </row>
    <row r="2751" spans="1:5" x14ac:dyDescent="0.25">
      <c r="A2751" t="s">
        <v>2743</v>
      </c>
      <c r="C2751" t="s">
        <v>2743</v>
      </c>
      <c r="D2751" t="s">
        <v>2679</v>
      </c>
      <c r="E2751">
        <v>98</v>
      </c>
    </row>
    <row r="2752" spans="1:5" x14ac:dyDescent="0.25">
      <c r="A2752" t="s">
        <v>2743</v>
      </c>
      <c r="C2752" t="s">
        <v>2743</v>
      </c>
      <c r="D2752" t="s">
        <v>2680</v>
      </c>
      <c r="E2752">
        <v>106</v>
      </c>
    </row>
    <row r="2753" spans="1:5" x14ac:dyDescent="0.25">
      <c r="A2753" t="s">
        <v>2743</v>
      </c>
      <c r="C2753" t="s">
        <v>2743</v>
      </c>
      <c r="D2753" t="s">
        <v>2681</v>
      </c>
      <c r="E2753">
        <v>174</v>
      </c>
    </row>
    <row r="2754" spans="1:5" x14ac:dyDescent="0.25">
      <c r="A2754" t="s">
        <v>2743</v>
      </c>
      <c r="C2754" t="s">
        <v>2743</v>
      </c>
      <c r="D2754" t="s">
        <v>2682</v>
      </c>
      <c r="E2754">
        <v>216</v>
      </c>
    </row>
    <row r="2755" spans="1:5" x14ac:dyDescent="0.25">
      <c r="A2755" t="s">
        <v>2743</v>
      </c>
      <c r="C2755" t="s">
        <v>2743</v>
      </c>
      <c r="D2755" t="s">
        <v>2683</v>
      </c>
      <c r="E2755">
        <v>296</v>
      </c>
    </row>
    <row r="2756" spans="1:5" x14ac:dyDescent="0.25">
      <c r="A2756" t="s">
        <v>2743</v>
      </c>
      <c r="C2756" t="s">
        <v>2743</v>
      </c>
      <c r="D2756" t="s">
        <v>2684</v>
      </c>
      <c r="E2756">
        <v>380</v>
      </c>
    </row>
    <row r="2757" spans="1:5" x14ac:dyDescent="0.25">
      <c r="A2757" t="s">
        <v>2743</v>
      </c>
      <c r="C2757" t="s">
        <v>2743</v>
      </c>
      <c r="D2757" t="s">
        <v>2685</v>
      </c>
      <c r="E2757">
        <v>439</v>
      </c>
    </row>
    <row r="2758" spans="1:5" x14ac:dyDescent="0.25">
      <c r="A2758" t="s">
        <v>2743</v>
      </c>
      <c r="C2758" t="s">
        <v>2743</v>
      </c>
      <c r="D2758" t="s">
        <v>2686</v>
      </c>
      <c r="E2758">
        <v>486</v>
      </c>
    </row>
    <row r="2759" spans="1:5" x14ac:dyDescent="0.25">
      <c r="A2759" t="s">
        <v>2743</v>
      </c>
      <c r="C2759" t="s">
        <v>2743</v>
      </c>
      <c r="D2759" t="s">
        <v>2687</v>
      </c>
      <c r="E2759">
        <v>623</v>
      </c>
    </row>
    <row r="2760" spans="1:5" x14ac:dyDescent="0.25">
      <c r="A2760" t="s">
        <v>2743</v>
      </c>
      <c r="C2760" t="s">
        <v>2743</v>
      </c>
      <c r="D2760" t="s">
        <v>2688</v>
      </c>
      <c r="E2760">
        <v>771</v>
      </c>
    </row>
    <row r="2761" spans="1:5" x14ac:dyDescent="0.25">
      <c r="A2761" t="s">
        <v>2743</v>
      </c>
      <c r="C2761" t="s">
        <v>2743</v>
      </c>
      <c r="D2761" t="s">
        <v>2689</v>
      </c>
      <c r="E2761">
        <v>769</v>
      </c>
    </row>
    <row r="2762" spans="1:5" x14ac:dyDescent="0.25">
      <c r="A2762" t="s">
        <v>2743</v>
      </c>
      <c r="C2762" t="s">
        <v>2743</v>
      </c>
      <c r="D2762" t="s">
        <v>2690</v>
      </c>
      <c r="E2762">
        <v>753</v>
      </c>
    </row>
    <row r="2763" spans="1:5" x14ac:dyDescent="0.25">
      <c r="A2763" t="s">
        <v>2744</v>
      </c>
      <c r="B2763" t="s">
        <v>2470</v>
      </c>
      <c r="C2763" t="s">
        <v>2744</v>
      </c>
      <c r="D2763" t="s">
        <v>2677</v>
      </c>
      <c r="E2763">
        <v>752</v>
      </c>
    </row>
    <row r="2764" spans="1:5" x14ac:dyDescent="0.25">
      <c r="A2764" t="s">
        <v>2744</v>
      </c>
      <c r="B2764" t="s">
        <v>2470</v>
      </c>
      <c r="C2764" t="s">
        <v>2744</v>
      </c>
      <c r="D2764" t="s">
        <v>2678</v>
      </c>
      <c r="E2764">
        <v>1516</v>
      </c>
    </row>
    <row r="2765" spans="1:5" x14ac:dyDescent="0.25">
      <c r="A2765" t="s">
        <v>2744</v>
      </c>
      <c r="B2765" t="s">
        <v>2470</v>
      </c>
      <c r="C2765" t="s">
        <v>2744</v>
      </c>
      <c r="D2765" t="s">
        <v>2679</v>
      </c>
      <c r="E2765">
        <v>2141</v>
      </c>
    </row>
    <row r="2766" spans="1:5" x14ac:dyDescent="0.25">
      <c r="A2766" t="s">
        <v>2744</v>
      </c>
      <c r="B2766" t="s">
        <v>2470</v>
      </c>
      <c r="C2766" t="s">
        <v>2744</v>
      </c>
      <c r="D2766" t="s">
        <v>2680</v>
      </c>
      <c r="E2766">
        <v>2167</v>
      </c>
    </row>
    <row r="2767" spans="1:5" x14ac:dyDescent="0.25">
      <c r="A2767" t="s">
        <v>2744</v>
      </c>
      <c r="B2767" t="s">
        <v>2470</v>
      </c>
      <c r="C2767" t="s">
        <v>2744</v>
      </c>
      <c r="D2767" t="s">
        <v>2681</v>
      </c>
      <c r="E2767">
        <v>2087</v>
      </c>
    </row>
    <row r="2768" spans="1:5" x14ac:dyDescent="0.25">
      <c r="A2768" t="s">
        <v>2744</v>
      </c>
      <c r="B2768" t="s">
        <v>2470</v>
      </c>
      <c r="C2768" t="s">
        <v>2744</v>
      </c>
      <c r="D2768" t="s">
        <v>2682</v>
      </c>
      <c r="E2768">
        <v>2372</v>
      </c>
    </row>
    <row r="2769" spans="1:5" x14ac:dyDescent="0.25">
      <c r="A2769" t="s">
        <v>2744</v>
      </c>
      <c r="B2769" t="s">
        <v>2470</v>
      </c>
      <c r="C2769" t="s">
        <v>2744</v>
      </c>
      <c r="D2769" t="s">
        <v>2683</v>
      </c>
      <c r="E2769">
        <v>2460</v>
      </c>
    </row>
    <row r="2770" spans="1:5" x14ac:dyDescent="0.25">
      <c r="A2770" t="s">
        <v>2744</v>
      </c>
      <c r="B2770" t="s">
        <v>2470</v>
      </c>
      <c r="C2770" t="s">
        <v>2744</v>
      </c>
      <c r="D2770" t="s">
        <v>2684</v>
      </c>
      <c r="E2770">
        <v>2722</v>
      </c>
    </row>
    <row r="2771" spans="1:5" x14ac:dyDescent="0.25">
      <c r="A2771" t="s">
        <v>2744</v>
      </c>
      <c r="B2771" t="s">
        <v>2470</v>
      </c>
      <c r="C2771" t="s">
        <v>2744</v>
      </c>
      <c r="D2771" t="s">
        <v>2685</v>
      </c>
      <c r="E2771">
        <v>2821</v>
      </c>
    </row>
    <row r="2772" spans="1:5" x14ac:dyDescent="0.25">
      <c r="A2772" t="s">
        <v>2744</v>
      </c>
      <c r="B2772" t="s">
        <v>2470</v>
      </c>
      <c r="C2772" t="s">
        <v>2744</v>
      </c>
      <c r="D2772" t="s">
        <v>2686</v>
      </c>
      <c r="E2772">
        <v>2991</v>
      </c>
    </row>
    <row r="2773" spans="1:5" x14ac:dyDescent="0.25">
      <c r="A2773" t="s">
        <v>2744</v>
      </c>
      <c r="B2773" t="s">
        <v>2470</v>
      </c>
      <c r="C2773" t="s">
        <v>2744</v>
      </c>
      <c r="D2773" t="s">
        <v>2687</v>
      </c>
      <c r="E2773">
        <v>3074</v>
      </c>
    </row>
    <row r="2774" spans="1:5" x14ac:dyDescent="0.25">
      <c r="A2774" t="s">
        <v>2744</v>
      </c>
      <c r="B2774" t="s">
        <v>2470</v>
      </c>
      <c r="C2774" t="s">
        <v>2744</v>
      </c>
      <c r="D2774" t="s">
        <v>2688</v>
      </c>
      <c r="E2774">
        <v>3361</v>
      </c>
    </row>
    <row r="2775" spans="1:5" x14ac:dyDescent="0.25">
      <c r="A2775" t="s">
        <v>2744</v>
      </c>
      <c r="B2775" t="s">
        <v>2470</v>
      </c>
      <c r="C2775" t="s">
        <v>2744</v>
      </c>
      <c r="D2775" t="s">
        <v>2689</v>
      </c>
      <c r="E2775">
        <v>3312</v>
      </c>
    </row>
    <row r="2776" spans="1:5" x14ac:dyDescent="0.25">
      <c r="A2776" t="s">
        <v>2744</v>
      </c>
      <c r="B2776" t="s">
        <v>2470</v>
      </c>
      <c r="C2776" t="s">
        <v>2744</v>
      </c>
      <c r="D2776" t="s">
        <v>2690</v>
      </c>
      <c r="E2776">
        <v>3607</v>
      </c>
    </row>
    <row r="2777" spans="1:5" x14ac:dyDescent="0.25">
      <c r="A2777" t="s">
        <v>89</v>
      </c>
      <c r="B2777" t="s">
        <v>2518</v>
      </c>
      <c r="C2777" t="s">
        <v>90</v>
      </c>
      <c r="D2777" t="s">
        <v>2677</v>
      </c>
      <c r="E2777">
        <v>246</v>
      </c>
    </row>
    <row r="2778" spans="1:5" x14ac:dyDescent="0.25">
      <c r="A2778" t="s">
        <v>89</v>
      </c>
      <c r="B2778" t="s">
        <v>2518</v>
      </c>
      <c r="C2778" t="s">
        <v>90</v>
      </c>
      <c r="D2778" t="s">
        <v>2678</v>
      </c>
      <c r="E2778">
        <v>490</v>
      </c>
    </row>
    <row r="2779" spans="1:5" x14ac:dyDescent="0.25">
      <c r="A2779" t="s">
        <v>89</v>
      </c>
      <c r="B2779" t="s">
        <v>2518</v>
      </c>
      <c r="C2779" t="s">
        <v>90</v>
      </c>
      <c r="D2779" t="s">
        <v>2679</v>
      </c>
      <c r="E2779">
        <v>470</v>
      </c>
    </row>
    <row r="2780" spans="1:5" x14ac:dyDescent="0.25">
      <c r="A2780" t="s">
        <v>89</v>
      </c>
      <c r="B2780" t="s">
        <v>2518</v>
      </c>
      <c r="C2780" t="s">
        <v>90</v>
      </c>
      <c r="D2780" t="s">
        <v>2680</v>
      </c>
      <c r="E2780">
        <v>440</v>
      </c>
    </row>
    <row r="2781" spans="1:5" x14ac:dyDescent="0.25">
      <c r="A2781" t="s">
        <v>89</v>
      </c>
      <c r="B2781" t="s">
        <v>2518</v>
      </c>
      <c r="C2781" t="s">
        <v>90</v>
      </c>
      <c r="D2781" t="s">
        <v>2681</v>
      </c>
      <c r="E2781">
        <v>423</v>
      </c>
    </row>
    <row r="2782" spans="1:5" x14ac:dyDescent="0.25">
      <c r="A2782" t="s">
        <v>89</v>
      </c>
      <c r="B2782" t="s">
        <v>2518</v>
      </c>
      <c r="C2782" t="s">
        <v>90</v>
      </c>
      <c r="D2782" t="s">
        <v>2682</v>
      </c>
      <c r="E2782">
        <v>455</v>
      </c>
    </row>
    <row r="2783" spans="1:5" x14ac:dyDescent="0.25">
      <c r="A2783" t="s">
        <v>89</v>
      </c>
      <c r="B2783" t="s">
        <v>2518</v>
      </c>
      <c r="C2783" t="s">
        <v>90</v>
      </c>
      <c r="D2783" t="s">
        <v>2683</v>
      </c>
      <c r="E2783">
        <v>474</v>
      </c>
    </row>
    <row r="2784" spans="1:5" x14ac:dyDescent="0.25">
      <c r="A2784" t="s">
        <v>89</v>
      </c>
      <c r="B2784" t="s">
        <v>2518</v>
      </c>
      <c r="C2784" t="s">
        <v>90</v>
      </c>
      <c r="D2784" t="s">
        <v>2684</v>
      </c>
      <c r="E2784">
        <v>498</v>
      </c>
    </row>
    <row r="2785" spans="1:5" x14ac:dyDescent="0.25">
      <c r="A2785" t="s">
        <v>89</v>
      </c>
      <c r="B2785" t="s">
        <v>2518</v>
      </c>
      <c r="C2785" t="s">
        <v>90</v>
      </c>
      <c r="D2785" t="s">
        <v>2685</v>
      </c>
      <c r="E2785">
        <v>498</v>
      </c>
    </row>
    <row r="2786" spans="1:5" x14ac:dyDescent="0.25">
      <c r="A2786" t="s">
        <v>89</v>
      </c>
      <c r="B2786" t="s">
        <v>2518</v>
      </c>
      <c r="C2786" t="s">
        <v>90</v>
      </c>
      <c r="D2786" t="s">
        <v>2686</v>
      </c>
      <c r="E2786">
        <v>497</v>
      </c>
    </row>
    <row r="2787" spans="1:5" x14ac:dyDescent="0.25">
      <c r="A2787" t="s">
        <v>89</v>
      </c>
      <c r="B2787" t="s">
        <v>2518</v>
      </c>
      <c r="C2787" t="s">
        <v>90</v>
      </c>
      <c r="D2787" t="s">
        <v>2687</v>
      </c>
      <c r="E2787">
        <v>511</v>
      </c>
    </row>
    <row r="2788" spans="1:5" x14ac:dyDescent="0.25">
      <c r="A2788" t="s">
        <v>89</v>
      </c>
      <c r="B2788" t="s">
        <v>2518</v>
      </c>
      <c r="C2788" t="s">
        <v>90</v>
      </c>
      <c r="D2788" t="s">
        <v>2688</v>
      </c>
      <c r="E2788">
        <v>514</v>
      </c>
    </row>
    <row r="2789" spans="1:5" x14ac:dyDescent="0.25">
      <c r="A2789" t="s">
        <v>89</v>
      </c>
      <c r="B2789" t="s">
        <v>2518</v>
      </c>
      <c r="C2789" t="s">
        <v>90</v>
      </c>
      <c r="D2789" t="s">
        <v>2689</v>
      </c>
      <c r="E2789">
        <v>502</v>
      </c>
    </row>
    <row r="2790" spans="1:5" x14ac:dyDescent="0.25">
      <c r="A2790" t="s">
        <v>89</v>
      </c>
      <c r="B2790" t="s">
        <v>2518</v>
      </c>
      <c r="C2790" t="s">
        <v>90</v>
      </c>
      <c r="D2790" t="s">
        <v>2690</v>
      </c>
      <c r="E2790">
        <v>489</v>
      </c>
    </row>
    <row r="2791" spans="1:5" x14ac:dyDescent="0.25">
      <c r="A2791" t="s">
        <v>89</v>
      </c>
      <c r="B2791" t="s">
        <v>2695</v>
      </c>
      <c r="C2791" t="s">
        <v>2745</v>
      </c>
      <c r="D2791" t="s">
        <v>2688</v>
      </c>
      <c r="E2791">
        <v>3</v>
      </c>
    </row>
    <row r="2792" spans="1:5" x14ac:dyDescent="0.25">
      <c r="A2792" t="s">
        <v>89</v>
      </c>
      <c r="B2792" t="s">
        <v>2695</v>
      </c>
      <c r="C2792" t="s">
        <v>2746</v>
      </c>
      <c r="D2792" t="s">
        <v>2677</v>
      </c>
      <c r="E2792">
        <v>1</v>
      </c>
    </row>
    <row r="2793" spans="1:5" x14ac:dyDescent="0.25">
      <c r="A2793" t="s">
        <v>89</v>
      </c>
      <c r="B2793" t="s">
        <v>2695</v>
      </c>
      <c r="C2793" t="s">
        <v>2746</v>
      </c>
      <c r="D2793" t="s">
        <v>2683</v>
      </c>
      <c r="E2793">
        <v>1</v>
      </c>
    </row>
    <row r="2794" spans="1:5" x14ac:dyDescent="0.25">
      <c r="A2794" t="s">
        <v>89</v>
      </c>
      <c r="B2794" t="s">
        <v>2695</v>
      </c>
      <c r="C2794" t="s">
        <v>2746</v>
      </c>
      <c r="D2794" t="s">
        <v>2684</v>
      </c>
      <c r="E2794">
        <v>1</v>
      </c>
    </row>
    <row r="2795" spans="1:5" x14ac:dyDescent="0.25">
      <c r="A2795" t="s">
        <v>89</v>
      </c>
      <c r="B2795" t="s">
        <v>2695</v>
      </c>
      <c r="C2795" t="s">
        <v>2746</v>
      </c>
      <c r="D2795" t="s">
        <v>2686</v>
      </c>
      <c r="E2795">
        <v>2</v>
      </c>
    </row>
    <row r="2796" spans="1:5" x14ac:dyDescent="0.25">
      <c r="A2796" t="s">
        <v>89</v>
      </c>
      <c r="B2796" t="s">
        <v>2695</v>
      </c>
      <c r="C2796" t="s">
        <v>2746</v>
      </c>
      <c r="D2796" t="s">
        <v>2687</v>
      </c>
      <c r="E2796">
        <v>14</v>
      </c>
    </row>
    <row r="2797" spans="1:5" x14ac:dyDescent="0.25">
      <c r="A2797" t="s">
        <v>89</v>
      </c>
      <c r="B2797" t="s">
        <v>2695</v>
      </c>
      <c r="C2797" t="s">
        <v>2746</v>
      </c>
      <c r="D2797" t="s">
        <v>2688</v>
      </c>
      <c r="E2797">
        <v>10</v>
      </c>
    </row>
    <row r="2798" spans="1:5" x14ac:dyDescent="0.25">
      <c r="A2798" t="s">
        <v>89</v>
      </c>
      <c r="B2798" t="s">
        <v>2695</v>
      </c>
      <c r="C2798" t="s">
        <v>2747</v>
      </c>
      <c r="D2798" t="s">
        <v>2684</v>
      </c>
      <c r="E2798">
        <v>1</v>
      </c>
    </row>
    <row r="2799" spans="1:5" x14ac:dyDescent="0.25">
      <c r="A2799" t="s">
        <v>89</v>
      </c>
      <c r="B2799" t="s">
        <v>2695</v>
      </c>
      <c r="C2799" t="s">
        <v>2747</v>
      </c>
      <c r="D2799" t="s">
        <v>2687</v>
      </c>
      <c r="E2799">
        <v>8</v>
      </c>
    </row>
    <row r="2800" spans="1:5" x14ac:dyDescent="0.25">
      <c r="A2800" t="s">
        <v>89</v>
      </c>
      <c r="B2800" t="s">
        <v>2695</v>
      </c>
      <c r="C2800" t="s">
        <v>2747</v>
      </c>
      <c r="D2800" t="s">
        <v>2688</v>
      </c>
      <c r="E2800">
        <v>12</v>
      </c>
    </row>
    <row r="2801" spans="1:5" x14ac:dyDescent="0.25">
      <c r="A2801" t="s">
        <v>89</v>
      </c>
      <c r="B2801" t="s">
        <v>2695</v>
      </c>
      <c r="C2801" t="s">
        <v>2466</v>
      </c>
      <c r="D2801" t="s">
        <v>2677</v>
      </c>
      <c r="E2801">
        <v>14</v>
      </c>
    </row>
    <row r="2802" spans="1:5" x14ac:dyDescent="0.25">
      <c r="A2802" t="s">
        <v>89</v>
      </c>
      <c r="B2802" t="s">
        <v>2695</v>
      </c>
      <c r="C2802" t="s">
        <v>2466</v>
      </c>
      <c r="D2802" t="s">
        <v>2678</v>
      </c>
      <c r="E2802">
        <v>20</v>
      </c>
    </row>
    <row r="2803" spans="1:5" x14ac:dyDescent="0.25">
      <c r="A2803" t="s">
        <v>89</v>
      </c>
      <c r="B2803" t="s">
        <v>2695</v>
      </c>
      <c r="C2803" t="s">
        <v>2466</v>
      </c>
      <c r="D2803" t="s">
        <v>2679</v>
      </c>
      <c r="E2803">
        <v>26</v>
      </c>
    </row>
    <row r="2804" spans="1:5" x14ac:dyDescent="0.25">
      <c r="A2804" t="s">
        <v>89</v>
      </c>
      <c r="B2804" t="s">
        <v>2695</v>
      </c>
      <c r="C2804" t="s">
        <v>2466</v>
      </c>
      <c r="D2804" t="s">
        <v>2680</v>
      </c>
      <c r="E2804">
        <v>26</v>
      </c>
    </row>
    <row r="2805" spans="1:5" x14ac:dyDescent="0.25">
      <c r="A2805" t="s">
        <v>89</v>
      </c>
      <c r="B2805" t="s">
        <v>2695</v>
      </c>
      <c r="C2805" t="s">
        <v>2661</v>
      </c>
      <c r="D2805" t="s">
        <v>2677</v>
      </c>
      <c r="E2805">
        <v>1</v>
      </c>
    </row>
    <row r="2806" spans="1:5" x14ac:dyDescent="0.25">
      <c r="A2806" t="s">
        <v>89</v>
      </c>
      <c r="B2806" t="s">
        <v>2695</v>
      </c>
      <c r="C2806" t="s">
        <v>2661</v>
      </c>
      <c r="D2806" t="s">
        <v>2678</v>
      </c>
      <c r="E2806">
        <v>4</v>
      </c>
    </row>
    <row r="2807" spans="1:5" x14ac:dyDescent="0.25">
      <c r="A2807" t="s">
        <v>89</v>
      </c>
      <c r="B2807" t="s">
        <v>2695</v>
      </c>
      <c r="C2807" t="s">
        <v>2661</v>
      </c>
      <c r="D2807" t="s">
        <v>2679</v>
      </c>
      <c r="E2807">
        <v>3</v>
      </c>
    </row>
    <row r="2808" spans="1:5" x14ac:dyDescent="0.25">
      <c r="A2808" t="s">
        <v>89</v>
      </c>
      <c r="B2808" t="s">
        <v>2505</v>
      </c>
      <c r="C2808" t="s">
        <v>2466</v>
      </c>
      <c r="D2808" t="s">
        <v>2677</v>
      </c>
      <c r="E2808">
        <v>120</v>
      </c>
    </row>
    <row r="2809" spans="1:5" x14ac:dyDescent="0.25">
      <c r="A2809" t="s">
        <v>89</v>
      </c>
      <c r="B2809" t="s">
        <v>2505</v>
      </c>
      <c r="C2809" t="s">
        <v>2466</v>
      </c>
      <c r="D2809" t="s">
        <v>2678</v>
      </c>
      <c r="E2809">
        <v>207</v>
      </c>
    </row>
    <row r="2810" spans="1:5" x14ac:dyDescent="0.25">
      <c r="A2810" t="s">
        <v>89</v>
      </c>
      <c r="B2810" t="s">
        <v>2505</v>
      </c>
      <c r="C2810" t="s">
        <v>2466</v>
      </c>
      <c r="D2810" t="s">
        <v>2679</v>
      </c>
      <c r="E2810">
        <v>172</v>
      </c>
    </row>
    <row r="2811" spans="1:5" x14ac:dyDescent="0.25">
      <c r="A2811" t="s">
        <v>89</v>
      </c>
      <c r="B2811" t="s">
        <v>2505</v>
      </c>
      <c r="C2811" t="s">
        <v>2466</v>
      </c>
      <c r="D2811" t="s">
        <v>2680</v>
      </c>
      <c r="E2811">
        <v>153</v>
      </c>
    </row>
    <row r="2812" spans="1:5" x14ac:dyDescent="0.25">
      <c r="A2812" t="s">
        <v>89</v>
      </c>
      <c r="B2812" t="s">
        <v>2505</v>
      </c>
      <c r="C2812" t="s">
        <v>2466</v>
      </c>
      <c r="D2812" t="s">
        <v>2681</v>
      </c>
      <c r="E2812">
        <v>150</v>
      </c>
    </row>
    <row r="2813" spans="1:5" x14ac:dyDescent="0.25">
      <c r="A2813" t="s">
        <v>89</v>
      </c>
      <c r="B2813" t="s">
        <v>2505</v>
      </c>
      <c r="C2813" t="s">
        <v>2466</v>
      </c>
      <c r="D2813" t="s">
        <v>2682</v>
      </c>
      <c r="E2813">
        <v>120</v>
      </c>
    </row>
    <row r="2814" spans="1:5" x14ac:dyDescent="0.25">
      <c r="A2814" t="s">
        <v>89</v>
      </c>
      <c r="B2814" t="s">
        <v>2505</v>
      </c>
      <c r="C2814" t="s">
        <v>2466</v>
      </c>
      <c r="D2814" t="s">
        <v>2683</v>
      </c>
      <c r="E2814">
        <v>91</v>
      </c>
    </row>
    <row r="2815" spans="1:5" x14ac:dyDescent="0.25">
      <c r="A2815" t="s">
        <v>89</v>
      </c>
      <c r="B2815" t="s">
        <v>2505</v>
      </c>
      <c r="C2815" t="s">
        <v>2466</v>
      </c>
      <c r="D2815" t="s">
        <v>2684</v>
      </c>
      <c r="E2815">
        <v>114</v>
      </c>
    </row>
    <row r="2816" spans="1:5" x14ac:dyDescent="0.25">
      <c r="A2816" t="s">
        <v>89</v>
      </c>
      <c r="B2816" t="s">
        <v>2505</v>
      </c>
      <c r="C2816" t="s">
        <v>2466</v>
      </c>
      <c r="D2816" t="s">
        <v>2685</v>
      </c>
      <c r="E2816">
        <v>114</v>
      </c>
    </row>
    <row r="2817" spans="1:5" x14ac:dyDescent="0.25">
      <c r="A2817" t="s">
        <v>89</v>
      </c>
      <c r="B2817" t="s">
        <v>2505</v>
      </c>
      <c r="C2817" t="s">
        <v>2466</v>
      </c>
      <c r="D2817" t="s">
        <v>2686</v>
      </c>
      <c r="E2817">
        <v>111</v>
      </c>
    </row>
    <row r="2818" spans="1:5" x14ac:dyDescent="0.25">
      <c r="A2818" t="s">
        <v>89</v>
      </c>
      <c r="B2818" t="s">
        <v>2505</v>
      </c>
      <c r="C2818" t="s">
        <v>2466</v>
      </c>
      <c r="D2818" t="s">
        <v>2687</v>
      </c>
      <c r="E2818">
        <v>120</v>
      </c>
    </row>
    <row r="2819" spans="1:5" x14ac:dyDescent="0.25">
      <c r="A2819" t="s">
        <v>89</v>
      </c>
      <c r="B2819" t="s">
        <v>2505</v>
      </c>
      <c r="C2819" t="s">
        <v>2466</v>
      </c>
      <c r="D2819" t="s">
        <v>2688</v>
      </c>
      <c r="E2819">
        <v>107</v>
      </c>
    </row>
    <row r="2820" spans="1:5" x14ac:dyDescent="0.25">
      <c r="A2820" t="s">
        <v>89</v>
      </c>
      <c r="B2820" t="s">
        <v>2505</v>
      </c>
      <c r="C2820" t="s">
        <v>2466</v>
      </c>
      <c r="D2820" t="s">
        <v>2689</v>
      </c>
      <c r="E2820">
        <v>115</v>
      </c>
    </row>
    <row r="2821" spans="1:5" x14ac:dyDescent="0.25">
      <c r="A2821" t="s">
        <v>89</v>
      </c>
      <c r="B2821" t="s">
        <v>2505</v>
      </c>
      <c r="C2821" t="s">
        <v>2466</v>
      </c>
      <c r="D2821" t="s">
        <v>2690</v>
      </c>
      <c r="E2821">
        <v>122</v>
      </c>
    </row>
    <row r="2822" spans="1:5" x14ac:dyDescent="0.25">
      <c r="A2822" t="s">
        <v>89</v>
      </c>
      <c r="B2822" t="s">
        <v>2698</v>
      </c>
      <c r="C2822" t="s">
        <v>2748</v>
      </c>
      <c r="D2822" t="s">
        <v>2677</v>
      </c>
      <c r="E2822">
        <v>6</v>
      </c>
    </row>
    <row r="2823" spans="1:5" x14ac:dyDescent="0.25">
      <c r="A2823" t="s">
        <v>89</v>
      </c>
      <c r="B2823" t="s">
        <v>2698</v>
      </c>
      <c r="C2823" t="s">
        <v>2748</v>
      </c>
      <c r="D2823" t="s">
        <v>2678</v>
      </c>
      <c r="E2823">
        <v>4</v>
      </c>
    </row>
  </sheetData>
  <pageMargins left="0.7" right="0.7" top="0.75" bottom="0.75" header="0.3" footer="0.3"/>
  <pageSetup scale="11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68"/>
  <sheetViews>
    <sheetView workbookViewId="0">
      <pane xSplit="1" ySplit="1" topLeftCell="BE26" activePane="bottomRight" state="frozen"/>
      <selection pane="topRight" activeCell="B39" sqref="B39"/>
      <selection pane="bottomLeft" activeCell="B39" sqref="B39"/>
      <selection pane="bottomRight" activeCell="BI49" sqref="BI49"/>
    </sheetView>
  </sheetViews>
  <sheetFormatPr defaultColWidth="9.140625" defaultRowHeight="15" x14ac:dyDescent="0.25"/>
  <cols>
    <col min="1" max="1" width="35.42578125" style="5" bestFit="1" customWidth="1"/>
    <col min="2" max="2" width="2.28515625" style="5" customWidth="1"/>
    <col min="3" max="5" width="15" style="5" bestFit="1" customWidth="1"/>
    <col min="6" max="6" width="11.42578125" style="5" bestFit="1" customWidth="1"/>
    <col min="7" max="7" width="10.28515625" style="5" bestFit="1" customWidth="1"/>
    <col min="8" max="8" width="1.5703125" style="161" customWidth="1"/>
    <col min="9" max="11" width="15" style="5" bestFit="1" customWidth="1"/>
    <col min="12" max="12" width="11.42578125" style="5" bestFit="1" customWidth="1"/>
    <col min="13" max="13" width="10.28515625" style="5" bestFit="1" customWidth="1"/>
    <col min="14" max="14" width="1.7109375" style="5" customWidth="1"/>
    <col min="15" max="17" width="15" style="5" bestFit="1" customWidth="1"/>
    <col min="18" max="18" width="11.42578125" style="5" bestFit="1" customWidth="1"/>
    <col min="19" max="19" width="9.85546875" style="5" bestFit="1" customWidth="1"/>
    <col min="20" max="20" width="1.7109375" style="5" customWidth="1"/>
    <col min="21" max="21" width="15" style="5" bestFit="1" customWidth="1"/>
    <col min="22" max="22" width="13.140625" style="5" bestFit="1" customWidth="1"/>
    <col min="23" max="23" width="9.7109375" style="5" bestFit="1" customWidth="1"/>
    <col min="24" max="24" width="11.42578125" style="5" bestFit="1" customWidth="1"/>
    <col min="25" max="25" width="9.85546875" style="5" bestFit="1" customWidth="1"/>
    <col min="26" max="26" width="1.7109375" style="5" customWidth="1"/>
    <col min="27" max="27" width="10.5703125" style="5" bestFit="1" customWidth="1"/>
    <col min="28" max="28" width="13.140625" style="5" bestFit="1" customWidth="1"/>
    <col min="29" max="29" width="9.7109375" style="5" bestFit="1" customWidth="1"/>
    <col min="30" max="30" width="11.42578125" style="5" bestFit="1" customWidth="1"/>
    <col min="31" max="31" width="9.85546875" style="5" bestFit="1" customWidth="1"/>
    <col min="32" max="32" width="1.7109375" style="5" customWidth="1"/>
    <col min="33" max="33" width="10.5703125" style="5" bestFit="1" customWidth="1"/>
    <col min="34" max="34" width="13.140625" style="5" bestFit="1" customWidth="1"/>
    <col min="35" max="35" width="9.7109375" style="5" bestFit="1" customWidth="1"/>
    <col min="36" max="36" width="11.42578125" style="5" bestFit="1" customWidth="1"/>
    <col min="37" max="37" width="9.85546875" style="5" bestFit="1" customWidth="1"/>
    <col min="38" max="38" width="1.7109375" style="5" customWidth="1"/>
    <col min="39" max="39" width="10.5703125" style="5" bestFit="1" customWidth="1"/>
    <col min="40" max="40" width="13.140625" style="5" bestFit="1" customWidth="1"/>
    <col min="41" max="41" width="9.7109375" style="5" bestFit="1" customWidth="1"/>
    <col min="42" max="42" width="15" style="5" bestFit="1" customWidth="1"/>
    <col min="43" max="43" width="9.85546875" style="5" bestFit="1" customWidth="1"/>
    <col min="44" max="44" width="1.7109375" style="5" customWidth="1"/>
    <col min="45" max="45" width="10.5703125" style="5" bestFit="1" customWidth="1"/>
    <col min="46" max="46" width="13.140625" style="5" bestFit="1" customWidth="1"/>
    <col min="47" max="47" width="9.7109375" style="5" bestFit="1" customWidth="1"/>
    <col min="48" max="48" width="11.42578125" style="5" bestFit="1" customWidth="1"/>
    <col min="49" max="49" width="9.85546875" style="5" bestFit="1" customWidth="1"/>
    <col min="50" max="50" width="1.7109375" style="5" customWidth="1"/>
    <col min="51" max="51" width="10.5703125" style="5" bestFit="1" customWidth="1"/>
    <col min="52" max="52" width="13.140625" style="5" bestFit="1" customWidth="1"/>
    <col min="53" max="53" width="9.7109375" style="5" bestFit="1" customWidth="1"/>
    <col min="54" max="54" width="11.42578125" style="5" bestFit="1" customWidth="1"/>
    <col min="55" max="55" width="9.85546875" style="5" bestFit="1" customWidth="1"/>
    <col min="56" max="56" width="1.7109375" style="5" customWidth="1"/>
    <col min="57" max="57" width="10.5703125" style="5" bestFit="1" customWidth="1"/>
    <col min="58" max="58" width="13.140625" style="5" bestFit="1" customWidth="1"/>
    <col min="59" max="59" width="9" style="5" bestFit="1" customWidth="1"/>
    <col min="60" max="60" width="11.42578125" style="5" bestFit="1" customWidth="1"/>
    <col min="61" max="61" width="12.5703125" style="5" bestFit="1" customWidth="1"/>
    <col min="62" max="62" width="1.7109375" style="5" customWidth="1"/>
    <col min="63" max="63" width="10.5703125" style="18" bestFit="1" customWidth="1"/>
    <col min="64" max="64" width="15.28515625" style="5" bestFit="1" customWidth="1"/>
    <col min="65" max="65" width="9.7109375" style="5" bestFit="1" customWidth="1"/>
    <col min="66" max="66" width="11.42578125" style="5" bestFit="1" customWidth="1"/>
    <col min="67" max="67" width="13.28515625" style="5" bestFit="1" customWidth="1"/>
    <col min="68" max="68" width="1.7109375" style="5" customWidth="1"/>
    <col min="69" max="69" width="10.5703125" style="18" bestFit="1" customWidth="1"/>
    <col min="70" max="70" width="15.28515625" style="5" bestFit="1" customWidth="1"/>
    <col min="71" max="71" width="9.7109375" style="5" bestFit="1" customWidth="1"/>
    <col min="72" max="72" width="11.42578125" style="5" bestFit="1" customWidth="1"/>
    <col min="73" max="73" width="13.28515625" style="5" bestFit="1" customWidth="1"/>
    <col min="74" max="74" width="2.5703125" style="5" customWidth="1"/>
    <col min="75" max="75" width="14.140625" style="18" bestFit="1" customWidth="1"/>
    <col min="76" max="76" width="17.28515625" style="5" bestFit="1" customWidth="1"/>
    <col min="77" max="77" width="9.7109375" style="5" bestFit="1" customWidth="1"/>
    <col min="78" max="78" width="11.42578125" style="5" bestFit="1" customWidth="1"/>
    <col min="79" max="79" width="13.28515625" style="5" bestFit="1" customWidth="1"/>
    <col min="80" max="80" width="2" style="5" customWidth="1"/>
    <col min="81" max="81" width="14.140625" style="18" bestFit="1" customWidth="1"/>
    <col min="82" max="82" width="17.28515625" style="18" bestFit="1" customWidth="1"/>
    <col min="83" max="83" width="9.7109375" style="18" bestFit="1" customWidth="1"/>
    <col min="84" max="84" width="11.42578125" style="18" bestFit="1" customWidth="1"/>
    <col min="85" max="85" width="13.28515625" style="18" bestFit="1" customWidth="1"/>
    <col min="86" max="86" width="3.140625" style="18" customWidth="1"/>
    <col min="87" max="87" width="14.140625" style="18" bestFit="1" customWidth="1"/>
    <col min="88" max="88" width="17.28515625" style="18" bestFit="1" customWidth="1"/>
    <col min="89" max="89" width="9.7109375" style="18" bestFit="1" customWidth="1"/>
    <col min="90" max="90" width="11.42578125" style="18" bestFit="1" customWidth="1"/>
    <col min="91" max="91" width="13.28515625" style="18" bestFit="1" customWidth="1"/>
    <col min="92" max="92" width="3.5703125" style="5" customWidth="1"/>
    <col min="93" max="93" width="14.140625" style="18" bestFit="1" customWidth="1"/>
    <col min="94" max="94" width="17.28515625" style="5" bestFit="1" customWidth="1"/>
    <col min="95" max="95" width="9.7109375" style="5" bestFit="1" customWidth="1"/>
    <col min="96" max="96" width="11.42578125" style="5" bestFit="1" customWidth="1"/>
    <col min="97" max="97" width="13.28515625" style="5" bestFit="1" customWidth="1"/>
    <col min="98" max="16384" width="9.140625" style="5"/>
  </cols>
  <sheetData>
    <row r="1" spans="1:97" s="30" customFormat="1" x14ac:dyDescent="0.25">
      <c r="C1" s="28" t="s">
        <v>2749</v>
      </c>
      <c r="D1" s="28" t="s">
        <v>2750</v>
      </c>
      <c r="E1" s="44" t="s">
        <v>2751</v>
      </c>
      <c r="F1" s="30" t="s">
        <v>64</v>
      </c>
      <c r="G1" s="54" t="s">
        <v>2752</v>
      </c>
      <c r="H1" s="162"/>
      <c r="I1" s="28" t="s">
        <v>2753</v>
      </c>
      <c r="J1" s="28" t="s">
        <v>2754</v>
      </c>
      <c r="K1" s="44" t="s">
        <v>2755</v>
      </c>
      <c r="L1" s="30" t="s">
        <v>64</v>
      </c>
      <c r="M1" s="54" t="s">
        <v>2756</v>
      </c>
      <c r="O1" s="28" t="s">
        <v>2757</v>
      </c>
      <c r="P1" s="28" t="s">
        <v>2758</v>
      </c>
      <c r="Q1" s="44" t="s">
        <v>2759</v>
      </c>
      <c r="R1" s="30" t="s">
        <v>64</v>
      </c>
      <c r="S1" s="54" t="s">
        <v>2760</v>
      </c>
      <c r="U1" s="28" t="s">
        <v>2761</v>
      </c>
      <c r="V1" s="28" t="s">
        <v>2762</v>
      </c>
      <c r="W1" s="44" t="s">
        <v>2763</v>
      </c>
      <c r="X1" s="30" t="s">
        <v>64</v>
      </c>
      <c r="Y1" s="54" t="s">
        <v>2764</v>
      </c>
      <c r="AA1" s="28" t="s">
        <v>2765</v>
      </c>
      <c r="AB1" s="28" t="s">
        <v>2766</v>
      </c>
      <c r="AC1" s="44" t="s">
        <v>2767</v>
      </c>
      <c r="AD1" s="30" t="s">
        <v>64</v>
      </c>
      <c r="AE1" s="54" t="s">
        <v>2768</v>
      </c>
      <c r="AG1" s="28" t="s">
        <v>2769</v>
      </c>
      <c r="AH1" s="28" t="s">
        <v>2770</v>
      </c>
      <c r="AI1" s="44" t="s">
        <v>2771</v>
      </c>
      <c r="AJ1" s="30" t="s">
        <v>64</v>
      </c>
      <c r="AK1" s="54" t="s">
        <v>2772</v>
      </c>
      <c r="AM1" s="28" t="s">
        <v>2773</v>
      </c>
      <c r="AN1" s="28" t="s">
        <v>2774</v>
      </c>
      <c r="AO1" s="44" t="s">
        <v>2775</v>
      </c>
      <c r="AP1" s="30" t="s">
        <v>64</v>
      </c>
      <c r="AQ1" s="54" t="s">
        <v>2776</v>
      </c>
      <c r="AS1" s="28" t="s">
        <v>2777</v>
      </c>
      <c r="AT1" s="28" t="s">
        <v>2778</v>
      </c>
      <c r="AU1" s="44" t="s">
        <v>2779</v>
      </c>
      <c r="AV1" s="30" t="s">
        <v>64</v>
      </c>
      <c r="AW1" s="54" t="s">
        <v>2780</v>
      </c>
      <c r="AY1" s="28" t="s">
        <v>2781</v>
      </c>
      <c r="AZ1" s="28" t="s">
        <v>2782</v>
      </c>
      <c r="BA1" s="44" t="s">
        <v>2783</v>
      </c>
      <c r="BB1" s="30" t="s">
        <v>64</v>
      </c>
      <c r="BC1" s="54" t="s">
        <v>2784</v>
      </c>
      <c r="BE1" s="28" t="s">
        <v>2785</v>
      </c>
      <c r="BF1" s="28" t="s">
        <v>2786</v>
      </c>
      <c r="BG1" s="44" t="s">
        <v>2787</v>
      </c>
      <c r="BH1" s="30" t="s">
        <v>64</v>
      </c>
      <c r="BI1" s="54" t="s">
        <v>2788</v>
      </c>
      <c r="BK1" s="55" t="s">
        <v>2789</v>
      </c>
      <c r="BL1" s="44" t="s">
        <v>2790</v>
      </c>
      <c r="BM1" s="44" t="s">
        <v>2791</v>
      </c>
      <c r="BN1" s="30" t="s">
        <v>64</v>
      </c>
      <c r="BO1" s="54" t="s">
        <v>2792</v>
      </c>
      <c r="BQ1" s="184" t="s">
        <v>2793</v>
      </c>
      <c r="BR1" s="44" t="s">
        <v>2794</v>
      </c>
      <c r="BS1" s="44" t="s">
        <v>2795</v>
      </c>
      <c r="BT1" s="30" t="s">
        <v>64</v>
      </c>
      <c r="BU1" s="54" t="s">
        <v>2796</v>
      </c>
      <c r="BW1" s="184" t="s">
        <v>2797</v>
      </c>
      <c r="BX1" s="44" t="s">
        <v>2798</v>
      </c>
      <c r="BY1" s="44" t="s">
        <v>2799</v>
      </c>
      <c r="BZ1" s="30" t="s">
        <v>64</v>
      </c>
      <c r="CA1" s="54" t="s">
        <v>2799</v>
      </c>
      <c r="CC1" s="184" t="s">
        <v>2800</v>
      </c>
      <c r="CD1" s="184" t="s">
        <v>2801</v>
      </c>
      <c r="CE1" s="184" t="s">
        <v>2802</v>
      </c>
      <c r="CF1" s="101" t="s">
        <v>64</v>
      </c>
      <c r="CG1" s="282" t="s">
        <v>2802</v>
      </c>
      <c r="CH1" s="101"/>
      <c r="CI1" s="184" t="s">
        <v>2803</v>
      </c>
      <c r="CJ1" s="184" t="s">
        <v>2804</v>
      </c>
      <c r="CK1" s="184" t="s">
        <v>2805</v>
      </c>
      <c r="CL1" s="101" t="s">
        <v>64</v>
      </c>
      <c r="CM1" s="282" t="s">
        <v>2806</v>
      </c>
      <c r="CO1" s="184" t="s">
        <v>2807</v>
      </c>
      <c r="CP1" s="44" t="s">
        <v>2808</v>
      </c>
      <c r="CQ1" s="44" t="s">
        <v>2809</v>
      </c>
      <c r="CR1" s="30" t="s">
        <v>64</v>
      </c>
      <c r="CS1" s="54" t="s">
        <v>2810</v>
      </c>
    </row>
    <row r="2" spans="1:97" x14ac:dyDescent="0.25">
      <c r="A2" s="5" t="s">
        <v>434</v>
      </c>
      <c r="C2" s="5">
        <v>12173</v>
      </c>
      <c r="D2" s="5">
        <v>12802</v>
      </c>
      <c r="E2" s="5">
        <f t="shared" ref="E2:E9" si="0">SUM(C2:D2)</f>
        <v>24975</v>
      </c>
      <c r="F2" s="5">
        <f t="shared" ref="F2:F9" si="1">(+E2/E$11)*E$27</f>
        <v>1442.9881278097689</v>
      </c>
      <c r="G2" s="5">
        <f t="shared" ref="G2:G9" si="2">SUM(E2:F2)</f>
        <v>26417.988127809767</v>
      </c>
      <c r="I2" s="5">
        <f>+'State SCH'!F2</f>
        <v>13337</v>
      </c>
      <c r="J2" s="5">
        <f>+'State SCH'!G2</f>
        <v>12841</v>
      </c>
      <c r="K2" s="5">
        <f t="shared" ref="K2:K9" si="3">SUM(I2:J2)</f>
        <v>26178</v>
      </c>
      <c r="L2" s="5">
        <f>+K2/$K$11*($K$27-$L$13)</f>
        <v>367.1398643816724</v>
      </c>
      <c r="M2" s="5">
        <f t="shared" ref="M2:M9" si="4">SUM(K2:L2)</f>
        <v>26545.139864381672</v>
      </c>
      <c r="O2" s="5">
        <f>+'State SCH'!H2</f>
        <v>13145</v>
      </c>
      <c r="P2" s="5">
        <f>+'State SCH'!I2</f>
        <v>13211</v>
      </c>
      <c r="Q2" s="5">
        <f t="shared" ref="Q2:Q9" si="5">SUM(O2:P2)</f>
        <v>26356</v>
      </c>
      <c r="R2" s="5">
        <f>+Q2/$Q$11*($Q$27-$R$13)</f>
        <v>298.3229864839239</v>
      </c>
      <c r="S2" s="5">
        <f t="shared" ref="S2:S9" si="6">SUM(Q2:R2)</f>
        <v>26654.322986483923</v>
      </c>
      <c r="U2" s="5">
        <f>+'State SCH'!J2</f>
        <v>13026</v>
      </c>
      <c r="V2" s="5">
        <f>+'State SCH'!K2</f>
        <v>12450</v>
      </c>
      <c r="W2" s="5">
        <f t="shared" ref="W2:W9" si="7">SUM(U2:V2)</f>
        <v>25476</v>
      </c>
      <c r="X2" s="5">
        <f>+W2/$W$11*($W$27-$X$13)</f>
        <v>619.26734118682486</v>
      </c>
      <c r="Y2" s="5">
        <f t="shared" ref="Y2:Y9" si="8">SUM(W2:X2)</f>
        <v>26095.267341186824</v>
      </c>
      <c r="AA2" s="5">
        <f>+'State SCH'!L2</f>
        <v>11927</v>
      </c>
      <c r="AB2" s="5">
        <f>+'State SCH'!M2</f>
        <v>12256</v>
      </c>
      <c r="AC2" s="5">
        <f t="shared" ref="AC2:AC9" si="9">SUM(AA2:AB2)</f>
        <v>24183</v>
      </c>
      <c r="AD2" s="5">
        <f>+AC2/$AC$11*($AC$27-$AD$13)</f>
        <v>1188.8151224067774</v>
      </c>
      <c r="AE2" s="5">
        <f t="shared" ref="AE2:AE9" si="10">SUM(AC2:AD2)</f>
        <v>25371.815122406777</v>
      </c>
      <c r="AG2" s="5">
        <f>+'State SCH'!N2</f>
        <v>11935.596666666666</v>
      </c>
      <c r="AH2" s="5">
        <f>+'State SCH'!O2</f>
        <v>13090.546666666667</v>
      </c>
      <c r="AI2" s="5">
        <f t="shared" ref="AI2:AI9" si="11">SUM(AG2:AH2)</f>
        <v>25026.143333333333</v>
      </c>
      <c r="AJ2" s="5">
        <f>+AI2/$AI$11*($AI$27-$AJ$13)</f>
        <v>2115.5362186910515</v>
      </c>
      <c r="AK2" s="5">
        <f t="shared" ref="AK2:AK9" si="12">SUM(AI2:AJ2)</f>
        <v>27141.679552024383</v>
      </c>
      <c r="AM2" s="5">
        <f>+'State SCH'!P2</f>
        <v>13076.249523809523</v>
      </c>
      <c r="AN2" s="5">
        <f>+'State SCH'!Q2</f>
        <v>13094.568433333336</v>
      </c>
      <c r="AO2" s="5">
        <f t="shared" ref="AO2:AO9" si="13">SUM(AM2:AN2)</f>
        <v>26170.817957142859</v>
      </c>
      <c r="AP2" s="5">
        <f>+AO2/$AO$11*($AO$27-$AP$13)</f>
        <v>2020.9048457996594</v>
      </c>
      <c r="AQ2" s="5">
        <f t="shared" ref="AQ2:AQ9" si="14">SUM(AO2:AP2)</f>
        <v>28191.722802942517</v>
      </c>
      <c r="AS2" s="5">
        <f>+'State SCH'!R2</f>
        <v>12849.320000000002</v>
      </c>
      <c r="AT2" s="5">
        <f>+'State SCH'!S2</f>
        <v>11905.164173765248</v>
      </c>
      <c r="AU2" s="5">
        <f t="shared" ref="AU2:AU9" si="15">SUM(AS2:AT2)</f>
        <v>24754.48417376525</v>
      </c>
      <c r="AV2" s="5">
        <f>+AU2/$AU$11*($AU$27-$AV$13)</f>
        <v>2212.854540687988</v>
      </c>
      <c r="AW2" s="5">
        <f t="shared" ref="AW2:AW9" si="16">SUM(AU2:AV2)</f>
        <v>26967.338714453239</v>
      </c>
      <c r="AY2" s="5">
        <f>+'State SCH'!T2</f>
        <v>12274.870099999996</v>
      </c>
      <c r="AZ2" s="5">
        <f>+'State SCH'!U2</f>
        <v>11885.305833333332</v>
      </c>
      <c r="BA2" s="5">
        <f t="shared" ref="BA2:BA9" si="17">SUM(AY2:AZ2)</f>
        <v>24160.175933333328</v>
      </c>
      <c r="BB2" s="5">
        <f>+BA2/$BA$11*($BA$27-$BB$13)</f>
        <v>1623.6428608612259</v>
      </c>
      <c r="BC2" s="5">
        <f t="shared" ref="BC2:BC9" si="18">SUM(BA2:BB2)</f>
        <v>25783.818794194554</v>
      </c>
      <c r="BE2" s="5">
        <f>+'State SCH'!V2</f>
        <v>11396.122833333335</v>
      </c>
      <c r="BF2" s="5">
        <f>+'State SCH'!W2</f>
        <v>10295.499600000001</v>
      </c>
      <c r="BG2" s="5">
        <f t="shared" ref="BG2:BG9" si="19">SUM(BE2:BF2)</f>
        <v>21691.622433333338</v>
      </c>
      <c r="BH2" s="5">
        <f>+BG2/$BG$11*($BG$27-$BH$13)</f>
        <v>2362.8762727265325</v>
      </c>
      <c r="BI2" s="5">
        <f t="shared" ref="BI2:BI9" si="20">SUM(BG2:BH2)</f>
        <v>24054.498706059869</v>
      </c>
      <c r="BK2" s="18">
        <f>+'State SCH'!X2</f>
        <v>6269.8315254237286</v>
      </c>
      <c r="BL2" s="18">
        <f>+'State SCH'!Y2</f>
        <v>5968.7006666666657</v>
      </c>
      <c r="BM2" s="5">
        <f t="shared" ref="BM2:BM9" si="21">SUM(BK2:BL2)</f>
        <v>12238.532192090395</v>
      </c>
      <c r="BN2" s="5">
        <f>(+BM2/BM$11)*(BM$27-BN13)</f>
        <v>1402.7407902905147</v>
      </c>
      <c r="BO2" s="5">
        <f t="shared" ref="BO2:BO9" si="22">SUM(BM2:BN2)</f>
        <v>13641.27298238091</v>
      </c>
      <c r="BQ2" s="18">
        <f>+'State SCH'!Z2</f>
        <v>5758.7400000000007</v>
      </c>
      <c r="BR2" s="18">
        <f>+'State SCH'!AA2</f>
        <v>5408.7499333333335</v>
      </c>
      <c r="BS2" s="5">
        <f t="shared" ref="BS2:BS9" si="23">SUM(BQ2:BR2)</f>
        <v>11167.489933333334</v>
      </c>
      <c r="BT2" s="5">
        <f>(+BS2/BS$11)*(BS$27-$BT$13)</f>
        <v>1288.6943470353051</v>
      </c>
      <c r="BU2" s="5">
        <f t="shared" ref="BU2:BU9" si="24">SUM(BS2:BT2)</f>
        <v>12456.18428036864</v>
      </c>
      <c r="BW2" s="71">
        <f>+'State SCH'!AB2</f>
        <v>5356</v>
      </c>
      <c r="BX2" s="71">
        <f>+'State SCH'!AC2</f>
        <v>4561</v>
      </c>
      <c r="BY2" s="5">
        <f t="shared" ref="BY2:BY9" si="25">SUM(BW2:BX2)</f>
        <v>9917</v>
      </c>
      <c r="BZ2" s="5">
        <f t="shared" ref="BZ2:BZ9" si="26">BY2/$BY$11*$BY$27</f>
        <v>594.73812339303731</v>
      </c>
      <c r="CA2" s="5">
        <f t="shared" ref="CA2:CA9" si="27">SUM(BY2:BZ2)</f>
        <v>10511.738123393037</v>
      </c>
      <c r="CC2" s="71">
        <f>+'State SCH'!AD2</f>
        <v>4613</v>
      </c>
      <c r="CD2" s="71">
        <f>+'State SCH'!AE2</f>
        <v>4561</v>
      </c>
      <c r="CE2" s="18">
        <f t="shared" ref="CE2:CE9" si="28">SUM(CC2:CD2)</f>
        <v>9174</v>
      </c>
      <c r="CG2" s="18">
        <f t="shared" ref="CG2:CG10" si="29">SUM(CE2:CF2)</f>
        <v>9174</v>
      </c>
      <c r="CI2" s="71">
        <f>+'State SCH'!AF2</f>
        <v>4529</v>
      </c>
      <c r="CJ2" s="71">
        <f>+'State SCH'!AG2</f>
        <v>4319</v>
      </c>
      <c r="CK2" s="18">
        <f t="shared" ref="CK2:CK9" si="30">SUM(CI2:CJ2)</f>
        <v>8848</v>
      </c>
      <c r="CM2" s="18">
        <f t="shared" ref="CM2:CM10" si="31">SUM(CK2:CL2)</f>
        <v>8848</v>
      </c>
      <c r="CO2" s="71">
        <f>+'State SCH'!AH2</f>
        <v>4566.3662974683539</v>
      </c>
      <c r="CP2" s="71">
        <f>+'State SCH'!AI2</f>
        <v>4354.6337025316452</v>
      </c>
      <c r="CQ2" s="5">
        <f t="shared" ref="CQ2:CQ9" si="32">SUM(CO2:CP2)</f>
        <v>8921</v>
      </c>
      <c r="CS2" s="5">
        <f t="shared" ref="CS2:CS10" si="33">SUM(CQ2:CR2)</f>
        <v>8921</v>
      </c>
    </row>
    <row r="3" spans="1:97" x14ac:dyDescent="0.25">
      <c r="A3" s="5" t="s">
        <v>436</v>
      </c>
      <c r="C3" s="5">
        <v>9808</v>
      </c>
      <c r="D3" s="5">
        <v>10023</v>
      </c>
      <c r="E3" s="5">
        <f t="shared" si="0"/>
        <v>19831</v>
      </c>
      <c r="F3" s="5">
        <f t="shared" si="1"/>
        <v>1145.7816841880092</v>
      </c>
      <c r="G3" s="5">
        <f t="shared" si="2"/>
        <v>20976.781684188009</v>
      </c>
      <c r="I3" s="5">
        <f>+'State SCH'!F3</f>
        <v>9834</v>
      </c>
      <c r="J3" s="5">
        <f>+'State SCH'!G3</f>
        <v>9911</v>
      </c>
      <c r="K3" s="5">
        <f t="shared" si="3"/>
        <v>19745</v>
      </c>
      <c r="L3" s="5">
        <f t="shared" ref="L3:L9" si="34">+K3/$K$11*($K$27-$L$13)</f>
        <v>276.91865773611892</v>
      </c>
      <c r="M3" s="5">
        <f t="shared" si="4"/>
        <v>20021.918657736118</v>
      </c>
      <c r="O3" s="5">
        <f>+'State SCH'!H3</f>
        <v>10164</v>
      </c>
      <c r="P3" s="5">
        <f>+'State SCH'!I3</f>
        <v>10004</v>
      </c>
      <c r="Q3" s="5">
        <f t="shared" si="5"/>
        <v>20168</v>
      </c>
      <c r="R3" s="5">
        <f t="shared" ref="R3:R9" si="35">+Q3/$Q$11*($Q$27-$R$13)</f>
        <v>228.28115007617913</v>
      </c>
      <c r="S3" s="5">
        <f t="shared" si="6"/>
        <v>20396.281150076178</v>
      </c>
      <c r="U3" s="5">
        <f>+'State SCH'!J3</f>
        <v>9687</v>
      </c>
      <c r="V3" s="5">
        <f>+'State SCH'!K3</f>
        <v>9668</v>
      </c>
      <c r="W3" s="5">
        <f t="shared" si="7"/>
        <v>19355</v>
      </c>
      <c r="X3" s="5">
        <f t="shared" ref="X3:X10" si="36">+W3/$W$11*($W$27-$X$13)</f>
        <v>470.47885808882853</v>
      </c>
      <c r="Y3" s="5">
        <f t="shared" si="8"/>
        <v>19825.478858088827</v>
      </c>
      <c r="AA3" s="5">
        <f>+'State SCH'!L3</f>
        <v>9572</v>
      </c>
      <c r="AB3" s="5">
        <f>+'State SCH'!M3</f>
        <v>9295</v>
      </c>
      <c r="AC3" s="5">
        <f t="shared" si="9"/>
        <v>18867</v>
      </c>
      <c r="AD3" s="5">
        <f t="shared" ref="AD3:AD9" si="37">+AC3/$AC$11*($AC$27-$AD$13)</f>
        <v>927.48521335023224</v>
      </c>
      <c r="AE3" s="5">
        <f t="shared" si="10"/>
        <v>19794.485213350232</v>
      </c>
      <c r="AG3" s="5">
        <f>+'State SCH'!N3</f>
        <v>9631.8596190476183</v>
      </c>
      <c r="AH3" s="5">
        <f>+'State SCH'!O3</f>
        <v>9929.6994904761923</v>
      </c>
      <c r="AI3" s="5">
        <f t="shared" si="11"/>
        <v>19561.559109523812</v>
      </c>
      <c r="AJ3" s="5">
        <f t="shared" ref="AJ3:AJ9" si="38">+AI3/$AI$11*($AI$27-$AJ$13)</f>
        <v>1653.5982488018265</v>
      </c>
      <c r="AK3" s="5">
        <f t="shared" si="12"/>
        <v>21215.15735832564</v>
      </c>
      <c r="AM3" s="5">
        <f>+'State SCH'!P3</f>
        <v>9654.4118714285723</v>
      </c>
      <c r="AN3" s="5">
        <f>+'State SCH'!Q3</f>
        <v>9444.9447657142828</v>
      </c>
      <c r="AO3" s="5">
        <f t="shared" si="13"/>
        <v>19099.356637142853</v>
      </c>
      <c r="AP3" s="5">
        <f t="shared" ref="AP3:AP9" si="39">+AO3/$AO$11*($AO$27-$AP$13)</f>
        <v>1474.8481473855977</v>
      </c>
      <c r="AQ3" s="5">
        <f t="shared" si="14"/>
        <v>20574.204784528451</v>
      </c>
      <c r="AS3" s="5">
        <f>+'State SCH'!R3</f>
        <v>9339.9145142857142</v>
      </c>
      <c r="AT3" s="5">
        <f>+'State SCH'!S3</f>
        <v>9335.0811787042567</v>
      </c>
      <c r="AU3" s="5">
        <f t="shared" si="15"/>
        <v>18674.995692989971</v>
      </c>
      <c r="AV3" s="5">
        <f t="shared" ref="AV3:AV9" si="40">+AU3/$AU$11*($AU$27-$AV$13)</f>
        <v>1669.3964910146535</v>
      </c>
      <c r="AW3" s="5">
        <f t="shared" si="16"/>
        <v>20344.392184004624</v>
      </c>
      <c r="AY3" s="5">
        <f>+'State SCH'!T3</f>
        <v>9413.6763952380952</v>
      </c>
      <c r="AZ3" s="5">
        <f>+'State SCH'!U3</f>
        <v>9337.6547142857144</v>
      </c>
      <c r="BA3" s="5">
        <f t="shared" si="17"/>
        <v>18751.33110952381</v>
      </c>
      <c r="BB3" s="5">
        <f t="shared" ref="BB3:BB9" si="41">+BA3/$BA$11*($BA$27-$BB$13)</f>
        <v>1260.150794085002</v>
      </c>
      <c r="BC3" s="5">
        <f t="shared" si="18"/>
        <v>20011.481903608812</v>
      </c>
      <c r="BE3" s="5">
        <f>+'State SCH'!V3</f>
        <v>9514.0382428571447</v>
      </c>
      <c r="BF3" s="5">
        <f>+'State SCH'!W3</f>
        <v>8997.7548285714292</v>
      </c>
      <c r="BG3" s="5">
        <f t="shared" si="19"/>
        <v>18511.793071428576</v>
      </c>
      <c r="BH3" s="5">
        <f t="shared" ref="BH3:BH10" si="42">+BG3/$BG$11*($BG$27-$BH$13)</f>
        <v>2016.4963108930685</v>
      </c>
      <c r="BI3" s="5">
        <f t="shared" si="20"/>
        <v>20528.289382321644</v>
      </c>
      <c r="BK3" s="18">
        <f>+'State SCH'!X3</f>
        <v>13101.477866004843</v>
      </c>
      <c r="BL3" s="18">
        <f>+'State SCH'!Y3</f>
        <v>12232.76933333333</v>
      </c>
      <c r="BM3" s="5">
        <f t="shared" si="21"/>
        <v>25334.247199338173</v>
      </c>
      <c r="BN3" s="5">
        <f t="shared" ref="BN3:BN10" si="43">(+BM3/BM$11)*(BM$27-BN14)</f>
        <v>2903.7290894068578</v>
      </c>
      <c r="BO3" s="5">
        <f t="shared" si="22"/>
        <v>28237.976288745031</v>
      </c>
      <c r="BQ3" s="18">
        <f>+'State SCH'!Z3</f>
        <v>13633.82273899439</v>
      </c>
      <c r="BR3" s="18">
        <f>+'State SCH'!AA3</f>
        <v>12404.241167654825</v>
      </c>
      <c r="BS3" s="5">
        <f t="shared" si="23"/>
        <v>26038.063906649215</v>
      </c>
      <c r="BT3" s="5">
        <f t="shared" ref="BT3:BT10" si="44">(+BS3/BS$11)*(BS$27-$BT$13)</f>
        <v>3004.7133209483127</v>
      </c>
      <c r="BU3" s="5">
        <f t="shared" si="24"/>
        <v>29042.777227597529</v>
      </c>
      <c r="BW3" s="71">
        <f>+'State SCH'!AB3</f>
        <v>13157</v>
      </c>
      <c r="BX3" s="71">
        <f>+'State SCH'!AC3</f>
        <v>12490</v>
      </c>
      <c r="BY3" s="5">
        <f t="shared" si="25"/>
        <v>25647</v>
      </c>
      <c r="BZ3" s="5">
        <f t="shared" si="26"/>
        <v>1538.0910205365765</v>
      </c>
      <c r="CA3" s="5">
        <f t="shared" si="27"/>
        <v>27185.091020536576</v>
      </c>
      <c r="CC3" s="71">
        <f>+'State SCH'!AD3</f>
        <v>12876</v>
      </c>
      <c r="CD3" s="71">
        <f>+'State SCH'!AE3</f>
        <v>11353</v>
      </c>
      <c r="CE3" s="18">
        <f t="shared" si="28"/>
        <v>24229</v>
      </c>
      <c r="CG3" s="18">
        <f t="shared" si="29"/>
        <v>24229</v>
      </c>
      <c r="CI3" s="71">
        <f>+'State SCH'!AF3</f>
        <v>12201</v>
      </c>
      <c r="CJ3" s="71">
        <f>+'State SCH'!AG3</f>
        <v>10879</v>
      </c>
      <c r="CK3" s="18">
        <f t="shared" si="30"/>
        <v>23080</v>
      </c>
      <c r="CM3" s="18">
        <f t="shared" si="31"/>
        <v>23080</v>
      </c>
      <c r="CO3" s="71">
        <f>+'State SCH'!AH3</f>
        <v>13236.076169844022</v>
      </c>
      <c r="CP3" s="71">
        <f>+'State SCH'!AI3</f>
        <v>11801.923830155978</v>
      </c>
      <c r="CQ3" s="5">
        <f t="shared" si="32"/>
        <v>25038</v>
      </c>
      <c r="CS3" s="5">
        <f t="shared" si="33"/>
        <v>25038</v>
      </c>
    </row>
    <row r="4" spans="1:97" x14ac:dyDescent="0.25">
      <c r="A4" s="5" t="s">
        <v>437</v>
      </c>
      <c r="C4" s="5">
        <f>4397+636</f>
        <v>5033</v>
      </c>
      <c r="D4" s="5">
        <f>4267+618</f>
        <v>4885</v>
      </c>
      <c r="E4" s="5">
        <f t="shared" si="0"/>
        <v>9918</v>
      </c>
      <c r="F4" s="5">
        <f t="shared" si="1"/>
        <v>573.03528535004159</v>
      </c>
      <c r="G4" s="5">
        <f t="shared" si="2"/>
        <v>10491.035285350041</v>
      </c>
      <c r="I4" s="5">
        <f>+'State SCH'!F4+'State SCH'!F12</f>
        <v>6652</v>
      </c>
      <c r="J4" s="5">
        <f>+'State SCH'!G4+'State SCH'!G12</f>
        <v>5732</v>
      </c>
      <c r="K4" s="5">
        <f t="shared" si="3"/>
        <v>12384</v>
      </c>
      <c r="L4" s="5">
        <f t="shared" si="34"/>
        <v>173.68248454819428</v>
      </c>
      <c r="M4" s="5">
        <f t="shared" si="4"/>
        <v>12557.682484548195</v>
      </c>
      <c r="O4" s="5">
        <f>+'State SCH'!H4+'State SCH'!H12</f>
        <v>6179</v>
      </c>
      <c r="P4" s="5">
        <f>+'State SCH'!I4+'State SCH'!I12</f>
        <v>5887</v>
      </c>
      <c r="Q4" s="5">
        <f t="shared" si="5"/>
        <v>12066</v>
      </c>
      <c r="R4" s="5">
        <f t="shared" si="35"/>
        <v>136.57478960824957</v>
      </c>
      <c r="S4" s="5">
        <f t="shared" si="6"/>
        <v>12202.57478960825</v>
      </c>
      <c r="U4" s="5">
        <f>+'State SCH'!J4+'State SCH'!J12</f>
        <v>6169</v>
      </c>
      <c r="V4" s="5">
        <f>+'State SCH'!K4+'State SCH'!K12</f>
        <v>5595</v>
      </c>
      <c r="W4" s="5">
        <f t="shared" si="7"/>
        <v>11764</v>
      </c>
      <c r="X4" s="5">
        <f t="shared" si="36"/>
        <v>285.95780349041479</v>
      </c>
      <c r="Y4" s="5">
        <f t="shared" si="8"/>
        <v>12049.957803490415</v>
      </c>
      <c r="AA4" s="5">
        <f>+'State SCH'!L4+'State SCH'!L12</f>
        <v>5493</v>
      </c>
      <c r="AB4" s="5">
        <f>+'State SCH'!M4+'State SCH'!M12</f>
        <v>5477</v>
      </c>
      <c r="AC4" s="5">
        <f t="shared" si="9"/>
        <v>10970</v>
      </c>
      <c r="AD4" s="5">
        <f t="shared" si="37"/>
        <v>539.27560239847617</v>
      </c>
      <c r="AE4" s="5">
        <f t="shared" si="10"/>
        <v>11509.275602398477</v>
      </c>
      <c r="AG4" s="5">
        <f>+'State SCH'!N4+'State SCH'!N12</f>
        <v>5678.2200000000012</v>
      </c>
      <c r="AH4" s="5">
        <f>+'State SCH'!O4+'State SCH'!O12</f>
        <v>4739.8</v>
      </c>
      <c r="AI4" s="5">
        <f t="shared" si="11"/>
        <v>10418.02</v>
      </c>
      <c r="AJ4" s="5">
        <f t="shared" si="38"/>
        <v>880.66700264168094</v>
      </c>
      <c r="AK4" s="5">
        <f t="shared" si="12"/>
        <v>11298.687002641682</v>
      </c>
      <c r="AM4" s="5">
        <f>+'State SCH'!P4+'State SCH'!P12</f>
        <v>5288.4500000000007</v>
      </c>
      <c r="AN4" s="5">
        <f>+'State SCH'!Q4+'State SCH'!Q12</f>
        <v>4737.3500000000004</v>
      </c>
      <c r="AO4" s="5">
        <f t="shared" si="13"/>
        <v>10025.800000000001</v>
      </c>
      <c r="AP4" s="5">
        <f t="shared" si="39"/>
        <v>774.19008592692057</v>
      </c>
      <c r="AQ4" s="5">
        <f t="shared" si="14"/>
        <v>10799.990085926922</v>
      </c>
      <c r="AS4" s="5">
        <f>+'State SCH'!R4+'State SCH'!R12</f>
        <v>4967</v>
      </c>
      <c r="AT4" s="5">
        <f>+'State SCH'!S4+'State SCH'!S12</f>
        <v>4803.46</v>
      </c>
      <c r="AU4" s="5">
        <f t="shared" si="15"/>
        <v>9770.4599999999991</v>
      </c>
      <c r="AV4" s="5">
        <f t="shared" si="40"/>
        <v>873.40162791692637</v>
      </c>
      <c r="AW4" s="5">
        <f t="shared" si="16"/>
        <v>10643.861627916925</v>
      </c>
      <c r="AY4" s="5">
        <f>+'State SCH'!T4+'State SCH'!T12</f>
        <v>4582.5</v>
      </c>
      <c r="AZ4" s="5">
        <f>+'State SCH'!U4+'State SCH'!U12</f>
        <v>4899.3036000000002</v>
      </c>
      <c r="BA4" s="5">
        <f t="shared" si="17"/>
        <v>9481.8035999999993</v>
      </c>
      <c r="BB4" s="5">
        <f t="shared" si="41"/>
        <v>637.20822090488161</v>
      </c>
      <c r="BC4" s="5">
        <f t="shared" si="18"/>
        <v>10119.011820904881</v>
      </c>
      <c r="BE4" s="5">
        <f>+'State SCH'!V4+'State SCH'!V12</f>
        <v>4997.5271000000012</v>
      </c>
      <c r="BF4" s="5">
        <f>+'State SCH'!W4+'State SCH'!W12</f>
        <v>5153.5</v>
      </c>
      <c r="BG4" s="5">
        <f t="shared" si="19"/>
        <v>10151.027100000001</v>
      </c>
      <c r="BH4" s="5">
        <f t="shared" si="42"/>
        <v>1105.7550513849769</v>
      </c>
      <c r="BI4" s="5">
        <f t="shared" si="20"/>
        <v>11256.782151384978</v>
      </c>
      <c r="BK4" s="18">
        <f>+'State SCH'!X4+'State SCH'!X12</f>
        <v>5492.0000000000009</v>
      </c>
      <c r="BL4" s="18">
        <f>+'State SCH'!Y4+'State SCH'!Y12</f>
        <v>6059.4950000000008</v>
      </c>
      <c r="BM4" s="5">
        <f t="shared" si="21"/>
        <v>11551.495000000003</v>
      </c>
      <c r="BN4" s="177">
        <f>(+BM4/BM$11)*(BM$27-BN13)</f>
        <v>1323.9948198860977</v>
      </c>
      <c r="BO4" s="5">
        <f t="shared" si="22"/>
        <v>12875.489819886101</v>
      </c>
      <c r="BQ4" s="18">
        <f>+'State SCH'!Z4+'State SCH'!Z12</f>
        <v>5744.9000000000015</v>
      </c>
      <c r="BR4" s="18">
        <f>+'State SCH'!AA4+'State SCH'!AA12</f>
        <v>5621.6066666666666</v>
      </c>
      <c r="BS4" s="5">
        <f t="shared" si="23"/>
        <v>11366.506666666668</v>
      </c>
      <c r="BT4" s="5">
        <f t="shared" si="44"/>
        <v>1311.6602723008</v>
      </c>
      <c r="BU4" s="5">
        <f t="shared" si="24"/>
        <v>12678.166938967468</v>
      </c>
      <c r="BW4" s="71">
        <f>+'State SCH'!AB4</f>
        <v>6216</v>
      </c>
      <c r="BX4" s="71">
        <f>+'State SCH'!AC4</f>
        <v>5731</v>
      </c>
      <c r="BY4" s="5">
        <f t="shared" si="25"/>
        <v>11947</v>
      </c>
      <c r="BZ4" s="5">
        <f t="shared" si="26"/>
        <v>716.48042353298547</v>
      </c>
      <c r="CA4" s="5">
        <f t="shared" si="27"/>
        <v>12663.480423532985</v>
      </c>
      <c r="CC4" s="71">
        <f>+'State SCH'!AD4</f>
        <v>6165</v>
      </c>
      <c r="CD4" s="71">
        <f>+'State SCH'!AE4</f>
        <v>5606</v>
      </c>
      <c r="CE4" s="18">
        <f t="shared" si="28"/>
        <v>11771</v>
      </c>
      <c r="CG4" s="18">
        <f t="shared" si="29"/>
        <v>11771</v>
      </c>
      <c r="CI4" s="71">
        <f>+'State SCH'!AF4</f>
        <v>7053</v>
      </c>
      <c r="CJ4" s="71">
        <f>+'State SCH'!AG4</f>
        <v>5409</v>
      </c>
      <c r="CK4" s="18">
        <f t="shared" si="30"/>
        <v>12462</v>
      </c>
      <c r="CM4" s="18">
        <f t="shared" si="31"/>
        <v>12462</v>
      </c>
      <c r="CO4" s="71">
        <f>+'State SCH'!AH4</f>
        <v>7678.9523350987001</v>
      </c>
      <c r="CP4" s="71">
        <f>+'State SCH'!AI4</f>
        <v>5889.0476649012999</v>
      </c>
      <c r="CQ4" s="5">
        <f t="shared" si="32"/>
        <v>13568</v>
      </c>
      <c r="CS4" s="5">
        <f t="shared" si="33"/>
        <v>13568</v>
      </c>
    </row>
    <row r="5" spans="1:97" x14ac:dyDescent="0.25">
      <c r="A5" s="5" t="s">
        <v>81</v>
      </c>
      <c r="C5" s="5">
        <v>85795</v>
      </c>
      <c r="D5" s="5">
        <v>84331</v>
      </c>
      <c r="E5" s="5">
        <f t="shared" si="0"/>
        <v>170126</v>
      </c>
      <c r="F5" s="5">
        <f t="shared" si="1"/>
        <v>9829.4213506212109</v>
      </c>
      <c r="G5" s="5">
        <f t="shared" si="2"/>
        <v>179955.42135062121</v>
      </c>
      <c r="I5" s="5">
        <f>+'State SCH'!F5</f>
        <v>95020</v>
      </c>
      <c r="J5" s="5">
        <f>+'State SCH'!G5</f>
        <v>91472</v>
      </c>
      <c r="K5" s="5">
        <f t="shared" si="3"/>
        <v>186492</v>
      </c>
      <c r="L5" s="5">
        <f t="shared" si="34"/>
        <v>2615.5033840731471</v>
      </c>
      <c r="M5" s="5">
        <f t="shared" si="4"/>
        <v>189107.50338407315</v>
      </c>
      <c r="O5" s="5">
        <f>+'State SCH'!H5</f>
        <v>93665</v>
      </c>
      <c r="P5" s="5">
        <f>+'State SCH'!I5</f>
        <v>88455</v>
      </c>
      <c r="Q5" s="5">
        <f t="shared" si="5"/>
        <v>182120</v>
      </c>
      <c r="R5" s="5">
        <f t="shared" si="35"/>
        <v>2061.4122893630379</v>
      </c>
      <c r="S5" s="5">
        <f t="shared" si="6"/>
        <v>184181.41228936304</v>
      </c>
      <c r="U5" s="5">
        <f>+'State SCH'!J5</f>
        <v>86955</v>
      </c>
      <c r="V5" s="5">
        <f>+'State SCH'!K5</f>
        <v>81036</v>
      </c>
      <c r="W5" s="5">
        <f t="shared" si="7"/>
        <v>167991</v>
      </c>
      <c r="X5" s="5">
        <f t="shared" si="36"/>
        <v>4083.5036863446339</v>
      </c>
      <c r="Y5" s="5">
        <f t="shared" si="8"/>
        <v>172074.50368634463</v>
      </c>
      <c r="AA5" s="5">
        <f>+'State SCH'!L5</f>
        <v>81562</v>
      </c>
      <c r="AB5" s="5">
        <f>+'State SCH'!M5</f>
        <v>73653</v>
      </c>
      <c r="AC5" s="5">
        <f t="shared" si="9"/>
        <v>155215</v>
      </c>
      <c r="AD5" s="5">
        <f t="shared" si="37"/>
        <v>7630.2336031248378</v>
      </c>
      <c r="AE5" s="5">
        <f t="shared" si="10"/>
        <v>162845.23360312483</v>
      </c>
      <c r="AG5" s="5">
        <f>+'State SCH'!N5</f>
        <v>79289.5775703463</v>
      </c>
      <c r="AH5" s="5">
        <f>+'State SCH'!O5</f>
        <v>73857.981042857122</v>
      </c>
      <c r="AI5" s="5">
        <f t="shared" si="11"/>
        <v>153147.55861320341</v>
      </c>
      <c r="AJ5" s="5">
        <f t="shared" si="38"/>
        <v>12946.030186713115</v>
      </c>
      <c r="AK5" s="5">
        <f t="shared" si="12"/>
        <v>166093.58879991653</v>
      </c>
      <c r="AM5" s="5">
        <f>+'State SCH'!P5</f>
        <v>72888.871904761894</v>
      </c>
      <c r="AN5" s="5">
        <f>+'State SCH'!Q5</f>
        <v>67921.775380952386</v>
      </c>
      <c r="AO5" s="5">
        <f t="shared" si="13"/>
        <v>140810.64728571428</v>
      </c>
      <c r="AP5" s="5">
        <f t="shared" si="39"/>
        <v>10873.367424200806</v>
      </c>
      <c r="AQ5" s="5">
        <f t="shared" si="14"/>
        <v>151684.01470991509</v>
      </c>
      <c r="AS5" s="5">
        <f>+'State SCH'!R5</f>
        <v>66586.479802380971</v>
      </c>
      <c r="AT5" s="5">
        <f>+'State SCH'!S5</f>
        <v>60833.589480863826</v>
      </c>
      <c r="AU5" s="5">
        <f t="shared" si="15"/>
        <v>127420.0692832448</v>
      </c>
      <c r="AV5" s="5">
        <f t="shared" si="40"/>
        <v>11390.343539738515</v>
      </c>
      <c r="AW5" s="5">
        <f t="shared" si="16"/>
        <v>138810.41282298331</v>
      </c>
      <c r="AY5" s="5">
        <f>+'State SCH'!T5</f>
        <v>65286.303038095255</v>
      </c>
      <c r="AZ5" s="5">
        <f>+'State SCH'!U5</f>
        <v>56379.541619047617</v>
      </c>
      <c r="BA5" s="5">
        <f t="shared" si="17"/>
        <v>121665.84465714288</v>
      </c>
      <c r="BB5" s="5">
        <f t="shared" si="41"/>
        <v>8176.3427813319959</v>
      </c>
      <c r="BC5" s="5">
        <f t="shared" si="18"/>
        <v>129842.18743847488</v>
      </c>
      <c r="BE5" s="5">
        <f>+'State SCH'!V5</f>
        <v>55065.261723809526</v>
      </c>
      <c r="BF5" s="5">
        <f>+'State SCH'!W5</f>
        <v>46427.324004761904</v>
      </c>
      <c r="BG5" s="5">
        <f t="shared" si="19"/>
        <v>101492.58572857143</v>
      </c>
      <c r="BH5" s="5">
        <f t="shared" si="42"/>
        <v>11055.624050840202</v>
      </c>
      <c r="BI5" s="5">
        <f t="shared" si="20"/>
        <v>112548.20977941163</v>
      </c>
      <c r="BK5" s="18">
        <f>+'State SCH'!X5</f>
        <v>49641.577808571434</v>
      </c>
      <c r="BL5" s="18">
        <f>+'State SCH'!Y5</f>
        <v>43254.540722141741</v>
      </c>
      <c r="BM5" s="5">
        <f t="shared" si="21"/>
        <v>92896.118530713167</v>
      </c>
      <c r="BN5" s="5">
        <f t="shared" si="43"/>
        <v>10647.451236587998</v>
      </c>
      <c r="BO5" s="5">
        <f t="shared" si="22"/>
        <v>103543.56976730116</v>
      </c>
      <c r="BQ5" s="18">
        <f>+'State SCH'!Z5</f>
        <v>44698.521661922437</v>
      </c>
      <c r="BR5" s="18">
        <f>+'State SCH'!AA5</f>
        <v>39429.50992122708</v>
      </c>
      <c r="BS5" s="5">
        <f t="shared" si="23"/>
        <v>84128.03158314951</v>
      </c>
      <c r="BT5" s="5">
        <f t="shared" si="44"/>
        <v>9708.118778312788</v>
      </c>
      <c r="BU5" s="5">
        <f t="shared" si="24"/>
        <v>93836.150361462292</v>
      </c>
      <c r="BW5" s="71">
        <f>+'State SCH'!AB5</f>
        <v>45221</v>
      </c>
      <c r="BX5" s="71">
        <f>+'State SCH'!AC5</f>
        <v>40360</v>
      </c>
      <c r="BY5" s="5">
        <f t="shared" si="25"/>
        <v>85581</v>
      </c>
      <c r="BZ5" s="5">
        <f t="shared" si="26"/>
        <v>5132.4274819098036</v>
      </c>
      <c r="CA5" s="5">
        <f t="shared" si="27"/>
        <v>90713.427481909806</v>
      </c>
      <c r="CC5" s="71">
        <f>+'State SCH'!AD5</f>
        <v>45229</v>
      </c>
      <c r="CD5" s="71">
        <f>+'State SCH'!AE5</f>
        <v>41187</v>
      </c>
      <c r="CE5" s="18">
        <f t="shared" si="28"/>
        <v>86416</v>
      </c>
      <c r="CG5" s="18">
        <f t="shared" si="29"/>
        <v>86416</v>
      </c>
      <c r="CI5" s="71">
        <f>+'State SCH'!AF5</f>
        <v>45207</v>
      </c>
      <c r="CJ5" s="71">
        <f>+'State SCH'!AG5</f>
        <v>42077</v>
      </c>
      <c r="CK5" s="18">
        <f t="shared" si="30"/>
        <v>87284</v>
      </c>
      <c r="CM5" s="18">
        <f t="shared" si="31"/>
        <v>87284</v>
      </c>
      <c r="CO5" s="71">
        <f>+'State SCH'!AH5</f>
        <v>45667.957678383209</v>
      </c>
      <c r="CP5" s="71">
        <f>+'State SCH'!AI5</f>
        <v>42488.042321616798</v>
      </c>
      <c r="CQ5" s="5">
        <f t="shared" si="32"/>
        <v>88156</v>
      </c>
      <c r="CS5" s="5">
        <f t="shared" si="33"/>
        <v>88156</v>
      </c>
    </row>
    <row r="6" spans="1:97" x14ac:dyDescent="0.25">
      <c r="A6" s="5" t="s">
        <v>440</v>
      </c>
      <c r="C6" s="5">
        <v>16551</v>
      </c>
      <c r="D6" s="5">
        <v>15399</v>
      </c>
      <c r="E6" s="5">
        <f t="shared" si="0"/>
        <v>31950</v>
      </c>
      <c r="F6" s="5">
        <f t="shared" si="1"/>
        <v>1845.9848121530376</v>
      </c>
      <c r="G6" s="5">
        <f t="shared" si="2"/>
        <v>33795.984812153038</v>
      </c>
      <c r="I6" s="5">
        <f>+'State SCH'!F6</f>
        <v>17415</v>
      </c>
      <c r="J6" s="5">
        <f>+'State SCH'!G6</f>
        <v>16981</v>
      </c>
      <c r="K6" s="5">
        <f t="shared" si="3"/>
        <v>34396</v>
      </c>
      <c r="L6" s="5">
        <f t="shared" si="34"/>
        <v>482.39524697348929</v>
      </c>
      <c r="M6" s="5">
        <f t="shared" si="4"/>
        <v>34878.395246973487</v>
      </c>
      <c r="O6" s="5">
        <f>+'State SCH'!H6</f>
        <v>15776</v>
      </c>
      <c r="P6" s="5">
        <f>+'State SCH'!I6</f>
        <v>15864</v>
      </c>
      <c r="Q6" s="5">
        <f t="shared" si="5"/>
        <v>31640</v>
      </c>
      <c r="R6" s="5">
        <f t="shared" si="35"/>
        <v>358.13246670023346</v>
      </c>
      <c r="S6" s="5">
        <f t="shared" si="6"/>
        <v>31998.132466700234</v>
      </c>
      <c r="U6" s="5">
        <f>+'State SCH'!J6</f>
        <v>14644</v>
      </c>
      <c r="V6" s="5">
        <f>+'State SCH'!K6</f>
        <v>15242</v>
      </c>
      <c r="W6" s="5">
        <f t="shared" si="7"/>
        <v>29886</v>
      </c>
      <c r="X6" s="5">
        <f t="shared" si="36"/>
        <v>726.46505568807697</v>
      </c>
      <c r="Y6" s="5">
        <f t="shared" si="8"/>
        <v>30612.465055688077</v>
      </c>
      <c r="AA6" s="5">
        <f>+'State SCH'!L6</f>
        <v>14650</v>
      </c>
      <c r="AB6" s="5">
        <f>+'State SCH'!M6</f>
        <v>14764</v>
      </c>
      <c r="AC6" s="5">
        <f t="shared" si="9"/>
        <v>29414</v>
      </c>
      <c r="AD6" s="5">
        <f t="shared" si="37"/>
        <v>1445.9665058294236</v>
      </c>
      <c r="AE6" s="5">
        <f t="shared" si="10"/>
        <v>30859.966505829423</v>
      </c>
      <c r="AG6" s="5">
        <f>+'State SCH'!N6</f>
        <v>15351.800000000003</v>
      </c>
      <c r="AH6" s="5">
        <f>+'State SCH'!O6</f>
        <v>16182.75</v>
      </c>
      <c r="AI6" s="5">
        <f t="shared" si="11"/>
        <v>31534.550000000003</v>
      </c>
      <c r="AJ6" s="5">
        <f t="shared" si="38"/>
        <v>2665.7116830409445</v>
      </c>
      <c r="AK6" s="5">
        <f t="shared" si="12"/>
        <v>34200.261683040946</v>
      </c>
      <c r="AM6" s="5">
        <f>+'State SCH'!P6</f>
        <v>15058.723333333332</v>
      </c>
      <c r="AN6" s="5">
        <f>+'State SCH'!Q6</f>
        <v>15563.351666666667</v>
      </c>
      <c r="AO6" s="5">
        <f t="shared" si="13"/>
        <v>30622.074999999997</v>
      </c>
      <c r="AP6" s="5">
        <f t="shared" si="39"/>
        <v>2364.6299422999264</v>
      </c>
      <c r="AQ6" s="5">
        <f t="shared" si="14"/>
        <v>32986.704942299926</v>
      </c>
      <c r="AS6" s="5">
        <f>+'State SCH'!R6</f>
        <v>14437.666666666666</v>
      </c>
      <c r="AT6" s="5">
        <f>+'State SCH'!S6</f>
        <v>14805.500199999999</v>
      </c>
      <c r="AU6" s="5">
        <f t="shared" si="15"/>
        <v>29243.166866666666</v>
      </c>
      <c r="AV6" s="5">
        <f t="shared" si="40"/>
        <v>2614.1071706749726</v>
      </c>
      <c r="AW6" s="5">
        <f t="shared" si="16"/>
        <v>31857.274037341638</v>
      </c>
      <c r="AY6" s="5">
        <f>+'State SCH'!T6</f>
        <v>13883.75</v>
      </c>
      <c r="AZ6" s="5">
        <f>+'State SCH'!U6</f>
        <v>14376</v>
      </c>
      <c r="BA6" s="5">
        <f t="shared" si="17"/>
        <v>28259.75</v>
      </c>
      <c r="BB6" s="5">
        <f t="shared" si="41"/>
        <v>1899.1476495797415</v>
      </c>
      <c r="BC6" s="5">
        <f t="shared" si="18"/>
        <v>30158.89764957974</v>
      </c>
      <c r="BE6" s="5">
        <f>+'State SCH'!V6</f>
        <v>14045.175733333333</v>
      </c>
      <c r="BF6" s="5">
        <f>+'State SCH'!W6</f>
        <v>12950.495999999997</v>
      </c>
      <c r="BG6" s="5">
        <f t="shared" si="19"/>
        <v>26995.671733333329</v>
      </c>
      <c r="BH6" s="5">
        <f t="shared" si="42"/>
        <v>2940.6482802773685</v>
      </c>
      <c r="BI6" s="5">
        <f t="shared" si="20"/>
        <v>29936.320013610697</v>
      </c>
      <c r="BK6" s="18">
        <f>+'State SCH'!X6</f>
        <v>12734</v>
      </c>
      <c r="BL6" s="18">
        <f>+'State SCH'!Y6</f>
        <v>12324.25</v>
      </c>
      <c r="BM6" s="5">
        <f t="shared" si="21"/>
        <v>25058.25</v>
      </c>
      <c r="BN6" s="5">
        <f t="shared" si="43"/>
        <v>2872.0951872819105</v>
      </c>
      <c r="BO6" s="5">
        <f t="shared" si="22"/>
        <v>27930.34518728191</v>
      </c>
      <c r="BQ6" s="18">
        <f>+'State SCH'!Z6</f>
        <v>10827.1</v>
      </c>
      <c r="BR6" s="18">
        <f>+'State SCH'!AA6</f>
        <v>10423.499999999998</v>
      </c>
      <c r="BS6" s="5">
        <f t="shared" si="23"/>
        <v>21250.6</v>
      </c>
      <c r="BT6" s="5">
        <f t="shared" si="44"/>
        <v>2452.2545580602341</v>
      </c>
      <c r="BU6" s="5">
        <f t="shared" si="24"/>
        <v>23702.854558060233</v>
      </c>
      <c r="BW6" s="71">
        <f>+'State SCH'!AB6</f>
        <v>10977</v>
      </c>
      <c r="BX6" s="71">
        <f>+'State SCH'!AC6</f>
        <v>10951</v>
      </c>
      <c r="BY6" s="5">
        <f t="shared" si="25"/>
        <v>21928</v>
      </c>
      <c r="BZ6" s="5">
        <f t="shared" si="26"/>
        <v>1315.0567278171343</v>
      </c>
      <c r="CA6" s="5">
        <f t="shared" si="27"/>
        <v>23243.056727817133</v>
      </c>
      <c r="CC6" s="71">
        <f>+'State SCH'!AD6</f>
        <v>11378</v>
      </c>
      <c r="CD6" s="71">
        <f>+'State SCH'!AE6</f>
        <v>11026</v>
      </c>
      <c r="CE6" s="18">
        <f t="shared" si="28"/>
        <v>22404</v>
      </c>
      <c r="CG6" s="18">
        <f t="shared" si="29"/>
        <v>22404</v>
      </c>
      <c r="CI6" s="71">
        <f>+'State SCH'!AF6</f>
        <v>12517</v>
      </c>
      <c r="CJ6" s="71">
        <f>+'State SCH'!AG6</f>
        <v>11938</v>
      </c>
      <c r="CK6" s="18">
        <f t="shared" si="30"/>
        <v>24455</v>
      </c>
      <c r="CM6" s="18">
        <f t="shared" si="31"/>
        <v>24455</v>
      </c>
      <c r="CO6" s="71">
        <f>+'State SCH'!AH6</f>
        <v>13071.320629728072</v>
      </c>
      <c r="CP6" s="71">
        <f>+'State SCH'!AI6</f>
        <v>12466.679370271928</v>
      </c>
      <c r="CQ6" s="5">
        <f t="shared" si="32"/>
        <v>25538</v>
      </c>
      <c r="CS6" s="5">
        <f t="shared" si="33"/>
        <v>25538</v>
      </c>
    </row>
    <row r="7" spans="1:97" x14ac:dyDescent="0.25">
      <c r="A7" s="5" t="s">
        <v>85</v>
      </c>
      <c r="C7" s="5">
        <v>348</v>
      </c>
      <c r="D7" s="5">
        <v>300</v>
      </c>
      <c r="E7" s="5">
        <f t="shared" si="0"/>
        <v>648</v>
      </c>
      <c r="F7" s="5">
        <f t="shared" si="1"/>
        <v>37.439691964794008</v>
      </c>
      <c r="G7" s="5">
        <f t="shared" si="2"/>
        <v>685.43969196479406</v>
      </c>
      <c r="I7" s="5">
        <f>+'State SCH'!F7</f>
        <v>400</v>
      </c>
      <c r="J7" s="5">
        <f>+'State SCH'!G7</f>
        <v>372</v>
      </c>
      <c r="K7" s="5">
        <f t="shared" si="3"/>
        <v>772</v>
      </c>
      <c r="L7" s="5">
        <f t="shared" si="34"/>
        <v>10.827105787403585</v>
      </c>
      <c r="M7" s="5">
        <f t="shared" si="4"/>
        <v>782.82710578740364</v>
      </c>
      <c r="O7" s="5">
        <f>+'State SCH'!H7</f>
        <v>649</v>
      </c>
      <c r="P7" s="5">
        <f>+'State SCH'!I7</f>
        <v>672</v>
      </c>
      <c r="Q7" s="5">
        <f t="shared" si="5"/>
        <v>1321</v>
      </c>
      <c r="R7" s="5">
        <f t="shared" si="35"/>
        <v>14.952370054077385</v>
      </c>
      <c r="S7" s="5">
        <f t="shared" si="6"/>
        <v>1335.9523700540774</v>
      </c>
      <c r="U7" s="5">
        <f>+'State SCH'!J7</f>
        <v>680</v>
      </c>
      <c r="V7" s="5">
        <f>+'State SCH'!K7</f>
        <v>466</v>
      </c>
      <c r="W7" s="5">
        <f t="shared" si="7"/>
        <v>1146</v>
      </c>
      <c r="X7" s="5">
        <f t="shared" si="36"/>
        <v>27.856821047264141</v>
      </c>
      <c r="Y7" s="5">
        <f t="shared" si="8"/>
        <v>1173.8568210472642</v>
      </c>
      <c r="AA7" s="5">
        <f>+'State SCH'!L7</f>
        <v>759</v>
      </c>
      <c r="AB7" s="5">
        <f>+'State SCH'!M7</f>
        <v>691</v>
      </c>
      <c r="AC7" s="5">
        <f t="shared" si="9"/>
        <v>1450</v>
      </c>
      <c r="AD7" s="5">
        <f t="shared" si="37"/>
        <v>71.280731401804047</v>
      </c>
      <c r="AE7" s="5">
        <f t="shared" si="10"/>
        <v>1521.2807314018041</v>
      </c>
      <c r="AG7" s="5">
        <f>+'State SCH'!N7</f>
        <v>920.27272727272714</v>
      </c>
      <c r="AH7" s="5">
        <f>+'State SCH'!O7</f>
        <v>630.0150000000001</v>
      </c>
      <c r="AI7" s="5">
        <f t="shared" si="11"/>
        <v>1550.2877272727274</v>
      </c>
      <c r="AJ7" s="5">
        <f t="shared" si="38"/>
        <v>131.05054952951292</v>
      </c>
      <c r="AK7" s="5">
        <f t="shared" si="12"/>
        <v>1681.3382768022402</v>
      </c>
      <c r="AM7" s="5">
        <f>+'State SCH'!P7</f>
        <v>755.75</v>
      </c>
      <c r="AN7" s="5">
        <f>+'State SCH'!Q7</f>
        <v>601</v>
      </c>
      <c r="AO7" s="5">
        <f t="shared" si="13"/>
        <v>1356.75</v>
      </c>
      <c r="AP7" s="5">
        <f t="shared" si="39"/>
        <v>104.76793862647862</v>
      </c>
      <c r="AQ7" s="5">
        <f t="shared" si="14"/>
        <v>1461.5179386264786</v>
      </c>
      <c r="AS7" s="5">
        <f>+'State SCH'!R7</f>
        <v>646.04999999999995</v>
      </c>
      <c r="AT7" s="5">
        <f>+'State SCH'!S7</f>
        <v>588.5</v>
      </c>
      <c r="AU7" s="5">
        <f t="shared" si="15"/>
        <v>1234.55</v>
      </c>
      <c r="AV7" s="5">
        <f t="shared" si="40"/>
        <v>110.35897795445061</v>
      </c>
      <c r="AW7" s="5">
        <f t="shared" si="16"/>
        <v>1344.9089779544506</v>
      </c>
      <c r="AY7" s="5">
        <f>+'State SCH'!T7</f>
        <v>599.25</v>
      </c>
      <c r="AZ7" s="5">
        <f>+'State SCH'!U7</f>
        <v>838.5</v>
      </c>
      <c r="BA7" s="5">
        <f t="shared" si="17"/>
        <v>1437.75</v>
      </c>
      <c r="BB7" s="5">
        <f t="shared" si="41"/>
        <v>96.621503487584761</v>
      </c>
      <c r="BC7" s="5">
        <f t="shared" si="18"/>
        <v>1534.3715034875847</v>
      </c>
      <c r="BE7" s="5">
        <f>+'State SCH'!V7</f>
        <v>1873.3766666666666</v>
      </c>
      <c r="BF7" s="5">
        <f>+'State SCH'!W7</f>
        <v>741.00000000000011</v>
      </c>
      <c r="BG7" s="5">
        <f t="shared" si="19"/>
        <v>2614.3766666666666</v>
      </c>
      <c r="BH7" s="5">
        <f t="shared" si="42"/>
        <v>284.78499534196737</v>
      </c>
      <c r="BI7" s="5">
        <f t="shared" si="20"/>
        <v>2899.1616620086338</v>
      </c>
      <c r="BK7" s="18">
        <f>+'State SCH'!X7</f>
        <v>746.08624999999995</v>
      </c>
      <c r="BL7" s="18">
        <f>+'State SCH'!Y7</f>
        <v>965.13333333333344</v>
      </c>
      <c r="BM7" s="5">
        <f t="shared" si="21"/>
        <v>1711.2195833333335</v>
      </c>
      <c r="BN7" s="5">
        <f t="shared" si="43"/>
        <v>196.1344279697993</v>
      </c>
      <c r="BO7" s="5">
        <f t="shared" si="22"/>
        <v>1907.3540113031329</v>
      </c>
      <c r="BQ7" s="18">
        <f>+'State SCH'!Z7</f>
        <v>1057</v>
      </c>
      <c r="BR7" s="18">
        <f>+'State SCH'!AA7</f>
        <v>774.625</v>
      </c>
      <c r="BS7" s="5">
        <f t="shared" si="23"/>
        <v>1831.625</v>
      </c>
      <c r="BT7" s="5">
        <f t="shared" si="44"/>
        <v>211.36394995468723</v>
      </c>
      <c r="BU7" s="5">
        <f t="shared" si="24"/>
        <v>2042.9889499546873</v>
      </c>
      <c r="BW7" s="71">
        <f>+'State SCH'!AB7</f>
        <v>1378</v>
      </c>
      <c r="BX7" s="71">
        <f>+'State SCH'!AC7</f>
        <v>780</v>
      </c>
      <c r="BY7" s="5">
        <f t="shared" si="25"/>
        <v>2158</v>
      </c>
      <c r="BZ7" s="5">
        <f t="shared" si="26"/>
        <v>129.41866192217148</v>
      </c>
      <c r="CA7" s="5">
        <f t="shared" si="27"/>
        <v>2287.4186619221714</v>
      </c>
      <c r="CC7" s="71">
        <f>+'State SCH'!AD7</f>
        <v>1141</v>
      </c>
      <c r="CD7" s="71">
        <f>+'State SCH'!AE7</f>
        <v>935</v>
      </c>
      <c r="CE7" s="18">
        <f t="shared" si="28"/>
        <v>2076</v>
      </c>
      <c r="CG7" s="18">
        <f t="shared" si="29"/>
        <v>2076</v>
      </c>
      <c r="CI7" s="71">
        <f>+'State SCH'!AF7</f>
        <v>1809</v>
      </c>
      <c r="CJ7" s="71">
        <f>+'State SCH'!AG7</f>
        <v>1386</v>
      </c>
      <c r="CK7" s="18">
        <f t="shared" si="30"/>
        <v>3195</v>
      </c>
      <c r="CM7" s="18">
        <f t="shared" si="31"/>
        <v>3195</v>
      </c>
      <c r="CO7" s="71">
        <f>+'State SCH'!AH7</f>
        <v>1698.5915492957747</v>
      </c>
      <c r="CP7" s="71">
        <f>+'State SCH'!AI7</f>
        <v>1301.4084507042253</v>
      </c>
      <c r="CQ7" s="5">
        <f t="shared" si="32"/>
        <v>3000</v>
      </c>
      <c r="CS7" s="5">
        <f t="shared" si="33"/>
        <v>3000</v>
      </c>
    </row>
    <row r="8" spans="1:97" x14ac:dyDescent="0.25">
      <c r="A8" s="5" t="s">
        <v>87</v>
      </c>
      <c r="C8" s="5">
        <v>12564</v>
      </c>
      <c r="D8" s="5">
        <v>12609</v>
      </c>
      <c r="E8" s="5">
        <f t="shared" si="0"/>
        <v>25173</v>
      </c>
      <c r="F8" s="5">
        <f t="shared" si="1"/>
        <v>1454.4280336879006</v>
      </c>
      <c r="G8" s="5">
        <f t="shared" si="2"/>
        <v>26627.428033687902</v>
      </c>
      <c r="I8" s="5">
        <f>+'State SCH'!F8</f>
        <v>12685</v>
      </c>
      <c r="J8" s="5">
        <f>+'State SCH'!G8</f>
        <v>13251</v>
      </c>
      <c r="K8" s="5">
        <f t="shared" si="3"/>
        <v>25936</v>
      </c>
      <c r="L8" s="5">
        <f t="shared" si="34"/>
        <v>363.74587526178681</v>
      </c>
      <c r="M8" s="5">
        <f t="shared" si="4"/>
        <v>26299.745875261786</v>
      </c>
      <c r="O8" s="5">
        <f>+'State SCH'!H8</f>
        <v>12405</v>
      </c>
      <c r="P8" s="5">
        <f>+'State SCH'!I8</f>
        <v>12438</v>
      </c>
      <c r="Q8" s="5">
        <f t="shared" si="5"/>
        <v>24843</v>
      </c>
      <c r="R8" s="5">
        <f t="shared" si="35"/>
        <v>281.19737263697533</v>
      </c>
      <c r="S8" s="5">
        <f t="shared" si="6"/>
        <v>25124.197372636976</v>
      </c>
      <c r="U8" s="5">
        <f>+'State SCH'!J8</f>
        <v>11446</v>
      </c>
      <c r="V8" s="5">
        <f>+'State SCH'!K8</f>
        <v>12043</v>
      </c>
      <c r="W8" s="5">
        <f t="shared" si="7"/>
        <v>23489</v>
      </c>
      <c r="X8" s="5">
        <f t="shared" si="36"/>
        <v>570.96759998183893</v>
      </c>
      <c r="Y8" s="5">
        <f t="shared" si="8"/>
        <v>24059.967599981839</v>
      </c>
      <c r="AA8" s="5">
        <f>+'State SCH'!L8</f>
        <v>11194</v>
      </c>
      <c r="AB8" s="5">
        <f>+'State SCH'!M8</f>
        <v>11256</v>
      </c>
      <c r="AC8" s="5">
        <f t="shared" si="9"/>
        <v>22450</v>
      </c>
      <c r="AD8" s="5">
        <f t="shared" si="37"/>
        <v>1103.6223586003453</v>
      </c>
      <c r="AE8" s="5">
        <f t="shared" si="10"/>
        <v>23553.622358600347</v>
      </c>
      <c r="AG8" s="5">
        <f>+'State SCH'!N8</f>
        <v>11083.5</v>
      </c>
      <c r="AH8" s="5">
        <f>+'State SCH'!O8</f>
        <v>11658.75</v>
      </c>
      <c r="AI8" s="5">
        <f t="shared" si="11"/>
        <v>22742.25</v>
      </c>
      <c r="AJ8" s="5">
        <f t="shared" si="38"/>
        <v>1922.471749989707</v>
      </c>
      <c r="AK8" s="5">
        <f t="shared" si="12"/>
        <v>24664.721749989709</v>
      </c>
      <c r="AM8" s="5">
        <f>+'State SCH'!P8</f>
        <v>11859.749999999998</v>
      </c>
      <c r="AN8" s="5">
        <f>+'State SCH'!Q8</f>
        <v>11705.750000000004</v>
      </c>
      <c r="AO8" s="5">
        <f t="shared" si="13"/>
        <v>23565.5</v>
      </c>
      <c r="AP8" s="5">
        <f t="shared" si="39"/>
        <v>1819.7227622644423</v>
      </c>
      <c r="AQ8" s="5">
        <f t="shared" si="14"/>
        <v>25385.222762264442</v>
      </c>
      <c r="AS8" s="5">
        <f>+'State SCH'!R8</f>
        <v>12205.16666666667</v>
      </c>
      <c r="AT8" s="5">
        <f>+'State SCH'!S8</f>
        <v>11696.666666666666</v>
      </c>
      <c r="AU8" s="5">
        <f t="shared" si="15"/>
        <v>23901.833333333336</v>
      </c>
      <c r="AV8" s="5">
        <f t="shared" si="40"/>
        <v>2136.6343185000901</v>
      </c>
      <c r="AW8" s="5">
        <f t="shared" si="16"/>
        <v>26038.467651833427</v>
      </c>
      <c r="AY8" s="5">
        <f>+'State SCH'!T8</f>
        <v>10726</v>
      </c>
      <c r="AZ8" s="5">
        <f>+'State SCH'!U8</f>
        <v>10109.5</v>
      </c>
      <c r="BA8" s="5">
        <f t="shared" si="17"/>
        <v>20835.5</v>
      </c>
      <c r="BB8" s="5">
        <f t="shared" si="41"/>
        <v>1400.2137617218377</v>
      </c>
      <c r="BC8" s="5">
        <f t="shared" si="18"/>
        <v>22235.71376172184</v>
      </c>
      <c r="BE8" s="5">
        <f>+'State SCH'!V8</f>
        <v>9402</v>
      </c>
      <c r="BF8" s="5">
        <f>+'State SCH'!W8</f>
        <v>8685.75</v>
      </c>
      <c r="BG8" s="5">
        <f t="shared" si="19"/>
        <v>18087.75</v>
      </c>
      <c r="BH8" s="5">
        <f t="shared" si="42"/>
        <v>1970.3051458397363</v>
      </c>
      <c r="BI8" s="5">
        <f t="shared" si="20"/>
        <v>20058.055145839735</v>
      </c>
      <c r="BK8" s="18">
        <f>+'State SCH'!X8</f>
        <v>8000.75</v>
      </c>
      <c r="BL8" s="18">
        <f>+'State SCH'!Y8</f>
        <v>8058.9999999999991</v>
      </c>
      <c r="BM8" s="5">
        <f t="shared" si="21"/>
        <v>16059.75</v>
      </c>
      <c r="BN8" s="5">
        <f t="shared" si="43"/>
        <v>1840.7163582433197</v>
      </c>
      <c r="BO8" s="5">
        <f t="shared" si="22"/>
        <v>17900.46635824332</v>
      </c>
      <c r="BQ8" s="18">
        <f>+'State SCH'!Z8</f>
        <v>8839</v>
      </c>
      <c r="BR8" s="18">
        <f>+'State SCH'!AA8</f>
        <v>8909</v>
      </c>
      <c r="BS8" s="5">
        <f t="shared" si="23"/>
        <v>17748</v>
      </c>
      <c r="BT8" s="5">
        <f t="shared" si="44"/>
        <v>2048.0651791692017</v>
      </c>
      <c r="BU8" s="5">
        <f t="shared" si="24"/>
        <v>19796.0651791692</v>
      </c>
      <c r="BW8" s="71">
        <f>+'State SCH'!AB8</f>
        <v>9272</v>
      </c>
      <c r="BX8" s="71">
        <f>+'State SCH'!AC8</f>
        <v>9060</v>
      </c>
      <c r="BY8" s="5">
        <f t="shared" si="25"/>
        <v>18332</v>
      </c>
      <c r="BZ8" s="5">
        <f t="shared" si="26"/>
        <v>1099.3989389977978</v>
      </c>
      <c r="CA8" s="5">
        <f t="shared" si="27"/>
        <v>19431.398938997798</v>
      </c>
      <c r="CC8" s="71">
        <f>+'State SCH'!AD8</f>
        <v>9515</v>
      </c>
      <c r="CD8" s="71">
        <f>+'State SCH'!AE8</f>
        <v>9157</v>
      </c>
      <c r="CE8" s="18">
        <f t="shared" si="28"/>
        <v>18672</v>
      </c>
      <c r="CG8" s="18">
        <f t="shared" si="29"/>
        <v>18672</v>
      </c>
      <c r="CI8" s="71">
        <f>+'State SCH'!AF8</f>
        <v>10238</v>
      </c>
      <c r="CJ8" s="71">
        <f>+'State SCH'!AG8</f>
        <v>10435</v>
      </c>
      <c r="CK8" s="18">
        <f t="shared" si="30"/>
        <v>20673</v>
      </c>
      <c r="CM8" s="18">
        <f t="shared" si="31"/>
        <v>20673</v>
      </c>
      <c r="CO8" s="71">
        <f>+'State SCH'!AH8</f>
        <v>11195.785130363276</v>
      </c>
      <c r="CP8" s="71">
        <f>+'State SCH'!AI8</f>
        <v>11411.214869636726</v>
      </c>
      <c r="CQ8" s="5">
        <f t="shared" si="32"/>
        <v>22607</v>
      </c>
      <c r="CS8" s="5">
        <f t="shared" si="33"/>
        <v>22607</v>
      </c>
    </row>
    <row r="9" spans="1:97" x14ac:dyDescent="0.25">
      <c r="A9" s="5" t="s">
        <v>447</v>
      </c>
      <c r="C9" s="5">
        <v>3943</v>
      </c>
      <c r="D9" s="5">
        <v>3273</v>
      </c>
      <c r="E9" s="5">
        <f t="shared" si="0"/>
        <v>7216</v>
      </c>
      <c r="F9" s="5">
        <f t="shared" si="1"/>
        <v>416.92101422523695</v>
      </c>
      <c r="G9" s="5">
        <f t="shared" si="2"/>
        <v>7632.9210142252368</v>
      </c>
      <c r="I9" s="5">
        <f>+'State SCH'!F9</f>
        <v>3769</v>
      </c>
      <c r="J9" s="5">
        <f>+'State SCH'!G9</f>
        <v>3560</v>
      </c>
      <c r="K9" s="5">
        <f t="shared" si="3"/>
        <v>7329</v>
      </c>
      <c r="L9" s="5">
        <f t="shared" si="34"/>
        <v>102.78738123818768</v>
      </c>
      <c r="M9" s="5">
        <f t="shared" si="4"/>
        <v>7431.7873812381877</v>
      </c>
      <c r="O9" s="5">
        <f>+'State SCH'!H9</f>
        <v>3660</v>
      </c>
      <c r="P9" s="5">
        <f>+'State SCH'!I9</f>
        <v>3684</v>
      </c>
      <c r="Q9" s="5">
        <f t="shared" si="5"/>
        <v>7344</v>
      </c>
      <c r="R9" s="5">
        <f t="shared" si="35"/>
        <v>83.126575077323466</v>
      </c>
      <c r="S9" s="5">
        <f t="shared" si="6"/>
        <v>7427.1265750773237</v>
      </c>
      <c r="U9" s="5">
        <f>+'State SCH'!J9</f>
        <v>3739</v>
      </c>
      <c r="V9" s="5">
        <f>+'State SCH'!K9</f>
        <v>3481</v>
      </c>
      <c r="W9" s="5">
        <f t="shared" si="7"/>
        <v>7220</v>
      </c>
      <c r="X9" s="5">
        <f t="shared" si="36"/>
        <v>175.50283417211787</v>
      </c>
      <c r="Y9" s="5">
        <f t="shared" si="8"/>
        <v>7395.5028341721181</v>
      </c>
      <c r="AA9" s="5">
        <f>+'State SCH'!L9</f>
        <v>3730</v>
      </c>
      <c r="AB9" s="5">
        <f>+'State SCH'!M9</f>
        <v>3559</v>
      </c>
      <c r="AC9" s="5">
        <f t="shared" si="9"/>
        <v>7289</v>
      </c>
      <c r="AD9" s="5">
        <f t="shared" si="37"/>
        <v>358.32086288810325</v>
      </c>
      <c r="AE9" s="5">
        <f t="shared" si="10"/>
        <v>7647.320862888103</v>
      </c>
      <c r="AG9" s="5">
        <f>+'State SCH'!N9</f>
        <v>3794</v>
      </c>
      <c r="AH9" s="5">
        <f>+'State SCH'!O9</f>
        <v>3220.4999999999995</v>
      </c>
      <c r="AI9" s="5">
        <f t="shared" si="11"/>
        <v>7014.5</v>
      </c>
      <c r="AJ9" s="5">
        <f t="shared" si="38"/>
        <v>592.95707725940917</v>
      </c>
      <c r="AK9" s="5">
        <f t="shared" si="12"/>
        <v>7607.4570772594088</v>
      </c>
      <c r="AM9" s="5">
        <f>+'State SCH'!P9</f>
        <v>3530</v>
      </c>
      <c r="AN9" s="5">
        <f>+'State SCH'!Q9</f>
        <v>3223.9641999999999</v>
      </c>
      <c r="AO9" s="5">
        <f t="shared" si="13"/>
        <v>6753.9642000000003</v>
      </c>
      <c r="AP9" s="5">
        <f t="shared" si="39"/>
        <v>521.53964016291422</v>
      </c>
      <c r="AQ9" s="5">
        <f t="shared" si="14"/>
        <v>7275.5038401629145</v>
      </c>
      <c r="AS9" s="5">
        <f>+'State SCH'!R9</f>
        <v>3445.4999999999995</v>
      </c>
      <c r="AT9" s="5">
        <f>+'State SCH'!S9</f>
        <v>3054.9934000000003</v>
      </c>
      <c r="AU9" s="5">
        <f t="shared" si="15"/>
        <v>6500.4933999999994</v>
      </c>
      <c r="AV9" s="5">
        <f t="shared" si="40"/>
        <v>581.0925501791354</v>
      </c>
      <c r="AW9" s="5">
        <f t="shared" si="16"/>
        <v>7081.5859501791347</v>
      </c>
      <c r="AY9" s="5">
        <f>+'State SCH'!T9</f>
        <v>3119.9999999999995</v>
      </c>
      <c r="AZ9" s="5">
        <f>+'State SCH'!U9</f>
        <v>3175.3333333333335</v>
      </c>
      <c r="BA9" s="5">
        <f t="shared" si="17"/>
        <v>6295.333333333333</v>
      </c>
      <c r="BB9" s="5">
        <f t="shared" si="41"/>
        <v>423.06699469460978</v>
      </c>
      <c r="BC9" s="5">
        <f t="shared" si="18"/>
        <v>6718.400328027943</v>
      </c>
      <c r="BE9" s="5">
        <f>+'State SCH'!V9</f>
        <v>3416.0000000000005</v>
      </c>
      <c r="BF9" s="5">
        <f>+'State SCH'!W9</f>
        <v>3732.5942</v>
      </c>
      <c r="BG9" s="5">
        <f t="shared" si="19"/>
        <v>7148.5942000000005</v>
      </c>
      <c r="BH9" s="5">
        <f t="shared" si="42"/>
        <v>778.69895027187431</v>
      </c>
      <c r="BI9" s="5">
        <f t="shared" si="20"/>
        <v>7927.2931502718748</v>
      </c>
      <c r="BK9" s="18">
        <f>+'State SCH'!X9</f>
        <v>4064.5000000000005</v>
      </c>
      <c r="BL9" s="18">
        <f>+'State SCH'!Y9</f>
        <v>3959.25</v>
      </c>
      <c r="BM9" s="5">
        <f t="shared" si="21"/>
        <v>8023.75</v>
      </c>
      <c r="BN9" s="5">
        <f t="shared" si="43"/>
        <v>919.65615152507576</v>
      </c>
      <c r="BO9" s="5">
        <f t="shared" si="22"/>
        <v>8943.406151525076</v>
      </c>
      <c r="BQ9" s="18">
        <f>+'State SCH'!Z9</f>
        <v>4375.0059999999994</v>
      </c>
      <c r="BR9" s="18">
        <f>+'State SCH'!AA9</f>
        <v>4136.8000000000011</v>
      </c>
      <c r="BS9" s="5">
        <f t="shared" si="23"/>
        <v>8511.8060000000005</v>
      </c>
      <c r="BT9" s="5">
        <f t="shared" si="44"/>
        <v>982.23650441984944</v>
      </c>
      <c r="BU9" s="5">
        <f t="shared" si="24"/>
        <v>9494.0425044198491</v>
      </c>
      <c r="BW9" s="71">
        <f>+'State SCH'!AB9</f>
        <v>4505</v>
      </c>
      <c r="BX9" s="71">
        <f>+'State SCH'!AC9</f>
        <v>4339</v>
      </c>
      <c r="BY9" s="5">
        <f t="shared" si="25"/>
        <v>8844</v>
      </c>
      <c r="BZ9" s="5">
        <f t="shared" si="26"/>
        <v>530.38862189049337</v>
      </c>
      <c r="CA9" s="5">
        <f t="shared" si="27"/>
        <v>9374.3886218904936</v>
      </c>
      <c r="CC9" s="71">
        <f>+'State SCH'!AD9</f>
        <v>4429</v>
      </c>
      <c r="CD9" s="71">
        <f>+'State SCH'!AE9</f>
        <v>4210</v>
      </c>
      <c r="CE9" s="18">
        <f t="shared" si="28"/>
        <v>8639</v>
      </c>
      <c r="CG9" s="18">
        <f t="shared" si="29"/>
        <v>8639</v>
      </c>
      <c r="CI9" s="71">
        <f>+'State SCH'!AF9</f>
        <v>4279</v>
      </c>
      <c r="CJ9" s="71">
        <f>+'State SCH'!AG9</f>
        <v>4174</v>
      </c>
      <c r="CK9" s="18">
        <f t="shared" si="30"/>
        <v>8453</v>
      </c>
      <c r="CM9" s="18">
        <f t="shared" si="31"/>
        <v>8453</v>
      </c>
      <c r="CO9" s="71">
        <f>+'State SCH'!AH9</f>
        <v>4370.6241571039864</v>
      </c>
      <c r="CP9" s="71">
        <f>+'State SCH'!AI9</f>
        <v>4263.3758428960127</v>
      </c>
      <c r="CQ9" s="5">
        <f t="shared" si="32"/>
        <v>8634</v>
      </c>
      <c r="CS9" s="5">
        <f t="shared" si="33"/>
        <v>8634</v>
      </c>
    </row>
    <row r="10" spans="1:97" x14ac:dyDescent="0.25">
      <c r="A10" s="5" t="s">
        <v>219</v>
      </c>
      <c r="X10" s="5">
        <f t="shared" si="36"/>
        <v>0</v>
      </c>
      <c r="BH10" s="5">
        <f t="shared" si="42"/>
        <v>0</v>
      </c>
      <c r="BL10" s="18"/>
      <c r="BN10" s="5">
        <f t="shared" si="43"/>
        <v>0</v>
      </c>
      <c r="BR10" s="18"/>
      <c r="BT10" s="5">
        <f t="shared" si="44"/>
        <v>0</v>
      </c>
      <c r="BW10" s="71"/>
      <c r="BX10" s="71"/>
      <c r="CC10" s="71"/>
      <c r="CD10" s="71"/>
      <c r="CF10" s="18">
        <f>SUM('State SCH'!AD15:AE22)-CF13</f>
        <v>13163.999999996508</v>
      </c>
      <c r="CG10" s="18">
        <f t="shared" si="29"/>
        <v>13163.999999996508</v>
      </c>
      <c r="CI10" s="71"/>
      <c r="CJ10" s="71"/>
      <c r="CL10" s="18">
        <f>SUM('State SCH'!AF13:AG22)-CL13</f>
        <v>13742</v>
      </c>
      <c r="CM10" s="18">
        <f t="shared" si="31"/>
        <v>13742</v>
      </c>
      <c r="CO10" s="71"/>
      <c r="CP10" s="71"/>
      <c r="CR10" s="5">
        <f>SUM('State SCH'!AH13:AI22)-CR13</f>
        <v>11459</v>
      </c>
      <c r="CS10" s="5">
        <f t="shared" si="33"/>
        <v>11459</v>
      </c>
    </row>
    <row r="11" spans="1:97" x14ac:dyDescent="0.25">
      <c r="C11" s="32">
        <f t="shared" ref="C11:BN11" si="45">SUM(C2:C10)</f>
        <v>146215</v>
      </c>
      <c r="D11" s="32">
        <f t="shared" si="45"/>
        <v>143622</v>
      </c>
      <c r="E11" s="32">
        <f t="shared" si="45"/>
        <v>289837</v>
      </c>
      <c r="F11" s="32">
        <f t="shared" si="45"/>
        <v>16746</v>
      </c>
      <c r="G11" s="32">
        <f t="shared" si="45"/>
        <v>306583</v>
      </c>
      <c r="H11" s="32">
        <f t="shared" si="45"/>
        <v>0</v>
      </c>
      <c r="I11" s="32">
        <f t="shared" si="45"/>
        <v>159112</v>
      </c>
      <c r="J11" s="32">
        <f t="shared" si="45"/>
        <v>154120</v>
      </c>
      <c r="K11" s="32">
        <f t="shared" si="45"/>
        <v>313232</v>
      </c>
      <c r="L11" s="32">
        <f t="shared" si="45"/>
        <v>4393</v>
      </c>
      <c r="M11" s="32">
        <f t="shared" si="45"/>
        <v>317625</v>
      </c>
      <c r="N11" s="32">
        <f t="shared" si="45"/>
        <v>0</v>
      </c>
      <c r="O11" s="32">
        <f t="shared" si="45"/>
        <v>155643</v>
      </c>
      <c r="P11" s="32">
        <f t="shared" si="45"/>
        <v>150215</v>
      </c>
      <c r="Q11" s="32">
        <f t="shared" si="45"/>
        <v>305858</v>
      </c>
      <c r="R11" s="32">
        <f t="shared" si="45"/>
        <v>3462</v>
      </c>
      <c r="S11" s="32">
        <f t="shared" si="45"/>
        <v>309320</v>
      </c>
      <c r="T11" s="32">
        <f t="shared" si="45"/>
        <v>0</v>
      </c>
      <c r="U11" s="32">
        <f t="shared" si="45"/>
        <v>146346</v>
      </c>
      <c r="V11" s="32">
        <f t="shared" si="45"/>
        <v>139981</v>
      </c>
      <c r="W11" s="32">
        <f t="shared" si="45"/>
        <v>286327</v>
      </c>
      <c r="X11" s="32">
        <f t="shared" si="45"/>
        <v>6960.0000000000009</v>
      </c>
      <c r="Y11" s="32">
        <f t="shared" si="45"/>
        <v>293287</v>
      </c>
      <c r="Z11" s="32">
        <f t="shared" si="45"/>
        <v>0</v>
      </c>
      <c r="AA11" s="32">
        <f t="shared" si="45"/>
        <v>138887</v>
      </c>
      <c r="AB11" s="32">
        <f t="shared" si="45"/>
        <v>130951</v>
      </c>
      <c r="AC11" s="32">
        <f t="shared" si="45"/>
        <v>269838</v>
      </c>
      <c r="AD11" s="32">
        <f t="shared" si="45"/>
        <v>13265</v>
      </c>
      <c r="AE11" s="32">
        <f t="shared" si="45"/>
        <v>283103</v>
      </c>
      <c r="AF11" s="32">
        <f t="shared" si="45"/>
        <v>0</v>
      </c>
      <c r="AG11" s="32">
        <f t="shared" si="45"/>
        <v>137684.82658333331</v>
      </c>
      <c r="AH11" s="32">
        <f t="shared" si="45"/>
        <v>133310.04219999997</v>
      </c>
      <c r="AI11" s="32">
        <f t="shared" si="45"/>
        <v>270994.86878333328</v>
      </c>
      <c r="AJ11" s="32">
        <f t="shared" si="45"/>
        <v>22908.022716667248</v>
      </c>
      <c r="AK11" s="32">
        <f t="shared" si="45"/>
        <v>293902.89150000055</v>
      </c>
      <c r="AL11" s="32">
        <f t="shared" si="45"/>
        <v>0</v>
      </c>
      <c r="AM11" s="32">
        <f t="shared" si="45"/>
        <v>132112.20663333332</v>
      </c>
      <c r="AN11" s="32">
        <f t="shared" si="45"/>
        <v>126292.70444666667</v>
      </c>
      <c r="AO11" s="32">
        <f t="shared" si="45"/>
        <v>258404.91107999999</v>
      </c>
      <c r="AP11" s="32">
        <f t="shared" si="45"/>
        <v>19953.970786666745</v>
      </c>
      <c r="AQ11" s="32">
        <f t="shared" si="45"/>
        <v>278358.88186666678</v>
      </c>
      <c r="AR11" s="32">
        <f t="shared" si="45"/>
        <v>0</v>
      </c>
      <c r="AS11" s="32">
        <f t="shared" si="45"/>
        <v>124477.09765000003</v>
      </c>
      <c r="AT11" s="32">
        <f t="shared" si="45"/>
        <v>117022.95510000001</v>
      </c>
      <c r="AU11" s="32">
        <f t="shared" si="45"/>
        <v>241500.05275000003</v>
      </c>
      <c r="AV11" s="32">
        <f t="shared" si="45"/>
        <v>21588.189216666731</v>
      </c>
      <c r="AW11" s="32">
        <f t="shared" si="45"/>
        <v>263088.24196666677</v>
      </c>
      <c r="AX11" s="32">
        <f t="shared" si="45"/>
        <v>0</v>
      </c>
      <c r="AY11" s="32">
        <f t="shared" si="45"/>
        <v>119886.34953333336</v>
      </c>
      <c r="AZ11" s="32">
        <f t="shared" si="45"/>
        <v>111001.13909999999</v>
      </c>
      <c r="BA11" s="32">
        <f t="shared" si="45"/>
        <v>230887.48863333336</v>
      </c>
      <c r="BB11" s="32">
        <f t="shared" si="45"/>
        <v>15516.394566666877</v>
      </c>
      <c r="BC11" s="32">
        <f t="shared" si="45"/>
        <v>246403.88320000027</v>
      </c>
      <c r="BD11" s="32">
        <f t="shared" si="45"/>
        <v>0</v>
      </c>
      <c r="BE11" s="32">
        <f t="shared" si="45"/>
        <v>109709.50230000001</v>
      </c>
      <c r="BF11" s="32">
        <f t="shared" si="45"/>
        <v>96983.918633333349</v>
      </c>
      <c r="BG11" s="32">
        <f t="shared" si="45"/>
        <v>206693.42093333334</v>
      </c>
      <c r="BH11" s="32">
        <f t="shared" si="45"/>
        <v>22515.189057575724</v>
      </c>
      <c r="BI11" s="32">
        <f t="shared" si="45"/>
        <v>229208.60999090906</v>
      </c>
      <c r="BJ11" s="32"/>
      <c r="BK11" s="32">
        <f t="shared" si="45"/>
        <v>100050.22344999999</v>
      </c>
      <c r="BL11" s="32">
        <f t="shared" si="45"/>
        <v>92823.139055475069</v>
      </c>
      <c r="BM11" s="32">
        <f t="shared" si="45"/>
        <v>192873.36250547506</v>
      </c>
      <c r="BN11" s="32">
        <f t="shared" si="45"/>
        <v>22106.518061191575</v>
      </c>
      <c r="BO11" s="32">
        <f t="shared" ref="BO11:CL11" si="46">SUM(BO2:BO10)</f>
        <v>214979.8805666666</v>
      </c>
      <c r="BP11" s="32"/>
      <c r="BQ11" s="32">
        <f t="shared" si="46"/>
        <v>94934.09040091683</v>
      </c>
      <c r="BR11" s="32">
        <f t="shared" si="46"/>
        <v>87108.032688881911</v>
      </c>
      <c r="BS11" s="32">
        <f t="shared" si="46"/>
        <v>182042.12308979873</v>
      </c>
      <c r="BT11" s="32">
        <f t="shared" si="46"/>
        <v>21007.106910201179</v>
      </c>
      <c r="BU11" s="32">
        <f t="shared" si="46"/>
        <v>203049.22999999992</v>
      </c>
      <c r="BV11" s="32"/>
      <c r="BW11" s="32">
        <f t="shared" si="46"/>
        <v>96082</v>
      </c>
      <c r="BX11" s="32">
        <f t="shared" si="46"/>
        <v>88272</v>
      </c>
      <c r="BY11" s="32">
        <f t="shared" si="46"/>
        <v>184354</v>
      </c>
      <c r="BZ11" s="32">
        <f t="shared" si="46"/>
        <v>11056</v>
      </c>
      <c r="CA11" s="32">
        <f t="shared" si="46"/>
        <v>195409.99999999997</v>
      </c>
      <c r="CB11" s="32"/>
      <c r="CC11" s="23">
        <f t="shared" si="46"/>
        <v>95346</v>
      </c>
      <c r="CD11" s="23">
        <f t="shared" si="46"/>
        <v>88035</v>
      </c>
      <c r="CE11" s="23">
        <f t="shared" si="46"/>
        <v>183381</v>
      </c>
      <c r="CF11" s="23">
        <f t="shared" si="46"/>
        <v>13163.999999996508</v>
      </c>
      <c r="CG11" s="23">
        <f t="shared" si="46"/>
        <v>196544.99999999651</v>
      </c>
      <c r="CH11" s="23"/>
      <c r="CI11" s="23">
        <f t="shared" si="46"/>
        <v>97833</v>
      </c>
      <c r="CJ11" s="23">
        <f t="shared" si="46"/>
        <v>90617</v>
      </c>
      <c r="CK11" s="23">
        <f t="shared" si="46"/>
        <v>188450</v>
      </c>
      <c r="CL11" s="23">
        <f t="shared" si="46"/>
        <v>13742</v>
      </c>
      <c r="CM11" s="23">
        <f>SUM(CM2:CM10)</f>
        <v>202192</v>
      </c>
      <c r="CO11" s="32">
        <f t="shared" ref="CO11:CR11" si="47">SUM(CO2:CO10)</f>
        <v>101485.6739472854</v>
      </c>
      <c r="CP11" s="32">
        <f t="shared" si="47"/>
        <v>93976.326052714619</v>
      </c>
      <c r="CQ11" s="32">
        <f t="shared" si="47"/>
        <v>195462</v>
      </c>
      <c r="CR11" s="32">
        <f t="shared" si="47"/>
        <v>11459</v>
      </c>
      <c r="CS11" s="32">
        <f>SUM(CS2:CS10)</f>
        <v>206921</v>
      </c>
    </row>
    <row r="12" spans="1:97" x14ac:dyDescent="0.25">
      <c r="BW12" s="71"/>
      <c r="BX12" s="293"/>
    </row>
    <row r="13" spans="1:97" x14ac:dyDescent="0.25">
      <c r="A13" s="5" t="s">
        <v>91</v>
      </c>
      <c r="C13" s="5">
        <v>21374</v>
      </c>
      <c r="D13" s="5">
        <v>20294</v>
      </c>
      <c r="E13" s="5">
        <f>SUM(C13:D13)</f>
        <v>41668</v>
      </c>
      <c r="G13" s="5">
        <f>SUM(E13:F13)</f>
        <v>41668</v>
      </c>
      <c r="I13" s="5">
        <f>+'State SCH'!F10</f>
        <v>23756</v>
      </c>
      <c r="J13" s="5">
        <f>+'State SCH'!G10</f>
        <v>23246</v>
      </c>
      <c r="K13" s="5">
        <f>SUM(I13:J13)</f>
        <v>47002</v>
      </c>
      <c r="L13" s="5">
        <f>+'Net Tuition AY'!C61-'AY Credit Hour Allocation'!K13</f>
        <v>9744</v>
      </c>
      <c r="M13" s="5">
        <f>SUM(K13:L13)</f>
        <v>56746</v>
      </c>
      <c r="O13" s="5">
        <f>+'State SCH'!H10</f>
        <v>22810</v>
      </c>
      <c r="P13" s="5">
        <f>+'State SCH'!I10</f>
        <v>21921</v>
      </c>
      <c r="Q13" s="5">
        <f>SUM(O13:P13)</f>
        <v>44731</v>
      </c>
      <c r="R13" s="5">
        <f>+'Net Tuition AY'!D61-'AY Credit Hour Allocation'!Q13</f>
        <v>12437</v>
      </c>
      <c r="S13" s="5">
        <f>SUM(Q13:R13)</f>
        <v>57168</v>
      </c>
      <c r="U13" s="5">
        <f>+'State SCH'!J10</f>
        <v>22306</v>
      </c>
      <c r="V13" s="5">
        <f>+'State SCH'!K10</f>
        <v>20184</v>
      </c>
      <c r="W13" s="5">
        <f>SUM(U13:V13)</f>
        <v>42490</v>
      </c>
      <c r="X13" s="5">
        <f>+'Net Tuition AY'!E61-'AY Credit Hour Allocation'!W13</f>
        <v>7282</v>
      </c>
      <c r="Y13" s="5">
        <f>SUM(W13:X13)</f>
        <v>49772</v>
      </c>
      <c r="AA13" s="5">
        <f>+'State SCH'!L10</f>
        <v>20171</v>
      </c>
      <c r="AB13" s="5">
        <f>+'State SCH'!M10</f>
        <v>18984</v>
      </c>
      <c r="AC13" s="5">
        <f>SUM(AA13:AB13)</f>
        <v>39155</v>
      </c>
      <c r="AD13" s="5">
        <f>+'Net Tuition AY'!F61-'AY Credit Hour Allocation'!AC13</f>
        <v>2642</v>
      </c>
      <c r="AE13" s="5">
        <f>SUM(AC13:AD13)</f>
        <v>41797</v>
      </c>
      <c r="AG13" s="5">
        <f>+'State SCH'!N10</f>
        <v>22020.000000000218</v>
      </c>
      <c r="AH13" s="5">
        <f>+'State SCH'!O10</f>
        <v>19777.000000000087</v>
      </c>
      <c r="AI13" s="5">
        <f>SUM(AG13:AH13)</f>
        <v>41797.000000000306</v>
      </c>
      <c r="AJ13" s="5">
        <f>+'Net Tuition AY'!G61-'AY Credit Hour Allocation'!AI13</f>
        <v>-5.8207660913467407E-10</v>
      </c>
      <c r="AK13" s="5">
        <f>SUM(AI13:AJ13)</f>
        <v>41796.999999999724</v>
      </c>
      <c r="AM13" s="5">
        <f>+'State SCH'!P10</f>
        <v>20352.000000000058</v>
      </c>
      <c r="AN13" s="5">
        <f>+'State SCH'!Q10</f>
        <v>17932.000000000047</v>
      </c>
      <c r="AO13" s="5">
        <f>SUM(AM13:AN13)</f>
        <v>38284.000000000102</v>
      </c>
      <c r="AP13" s="5">
        <f>+'Net Tuition AY'!H61-'AY Credit Hour Allocation'!AO13</f>
        <v>-8.0035533756017685E-11</v>
      </c>
      <c r="AQ13" s="5">
        <f>SUM(AO13:AP13)</f>
        <v>38284.000000000022</v>
      </c>
      <c r="AS13" s="5">
        <f>+'State SCH'!R10</f>
        <v>19546.999999999898</v>
      </c>
      <c r="AT13" s="5">
        <f>+'State SCH'!S10</f>
        <v>16785.000000000011</v>
      </c>
      <c r="AU13" s="5">
        <f>SUM(AS13:AT13)</f>
        <v>36331.999999999913</v>
      </c>
      <c r="AV13" s="5">
        <f>+'Net Tuition AY'!I61-'AY Credit Hour Allocation'!AU13</f>
        <v>-6.5483618527650833E-11</v>
      </c>
      <c r="AW13" s="5">
        <f>SUM(AU13:AV13)</f>
        <v>36331.999999999847</v>
      </c>
      <c r="AY13" s="5">
        <f>+'State SCH'!T10</f>
        <v>17249.999999999971</v>
      </c>
      <c r="AZ13" s="5">
        <f>+'State SCH'!U10</f>
        <v>16925.999999999989</v>
      </c>
      <c r="BA13" s="5">
        <f>SUM(AY13:AZ13)</f>
        <v>34175.999999999956</v>
      </c>
      <c r="BB13" s="5">
        <f>+'Net Tuition AY'!J61-'AY Credit Hour Allocation'!BA13</f>
        <v>-2.1100277081131935E-10</v>
      </c>
      <c r="BC13" s="5">
        <f>SUM(BA13:BB13)</f>
        <v>34175.999999999745</v>
      </c>
      <c r="BE13" s="5">
        <f>+'State SCH'!V10</f>
        <v>14910.000000000049</v>
      </c>
      <c r="BF13" s="5">
        <f>+'State SCH'!W10</f>
        <v>16563.000000000095</v>
      </c>
      <c r="BG13" s="5">
        <f>SUM(BE13:BF13)</f>
        <v>31473.000000000146</v>
      </c>
      <c r="BH13" s="5">
        <f>+'Net Tuition AY'!K61-'AY Credit Hour Allocation'!BG13</f>
        <v>2.9103830456733704E-11</v>
      </c>
      <c r="BI13" s="5">
        <f>SUM(BG13:BH13)</f>
        <v>31473.000000000175</v>
      </c>
      <c r="BK13" s="18">
        <f>+'State SCH'!X10</f>
        <v>14063.000000000018</v>
      </c>
      <c r="BL13" s="18">
        <f>+'State SCH'!Y10</f>
        <v>15544.999999999965</v>
      </c>
      <c r="BM13" s="5">
        <f>SUM(BK13:BL13)</f>
        <v>29607.999999999985</v>
      </c>
      <c r="BN13" s="5">
        <f>+'Net Tuition AY'!L61-'AY Credit Hour Allocation'!BM13</f>
        <v>1.673470251262188E-10</v>
      </c>
      <c r="BO13" s="5">
        <f>SUM(BM13:BN13)</f>
        <v>29608.000000000153</v>
      </c>
      <c r="BQ13" s="18">
        <f>+'State SCH'!Z10</f>
        <v>12090.000000000004</v>
      </c>
      <c r="BR13" s="18">
        <f>+'State SCH'!AA10</f>
        <v>13248.000000000045</v>
      </c>
      <c r="BS13" s="5">
        <f>SUM(BQ13:BR13)</f>
        <v>25338.000000000051</v>
      </c>
      <c r="BT13" s="5">
        <f>-BS13+'Net Tuition AY'!M61</f>
        <v>15.000000000080036</v>
      </c>
      <c r="BU13" s="5">
        <f>SUM(BS13:BT13)</f>
        <v>25353.000000000131</v>
      </c>
      <c r="BW13" s="71">
        <f>+'State SCH'!AB10</f>
        <v>11840</v>
      </c>
      <c r="BX13" s="71">
        <f>+'State SCH'!AC10</f>
        <v>10400</v>
      </c>
      <c r="BY13" s="5">
        <f>SUM(BW13:BX13)</f>
        <v>22240</v>
      </c>
      <c r="BZ13" s="5">
        <f>-BY13+'Net Tuition AY'!N61</f>
        <v>3376.0000000000218</v>
      </c>
      <c r="CA13" s="5">
        <f>SUM(BY13:BZ13)</f>
        <v>25616.000000000022</v>
      </c>
      <c r="CC13" s="71">
        <f>+'State SCH'!AD10</f>
        <v>12684</v>
      </c>
      <c r="CD13" s="71">
        <f>+'State SCH'!AE10</f>
        <v>10370</v>
      </c>
      <c r="CE13" s="18">
        <f>SUM(CC13:CD13)</f>
        <v>23054</v>
      </c>
      <c r="CF13" s="18">
        <f>+'State SCH'!AD21+'State SCH'!AE21</f>
        <v>4294</v>
      </c>
      <c r="CG13" s="18">
        <f>SUM(CE13:CF13)</f>
        <v>27348</v>
      </c>
      <c r="CI13" s="71">
        <f>+'State SCH'!AF10</f>
        <v>13412</v>
      </c>
      <c r="CJ13" s="71">
        <f>+'State SCH'!AG10</f>
        <v>11214</v>
      </c>
      <c r="CK13" s="18">
        <f>SUM(CI13:CJ13)</f>
        <v>24626</v>
      </c>
      <c r="CL13" s="18">
        <f>+'State SCH'!AF21+'State SCH'!AG21</f>
        <v>3952</v>
      </c>
      <c r="CM13" s="18">
        <f>SUM(CK13:CL13)</f>
        <v>28578</v>
      </c>
      <c r="CO13" s="71">
        <f>+'State SCH'!AH10</f>
        <v>14568.789084707219</v>
      </c>
      <c r="CP13" s="71">
        <f>+'State SCH'!AI10</f>
        <v>12181.210915292779</v>
      </c>
      <c r="CQ13" s="5">
        <f>SUM(CO13:CP13)</f>
        <v>26750</v>
      </c>
      <c r="CR13" s="5">
        <f>+'State SCH'!AH21+'State SCH'!AI21</f>
        <v>0</v>
      </c>
      <c r="CS13" s="5">
        <f>SUM(CQ13:CR13)</f>
        <v>26750</v>
      </c>
    </row>
    <row r="14" spans="1:97" x14ac:dyDescent="0.25">
      <c r="BW14" s="71"/>
      <c r="BX14" s="293"/>
    </row>
    <row r="15" spans="1:97" x14ac:dyDescent="0.25">
      <c r="A15" s="5" t="s">
        <v>2811</v>
      </c>
      <c r="C15" s="32">
        <f>SUM(C11:C14)</f>
        <v>167589</v>
      </c>
      <c r="D15" s="32">
        <f>SUM(D11:D14)</f>
        <v>163916</v>
      </c>
      <c r="E15" s="32">
        <f>SUM(E11:E14)</f>
        <v>331505</v>
      </c>
      <c r="F15" s="32">
        <f>+F13+F11</f>
        <v>16746</v>
      </c>
      <c r="G15" s="32">
        <f>+G13+G11</f>
        <v>348251</v>
      </c>
      <c r="I15" s="32">
        <f>SUM(I11:I14)</f>
        <v>182868</v>
      </c>
      <c r="J15" s="32">
        <f>SUM(J11:J14)</f>
        <v>177366</v>
      </c>
      <c r="K15" s="32">
        <f>SUM(K11:K14)</f>
        <v>360234</v>
      </c>
      <c r="L15" s="32">
        <f>+L13+L11</f>
        <v>14137</v>
      </c>
      <c r="M15" s="32">
        <f>+M13+M11</f>
        <v>374371</v>
      </c>
      <c r="O15" s="32">
        <f>SUM(O11:O14)</f>
        <v>178453</v>
      </c>
      <c r="P15" s="32">
        <f>SUM(P11:P14)</f>
        <v>172136</v>
      </c>
      <c r="Q15" s="32">
        <f>SUM(Q11:Q14)</f>
        <v>350589</v>
      </c>
      <c r="R15" s="32">
        <f>+R13+R11</f>
        <v>15899</v>
      </c>
      <c r="S15" s="32">
        <f>+S13+S11</f>
        <v>366488</v>
      </c>
      <c r="U15" s="32">
        <f>SUM(U11:U14)</f>
        <v>168652</v>
      </c>
      <c r="V15" s="32">
        <f>SUM(V11:V14)</f>
        <v>160165</v>
      </c>
      <c r="W15" s="32">
        <f>SUM(W11:W14)</f>
        <v>328817</v>
      </c>
      <c r="X15" s="32">
        <f>+X13+X11</f>
        <v>14242</v>
      </c>
      <c r="Y15" s="32">
        <f>+Y13+Y11</f>
        <v>343059</v>
      </c>
      <c r="AA15" s="32">
        <f>SUM(AA11:AA14)</f>
        <v>159058</v>
      </c>
      <c r="AB15" s="32">
        <f>SUM(AB11:AB14)</f>
        <v>149935</v>
      </c>
      <c r="AC15" s="32">
        <f>SUM(AC11:AC14)</f>
        <v>308993</v>
      </c>
      <c r="AD15" s="32">
        <f>+AD13+AD11</f>
        <v>15907</v>
      </c>
      <c r="AE15" s="32">
        <f>+AE13+AE11</f>
        <v>324900</v>
      </c>
      <c r="AG15" s="32">
        <f>SUM(AG11:AG14)</f>
        <v>159704.82658333355</v>
      </c>
      <c r="AH15" s="32">
        <f>SUM(AH11:AH14)</f>
        <v>153087.04220000005</v>
      </c>
      <c r="AI15" s="32">
        <f>SUM(AI11:AI14)</f>
        <v>312791.86878333357</v>
      </c>
      <c r="AJ15" s="32">
        <f>+AJ13+AJ11</f>
        <v>22908.022716666666</v>
      </c>
      <c r="AK15" s="32">
        <f>+AK13+AK11</f>
        <v>335699.89150000026</v>
      </c>
      <c r="AM15" s="32">
        <f>SUM(AM11:AM14)</f>
        <v>152464.20663333338</v>
      </c>
      <c r="AN15" s="32">
        <f>SUM(AN11:AN14)</f>
        <v>144224.70444666673</v>
      </c>
      <c r="AO15" s="32">
        <f>SUM(AO11:AO14)</f>
        <v>296688.91108000011</v>
      </c>
      <c r="AP15" s="32">
        <f>+AP13+AP11</f>
        <v>19953.970786666665</v>
      </c>
      <c r="AQ15" s="32">
        <f>+AQ13+AQ11</f>
        <v>316642.88186666678</v>
      </c>
      <c r="AS15" s="32">
        <f>SUM(AS11:AS14)</f>
        <v>144024.09764999992</v>
      </c>
      <c r="AT15" s="32">
        <f>SUM(AT11:AT14)</f>
        <v>133807.95510000002</v>
      </c>
      <c r="AU15" s="32">
        <f>SUM(AU11:AU14)</f>
        <v>277832.05274999992</v>
      </c>
      <c r="AV15" s="32">
        <f>+AV13+AV11</f>
        <v>21588.189216666666</v>
      </c>
      <c r="AW15" s="32">
        <f>+AW13+AW11</f>
        <v>299420.2419666666</v>
      </c>
      <c r="AY15" s="32">
        <f>SUM(AY11:AY14)</f>
        <v>137136.34953333333</v>
      </c>
      <c r="AZ15" s="32">
        <f>SUM(AZ11:AZ14)</f>
        <v>127927.13909999997</v>
      </c>
      <c r="BA15" s="32">
        <f>SUM(BA11:BA14)</f>
        <v>265063.4886333333</v>
      </c>
      <c r="BB15" s="32">
        <f>+BB13+BB11</f>
        <v>15516.394566666666</v>
      </c>
      <c r="BC15" s="32">
        <f>+BC13+BC11</f>
        <v>280579.88320000004</v>
      </c>
      <c r="BE15" s="32">
        <f>SUM(BE11:BE14)</f>
        <v>124619.50230000005</v>
      </c>
      <c r="BF15" s="32">
        <f>SUM(BF11:BF14)</f>
        <v>113546.91863333344</v>
      </c>
      <c r="BG15" s="32">
        <f>SUM(BG11:BG14)</f>
        <v>238166.42093333349</v>
      </c>
      <c r="BH15" s="32">
        <f>+BH13+BH11</f>
        <v>22515.189057575753</v>
      </c>
      <c r="BI15" s="32">
        <f>+BI13+BI11</f>
        <v>260681.60999090923</v>
      </c>
      <c r="BK15" s="23">
        <f>SUM(BK11:BK14)</f>
        <v>114113.22345</v>
      </c>
      <c r="BL15" s="32">
        <f>SUM(BL11:BL14)</f>
        <v>108368.13905547504</v>
      </c>
      <c r="BM15" s="32">
        <f>SUM(BM11:BM14)</f>
        <v>222481.36250547506</v>
      </c>
      <c r="BN15" s="32">
        <f>+BN13+BN11</f>
        <v>22106.518061191742</v>
      </c>
      <c r="BO15" s="32">
        <f>+BO13+BO11</f>
        <v>244587.88056666675</v>
      </c>
      <c r="BQ15" s="23">
        <f>SUM(BQ11:BQ14)</f>
        <v>107024.09040091683</v>
      </c>
      <c r="BR15" s="32">
        <f>SUM(BR11:BR14)</f>
        <v>100356.03268888195</v>
      </c>
      <c r="BS15" s="32">
        <f>SUM(BS11:BS14)</f>
        <v>207380.12308979878</v>
      </c>
      <c r="BT15" s="32">
        <f>+BT13+BT11</f>
        <v>21022.106910201259</v>
      </c>
      <c r="BU15" s="32">
        <f>+BU13+BU11</f>
        <v>228402.23000000004</v>
      </c>
      <c r="BW15" s="292">
        <f>SUM(BW11:BW14)</f>
        <v>107922</v>
      </c>
      <c r="BX15" s="47">
        <f>SUM(BX11:BX14)</f>
        <v>98672</v>
      </c>
      <c r="BY15" s="32">
        <f t="shared" ref="BY15:CA15" si="48">SUM(BY11:BY14)</f>
        <v>206594</v>
      </c>
      <c r="BZ15" s="32">
        <f t="shared" si="48"/>
        <v>14432.000000000022</v>
      </c>
      <c r="CA15" s="32">
        <f t="shared" si="48"/>
        <v>221026</v>
      </c>
      <c r="CC15" s="23">
        <f>SUM(CC11:CC14)</f>
        <v>108030</v>
      </c>
      <c r="CD15" s="23">
        <f t="shared" ref="CD15:CG15" si="49">SUM(CD11:CD14)</f>
        <v>98405</v>
      </c>
      <c r="CE15" s="23">
        <f t="shared" si="49"/>
        <v>206435</v>
      </c>
      <c r="CF15" s="23">
        <f t="shared" si="49"/>
        <v>17457.999999996508</v>
      </c>
      <c r="CG15" s="23">
        <f t="shared" si="49"/>
        <v>223892.99999999651</v>
      </c>
      <c r="CI15" s="23">
        <f>SUM(CI11:CI14)</f>
        <v>111245</v>
      </c>
      <c r="CJ15" s="23">
        <f>SUM(CJ11:CJ14)</f>
        <v>101831</v>
      </c>
      <c r="CK15" s="23">
        <f t="shared" ref="CK15:CM15" si="50">SUM(CK11:CK14)</f>
        <v>213076</v>
      </c>
      <c r="CL15" s="23">
        <f t="shared" si="50"/>
        <v>17694</v>
      </c>
      <c r="CM15" s="23">
        <f t="shared" si="50"/>
        <v>230770</v>
      </c>
      <c r="CO15" s="23">
        <f>SUM(CO11:CO14)</f>
        <v>116054.46303199261</v>
      </c>
      <c r="CP15" s="32">
        <f>SUM(CP11:CP14)</f>
        <v>106157.53696800739</v>
      </c>
      <c r="CQ15" s="32">
        <f t="shared" ref="CQ15:CS15" si="51">SUM(CQ11:CQ14)</f>
        <v>222212</v>
      </c>
      <c r="CR15" s="32">
        <f t="shared" si="51"/>
        <v>11459</v>
      </c>
      <c r="CS15" s="32">
        <f t="shared" si="51"/>
        <v>233671</v>
      </c>
    </row>
    <row r="16" spans="1:97" x14ac:dyDescent="0.25">
      <c r="BW16" s="71"/>
      <c r="BX16" s="293"/>
    </row>
    <row r="17" spans="1:97" x14ac:dyDescent="0.25">
      <c r="A17" s="5" t="s">
        <v>2812</v>
      </c>
      <c r="E17" s="5">
        <f t="shared" ref="E17:E24" si="52">SUM(C17:D17)</f>
        <v>0</v>
      </c>
      <c r="K17" s="5">
        <f t="shared" ref="K17:K24" si="53">SUM(I17:J17)</f>
        <v>0</v>
      </c>
      <c r="Q17" s="5">
        <f t="shared" ref="Q17:Q24" si="54">SUM(O17:P17)</f>
        <v>0</v>
      </c>
      <c r="W17" s="5">
        <f t="shared" ref="W17:W24" si="55">SUM(U17:V17)</f>
        <v>0</v>
      </c>
      <c r="AC17" s="5">
        <f t="shared" ref="AC17:AC24" si="56">SUM(AA17:AB17)</f>
        <v>0</v>
      </c>
      <c r="AI17" s="5">
        <f t="shared" ref="AI17:AI26" si="57">SUM(AG17:AH17)</f>
        <v>0</v>
      </c>
      <c r="AO17" s="5">
        <f t="shared" ref="AO17:AO26" si="58">SUM(AM17:AN17)</f>
        <v>0</v>
      </c>
      <c r="AU17" s="5">
        <f t="shared" ref="AU17:AU26" si="59">SUM(AS17:AT17)</f>
        <v>0</v>
      </c>
      <c r="BA17" s="5">
        <f t="shared" ref="BA17:BA26" si="60">SUM(AY17:AZ17)</f>
        <v>0</v>
      </c>
      <c r="BE17" s="18"/>
      <c r="BF17" s="18"/>
      <c r="BG17" s="5">
        <f>SUM(BE17:BF17)</f>
        <v>0</v>
      </c>
      <c r="BL17" s="18"/>
      <c r="BM17" s="5">
        <f t="shared" ref="BM17:BM26" si="61">SUM(BK17:BL17)</f>
        <v>0</v>
      </c>
      <c r="BO17" s="126"/>
      <c r="BR17" s="18"/>
      <c r="BS17" s="5">
        <f t="shared" ref="BS17:BS26" si="62">SUM(BQ17:BR17)</f>
        <v>0</v>
      </c>
      <c r="BW17" s="71"/>
      <c r="BX17" s="71"/>
      <c r="BY17" s="5">
        <f t="shared" ref="BY17:BY26" si="63">SUM(BW17:BX17)</f>
        <v>0</v>
      </c>
      <c r="CC17" s="71"/>
      <c r="CD17" s="71"/>
      <c r="CE17" s="18">
        <f t="shared" ref="CE17:CE26" si="64">SUM(CC17:CD17)</f>
        <v>0</v>
      </c>
      <c r="CI17" s="71"/>
      <c r="CJ17" s="71"/>
      <c r="CK17" s="18">
        <f t="shared" ref="CK17:CK26" si="65">SUM(CI17:CJ17)</f>
        <v>0</v>
      </c>
      <c r="CO17" s="71"/>
      <c r="CP17" s="71"/>
      <c r="CQ17" s="5">
        <f t="shared" ref="CQ17:CQ26" si="66">SUM(CO17:CP17)</f>
        <v>0</v>
      </c>
    </row>
    <row r="18" spans="1:97" x14ac:dyDescent="0.25">
      <c r="A18" s="5" t="s">
        <v>2813</v>
      </c>
      <c r="C18" s="5">
        <v>720</v>
      </c>
      <c r="D18" s="5">
        <v>975</v>
      </c>
      <c r="E18" s="5">
        <f t="shared" si="52"/>
        <v>1695</v>
      </c>
      <c r="I18" s="5">
        <f>+'State SCH'!F13</f>
        <v>216</v>
      </c>
      <c r="J18" s="5">
        <f>+'State SCH'!G13</f>
        <v>250</v>
      </c>
      <c r="K18" s="5">
        <f t="shared" si="53"/>
        <v>466</v>
      </c>
      <c r="O18" s="5">
        <f>+'State SCH'!H13</f>
        <v>220</v>
      </c>
      <c r="P18" s="5">
        <f>+'State SCH'!I13</f>
        <v>513</v>
      </c>
      <c r="Q18" s="5">
        <f t="shared" si="54"/>
        <v>733</v>
      </c>
      <c r="U18" s="5">
        <f>+'State SCH'!J13</f>
        <v>320</v>
      </c>
      <c r="V18" s="5">
        <f>+'State SCH'!K13</f>
        <v>433</v>
      </c>
      <c r="W18" s="5">
        <f t="shared" si="55"/>
        <v>753</v>
      </c>
      <c r="AA18" s="5">
        <f>+'State SCH'!L13</f>
        <v>133</v>
      </c>
      <c r="AB18" s="5">
        <f>+'State SCH'!M13</f>
        <v>275</v>
      </c>
      <c r="AC18" s="5">
        <f t="shared" si="56"/>
        <v>408</v>
      </c>
      <c r="AG18" s="5">
        <f>+'State SCH'!N13</f>
        <v>0</v>
      </c>
      <c r="AH18" s="5">
        <f>+'State SCH'!O13</f>
        <v>0</v>
      </c>
      <c r="AI18" s="5">
        <f t="shared" si="57"/>
        <v>0</v>
      </c>
      <c r="AM18" s="5">
        <f>+'State SCH'!P13</f>
        <v>0</v>
      </c>
      <c r="AN18" s="5">
        <f>+'State SCH'!Q13</f>
        <v>0</v>
      </c>
      <c r="AO18" s="5">
        <f t="shared" si="58"/>
        <v>0</v>
      </c>
      <c r="AS18" s="5">
        <f>+'State SCH'!R13</f>
        <v>0</v>
      </c>
      <c r="AT18" s="5">
        <f>+'State SCH'!S13</f>
        <v>0</v>
      </c>
      <c r="AU18" s="5">
        <f t="shared" si="59"/>
        <v>0</v>
      </c>
      <c r="AY18" s="5">
        <f>+'State SCH'!T13</f>
        <v>0</v>
      </c>
      <c r="AZ18" s="5">
        <f>+'State SCH'!U13</f>
        <v>0</v>
      </c>
      <c r="BA18" s="5">
        <f t="shared" si="60"/>
        <v>0</v>
      </c>
      <c r="BE18" s="18">
        <f>+'State SCH'!V13</f>
        <v>0</v>
      </c>
      <c r="BF18" s="18">
        <f>+'State SCH'!W13</f>
        <v>0</v>
      </c>
      <c r="BG18" s="5">
        <f t="shared" ref="BG18:BG26" si="67">SUM(BE18:BF18)</f>
        <v>0</v>
      </c>
      <c r="BK18" s="18">
        <f>+'State SCH'!X13</f>
        <v>0</v>
      </c>
      <c r="BL18" s="18">
        <f>+'State SCH'!Y13</f>
        <v>0</v>
      </c>
      <c r="BM18" s="5">
        <f t="shared" si="61"/>
        <v>0</v>
      </c>
      <c r="BQ18" s="18">
        <f>+'State SCH'!Z13</f>
        <v>0</v>
      </c>
      <c r="BR18" s="18">
        <f>+'State SCH'!AA13</f>
        <v>0</v>
      </c>
      <c r="BS18" s="5">
        <f t="shared" si="62"/>
        <v>0</v>
      </c>
      <c r="BW18" s="71"/>
      <c r="BX18" s="71"/>
      <c r="BY18" s="5">
        <f t="shared" si="63"/>
        <v>0</v>
      </c>
      <c r="CC18" s="71">
        <f>+'State SCH'!AD13</f>
        <v>0</v>
      </c>
      <c r="CD18" s="71">
        <f>+'State SCH'!AE13</f>
        <v>0</v>
      </c>
      <c r="CE18" s="18">
        <f t="shared" si="64"/>
        <v>0</v>
      </c>
      <c r="CI18" s="71">
        <f>+'State SCH'!AD13</f>
        <v>0</v>
      </c>
      <c r="CJ18" s="71">
        <f>+'State SCH'!AE13</f>
        <v>0</v>
      </c>
      <c r="CK18" s="18">
        <f t="shared" si="65"/>
        <v>0</v>
      </c>
      <c r="CO18" s="71">
        <f>+'State SCH'!AH13</f>
        <v>0</v>
      </c>
      <c r="CP18" s="71">
        <f>+'State SCH'!AI13</f>
        <v>0</v>
      </c>
      <c r="CQ18" s="5">
        <f t="shared" si="66"/>
        <v>0</v>
      </c>
    </row>
    <row r="19" spans="1:97" x14ac:dyDescent="0.25">
      <c r="A19" s="5" t="s">
        <v>144</v>
      </c>
      <c r="C19" s="5">
        <v>242</v>
      </c>
      <c r="D19" s="5">
        <v>164</v>
      </c>
      <c r="E19" s="5">
        <f t="shared" si="52"/>
        <v>406</v>
      </c>
      <c r="I19" s="5">
        <f>+'State SCH'!F14</f>
        <v>385</v>
      </c>
      <c r="J19" s="5">
        <f>+'State SCH'!G14</f>
        <v>437</v>
      </c>
      <c r="K19" s="5">
        <f t="shared" si="53"/>
        <v>822</v>
      </c>
      <c r="O19" s="5">
        <f>+'State SCH'!H14</f>
        <v>60</v>
      </c>
      <c r="P19" s="5">
        <f>+'State SCH'!I14</f>
        <v>175</v>
      </c>
      <c r="Q19" s="5">
        <f t="shared" si="54"/>
        <v>235</v>
      </c>
      <c r="U19" s="5">
        <f>+'State SCH'!J14</f>
        <v>30</v>
      </c>
      <c r="V19" s="5">
        <f>+'State SCH'!K14</f>
        <v>3</v>
      </c>
      <c r="W19" s="5">
        <f t="shared" si="55"/>
        <v>33</v>
      </c>
      <c r="AA19" s="5">
        <f>+'State SCH'!L14</f>
        <v>0</v>
      </c>
      <c r="AB19" s="5">
        <f>+'State SCH'!M14</f>
        <v>3</v>
      </c>
      <c r="AC19" s="5">
        <f t="shared" si="56"/>
        <v>3</v>
      </c>
      <c r="AG19" s="5">
        <f>+'State SCH'!N14</f>
        <v>0</v>
      </c>
      <c r="AH19" s="5">
        <f>+'State SCH'!O14</f>
        <v>203</v>
      </c>
      <c r="AI19" s="5">
        <f t="shared" si="57"/>
        <v>203</v>
      </c>
      <c r="AM19" s="5">
        <f>+'State SCH'!P14</f>
        <v>78.5</v>
      </c>
      <c r="AN19" s="5">
        <f>+'State SCH'!Q14</f>
        <v>113.5</v>
      </c>
      <c r="AO19" s="5">
        <f t="shared" si="58"/>
        <v>192</v>
      </c>
      <c r="AS19" s="5">
        <f>+'State SCH'!R14</f>
        <v>63.5</v>
      </c>
      <c r="AT19" s="5">
        <f>+'State SCH'!S14</f>
        <v>38</v>
      </c>
      <c r="AU19" s="5">
        <f t="shared" si="59"/>
        <v>101.5</v>
      </c>
      <c r="AY19" s="5">
        <f>+'State SCH'!T14</f>
        <v>426.25</v>
      </c>
      <c r="AZ19" s="5">
        <f>+'State SCH'!U14</f>
        <v>28</v>
      </c>
      <c r="BA19" s="5">
        <f t="shared" si="60"/>
        <v>454.25</v>
      </c>
      <c r="BE19" s="18">
        <f>+'State SCH'!V14</f>
        <v>317.25</v>
      </c>
      <c r="BF19" s="18">
        <f>+'State SCH'!W14</f>
        <v>112.3</v>
      </c>
      <c r="BG19" s="5">
        <f t="shared" si="67"/>
        <v>429.55</v>
      </c>
      <c r="BK19" s="18">
        <f>+'State SCH'!X14</f>
        <v>352.68124999999998</v>
      </c>
      <c r="BL19" s="18">
        <f>+'State SCH'!Y14</f>
        <v>154.57499999999999</v>
      </c>
      <c r="BM19" s="5">
        <f t="shared" si="61"/>
        <v>507.25624999999997</v>
      </c>
      <c r="BQ19" s="18">
        <f>+'State SCH'!Z14</f>
        <v>337.70000000000005</v>
      </c>
      <c r="BR19" s="18">
        <f>+'State SCH'!AA14</f>
        <v>195.5</v>
      </c>
      <c r="BS19" s="5">
        <f t="shared" si="62"/>
        <v>533.20000000000005</v>
      </c>
      <c r="BW19" s="71">
        <f>+'State SCH'!AB14</f>
        <v>0</v>
      </c>
      <c r="BX19" s="71">
        <f>+'State SCH'!AC14</f>
        <v>0</v>
      </c>
      <c r="BY19" s="5">
        <f t="shared" si="63"/>
        <v>0</v>
      </c>
      <c r="CC19" s="71">
        <f>+'State SCH'!AD14</f>
        <v>0</v>
      </c>
      <c r="CD19" s="71">
        <f>+'State SCH'!AE14</f>
        <v>0</v>
      </c>
      <c r="CE19" s="18">
        <f t="shared" si="64"/>
        <v>0</v>
      </c>
      <c r="CI19" s="71">
        <f>+'State SCH'!AD14</f>
        <v>0</v>
      </c>
      <c r="CJ19" s="71">
        <f>+'State SCH'!AE14</f>
        <v>0</v>
      </c>
      <c r="CK19" s="18">
        <f t="shared" si="65"/>
        <v>0</v>
      </c>
      <c r="CO19" s="71">
        <f>+'State SCH'!AH14</f>
        <v>0</v>
      </c>
      <c r="CP19" s="71">
        <f>+'State SCH'!AI14</f>
        <v>0</v>
      </c>
      <c r="CQ19" s="5">
        <f t="shared" si="66"/>
        <v>0</v>
      </c>
    </row>
    <row r="20" spans="1:97" x14ac:dyDescent="0.25">
      <c r="A20" s="5" t="s">
        <v>147</v>
      </c>
      <c r="C20" s="5">
        <v>44</v>
      </c>
      <c r="D20" s="5">
        <v>37</v>
      </c>
      <c r="E20" s="5">
        <f t="shared" si="52"/>
        <v>81</v>
      </c>
      <c r="I20" s="5">
        <f>+'State SCH'!F15</f>
        <v>27</v>
      </c>
      <c r="J20" s="5">
        <f>+'State SCH'!G15</f>
        <v>31</v>
      </c>
      <c r="K20" s="5">
        <f t="shared" si="53"/>
        <v>58</v>
      </c>
      <c r="O20" s="5">
        <f>+'State SCH'!H15</f>
        <v>40</v>
      </c>
      <c r="P20" s="5">
        <f>+'State SCH'!I15</f>
        <v>33</v>
      </c>
      <c r="Q20" s="5">
        <f t="shared" si="54"/>
        <v>73</v>
      </c>
      <c r="U20" s="5">
        <f>+'State SCH'!J15</f>
        <v>23</v>
      </c>
      <c r="V20" s="5">
        <f>+'State SCH'!K15</f>
        <v>46</v>
      </c>
      <c r="W20" s="5">
        <f t="shared" si="55"/>
        <v>69</v>
      </c>
      <c r="AA20" s="5">
        <f>+'State SCH'!L15</f>
        <v>23</v>
      </c>
      <c r="AB20" s="5">
        <f>+'State SCH'!M15</f>
        <v>27</v>
      </c>
      <c r="AC20" s="5">
        <f t="shared" si="56"/>
        <v>50</v>
      </c>
      <c r="AG20" s="5">
        <f>+'State SCH'!N15</f>
        <v>34.1</v>
      </c>
      <c r="AH20" s="5">
        <f>+'State SCH'!O15</f>
        <v>28.1</v>
      </c>
      <c r="AI20" s="5">
        <f t="shared" si="57"/>
        <v>62.2</v>
      </c>
      <c r="AM20" s="5">
        <f>+'State SCH'!P15</f>
        <v>43.85</v>
      </c>
      <c r="AN20" s="5">
        <f>+'State SCH'!Q15</f>
        <v>39.299999999999997</v>
      </c>
      <c r="AO20" s="5">
        <f t="shared" si="58"/>
        <v>83.15</v>
      </c>
      <c r="AS20" s="5">
        <f>+'State SCH'!R15</f>
        <v>50.4</v>
      </c>
      <c r="AT20" s="5">
        <f>+'State SCH'!S15</f>
        <v>18</v>
      </c>
      <c r="AU20" s="5">
        <f t="shared" si="59"/>
        <v>68.400000000000006</v>
      </c>
      <c r="AY20" s="5">
        <f>+'State SCH'!T15</f>
        <v>56.3</v>
      </c>
      <c r="AZ20" s="5">
        <f>+'State SCH'!U15</f>
        <v>8</v>
      </c>
      <c r="BA20" s="5">
        <f t="shared" si="60"/>
        <v>64.3</v>
      </c>
      <c r="BE20" s="18">
        <f>+'State SCH'!V15</f>
        <v>60</v>
      </c>
      <c r="BF20" s="18">
        <f>+'State SCH'!W15</f>
        <v>0</v>
      </c>
      <c r="BG20" s="5">
        <f t="shared" si="67"/>
        <v>60</v>
      </c>
      <c r="BK20" s="18">
        <f>+'State SCH'!X15</f>
        <v>57</v>
      </c>
      <c r="BL20" s="18">
        <f>+'State SCH'!Y15</f>
        <v>0</v>
      </c>
      <c r="BM20" s="5">
        <f t="shared" si="61"/>
        <v>57</v>
      </c>
      <c r="BQ20" s="18">
        <f>+'State SCH'!Z15</f>
        <v>36</v>
      </c>
      <c r="BR20" s="18">
        <f>+'State SCH'!AA15</f>
        <v>0</v>
      </c>
      <c r="BS20" s="5">
        <f t="shared" si="62"/>
        <v>36</v>
      </c>
      <c r="BW20" s="71">
        <f>+'State SCH'!AB15</f>
        <v>0</v>
      </c>
      <c r="BX20" s="71">
        <f>+'State SCH'!AC15</f>
        <v>0</v>
      </c>
      <c r="BY20" s="5">
        <f t="shared" si="63"/>
        <v>0</v>
      </c>
      <c r="CC20" s="71">
        <f>+'State SCH'!AD15</f>
        <v>57</v>
      </c>
      <c r="CD20" s="71">
        <f>+'State SCH'!AE15</f>
        <v>0</v>
      </c>
      <c r="CE20" s="18">
        <f t="shared" si="64"/>
        <v>57</v>
      </c>
      <c r="CI20" s="71">
        <f>+'State SCH'!AD15</f>
        <v>57</v>
      </c>
      <c r="CJ20" s="71">
        <f>+'State SCH'!AE15</f>
        <v>0</v>
      </c>
      <c r="CK20" s="18">
        <f t="shared" si="65"/>
        <v>57</v>
      </c>
      <c r="CO20" s="71">
        <f>+'State SCH'!AH15</f>
        <v>8</v>
      </c>
      <c r="CP20" s="71">
        <f>+'State SCH'!AI15</f>
        <v>17</v>
      </c>
      <c r="CQ20" s="5">
        <f t="shared" si="66"/>
        <v>25</v>
      </c>
    </row>
    <row r="21" spans="1:97" x14ac:dyDescent="0.25">
      <c r="A21" s="5" t="s">
        <v>2814</v>
      </c>
      <c r="C21" s="5">
        <v>678</v>
      </c>
      <c r="D21" s="5">
        <v>796</v>
      </c>
      <c r="E21" s="5">
        <f t="shared" si="52"/>
        <v>1474</v>
      </c>
      <c r="I21" s="5">
        <f>+'State SCH'!F16</f>
        <v>0</v>
      </c>
      <c r="J21" s="5">
        <f>+'State SCH'!G16</f>
        <v>0</v>
      </c>
      <c r="K21" s="5">
        <f t="shared" si="53"/>
        <v>0</v>
      </c>
      <c r="O21" s="5">
        <f>+'State SCH'!H16</f>
        <v>0</v>
      </c>
      <c r="P21" s="5">
        <f>+'State SCH'!I16</f>
        <v>0</v>
      </c>
      <c r="Q21" s="5">
        <f t="shared" si="54"/>
        <v>0</v>
      </c>
      <c r="U21" s="5">
        <f>+'State SCH'!J16</f>
        <v>0</v>
      </c>
      <c r="V21" s="5">
        <f>+'State SCH'!K16</f>
        <v>117</v>
      </c>
      <c r="W21" s="5">
        <f t="shared" si="55"/>
        <v>117</v>
      </c>
      <c r="AA21" s="5">
        <f>+'State SCH'!L16</f>
        <v>0</v>
      </c>
      <c r="AB21" s="5">
        <f>+'State SCH'!M16</f>
        <v>0</v>
      </c>
      <c r="AC21" s="5">
        <f t="shared" si="56"/>
        <v>0</v>
      </c>
      <c r="AG21" s="5">
        <f>+'State SCH'!N16</f>
        <v>0</v>
      </c>
      <c r="AH21" s="5">
        <f>+'State SCH'!O16</f>
        <v>1217</v>
      </c>
      <c r="AI21" s="5">
        <f t="shared" si="57"/>
        <v>1217</v>
      </c>
      <c r="AM21" s="5">
        <f>+'State SCH'!P16</f>
        <v>2570.35</v>
      </c>
      <c r="AN21" s="5">
        <f>+'State SCH'!Q16</f>
        <v>744</v>
      </c>
      <c r="AO21" s="5">
        <f t="shared" si="58"/>
        <v>3314.35</v>
      </c>
      <c r="AS21" s="5">
        <f>+'State SCH'!R16</f>
        <v>0</v>
      </c>
      <c r="AT21" s="5">
        <f>+'State SCH'!S16</f>
        <v>708</v>
      </c>
      <c r="AU21" s="5">
        <f t="shared" si="59"/>
        <v>708</v>
      </c>
      <c r="AY21" s="5">
        <f>+'State SCH'!T16</f>
        <v>408</v>
      </c>
      <c r="AZ21" s="5">
        <f>+'State SCH'!U16</f>
        <v>648</v>
      </c>
      <c r="BA21" s="5">
        <f t="shared" si="60"/>
        <v>1056</v>
      </c>
      <c r="BE21" s="18">
        <f>+'State SCH'!V16</f>
        <v>33</v>
      </c>
      <c r="BF21" s="18">
        <f>+'State SCH'!W16</f>
        <v>49.997100000000003</v>
      </c>
      <c r="BG21" s="5">
        <f t="shared" si="67"/>
        <v>82.997100000000003</v>
      </c>
      <c r="BK21" s="18">
        <f>+'State SCH'!X16</f>
        <v>264</v>
      </c>
      <c r="BL21" s="18">
        <f>+'State SCH'!Y16</f>
        <v>480</v>
      </c>
      <c r="BM21" s="5">
        <f t="shared" si="61"/>
        <v>744</v>
      </c>
      <c r="BQ21" s="18">
        <f>+'State SCH'!Z16</f>
        <v>0</v>
      </c>
      <c r="BR21" s="18">
        <f>+'State SCH'!AA16</f>
        <v>0</v>
      </c>
      <c r="BS21" s="5">
        <f t="shared" si="62"/>
        <v>0</v>
      </c>
      <c r="BW21" s="71">
        <f>+'State SCH'!AB16</f>
        <v>1</v>
      </c>
      <c r="BX21" s="71">
        <f>+'State SCH'!AC16</f>
        <v>0</v>
      </c>
      <c r="BY21" s="5">
        <f t="shared" si="63"/>
        <v>1</v>
      </c>
      <c r="CC21" s="71">
        <f>+'State SCH'!AD16</f>
        <v>0</v>
      </c>
      <c r="CD21" s="71">
        <f>+'State SCH'!AE16</f>
        <v>109</v>
      </c>
      <c r="CE21" s="18">
        <f t="shared" si="64"/>
        <v>109</v>
      </c>
      <c r="CI21" s="71">
        <f>+'State SCH'!AD16</f>
        <v>0</v>
      </c>
      <c r="CJ21" s="71">
        <f>+'State SCH'!AE16</f>
        <v>109</v>
      </c>
      <c r="CK21" s="18">
        <f t="shared" si="65"/>
        <v>109</v>
      </c>
      <c r="CO21" s="71">
        <f>+'State SCH'!AH16</f>
        <v>131</v>
      </c>
      <c r="CP21" s="71">
        <f>+'State SCH'!AI16</f>
        <v>33</v>
      </c>
      <c r="CQ21" s="5">
        <f t="shared" si="66"/>
        <v>164</v>
      </c>
    </row>
    <row r="22" spans="1:97" x14ac:dyDescent="0.25">
      <c r="A22" s="5" t="s">
        <v>2815</v>
      </c>
      <c r="C22" s="5">
        <v>2950</v>
      </c>
      <c r="D22" s="5">
        <v>3991</v>
      </c>
      <c r="E22" s="5">
        <f t="shared" si="52"/>
        <v>6941</v>
      </c>
      <c r="I22" s="5">
        <f>+'State SCH'!F17</f>
        <v>2152</v>
      </c>
      <c r="J22" s="5">
        <f>+'State SCH'!G17</f>
        <v>2661</v>
      </c>
      <c r="K22" s="5">
        <f t="shared" si="53"/>
        <v>4813</v>
      </c>
      <c r="O22" s="5">
        <f>+'State SCH'!H17</f>
        <v>3026</v>
      </c>
      <c r="P22" s="5">
        <f>+'State SCH'!I17</f>
        <v>3015</v>
      </c>
      <c r="Q22" s="5">
        <f t="shared" si="54"/>
        <v>6041</v>
      </c>
      <c r="U22" s="5">
        <f>+'State SCH'!J17</f>
        <v>1890</v>
      </c>
      <c r="V22" s="5">
        <f>+'State SCH'!K17</f>
        <v>2486</v>
      </c>
      <c r="W22" s="5">
        <f t="shared" si="55"/>
        <v>4376</v>
      </c>
      <c r="AA22" s="5">
        <f>+'State SCH'!L17</f>
        <v>2383</v>
      </c>
      <c r="AB22" s="5">
        <f>+'State SCH'!M17</f>
        <v>2868</v>
      </c>
      <c r="AC22" s="5">
        <f t="shared" si="56"/>
        <v>5251</v>
      </c>
      <c r="AG22" s="5">
        <f>+'State SCH'!N17</f>
        <v>1214.8186999999998</v>
      </c>
      <c r="AH22" s="5">
        <f>+'State SCH'!O17</f>
        <v>1542.98</v>
      </c>
      <c r="AI22" s="5">
        <f t="shared" si="57"/>
        <v>2757.7986999999998</v>
      </c>
      <c r="AM22" s="5">
        <f>+'State SCH'!P17</f>
        <v>1255.5183</v>
      </c>
      <c r="AN22" s="5">
        <f>+'State SCH'!Q17</f>
        <v>1858.3300000000002</v>
      </c>
      <c r="AO22" s="5">
        <f t="shared" si="58"/>
        <v>3113.8483000000001</v>
      </c>
      <c r="AS22" s="5">
        <f>+'State SCH'!R17</f>
        <v>1542.7</v>
      </c>
      <c r="AT22" s="5">
        <f>+'State SCH'!S17</f>
        <v>1947.54</v>
      </c>
      <c r="AU22" s="5">
        <f t="shared" si="59"/>
        <v>3490.24</v>
      </c>
      <c r="AY22" s="5">
        <f>+'State SCH'!T17</f>
        <v>1590.5808000000002</v>
      </c>
      <c r="AZ22" s="5">
        <f>+'State SCH'!U17</f>
        <v>1238.0280000000002</v>
      </c>
      <c r="BA22" s="5">
        <f t="shared" si="60"/>
        <v>2828.6088000000004</v>
      </c>
      <c r="BE22" s="18">
        <f>+'State SCH'!V17</f>
        <v>1099.5122000000001</v>
      </c>
      <c r="BF22" s="18">
        <f>+'State SCH'!W17</f>
        <v>1551.7125000000001</v>
      </c>
      <c r="BG22" s="5">
        <f t="shared" si="67"/>
        <v>2651.2247000000002</v>
      </c>
      <c r="BK22" s="18">
        <f>+'State SCH'!X17</f>
        <v>1188.9499999999998</v>
      </c>
      <c r="BL22" s="18">
        <f>+'State SCH'!Y17</f>
        <v>1553.6075000000001</v>
      </c>
      <c r="BM22" s="5">
        <f t="shared" si="61"/>
        <v>2742.5574999999999</v>
      </c>
      <c r="BQ22" s="18">
        <f>+'State SCH'!Z17</f>
        <v>1181.0800000000004</v>
      </c>
      <c r="BR22" s="18">
        <f>+'State SCH'!AA17</f>
        <v>929.33999999999992</v>
      </c>
      <c r="BS22" s="5">
        <f t="shared" si="62"/>
        <v>2110.42</v>
      </c>
      <c r="BW22" s="71">
        <f>+'State SCH'!AB17</f>
        <v>1119</v>
      </c>
      <c r="BX22" s="71">
        <f>+'State SCH'!AC17</f>
        <v>1240</v>
      </c>
      <c r="BY22" s="5">
        <f t="shared" si="63"/>
        <v>2359</v>
      </c>
      <c r="CC22" s="71">
        <f>+'State SCH'!AD17</f>
        <v>1086</v>
      </c>
      <c r="CD22" s="71">
        <f>+'State SCH'!AE17</f>
        <v>1522</v>
      </c>
      <c r="CE22" s="18">
        <f t="shared" si="64"/>
        <v>2608</v>
      </c>
      <c r="CI22" s="71">
        <f>+'State SCH'!AD17</f>
        <v>1086</v>
      </c>
      <c r="CJ22" s="71">
        <f>+'State SCH'!AE17</f>
        <v>1522</v>
      </c>
      <c r="CK22" s="18">
        <f t="shared" si="65"/>
        <v>2608</v>
      </c>
      <c r="CO22" s="71">
        <f>+'State SCH'!AH17</f>
        <v>2143</v>
      </c>
      <c r="CP22" s="71">
        <f>+'State SCH'!AI17</f>
        <v>1197</v>
      </c>
      <c r="CQ22" s="5">
        <f t="shared" si="66"/>
        <v>3340</v>
      </c>
    </row>
    <row r="23" spans="1:97" x14ac:dyDescent="0.25">
      <c r="A23" s="5" t="s">
        <v>2816</v>
      </c>
      <c r="C23" s="5">
        <v>2324</v>
      </c>
      <c r="D23" s="5">
        <v>2112</v>
      </c>
      <c r="E23" s="5">
        <f t="shared" si="52"/>
        <v>4436</v>
      </c>
      <c r="I23" s="5">
        <f>+'State SCH'!F18</f>
        <v>2478</v>
      </c>
      <c r="J23" s="5">
        <f>+'State SCH'!G18</f>
        <v>2191</v>
      </c>
      <c r="K23" s="5">
        <f t="shared" si="53"/>
        <v>4669</v>
      </c>
      <c r="O23" s="5">
        <f>+'State SCH'!H18</f>
        <v>2179</v>
      </c>
      <c r="P23" s="5">
        <f>+'State SCH'!I18</f>
        <v>1578</v>
      </c>
      <c r="Q23" s="5">
        <f t="shared" si="54"/>
        <v>3757</v>
      </c>
      <c r="U23" s="5">
        <f>+'State SCH'!J18</f>
        <v>2444</v>
      </c>
      <c r="V23" s="5">
        <f>+'State SCH'!K18</f>
        <v>1675</v>
      </c>
      <c r="W23" s="5">
        <f t="shared" si="55"/>
        <v>4119</v>
      </c>
      <c r="AA23" s="5">
        <f>+'State SCH'!L18</f>
        <v>2158</v>
      </c>
      <c r="AB23" s="5">
        <f>+'State SCH'!M18</f>
        <v>1219</v>
      </c>
      <c r="AC23" s="5">
        <f t="shared" si="56"/>
        <v>3377</v>
      </c>
      <c r="AG23" s="5">
        <f>+'State SCH'!N18</f>
        <v>968.66</v>
      </c>
      <c r="AH23" s="5">
        <f>+'State SCH'!O18</f>
        <v>1379.05</v>
      </c>
      <c r="AI23" s="5">
        <f t="shared" si="57"/>
        <v>2347.71</v>
      </c>
      <c r="AM23" s="5">
        <f>+'State SCH'!P18</f>
        <v>1073.45</v>
      </c>
      <c r="AN23" s="5">
        <f>+'State SCH'!Q18</f>
        <v>735.98249999999996</v>
      </c>
      <c r="AO23" s="5">
        <f t="shared" si="58"/>
        <v>1809.4324999999999</v>
      </c>
      <c r="AS23" s="5">
        <f>+'State SCH'!R18</f>
        <v>888.8</v>
      </c>
      <c r="AT23" s="5">
        <f>+'State SCH'!S18</f>
        <v>1467.5</v>
      </c>
      <c r="AU23" s="5">
        <f t="shared" si="59"/>
        <v>2356.3000000000002</v>
      </c>
      <c r="AY23" s="5">
        <f>+'State SCH'!T18</f>
        <v>804.73</v>
      </c>
      <c r="AZ23" s="5">
        <f>+'State SCH'!U18</f>
        <v>1122.5275000000001</v>
      </c>
      <c r="BA23" s="5">
        <f t="shared" si="60"/>
        <v>1927.2575000000002</v>
      </c>
      <c r="BE23" s="18">
        <f>+'State SCH'!V18</f>
        <v>909.03549999999996</v>
      </c>
      <c r="BF23" s="18">
        <f>+'State SCH'!W18</f>
        <v>907.0003999999999</v>
      </c>
      <c r="BG23" s="5">
        <f t="shared" si="67"/>
        <v>1816.0358999999999</v>
      </c>
      <c r="BK23" s="18">
        <f>+'State SCH'!X18</f>
        <v>833.5</v>
      </c>
      <c r="BL23" s="18">
        <f>+'State SCH'!Y18</f>
        <v>1019.5</v>
      </c>
      <c r="BM23" s="5">
        <f t="shared" si="61"/>
        <v>1853</v>
      </c>
      <c r="BQ23" s="18">
        <f>+'State SCH'!Z18</f>
        <v>1960</v>
      </c>
      <c r="BR23" s="18">
        <f>+'State SCH'!AA18</f>
        <v>515</v>
      </c>
      <c r="BS23" s="5">
        <f t="shared" si="62"/>
        <v>2475</v>
      </c>
      <c r="BW23" s="71">
        <f>+'State SCH'!AB18</f>
        <v>1457</v>
      </c>
      <c r="BX23" s="71">
        <f>+'State SCH'!AC18</f>
        <v>926</v>
      </c>
      <c r="BY23" s="5">
        <f t="shared" si="63"/>
        <v>2383</v>
      </c>
      <c r="CC23" s="71">
        <f>+'State SCH'!AD18</f>
        <v>886</v>
      </c>
      <c r="CD23" s="71">
        <f>+'State SCH'!AE18</f>
        <v>818</v>
      </c>
      <c r="CE23" s="18">
        <f t="shared" si="64"/>
        <v>1704</v>
      </c>
      <c r="CI23" s="71">
        <f>+'State SCH'!AD18</f>
        <v>886</v>
      </c>
      <c r="CJ23" s="71">
        <f>+'State SCH'!AE18</f>
        <v>818</v>
      </c>
      <c r="CK23" s="18">
        <f t="shared" si="65"/>
        <v>1704</v>
      </c>
      <c r="CO23" s="71">
        <f>+'State SCH'!AH18</f>
        <v>1669</v>
      </c>
      <c r="CP23" s="71">
        <f>+'State SCH'!AI18</f>
        <v>1231</v>
      </c>
      <c r="CQ23" s="5">
        <f t="shared" si="66"/>
        <v>2900</v>
      </c>
    </row>
    <row r="24" spans="1:97" x14ac:dyDescent="0.25">
      <c r="A24" s="53" t="s">
        <v>2817</v>
      </c>
      <c r="C24" s="5">
        <v>830</v>
      </c>
      <c r="D24" s="5">
        <v>883</v>
      </c>
      <c r="E24" s="5">
        <f t="shared" si="52"/>
        <v>1713</v>
      </c>
      <c r="I24" s="5">
        <f>+'State SCH'!F19</f>
        <v>1279</v>
      </c>
      <c r="J24" s="5">
        <f>+'State SCH'!G19</f>
        <v>1252</v>
      </c>
      <c r="K24" s="5">
        <f t="shared" si="53"/>
        <v>2531</v>
      </c>
      <c r="O24" s="5">
        <f>+'State SCH'!H19</f>
        <v>1553</v>
      </c>
      <c r="P24" s="5">
        <f>+'State SCH'!I19</f>
        <v>2070</v>
      </c>
      <c r="Q24" s="5">
        <f t="shared" si="54"/>
        <v>3623</v>
      </c>
      <c r="U24" s="5">
        <f>+'State SCH'!J19</f>
        <v>2720</v>
      </c>
      <c r="V24" s="5">
        <f>+'State SCH'!K19</f>
        <v>1931</v>
      </c>
      <c r="W24" s="5">
        <f t="shared" si="55"/>
        <v>4651</v>
      </c>
      <c r="AA24" s="5">
        <f>+'State SCH'!L19</f>
        <v>3687</v>
      </c>
      <c r="AB24" s="5">
        <f>+'State SCH'!M19</f>
        <v>3268</v>
      </c>
      <c r="AC24" s="5">
        <f t="shared" si="56"/>
        <v>6955</v>
      </c>
      <c r="AG24" s="5">
        <f>+'State SCH'!N19</f>
        <v>6241.9774500000003</v>
      </c>
      <c r="AH24" s="5">
        <f>+'State SCH'!O19</f>
        <v>3938.3365666666668</v>
      </c>
      <c r="AI24" s="5">
        <f t="shared" si="57"/>
        <v>10180.314016666667</v>
      </c>
      <c r="AM24" s="5">
        <f>+'State SCH'!P19</f>
        <v>4594.518133333333</v>
      </c>
      <c r="AN24" s="5">
        <f>+'State SCH'!Q19</f>
        <v>4108.6718533333324</v>
      </c>
      <c r="AO24" s="5">
        <f t="shared" si="58"/>
        <v>8703.1899866666645</v>
      </c>
      <c r="AS24" s="5">
        <f>+'State SCH'!R19</f>
        <v>4985.9344833333325</v>
      </c>
      <c r="AT24" s="5">
        <f>+'State SCH'!S19</f>
        <v>2884.8147333333332</v>
      </c>
      <c r="AU24" s="5">
        <f t="shared" si="59"/>
        <v>7870.7492166666652</v>
      </c>
      <c r="AY24" s="5">
        <f>+'State SCH'!T19</f>
        <v>3017.4882666666667</v>
      </c>
      <c r="AZ24" s="5">
        <f>+'State SCH'!U19</f>
        <v>3691.49</v>
      </c>
      <c r="BA24" s="5">
        <f t="shared" si="60"/>
        <v>6708.978266666667</v>
      </c>
      <c r="BE24" s="18">
        <f>+'State SCH'!V19</f>
        <v>4295.7974999999997</v>
      </c>
      <c r="BF24" s="18">
        <f>+'State SCH'!W19</f>
        <v>4491.583857575758</v>
      </c>
      <c r="BG24" s="5">
        <f t="shared" si="67"/>
        <v>8787.3813575757576</v>
      </c>
      <c r="BK24" s="18">
        <f>+'State SCH'!X19</f>
        <v>2720.3287999999998</v>
      </c>
      <c r="BL24" s="18">
        <f>+'State SCH'!Y19</f>
        <v>2460.3755111915921</v>
      </c>
      <c r="BM24" s="5">
        <f t="shared" si="61"/>
        <v>5180.7043111915918</v>
      </c>
      <c r="BQ24" s="18">
        <f>+'State SCH'!Z19</f>
        <v>2701.4695990831688</v>
      </c>
      <c r="BR24" s="18">
        <f>+'State SCH'!AA19</f>
        <v>2222.0173111180898</v>
      </c>
      <c r="BS24" s="5">
        <f t="shared" si="62"/>
        <v>4923.4869102012581</v>
      </c>
      <c r="BW24" s="71">
        <f>+'State SCH'!AB19</f>
        <v>2158</v>
      </c>
      <c r="BX24" s="71">
        <f>+'State SCH'!AC19</f>
        <v>1850</v>
      </c>
      <c r="BY24" s="5">
        <f t="shared" si="63"/>
        <v>4008</v>
      </c>
      <c r="CC24" s="71">
        <f>+'State SCH'!AD19</f>
        <v>2025</v>
      </c>
      <c r="CD24" s="71">
        <f>+'State SCH'!AE19</f>
        <v>2404</v>
      </c>
      <c r="CE24" s="18">
        <f t="shared" si="64"/>
        <v>4429</v>
      </c>
      <c r="CI24" s="71">
        <f>+'State SCH'!AD19</f>
        <v>2025</v>
      </c>
      <c r="CJ24" s="71">
        <f>+'State SCH'!AE19</f>
        <v>2404</v>
      </c>
      <c r="CK24" s="18">
        <f t="shared" si="65"/>
        <v>4429</v>
      </c>
      <c r="CO24" s="71">
        <f>+'State SCH'!AH19</f>
        <v>1682</v>
      </c>
      <c r="CP24" s="71">
        <f>+'State SCH'!AI19</f>
        <v>1750</v>
      </c>
      <c r="CQ24" s="5">
        <f t="shared" si="66"/>
        <v>3432</v>
      </c>
    </row>
    <row r="25" spans="1:97" x14ac:dyDescent="0.25">
      <c r="A25" s="5" t="s">
        <v>2818</v>
      </c>
      <c r="AI25" s="5">
        <f t="shared" si="57"/>
        <v>0</v>
      </c>
      <c r="AO25" s="5">
        <f t="shared" si="58"/>
        <v>0</v>
      </c>
      <c r="AU25" s="5">
        <f t="shared" si="59"/>
        <v>0</v>
      </c>
      <c r="BA25" s="5">
        <f t="shared" si="60"/>
        <v>0</v>
      </c>
      <c r="BE25" s="18"/>
      <c r="BF25" s="18"/>
      <c r="BG25" s="5">
        <f t="shared" si="67"/>
        <v>0</v>
      </c>
      <c r="BL25" s="18"/>
      <c r="BM25" s="5">
        <f t="shared" si="61"/>
        <v>0</v>
      </c>
      <c r="BR25" s="18"/>
      <c r="BS25" s="5">
        <f t="shared" si="62"/>
        <v>0</v>
      </c>
      <c r="BW25" s="71">
        <f>+'State SCH'!AB20</f>
        <v>1244</v>
      </c>
      <c r="BX25" s="71">
        <f>+'State SCH'!AC20</f>
        <v>1061</v>
      </c>
      <c r="BY25" s="5">
        <f t="shared" si="63"/>
        <v>2305</v>
      </c>
      <c r="CC25" s="71">
        <f>+'State SCH'!AD20</f>
        <v>1434</v>
      </c>
      <c r="CD25" s="71">
        <f>+'State SCH'!AE20</f>
        <v>1086</v>
      </c>
      <c r="CE25" s="18">
        <f t="shared" si="64"/>
        <v>2520</v>
      </c>
      <c r="CI25" s="71">
        <f>+'State SCH'!AD20</f>
        <v>1434</v>
      </c>
      <c r="CJ25" s="71">
        <f>+'State SCH'!AE20</f>
        <v>1086</v>
      </c>
      <c r="CK25" s="18">
        <f t="shared" si="65"/>
        <v>2520</v>
      </c>
      <c r="CO25" s="71">
        <f>+'State SCH'!AH20</f>
        <v>1052</v>
      </c>
      <c r="CP25" s="71">
        <f>+'State SCH'!AI20</f>
        <v>546</v>
      </c>
      <c r="CQ25" s="5">
        <f t="shared" si="66"/>
        <v>1598</v>
      </c>
    </row>
    <row r="26" spans="1:97" x14ac:dyDescent="0.25">
      <c r="A26" s="53" t="s">
        <v>2819</v>
      </c>
      <c r="B26" s="53"/>
      <c r="K26" s="5">
        <f>-389089+389867</f>
        <v>778</v>
      </c>
      <c r="Q26" s="5">
        <f>-380969+382406</f>
        <v>1437</v>
      </c>
      <c r="W26" s="5">
        <f>-359927+360051</f>
        <v>124</v>
      </c>
      <c r="AC26" s="5">
        <f>-340717+340580</f>
        <v>-137</v>
      </c>
      <c r="AG26" s="5">
        <f>172041-168164</f>
        <v>3877</v>
      </c>
      <c r="AH26" s="5">
        <f>163659-161396</f>
        <v>2263</v>
      </c>
      <c r="AI26" s="5">
        <f t="shared" si="57"/>
        <v>6140</v>
      </c>
      <c r="AM26" s="5">
        <f>162915-162080</f>
        <v>835</v>
      </c>
      <c r="AN26" s="5">
        <f>153727-151824</f>
        <v>1903</v>
      </c>
      <c r="AO26" s="5">
        <f t="shared" si="58"/>
        <v>2738</v>
      </c>
      <c r="AS26" s="5">
        <f>155003-151555</f>
        <v>3448</v>
      </c>
      <c r="AT26" s="5">
        <f>144417-140872</f>
        <v>3545</v>
      </c>
      <c r="AU26" s="5">
        <f t="shared" si="59"/>
        <v>6993</v>
      </c>
      <c r="AY26" s="5">
        <f>144358-143440</f>
        <v>918</v>
      </c>
      <c r="AZ26" s="5">
        <f>136222-134663</f>
        <v>1559</v>
      </c>
      <c r="BA26" s="5">
        <f t="shared" si="60"/>
        <v>2477</v>
      </c>
      <c r="BE26" s="5">
        <f>134508-131334</f>
        <v>3174</v>
      </c>
      <c r="BF26" s="5">
        <f>126174-120660</f>
        <v>5514</v>
      </c>
      <c r="BG26" s="5">
        <f t="shared" si="67"/>
        <v>8688</v>
      </c>
      <c r="BK26" s="18">
        <f>125069-119530</f>
        <v>5539</v>
      </c>
      <c r="BL26" s="18">
        <f>119519-114036</f>
        <v>5483</v>
      </c>
      <c r="BM26" s="5">
        <f t="shared" si="61"/>
        <v>11022</v>
      </c>
      <c r="BQ26" s="18">
        <f>116818-113240</f>
        <v>3578</v>
      </c>
      <c r="BR26" s="18">
        <f>111584-104218</f>
        <v>7366</v>
      </c>
      <c r="BS26" s="5">
        <f t="shared" si="62"/>
        <v>10944</v>
      </c>
      <c r="BW26" s="71"/>
      <c r="BX26" s="71"/>
      <c r="BY26" s="5">
        <f t="shared" si="63"/>
        <v>0</v>
      </c>
      <c r="CC26" s="71">
        <f>+'State SCH'!AD22</f>
        <v>868.49999999825377</v>
      </c>
      <c r="CD26" s="71">
        <f>+'State SCH'!AE22</f>
        <v>868.49999999825377</v>
      </c>
      <c r="CE26" s="18">
        <f t="shared" si="64"/>
        <v>1736.9999999965075</v>
      </c>
      <c r="CI26" s="71"/>
      <c r="CJ26" s="71"/>
      <c r="CK26" s="18">
        <f t="shared" si="65"/>
        <v>0</v>
      </c>
      <c r="CO26" s="71"/>
      <c r="CP26" s="71"/>
      <c r="CQ26" s="5">
        <f t="shared" si="66"/>
        <v>0</v>
      </c>
    </row>
    <row r="27" spans="1:97" x14ac:dyDescent="0.25">
      <c r="C27" s="32">
        <f t="shared" ref="C27:AH27" si="68">SUM(C17:C26)</f>
        <v>7788</v>
      </c>
      <c r="D27" s="32">
        <f t="shared" si="68"/>
        <v>8958</v>
      </c>
      <c r="E27" s="32">
        <f t="shared" si="68"/>
        <v>16746</v>
      </c>
      <c r="F27" s="32">
        <f t="shared" si="68"/>
        <v>0</v>
      </c>
      <c r="G27" s="32">
        <f t="shared" si="68"/>
        <v>0</v>
      </c>
      <c r="H27" s="163">
        <f t="shared" si="68"/>
        <v>0</v>
      </c>
      <c r="I27" s="32">
        <f t="shared" si="68"/>
        <v>6537</v>
      </c>
      <c r="J27" s="32">
        <f t="shared" si="68"/>
        <v>6822</v>
      </c>
      <c r="K27" s="32">
        <f t="shared" si="68"/>
        <v>14137</v>
      </c>
      <c r="L27" s="32">
        <f t="shared" si="68"/>
        <v>0</v>
      </c>
      <c r="M27" s="32">
        <f t="shared" si="68"/>
        <v>0</v>
      </c>
      <c r="N27" s="32">
        <f t="shared" si="68"/>
        <v>0</v>
      </c>
      <c r="O27" s="32">
        <f t="shared" si="68"/>
        <v>7078</v>
      </c>
      <c r="P27" s="32">
        <f t="shared" si="68"/>
        <v>7384</v>
      </c>
      <c r="Q27" s="32">
        <f t="shared" si="68"/>
        <v>15899</v>
      </c>
      <c r="R27" s="32">
        <f t="shared" si="68"/>
        <v>0</v>
      </c>
      <c r="S27" s="32">
        <f t="shared" si="68"/>
        <v>0</v>
      </c>
      <c r="T27" s="32">
        <f t="shared" si="68"/>
        <v>0</v>
      </c>
      <c r="U27" s="32">
        <f t="shared" si="68"/>
        <v>7427</v>
      </c>
      <c r="V27" s="32">
        <f t="shared" si="68"/>
        <v>6691</v>
      </c>
      <c r="W27" s="32">
        <f t="shared" si="68"/>
        <v>14242</v>
      </c>
      <c r="X27" s="32">
        <f t="shared" si="68"/>
        <v>0</v>
      </c>
      <c r="Y27" s="32">
        <f t="shared" si="68"/>
        <v>0</v>
      </c>
      <c r="Z27" s="32">
        <f t="shared" si="68"/>
        <v>0</v>
      </c>
      <c r="AA27" s="32">
        <f t="shared" si="68"/>
        <v>8384</v>
      </c>
      <c r="AB27" s="32">
        <f t="shared" si="68"/>
        <v>7660</v>
      </c>
      <c r="AC27" s="32">
        <f t="shared" si="68"/>
        <v>15907</v>
      </c>
      <c r="AD27" s="32">
        <f t="shared" si="68"/>
        <v>0</v>
      </c>
      <c r="AE27" s="32">
        <f t="shared" si="68"/>
        <v>0</v>
      </c>
      <c r="AF27" s="32">
        <f t="shared" si="68"/>
        <v>0</v>
      </c>
      <c r="AG27" s="32">
        <f t="shared" si="68"/>
        <v>12336.55615</v>
      </c>
      <c r="AH27" s="32">
        <f t="shared" si="68"/>
        <v>10571.466566666666</v>
      </c>
      <c r="AI27" s="32">
        <f t="shared" ref="AI27:BI27" si="69">SUM(AI17:AI26)</f>
        <v>22908.022716666666</v>
      </c>
      <c r="AJ27" s="32">
        <f t="shared" si="69"/>
        <v>0</v>
      </c>
      <c r="AK27" s="32">
        <f t="shared" si="69"/>
        <v>0</v>
      </c>
      <c r="AL27" s="32">
        <f t="shared" si="69"/>
        <v>0</v>
      </c>
      <c r="AM27" s="32">
        <f t="shared" si="69"/>
        <v>10451.186433333332</v>
      </c>
      <c r="AN27" s="32">
        <f t="shared" si="69"/>
        <v>9502.7843533333325</v>
      </c>
      <c r="AO27" s="32">
        <f t="shared" si="69"/>
        <v>19953.970786666665</v>
      </c>
      <c r="AP27" s="32">
        <f t="shared" si="69"/>
        <v>0</v>
      </c>
      <c r="AQ27" s="32">
        <f t="shared" si="69"/>
        <v>0</v>
      </c>
      <c r="AR27" s="32">
        <f t="shared" si="69"/>
        <v>0</v>
      </c>
      <c r="AS27" s="32">
        <f t="shared" si="69"/>
        <v>10979.334483333332</v>
      </c>
      <c r="AT27" s="32">
        <f t="shared" si="69"/>
        <v>10608.854733333334</v>
      </c>
      <c r="AU27" s="32">
        <f t="shared" si="69"/>
        <v>21588.189216666666</v>
      </c>
      <c r="AV27" s="32">
        <f t="shared" si="69"/>
        <v>0</v>
      </c>
      <c r="AW27" s="32">
        <f t="shared" si="69"/>
        <v>0</v>
      </c>
      <c r="AX27" s="32">
        <f t="shared" si="69"/>
        <v>0</v>
      </c>
      <c r="AY27" s="32">
        <f t="shared" si="69"/>
        <v>7221.3490666666667</v>
      </c>
      <c r="AZ27" s="32">
        <f t="shared" si="69"/>
        <v>8295.0455000000002</v>
      </c>
      <c r="BA27" s="32">
        <f t="shared" si="69"/>
        <v>15516.394566666668</v>
      </c>
      <c r="BB27" s="32">
        <f t="shared" si="69"/>
        <v>0</v>
      </c>
      <c r="BC27" s="32">
        <f t="shared" si="69"/>
        <v>0</v>
      </c>
      <c r="BD27" s="32">
        <f t="shared" si="69"/>
        <v>0</v>
      </c>
      <c r="BE27" s="32">
        <f t="shared" si="69"/>
        <v>9888.5951999999997</v>
      </c>
      <c r="BF27" s="32">
        <f t="shared" si="69"/>
        <v>12626.593857575757</v>
      </c>
      <c r="BG27" s="32">
        <f t="shared" si="69"/>
        <v>22515.189057575757</v>
      </c>
      <c r="BH27" s="32">
        <f t="shared" si="69"/>
        <v>0</v>
      </c>
      <c r="BI27" s="32">
        <f t="shared" si="69"/>
        <v>0</v>
      </c>
      <c r="BK27" s="32">
        <f>SUM(BK17:BK26)</f>
        <v>10955.46005</v>
      </c>
      <c r="BL27" s="32">
        <f>SUM(BL17:BL26)</f>
        <v>11151.058011191592</v>
      </c>
      <c r="BM27" s="32">
        <f>SUM(BM17:BM26)</f>
        <v>22106.518061191593</v>
      </c>
      <c r="BN27" s="32">
        <f>SUM(BN17:BN26)</f>
        <v>0</v>
      </c>
      <c r="BO27" s="32">
        <f>SUM(BO17:BO26)</f>
        <v>0</v>
      </c>
      <c r="BQ27" s="32">
        <f>SUM(BQ17:BQ26)</f>
        <v>9794.2495990831703</v>
      </c>
      <c r="BR27" s="32">
        <f>SUM(BR17:BR26)</f>
        <v>11227.857311118089</v>
      </c>
      <c r="BS27" s="32">
        <f>SUM(BS17:BS26)</f>
        <v>21022.106910201259</v>
      </c>
      <c r="BT27" s="32">
        <f>SUM(BT17:BT26)</f>
        <v>0</v>
      </c>
      <c r="BU27" s="32">
        <f>SUM(BU17:BU26)</f>
        <v>0</v>
      </c>
      <c r="BW27" s="47">
        <f>SUM(BW17:BW26)</f>
        <v>5979</v>
      </c>
      <c r="BX27" s="47">
        <f>SUM(BX17:BX26)</f>
        <v>5077</v>
      </c>
      <c r="BY27" s="32">
        <f>SUM(BY17:BY26)</f>
        <v>11056</v>
      </c>
      <c r="BZ27" s="32">
        <f t="shared" ref="BZ27:CA27" si="70">SUM(BZ17:BZ26)</f>
        <v>0</v>
      </c>
      <c r="CA27" s="32">
        <f t="shared" si="70"/>
        <v>0</v>
      </c>
      <c r="CC27" s="23">
        <f>SUM(CC17:CC26)</f>
        <v>6356.4999999982538</v>
      </c>
      <c r="CD27" s="23">
        <f t="shared" ref="CD27:CG27" si="71">SUM(CD17:CD26)</f>
        <v>6807.4999999982538</v>
      </c>
      <c r="CE27" s="23">
        <f t="shared" si="71"/>
        <v>13163.999999996508</v>
      </c>
      <c r="CF27" s="23">
        <f t="shared" si="71"/>
        <v>0</v>
      </c>
      <c r="CG27" s="23">
        <f t="shared" si="71"/>
        <v>0</v>
      </c>
      <c r="CI27" s="23">
        <f>SUM(CI17:CI26)</f>
        <v>5488</v>
      </c>
      <c r="CJ27" s="23">
        <f>SUM(CJ17:CJ26)</f>
        <v>5939</v>
      </c>
      <c r="CK27" s="23">
        <f>SUM(CK17:CK26)</f>
        <v>11427</v>
      </c>
      <c r="CL27" s="23">
        <f t="shared" ref="CL27:CM27" si="72">SUM(CL17:CL26)</f>
        <v>0</v>
      </c>
      <c r="CM27" s="23">
        <f t="shared" si="72"/>
        <v>0</v>
      </c>
      <c r="CO27" s="32">
        <f>SUM(CO17:CO26)</f>
        <v>6685</v>
      </c>
      <c r="CP27" s="32">
        <f>SUM(CP17:CP26)</f>
        <v>4774</v>
      </c>
      <c r="CQ27" s="32">
        <f>SUM(CQ17:CQ26)</f>
        <v>11459</v>
      </c>
      <c r="CR27" s="32">
        <f t="shared" ref="CR27:CS27" si="73">SUM(CR17:CR26)</f>
        <v>0</v>
      </c>
      <c r="CS27" s="32">
        <f t="shared" si="73"/>
        <v>0</v>
      </c>
    </row>
    <row r="29" spans="1:97" x14ac:dyDescent="0.25">
      <c r="C29" s="32">
        <f>+C27+C15</f>
        <v>175377</v>
      </c>
      <c r="D29" s="32">
        <f>+D27+D15</f>
        <v>172874</v>
      </c>
      <c r="E29" s="32">
        <f>+E27+E15</f>
        <v>348251</v>
      </c>
      <c r="F29" s="32">
        <f>+F27+F15</f>
        <v>16746</v>
      </c>
      <c r="G29" s="23">
        <f>+G27+G15</f>
        <v>348251</v>
      </c>
      <c r="I29" s="32">
        <f>+I27+I15</f>
        <v>189405</v>
      </c>
      <c r="J29" s="32">
        <f>+J27+J15</f>
        <v>184188</v>
      </c>
      <c r="K29" s="32">
        <f>+K27+K15</f>
        <v>374371</v>
      </c>
      <c r="L29" s="32">
        <f>+L27+L15</f>
        <v>14137</v>
      </c>
      <c r="M29" s="32">
        <f>+M27+M15</f>
        <v>374371</v>
      </c>
      <c r="O29" s="32">
        <f>+O27+O15</f>
        <v>185531</v>
      </c>
      <c r="P29" s="32">
        <f>+P27+P15</f>
        <v>179520</v>
      </c>
      <c r="Q29" s="32">
        <f>+Q27+Q15</f>
        <v>366488</v>
      </c>
      <c r="R29" s="32">
        <f>+R27+R15</f>
        <v>15899</v>
      </c>
      <c r="S29" s="32">
        <f>+S27+S15</f>
        <v>366488</v>
      </c>
      <c r="U29" s="32">
        <f>+U27+U15</f>
        <v>176079</v>
      </c>
      <c r="V29" s="32">
        <f>+V27+V15</f>
        <v>166856</v>
      </c>
      <c r="W29" s="32">
        <f>+W27+W15</f>
        <v>343059</v>
      </c>
      <c r="X29" s="32">
        <f>+X27+X15</f>
        <v>14242</v>
      </c>
      <c r="Y29" s="32">
        <f>+Y27+Y15</f>
        <v>343059</v>
      </c>
      <c r="AA29" s="32">
        <f>+AA27+AA15</f>
        <v>167442</v>
      </c>
      <c r="AB29" s="32">
        <f>+AB27+AB15</f>
        <v>157595</v>
      </c>
      <c r="AC29" s="32">
        <f>+AC27+AC15</f>
        <v>324900</v>
      </c>
      <c r="AD29" s="32">
        <f>+AD27+AD15</f>
        <v>15907</v>
      </c>
      <c r="AE29" s="32">
        <f>+AE27+AE15</f>
        <v>324900</v>
      </c>
      <c r="AG29" s="32">
        <f>+AG27+AG15</f>
        <v>172041.38273333354</v>
      </c>
      <c r="AH29" s="32">
        <f>+AH27+AH15</f>
        <v>163658.50876666672</v>
      </c>
      <c r="AI29" s="32">
        <f>+AI27+AI15</f>
        <v>335699.89150000026</v>
      </c>
      <c r="AJ29" s="32">
        <f>+AJ27+AJ15</f>
        <v>22908.022716666666</v>
      </c>
      <c r="AK29" s="32">
        <f>+AK27+AK15</f>
        <v>335699.89150000026</v>
      </c>
      <c r="AM29" s="32">
        <f>+AM27+AM15</f>
        <v>162915.3930666667</v>
      </c>
      <c r="AN29" s="32">
        <f>+AN27+AN15</f>
        <v>153727.48880000005</v>
      </c>
      <c r="AO29" s="32">
        <f>+AO27+AO15</f>
        <v>316642.88186666678</v>
      </c>
      <c r="AP29" s="32">
        <f>+AP27+AP15</f>
        <v>19953.970786666665</v>
      </c>
      <c r="AQ29" s="32">
        <f>+AQ27+AQ15</f>
        <v>316642.88186666678</v>
      </c>
      <c r="AS29" s="32">
        <f>+AS27+AS15</f>
        <v>155003.43213333326</v>
      </c>
      <c r="AT29" s="32">
        <f>+AT27+AT15</f>
        <v>144416.80983333336</v>
      </c>
      <c r="AU29" s="32">
        <f>+AU27+AU15</f>
        <v>299420.2419666666</v>
      </c>
      <c r="AV29" s="32">
        <f>+AV27+AV15</f>
        <v>21588.189216666666</v>
      </c>
      <c r="AW29" s="32">
        <f>+AW27+AW15</f>
        <v>299420.2419666666</v>
      </c>
      <c r="AY29" s="32">
        <f>+AY27+AY15</f>
        <v>144357.6986</v>
      </c>
      <c r="AZ29" s="32">
        <f>+AZ27+AZ15</f>
        <v>136222.18459999998</v>
      </c>
      <c r="BA29" s="32">
        <f>+BA27+BA15</f>
        <v>280579.88319999998</v>
      </c>
      <c r="BB29" s="32">
        <f>+BB27+BB15</f>
        <v>15516.394566666666</v>
      </c>
      <c r="BC29" s="32">
        <f>+BC27+BC15</f>
        <v>280579.88320000004</v>
      </c>
      <c r="BE29" s="32">
        <f>+BE27+BE15</f>
        <v>134508.09750000006</v>
      </c>
      <c r="BF29" s="32">
        <f>+BF27+BF15</f>
        <v>126173.5124909092</v>
      </c>
      <c r="BG29" s="32">
        <f>+BG27+BG15</f>
        <v>260681.60999090923</v>
      </c>
      <c r="BH29" s="32">
        <f>+BH27+BH15</f>
        <v>22515.189057575753</v>
      </c>
      <c r="BI29" s="32">
        <f>+BI27+BI15</f>
        <v>260681.60999090923</v>
      </c>
      <c r="BK29" s="23">
        <f>+BK27+BK15</f>
        <v>125068.6835</v>
      </c>
      <c r="BL29" s="32">
        <f>+BL27+BL15</f>
        <v>119519.19706666663</v>
      </c>
      <c r="BM29" s="32">
        <f>+BM27+BM15</f>
        <v>244587.88056666666</v>
      </c>
      <c r="BN29" s="32">
        <f>+BN27+BN15</f>
        <v>22106.518061191742</v>
      </c>
      <c r="BO29" s="32">
        <f>+BO27+BO15</f>
        <v>244587.88056666675</v>
      </c>
      <c r="BQ29" s="23">
        <f>+BQ27+BQ15</f>
        <v>116818.34</v>
      </c>
      <c r="BR29" s="32">
        <f>+BR27+BR15</f>
        <v>111583.89000000004</v>
      </c>
      <c r="BS29" s="32">
        <f>+BS27+BS15</f>
        <v>228402.23000000004</v>
      </c>
      <c r="BT29" s="32">
        <f>+BT27+BT15</f>
        <v>21022.106910201259</v>
      </c>
      <c r="BU29" s="32">
        <f>+BU27+BU15</f>
        <v>228402.23000000004</v>
      </c>
      <c r="BW29" s="23">
        <f>+BW27+BW15</f>
        <v>113901</v>
      </c>
      <c r="BX29" s="32">
        <f>+BX27+BX15</f>
        <v>103749</v>
      </c>
      <c r="BY29" s="32">
        <f>+BY27+BY15</f>
        <v>217650</v>
      </c>
      <c r="BZ29" s="32">
        <f>+BZ27+BZ15</f>
        <v>14432.000000000022</v>
      </c>
      <c r="CA29" s="32">
        <f>+CA27+CA15</f>
        <v>221026</v>
      </c>
      <c r="CC29" s="23">
        <f>+CC27+CC15</f>
        <v>114386.49999999825</v>
      </c>
      <c r="CD29" s="23">
        <f t="shared" ref="CD29:CG29" si="74">+CD27+CD15</f>
        <v>105212.49999999825</v>
      </c>
      <c r="CE29" s="23">
        <f t="shared" si="74"/>
        <v>219598.99999999651</v>
      </c>
      <c r="CF29" s="23">
        <f t="shared" si="74"/>
        <v>17457.999999996508</v>
      </c>
      <c r="CG29" s="23">
        <f t="shared" si="74"/>
        <v>223892.99999999651</v>
      </c>
      <c r="CI29" s="23">
        <f>+CI27+CI15</f>
        <v>116733</v>
      </c>
      <c r="CJ29" s="23">
        <f t="shared" ref="CJ29:CK29" si="75">+CJ27+CJ15</f>
        <v>107770</v>
      </c>
      <c r="CK29" s="23">
        <f t="shared" si="75"/>
        <v>224503</v>
      </c>
      <c r="CL29" s="23">
        <f>+CL27+CL15</f>
        <v>17694</v>
      </c>
      <c r="CM29" s="23">
        <f>+CM27+CM15</f>
        <v>230770</v>
      </c>
      <c r="CO29" s="23">
        <f>+CO27+CO15</f>
        <v>122739.46303199261</v>
      </c>
      <c r="CP29" s="23">
        <f t="shared" ref="CP29:CQ29" si="76">+CP27+CP15</f>
        <v>110931.53696800739</v>
      </c>
      <c r="CQ29" s="23">
        <f t="shared" si="76"/>
        <v>233671</v>
      </c>
      <c r="CR29" s="32">
        <f>+CR27+CR15</f>
        <v>11459</v>
      </c>
      <c r="CS29" s="32">
        <f>+CS27+CS15</f>
        <v>233671</v>
      </c>
    </row>
    <row r="30" spans="1:97" x14ac:dyDescent="0.25">
      <c r="BK30" s="18" t="s">
        <v>2820</v>
      </c>
      <c r="CG30" s="18">
        <f>+'State SCH'!AE25-CG29</f>
        <v>0</v>
      </c>
    </row>
    <row r="31" spans="1:97" x14ac:dyDescent="0.25">
      <c r="A31" s="5" t="s">
        <v>2821</v>
      </c>
    </row>
    <row r="33" spans="1:97" x14ac:dyDescent="0.25">
      <c r="A33" s="5" t="s">
        <v>434</v>
      </c>
      <c r="G33" s="56">
        <f t="shared" ref="G33:G40" si="77">+G2/G$29</f>
        <v>7.5859044562139863E-2</v>
      </c>
      <c r="M33" s="56">
        <f t="shared" ref="M33:M40" si="78">+M2/M$11</f>
        <v>8.3573836645042657E-2</v>
      </c>
      <c r="S33" s="56">
        <f t="shared" ref="S33:S40" si="79">+S2/S$11</f>
        <v>8.6170706667800093E-2</v>
      </c>
      <c r="Y33" s="56">
        <f t="shared" ref="Y33:Y40" si="80">+Y2/Y$11</f>
        <v>8.8975192699256439E-2</v>
      </c>
      <c r="AE33" s="56">
        <f t="shared" ref="AE33:AE40" si="81">+AE2/AE$11</f>
        <v>8.9620438930024679E-2</v>
      </c>
      <c r="AK33" s="56">
        <f t="shared" ref="AK33:AK40" si="82">+AK2/AK$11</f>
        <v>9.2349140947544345E-2</v>
      </c>
      <c r="AQ33" s="56">
        <f t="shared" ref="AQ33:AQ40" si="83">+AQ2/AQ$11</f>
        <v>0.10127833038374641</v>
      </c>
      <c r="AW33" s="56">
        <f t="shared" ref="AW33:AW40" si="84">+AW2/AW$11</f>
        <v>0.10250301766762346</v>
      </c>
      <c r="BC33" s="56">
        <f t="shared" ref="BC33:BC40" si="85">+BC2/BC$11</f>
        <v>0.10464047262301639</v>
      </c>
      <c r="BI33" s="56">
        <f t="shared" ref="BI33:BI40" si="86">+BI2/BI$11</f>
        <v>0.10494587750003774</v>
      </c>
      <c r="BO33" s="56">
        <f t="shared" ref="BO33:BO40" si="87">+BO2/BO$11</f>
        <v>6.3453719233743211E-2</v>
      </c>
      <c r="BU33" s="56">
        <f t="shared" ref="BU33:BU40" si="88">+BU2/BU$11</f>
        <v>6.1345636624027797E-2</v>
      </c>
      <c r="CA33" s="56">
        <f t="shared" ref="CA33:CA40" si="89">+CA2/CA$11</f>
        <v>5.3793245603567061E-2</v>
      </c>
      <c r="CG33" s="296">
        <f t="shared" ref="CG33:CG41" si="90">+CG2/CG$11</f>
        <v>4.6676333664047234E-2</v>
      </c>
      <c r="CM33" s="296">
        <f t="shared" ref="CM33:CM41" si="91">+CM2/CM$11</f>
        <v>4.3760386167603069E-2</v>
      </c>
      <c r="CS33" s="56">
        <f t="shared" ref="CS33:CS41" si="92">+CS2/CS$11</f>
        <v>4.311307213864228E-2</v>
      </c>
    </row>
    <row r="34" spans="1:97" x14ac:dyDescent="0.25">
      <c r="A34" s="5" t="s">
        <v>436</v>
      </c>
      <c r="G34" s="56">
        <f t="shared" si="77"/>
        <v>6.0234663171643464E-2</v>
      </c>
      <c r="M34" s="56">
        <f t="shared" si="78"/>
        <v>6.3036343668590691E-2</v>
      </c>
      <c r="S34" s="56">
        <f t="shared" si="79"/>
        <v>6.5939095920329038E-2</v>
      </c>
      <c r="Y34" s="56">
        <f t="shared" si="80"/>
        <v>6.7597537081728234E-2</v>
      </c>
      <c r="AE34" s="56">
        <f t="shared" si="81"/>
        <v>6.9919729615547099E-2</v>
      </c>
      <c r="AK34" s="56">
        <f t="shared" si="82"/>
        <v>7.2184241706671329E-2</v>
      </c>
      <c r="AQ34" s="56">
        <f t="shared" si="83"/>
        <v>7.3912514113285754E-2</v>
      </c>
      <c r="AW34" s="56">
        <f t="shared" si="84"/>
        <v>7.7329157821436414E-2</v>
      </c>
      <c r="BC34" s="56">
        <f t="shared" si="85"/>
        <v>8.1214149889699425E-2</v>
      </c>
      <c r="BI34" s="56">
        <f t="shared" si="86"/>
        <v>8.9561597983321153E-2</v>
      </c>
      <c r="BO34" s="56">
        <f t="shared" si="87"/>
        <v>0.1313517163295114</v>
      </c>
      <c r="BU34" s="56">
        <f t="shared" si="88"/>
        <v>0.14303318080840563</v>
      </c>
      <c r="CA34" s="56">
        <f t="shared" si="89"/>
        <v>0.13911821821061654</v>
      </c>
      <c r="CG34" s="296">
        <f t="shared" si="90"/>
        <v>0.12327456816505344</v>
      </c>
      <c r="CM34" s="296">
        <f t="shared" si="91"/>
        <v>0.11414892775183984</v>
      </c>
      <c r="CS34" s="56">
        <f t="shared" si="92"/>
        <v>0.12100270151410442</v>
      </c>
    </row>
    <row r="35" spans="1:97" x14ac:dyDescent="0.25">
      <c r="A35" s="5" t="s">
        <v>437</v>
      </c>
      <c r="G35" s="56">
        <f t="shared" si="77"/>
        <v>3.01249250837759E-2</v>
      </c>
      <c r="M35" s="56">
        <f t="shared" si="78"/>
        <v>3.9536190427542528E-2</v>
      </c>
      <c r="S35" s="56">
        <f t="shared" si="79"/>
        <v>3.9449679262925932E-2</v>
      </c>
      <c r="Y35" s="56">
        <f t="shared" si="80"/>
        <v>4.108589130609408E-2</v>
      </c>
      <c r="AE35" s="56">
        <f t="shared" si="81"/>
        <v>4.0654022042855342E-2</v>
      </c>
      <c r="AK35" s="56">
        <f t="shared" si="82"/>
        <v>3.8443606134584966E-2</v>
      </c>
      <c r="AQ35" s="56">
        <f t="shared" si="83"/>
        <v>3.8798798204327072E-2</v>
      </c>
      <c r="AW35" s="56">
        <f t="shared" si="84"/>
        <v>4.045738246738332E-2</v>
      </c>
      <c r="BC35" s="56">
        <f t="shared" si="85"/>
        <v>4.1066770902678983E-2</v>
      </c>
      <c r="BI35" s="56">
        <f t="shared" si="86"/>
        <v>4.9111515277857357E-2</v>
      </c>
      <c r="BO35" s="56">
        <f t="shared" si="87"/>
        <v>5.989160374425518E-2</v>
      </c>
      <c r="BU35" s="56">
        <f t="shared" si="88"/>
        <v>6.2438882132020264E-2</v>
      </c>
      <c r="CA35" s="56">
        <f t="shared" si="89"/>
        <v>6.4804669277585519E-2</v>
      </c>
      <c r="CG35" s="296">
        <f t="shared" si="90"/>
        <v>5.9889592714137775E-2</v>
      </c>
      <c r="CM35" s="296">
        <f t="shared" si="91"/>
        <v>6.1634486033077474E-2</v>
      </c>
      <c r="CS35" s="56">
        <f t="shared" si="92"/>
        <v>6.5570918369812631E-2</v>
      </c>
    </row>
    <row r="36" spans="1:97" x14ac:dyDescent="0.25">
      <c r="A36" s="5" t="s">
        <v>81</v>
      </c>
      <c r="G36" s="56">
        <f t="shared" si="77"/>
        <v>0.51674057318032451</v>
      </c>
      <c r="M36" s="56">
        <f t="shared" si="78"/>
        <v>0.59537978239771161</v>
      </c>
      <c r="S36" s="56">
        <f t="shared" si="79"/>
        <v>0.59543971385414152</v>
      </c>
      <c r="Y36" s="56">
        <f t="shared" si="80"/>
        <v>0.58671029976216005</v>
      </c>
      <c r="AE36" s="56">
        <f t="shared" si="81"/>
        <v>0.57521549967017238</v>
      </c>
      <c r="AK36" s="56">
        <f t="shared" si="82"/>
        <v>0.56513084288562099</v>
      </c>
      <c r="AQ36" s="56">
        <f t="shared" si="83"/>
        <v>0.54492248888458805</v>
      </c>
      <c r="AW36" s="56">
        <f t="shared" si="84"/>
        <v>0.52761921926016964</v>
      </c>
      <c r="BC36" s="56">
        <f t="shared" si="85"/>
        <v>0.52694862496580464</v>
      </c>
      <c r="BI36" s="56">
        <f t="shared" si="86"/>
        <v>0.49102958996119539</v>
      </c>
      <c r="BO36" s="56">
        <f t="shared" si="87"/>
        <v>0.48164307047882859</v>
      </c>
      <c r="BU36" s="56">
        <f t="shared" si="88"/>
        <v>0.46213497269338244</v>
      </c>
      <c r="CA36" s="56">
        <f t="shared" si="89"/>
        <v>0.46422100957939627</v>
      </c>
      <c r="CG36" s="296">
        <f t="shared" si="90"/>
        <v>0.43967539240378301</v>
      </c>
      <c r="CM36" s="296">
        <f t="shared" si="91"/>
        <v>0.43168869193637732</v>
      </c>
      <c r="CS36" s="56">
        <f t="shared" si="92"/>
        <v>0.42603698996235279</v>
      </c>
    </row>
    <row r="37" spans="1:97" x14ac:dyDescent="0.25">
      <c r="A37" s="5" t="s">
        <v>440</v>
      </c>
      <c r="G37" s="56">
        <f t="shared" si="77"/>
        <v>9.7044903854269018E-2</v>
      </c>
      <c r="M37" s="56">
        <f t="shared" si="78"/>
        <v>0.10980998110027072</v>
      </c>
      <c r="S37" s="56">
        <f t="shared" si="79"/>
        <v>0.10344669748706917</v>
      </c>
      <c r="Y37" s="56">
        <f t="shared" si="80"/>
        <v>0.10437716317357427</v>
      </c>
      <c r="AE37" s="56">
        <f t="shared" si="81"/>
        <v>0.10900614442739717</v>
      </c>
      <c r="AK37" s="56">
        <f t="shared" si="82"/>
        <v>0.11636585645174193</v>
      </c>
      <c r="AQ37" s="56">
        <f t="shared" si="83"/>
        <v>0.11850422993903416</v>
      </c>
      <c r="AW37" s="56">
        <f t="shared" si="84"/>
        <v>0.1210896914251985</v>
      </c>
      <c r="BC37" s="56">
        <f t="shared" si="85"/>
        <v>0.12239619464560332</v>
      </c>
      <c r="BI37" s="56">
        <f t="shared" si="86"/>
        <v>0.13060731014772106</v>
      </c>
      <c r="BO37" s="56">
        <f t="shared" si="87"/>
        <v>0.12992074008814297</v>
      </c>
      <c r="BU37" s="56">
        <f t="shared" si="88"/>
        <v>0.1167345207763666</v>
      </c>
      <c r="CA37" s="56">
        <f t="shared" si="89"/>
        <v>0.11894507306594922</v>
      </c>
      <c r="CG37" s="296">
        <f t="shared" si="90"/>
        <v>0.11398916278715</v>
      </c>
      <c r="CM37" s="296">
        <f t="shared" si="91"/>
        <v>0.12094939463480256</v>
      </c>
      <c r="CS37" s="56">
        <f t="shared" si="92"/>
        <v>0.12341908264506744</v>
      </c>
    </row>
    <row r="38" spans="1:97" x14ac:dyDescent="0.25">
      <c r="A38" s="5" t="s">
        <v>85</v>
      </c>
      <c r="G38" s="56">
        <f t="shared" si="77"/>
        <v>1.9682346697203856E-3</v>
      </c>
      <c r="M38" s="56">
        <f t="shared" si="78"/>
        <v>2.4646268580477094E-3</v>
      </c>
      <c r="S38" s="56">
        <f t="shared" si="79"/>
        <v>4.3189977048172686E-3</v>
      </c>
      <c r="Y38" s="56">
        <f t="shared" si="80"/>
        <v>4.0024168171356534E-3</v>
      </c>
      <c r="AE38" s="56">
        <f t="shared" si="81"/>
        <v>5.3735945270866224E-3</v>
      </c>
      <c r="AK38" s="56">
        <f t="shared" si="82"/>
        <v>5.7207272382423539E-3</v>
      </c>
      <c r="AQ38" s="56">
        <f t="shared" si="83"/>
        <v>5.250480706150207E-3</v>
      </c>
      <c r="AW38" s="56">
        <f t="shared" si="84"/>
        <v>5.1120071649756599E-3</v>
      </c>
      <c r="BC38" s="56">
        <f t="shared" si="85"/>
        <v>6.2270589390110024E-3</v>
      </c>
      <c r="BI38" s="56">
        <f t="shared" si="86"/>
        <v>1.2648572242219092E-2</v>
      </c>
      <c r="BO38" s="56">
        <f t="shared" si="87"/>
        <v>8.8722442596745731E-3</v>
      </c>
      <c r="BU38" s="56">
        <f t="shared" si="88"/>
        <v>1.0061544926590896E-2</v>
      </c>
      <c r="CA38" s="56">
        <f t="shared" si="89"/>
        <v>1.1705740043611749E-2</v>
      </c>
      <c r="CG38" s="296">
        <f t="shared" si="90"/>
        <v>1.0562466610700028E-2</v>
      </c>
      <c r="CM38" s="296">
        <f t="shared" si="91"/>
        <v>1.5801812138957032E-2</v>
      </c>
      <c r="CS38" s="56">
        <f t="shared" si="92"/>
        <v>1.4498286785778147E-2</v>
      </c>
    </row>
    <row r="39" spans="1:97" x14ac:dyDescent="0.25">
      <c r="A39" s="5" t="s">
        <v>87</v>
      </c>
      <c r="G39" s="56">
        <f t="shared" si="77"/>
        <v>7.6460449600109989E-2</v>
      </c>
      <c r="M39" s="56">
        <f t="shared" si="78"/>
        <v>8.2801246360525105E-2</v>
      </c>
      <c r="S39" s="56">
        <f t="shared" si="79"/>
        <v>8.1223966677347006E-2</v>
      </c>
      <c r="Y39" s="56">
        <f t="shared" si="80"/>
        <v>8.2035574710034337E-2</v>
      </c>
      <c r="AE39" s="56">
        <f t="shared" si="81"/>
        <v>8.319806698834116E-2</v>
      </c>
      <c r="AK39" s="56">
        <f t="shared" si="82"/>
        <v>8.3921330695685456E-2</v>
      </c>
      <c r="AQ39" s="56">
        <f t="shared" si="83"/>
        <v>9.1196022171205232E-2</v>
      </c>
      <c r="AW39" s="56">
        <f t="shared" si="84"/>
        <v>9.8972373136814284E-2</v>
      </c>
      <c r="BC39" s="56">
        <f t="shared" si="85"/>
        <v>9.0240922638681109E-2</v>
      </c>
      <c r="BI39" s="56">
        <f t="shared" si="86"/>
        <v>8.7510042256419965E-2</v>
      </c>
      <c r="BO39" s="56">
        <f t="shared" si="87"/>
        <v>8.3265774969543141E-2</v>
      </c>
      <c r="BU39" s="56">
        <f t="shared" si="88"/>
        <v>9.7493918982944225E-2</v>
      </c>
      <c r="CA39" s="56">
        <f t="shared" si="89"/>
        <v>9.9439122557687942E-2</v>
      </c>
      <c r="CG39" s="296">
        <f t="shared" si="90"/>
        <v>9.5001144776007185E-2</v>
      </c>
      <c r="CM39" s="296">
        <f t="shared" si="91"/>
        <v>0.10224440136108254</v>
      </c>
      <c r="CS39" s="56">
        <f t="shared" si="92"/>
        <v>0.10925425645536219</v>
      </c>
    </row>
    <row r="40" spans="1:97" x14ac:dyDescent="0.25">
      <c r="A40" s="5" t="s">
        <v>447</v>
      </c>
      <c r="G40" s="56">
        <f t="shared" si="77"/>
        <v>2.1917872494910961E-2</v>
      </c>
      <c r="M40" s="56">
        <f t="shared" si="78"/>
        <v>2.339799254226899E-2</v>
      </c>
      <c r="S40" s="56">
        <f t="shared" si="79"/>
        <v>2.4011142425570037E-2</v>
      </c>
      <c r="Y40" s="56">
        <f t="shared" si="80"/>
        <v>2.5215924450016941E-2</v>
      </c>
      <c r="AE40" s="56">
        <f t="shared" si="81"/>
        <v>2.7012503798575442E-2</v>
      </c>
      <c r="AK40" s="56">
        <f t="shared" si="82"/>
        <v>2.5884253939908564E-2</v>
      </c>
      <c r="AQ40" s="56">
        <f t="shared" si="83"/>
        <v>2.613713559766296E-2</v>
      </c>
      <c r="AW40" s="56">
        <f t="shared" si="84"/>
        <v>2.6917151056398674E-2</v>
      </c>
      <c r="BC40" s="56">
        <f t="shared" si="85"/>
        <v>2.7265805395504966E-2</v>
      </c>
      <c r="BI40" s="56">
        <f t="shared" si="86"/>
        <v>3.4585494631228252E-2</v>
      </c>
      <c r="BO40" s="56">
        <f t="shared" si="87"/>
        <v>4.160113089630111E-2</v>
      </c>
      <c r="BU40" s="56">
        <f t="shared" si="88"/>
        <v>4.6757343056262037E-2</v>
      </c>
      <c r="CA40" s="56">
        <f t="shared" si="89"/>
        <v>4.7972921661585871E-2</v>
      </c>
      <c r="CG40" s="296">
        <f t="shared" si="90"/>
        <v>4.3954310717648139E-2</v>
      </c>
      <c r="CM40" s="296">
        <f t="shared" si="91"/>
        <v>4.1806797499406502E-2</v>
      </c>
      <c r="CS40" s="56">
        <f t="shared" si="92"/>
        <v>4.1726069369469508E-2</v>
      </c>
    </row>
    <row r="41" spans="1:97" x14ac:dyDescent="0.25">
      <c r="A41" s="5" t="s">
        <v>219</v>
      </c>
      <c r="G41" s="56"/>
      <c r="M41" s="56"/>
      <c r="S41" s="56"/>
      <c r="Y41" s="56"/>
      <c r="AE41" s="56"/>
      <c r="AK41" s="56"/>
      <c r="AQ41" s="56"/>
      <c r="AW41" s="56"/>
      <c r="BC41" s="56"/>
      <c r="BI41" s="56"/>
      <c r="BO41" s="56"/>
      <c r="BU41" s="56"/>
      <c r="CA41" s="56"/>
      <c r="CG41" s="296">
        <f t="shared" si="90"/>
        <v>6.6977028161473162E-2</v>
      </c>
      <c r="CM41" s="296">
        <f t="shared" si="91"/>
        <v>6.7965102476853681E-2</v>
      </c>
      <c r="CS41" s="56">
        <f t="shared" si="92"/>
        <v>5.5378622759410599E-2</v>
      </c>
    </row>
    <row r="42" spans="1:97" x14ac:dyDescent="0.25">
      <c r="G42" s="57">
        <f>+G11/G$29</f>
        <v>0.8803506666168941</v>
      </c>
      <c r="M42" s="57">
        <f>SUM(M33:M40)</f>
        <v>1</v>
      </c>
      <c r="S42" s="57">
        <f>SUM(S33:S40)</f>
        <v>0.99999999999999989</v>
      </c>
      <c r="Y42" s="57">
        <f>SUM(Y33:Y40)</f>
        <v>1</v>
      </c>
      <c r="AE42" s="57">
        <f>SUM(AE33:AE40)</f>
        <v>1</v>
      </c>
      <c r="AK42" s="57">
        <f>SUM(AK33:AK40)</f>
        <v>0.99999999999999989</v>
      </c>
      <c r="AQ42" s="57">
        <f>SUM(AQ33:AQ40)</f>
        <v>0.99999999999999989</v>
      </c>
      <c r="AW42" s="57">
        <f>SUM(AW33:AW40)</f>
        <v>1</v>
      </c>
      <c r="BC42" s="57">
        <f>SUM(BC33:BC40)</f>
        <v>0.99999999999999989</v>
      </c>
      <c r="BI42" s="57">
        <f>SUM(BI33:BI40)</f>
        <v>1</v>
      </c>
      <c r="BO42" s="57">
        <f>SUM(BO33:BO40)</f>
        <v>1.0000000000000002</v>
      </c>
      <c r="BU42" s="57">
        <f>SUM(BU33:BU40)</f>
        <v>0.99999999999999989</v>
      </c>
      <c r="CA42" s="57">
        <f>SUM(CA33:CA40)</f>
        <v>1.0000000000000002</v>
      </c>
      <c r="CG42" s="258">
        <f>SUM(CG33:CG41)</f>
        <v>1</v>
      </c>
      <c r="CM42" s="258">
        <f>SUM(CM33:CM41)</f>
        <v>1</v>
      </c>
      <c r="CS42" s="57">
        <f>SUM(CS33:CS41)</f>
        <v>1</v>
      </c>
    </row>
    <row r="43" spans="1:97" x14ac:dyDescent="0.25">
      <c r="G43" s="56"/>
      <c r="M43" s="56"/>
      <c r="S43" s="56"/>
      <c r="Y43" s="56"/>
      <c r="AE43" s="56"/>
      <c r="AK43" s="56"/>
      <c r="AQ43" s="56"/>
      <c r="AW43" s="56"/>
      <c r="BC43" s="56"/>
      <c r="BI43" s="56"/>
      <c r="BO43" s="56"/>
      <c r="BU43" s="56"/>
      <c r="CA43" s="56"/>
      <c r="CG43" s="296"/>
      <c r="CM43" s="296"/>
      <c r="CS43" s="56"/>
    </row>
    <row r="44" spans="1:97" x14ac:dyDescent="0.25">
      <c r="A44" s="5" t="s">
        <v>91</v>
      </c>
      <c r="G44" s="56">
        <f>+G13/G$29</f>
        <v>0.11964933338310586</v>
      </c>
      <c r="M44" s="56">
        <f>+M13/M13</f>
        <v>1</v>
      </c>
      <c r="S44" s="56">
        <f>+S13/S13</f>
        <v>1</v>
      </c>
      <c r="Y44" s="56">
        <f>+Y13/Y13</f>
        <v>1</v>
      </c>
      <c r="AE44" s="56">
        <f>+AE13/AE13</f>
        <v>1</v>
      </c>
      <c r="AK44" s="56">
        <f>+AK13/AK13</f>
        <v>1</v>
      </c>
      <c r="AQ44" s="56">
        <f>+AQ13/AQ13</f>
        <v>1</v>
      </c>
      <c r="AW44" s="56">
        <f>+AW13/AW13</f>
        <v>1</v>
      </c>
      <c r="BC44" s="56">
        <f>+BC13/BC13</f>
        <v>1</v>
      </c>
      <c r="BI44" s="56">
        <f>+BI13/BI13</f>
        <v>1</v>
      </c>
      <c r="BO44" s="56">
        <f>+BO13/BO13</f>
        <v>1</v>
      </c>
      <c r="BU44" s="56">
        <f>+BU13/BU13</f>
        <v>1</v>
      </c>
      <c r="CA44" s="56">
        <f>+CA13/CA13</f>
        <v>1</v>
      </c>
      <c r="CG44" s="296">
        <f>+CG13/CG13</f>
        <v>1</v>
      </c>
      <c r="CM44" s="296">
        <f>+CM13/CM13</f>
        <v>1</v>
      </c>
      <c r="CS44" s="56">
        <f>+CS13/CS13</f>
        <v>1</v>
      </c>
    </row>
    <row r="45" spans="1:97" x14ac:dyDescent="0.25">
      <c r="G45" s="56"/>
      <c r="M45" s="56"/>
      <c r="S45" s="56"/>
      <c r="Y45" s="56"/>
      <c r="AE45" s="56"/>
      <c r="AK45" s="56"/>
      <c r="AQ45" s="56"/>
      <c r="AW45" s="56"/>
      <c r="BC45" s="56"/>
      <c r="BI45" s="56"/>
      <c r="BO45" s="56"/>
      <c r="BU45" s="56"/>
      <c r="CA45" s="56"/>
      <c r="CG45" s="296"/>
      <c r="CM45" s="296"/>
      <c r="CS45" s="56"/>
    </row>
    <row r="48" spans="1:97" x14ac:dyDescent="0.25">
      <c r="A48" s="5" t="s">
        <v>75</v>
      </c>
      <c r="BI48" s="5">
        <f>BI33*(+'Net Tuition AY'!$K$22+'Net Tuition AY'!$K$28+'Net Tuition AY'!$K$24)</f>
        <v>5692321.8062443342</v>
      </c>
      <c r="BO48" s="5">
        <f>BO33*(+'Net Tuition AY'!$L$22+'Net Tuition AY'!$L$28+'Net Tuition AY'!$L$24)</f>
        <v>3186401.7096293117</v>
      </c>
      <c r="BU48" s="5">
        <f>+BU33*('Net Tuition AY'!$M$22+'Net Tuition AY'!$M$24+'Net Tuition AY'!$M$28)</f>
        <v>2839134.4768886557</v>
      </c>
      <c r="CA48" s="5">
        <f>+CA33*('Net Tuition AY'!$N$22+'Net Tuition AY'!$N$24+'Net Tuition AY'!$N$28)</f>
        <v>2570238.2791925864</v>
      </c>
      <c r="CG48" s="18">
        <f>+CG33*('Net Tuition AY'!$O$22+'Net Tuition AY'!$O$24+'Net Tuition AY'!$O$28)</f>
        <v>2358221.6661128406</v>
      </c>
      <c r="CM48" s="18">
        <f>+CM33*('Net Tuition AY'!$P$22+'Net Tuition AY'!$P$24+'Net Tuition AY'!$P$28)</f>
        <v>2358862.7879243488</v>
      </c>
      <c r="CS48" s="5">
        <f>+CS33*('Net Tuition AY'!$Q$22+'Net Tuition AY'!$Q$24+'Net Tuition AY'!$Q$28)</f>
        <v>2476356.8781581358</v>
      </c>
    </row>
    <row r="49" spans="1:97" x14ac:dyDescent="0.25">
      <c r="A49" s="5" t="s">
        <v>77</v>
      </c>
      <c r="BI49" s="5">
        <f>BI34*(+'Net Tuition AY'!$K$22+'Net Tuition AY'!$K$28+'Net Tuition AY'!$K$24)</f>
        <v>4857870.0692875162</v>
      </c>
      <c r="BO49" s="5">
        <f>BO34*(+'Net Tuition AY'!$L$22+'Net Tuition AY'!$L$28+'Net Tuition AY'!$L$24)</f>
        <v>6595977.9588858215</v>
      </c>
      <c r="BU49" s="5">
        <f>+BU34*('Net Tuition AY'!$M$22+'Net Tuition AY'!$M$24+'Net Tuition AY'!$M$28)</f>
        <v>6619711.8054381087</v>
      </c>
      <c r="CA49" s="5">
        <f>+CA34*('Net Tuition AY'!$N$22+'Net Tuition AY'!$N$24+'Net Tuition AY'!$N$28)</f>
        <v>6647060.718609686</v>
      </c>
      <c r="CG49" s="18">
        <f>+CG34*('Net Tuition AY'!$O$22+'Net Tuition AY'!$O$24+'Net Tuition AY'!$O$28)</f>
        <v>6228183.2077880977</v>
      </c>
      <c r="CM49" s="18">
        <f>+CM34*('Net Tuition AY'!$P$22+'Net Tuition AY'!$P$24+'Net Tuition AY'!$P$28)</f>
        <v>6153091.4495133338</v>
      </c>
      <c r="CS49" s="5">
        <f>+CS34*('Net Tuition AY'!$Q$22+'Net Tuition AY'!$Q$24+'Net Tuition AY'!$Q$28)</f>
        <v>6950232.4308175556</v>
      </c>
    </row>
    <row r="50" spans="1:97" x14ac:dyDescent="0.25">
      <c r="A50" s="5" t="s">
        <v>79</v>
      </c>
      <c r="BI50" s="5">
        <f>BI35*(+'Net Tuition AY'!$K$22+'Net Tuition AY'!$K$28+'Net Tuition AY'!$K$24)</f>
        <v>2663835.4551254162</v>
      </c>
      <c r="BO50" s="5">
        <f>BO35*(+'Net Tuition AY'!$L$22+'Net Tuition AY'!$L$28+'Net Tuition AY'!$L$24)</f>
        <v>3007525.9711751053</v>
      </c>
      <c r="BU50" s="5">
        <f>+BU35*('Net Tuition AY'!$M$22+'Net Tuition AY'!$M$24+'Net Tuition AY'!$M$28)</f>
        <v>2889730.9199978523</v>
      </c>
      <c r="CA50" s="5">
        <f>+CA35*('Net Tuition AY'!$N$22+'Net Tuition AY'!$N$24+'Net Tuition AY'!$N$28)</f>
        <v>3096363.4891110044</v>
      </c>
      <c r="CG50" s="18">
        <f>+CG35*('Net Tuition AY'!$O$22+'Net Tuition AY'!$O$24+'Net Tuition AY'!$O$28)</f>
        <v>3025793.2452380909</v>
      </c>
      <c r="CM50" s="18">
        <f>+CM35*('Net Tuition AY'!$P$22+'Net Tuition AY'!$P$24+'Net Tuition AY'!$P$28)</f>
        <v>3322349.4646375724</v>
      </c>
      <c r="CS50" s="5">
        <f>+CS35*('Net Tuition AY'!$Q$22+'Net Tuition AY'!$Q$24+'Net Tuition AY'!$Q$28)</f>
        <v>3766305.360705032</v>
      </c>
    </row>
    <row r="51" spans="1:97" x14ac:dyDescent="0.25">
      <c r="A51" s="5" t="s">
        <v>81</v>
      </c>
      <c r="BI51" s="5">
        <f>BI36*(+'Net Tuition AY'!$K$22+'Net Tuition AY'!$K$28+'Net Tuition AY'!$K$24)</f>
        <v>26633713.577232428</v>
      </c>
      <c r="BO51" s="5">
        <f>BO36*(+'Net Tuition AY'!$L$22+'Net Tuition AY'!$L$28+'Net Tuition AY'!$L$24)</f>
        <v>24186262.393091191</v>
      </c>
      <c r="BU51" s="5">
        <f>+BU36*('Net Tuition AY'!$M$22+'Net Tuition AY'!$M$24+'Net Tuition AY'!$M$28)</f>
        <v>21388046.585792083</v>
      </c>
      <c r="CA51" s="5">
        <f>+CA36*('Net Tuition AY'!$N$22+'Net Tuition AY'!$N$24+'Net Tuition AY'!$N$28)</f>
        <v>22180453.985235531</v>
      </c>
      <c r="CG51" s="18">
        <f>+CG36*('Net Tuition AY'!$O$22+'Net Tuition AY'!$O$24+'Net Tuition AY'!$O$28)</f>
        <v>22213656.36568642</v>
      </c>
      <c r="CM51" s="18">
        <f>+CM36*('Net Tuition AY'!$P$22+'Net Tuition AY'!$P$24+'Net Tuition AY'!$P$28)</f>
        <v>23269776.173280843</v>
      </c>
      <c r="CS51" s="5">
        <f>+CS36*('Net Tuition AY'!$Q$22+'Net Tuition AY'!$Q$24+'Net Tuition AY'!$Q$28)</f>
        <v>24470991.699462913</v>
      </c>
    </row>
    <row r="52" spans="1:97" x14ac:dyDescent="0.25">
      <c r="A52" s="5" t="s">
        <v>83</v>
      </c>
      <c r="BI52" s="5">
        <f>BI37*(+'Net Tuition AY'!$K$22+'Net Tuition AY'!$K$28+'Net Tuition AY'!$K$24)</f>
        <v>7084211.9511414077</v>
      </c>
      <c r="BO52" s="5">
        <f>BO37*(+'Net Tuition AY'!$L$22+'Net Tuition AY'!$L$28+'Net Tuition AY'!$L$24)</f>
        <v>6524119.8361942433</v>
      </c>
      <c r="BU52" s="5">
        <f>+BU37*('Net Tuition AY'!$M$22+'Net Tuition AY'!$M$24+'Net Tuition AY'!$M$28)</f>
        <v>5402584.7773082741</v>
      </c>
      <c r="CA52" s="5">
        <f>+CA37*('Net Tuition AY'!$N$22+'Net Tuition AY'!$N$24+'Net Tuition AY'!$N$28)</f>
        <v>5683188.9670399344</v>
      </c>
      <c r="CG52" s="18">
        <f>+CG37*('Net Tuition AY'!$O$22+'Net Tuition AY'!$O$24+'Net Tuition AY'!$O$28)</f>
        <v>5759058.0125999646</v>
      </c>
      <c r="CM52" s="18">
        <f>+CM37*('Net Tuition AY'!$P$22+'Net Tuition AY'!$P$24+'Net Tuition AY'!$P$28)</f>
        <v>6519664.2720038379</v>
      </c>
      <c r="CS52" s="5">
        <f>+CS37*('Net Tuition AY'!$Q$22+'Net Tuition AY'!$Q$24+'Net Tuition AY'!$Q$28)</f>
        <v>7089026.1130369334</v>
      </c>
    </row>
    <row r="53" spans="1:97" x14ac:dyDescent="0.25">
      <c r="A53" s="5" t="s">
        <v>85</v>
      </c>
      <c r="BI53" s="5">
        <f>BI38*(+'Net Tuition AY'!$K$22+'Net Tuition AY'!$K$28+'Net Tuition AY'!$K$24)</f>
        <v>686065.47781940876</v>
      </c>
      <c r="BO53" s="5">
        <f>BO38*(+'Net Tuition AY'!$L$22+'Net Tuition AY'!$L$28+'Net Tuition AY'!$L$24)</f>
        <v>445529.98025436932</v>
      </c>
      <c r="BU53" s="5">
        <f>+BU38*('Net Tuition AY'!$M$22+'Net Tuition AY'!$M$24+'Net Tuition AY'!$M$28)</f>
        <v>465657.87990632118</v>
      </c>
      <c r="CA53" s="5">
        <f>+CA38*('Net Tuition AY'!$N$22+'Net Tuition AY'!$N$24+'Net Tuition AY'!$N$28)</f>
        <v>559299.60739110631</v>
      </c>
      <c r="CG53" s="18">
        <f>+CG38*('Net Tuition AY'!$O$22+'Net Tuition AY'!$O$24+'Net Tuition AY'!$O$28)</f>
        <v>533645.97545784363</v>
      </c>
      <c r="CM53" s="18">
        <f>+CM38*('Net Tuition AY'!$P$22+'Net Tuition AY'!$P$24+'Net Tuition AY'!$P$28)</f>
        <v>851781.94025975314</v>
      </c>
      <c r="CS53" s="5">
        <f>+CS38*('Net Tuition AY'!$Q$22+'Net Tuition AY'!$Q$24+'Net Tuition AY'!$Q$28)</f>
        <v>832762.09331626585</v>
      </c>
    </row>
    <row r="54" spans="1:97" x14ac:dyDescent="0.25">
      <c r="A54" s="5" t="s">
        <v>87</v>
      </c>
      <c r="BI54" s="5">
        <f>BI39*(+'Net Tuition AY'!$K$22+'Net Tuition AY'!$K$28+'Net Tuition AY'!$K$24)</f>
        <v>4746592.5643568356</v>
      </c>
      <c r="BO54" s="5">
        <f>BO39*(+'Net Tuition AY'!$L$22+'Net Tuition AY'!$L$28+'Net Tuition AY'!$L$24)</f>
        <v>4181286.9429956404</v>
      </c>
      <c r="BU54" s="5">
        <f>+BU39*('Net Tuition AY'!$M$22+'Net Tuition AY'!$M$24+'Net Tuition AY'!$M$28)</f>
        <v>4512111.4052152531</v>
      </c>
      <c r="CA54" s="5">
        <f>+CA39*('Net Tuition AY'!$N$22+'Net Tuition AY'!$N$24+'Net Tuition AY'!$N$28)</f>
        <v>4751195.7380415946</v>
      </c>
      <c r="CG54" s="18">
        <f>+CG39*('Net Tuition AY'!$O$22+'Net Tuition AY'!$O$24+'Net Tuition AY'!$O$28)</f>
        <v>4799729.1203029165</v>
      </c>
      <c r="CM54" s="18">
        <f>+CM39*('Net Tuition AY'!$P$22+'Net Tuition AY'!$P$24+'Net Tuition AY'!$P$28)</f>
        <v>5511389.0613426846</v>
      </c>
      <c r="CS54" s="5">
        <f>+CS39*('Net Tuition AY'!$Q$22+'Net Tuition AY'!$Q$24+'Net Tuition AY'!$Q$28)</f>
        <v>6275417.5478669414</v>
      </c>
    </row>
    <row r="55" spans="1:97" x14ac:dyDescent="0.25">
      <c r="A55" s="5" t="s">
        <v>89</v>
      </c>
      <c r="BI55" s="5">
        <f>BI40*(+'Net Tuition AY'!$K$22+'Net Tuition AY'!$K$28+'Net Tuition AY'!$K$24)</f>
        <v>1875936.1487926585</v>
      </c>
      <c r="BO55" s="5">
        <f>BO40*(+'Net Tuition AY'!$L$22+'Net Tuition AY'!$L$28+'Net Tuition AY'!$L$24)</f>
        <v>2089048.7777743284</v>
      </c>
      <c r="BU55" s="5">
        <f>+BU40*('Net Tuition AY'!$M$22+'Net Tuition AY'!$M$24+'Net Tuition AY'!$M$28)</f>
        <v>2163974.3594534383</v>
      </c>
      <c r="CA55" s="5">
        <f>+CA40*('Net Tuition AY'!$N$22+'Net Tuition AY'!$N$24+'Net Tuition AY'!$N$28)</f>
        <v>2292143.5253785658</v>
      </c>
      <c r="CG55" s="18">
        <f>+CG40*('Net Tuition AY'!$O$22+'Net Tuition AY'!$O$24+'Net Tuition AY'!$O$28)</f>
        <v>2220697.2938248124</v>
      </c>
      <c r="CM55" s="18">
        <f>+CM40*('Net Tuition AY'!$P$22+'Net Tuition AY'!$P$24+'Net Tuition AY'!$P$28)</f>
        <v>2253556.4134634407</v>
      </c>
      <c r="CS55" s="5">
        <f>+CS40*('Net Tuition AY'!$Q$22+'Net Tuition AY'!$Q$24+'Net Tuition AY'!$Q$28)</f>
        <v>2396689.3045642134</v>
      </c>
    </row>
    <row r="56" spans="1:97" x14ac:dyDescent="0.25">
      <c r="A56" s="5" t="s">
        <v>219</v>
      </c>
      <c r="CG56" s="18">
        <f>+CG41*('Net Tuition AY'!$O$22+'Net Tuition AY'!$O$24+'Net Tuition AY'!$O$28)</f>
        <v>3383870.7229890125</v>
      </c>
      <c r="CM56" s="18">
        <f>+CM41*('Net Tuition AY'!$P$22+'Net Tuition AY'!$P$24+'Net Tuition AY'!$P$28)</f>
        <v>3663595.4375741868</v>
      </c>
      <c r="CS56" s="5">
        <f>+CS41*('Net Tuition AY'!$Q$22+'Net Tuition AY'!$Q$24+'Net Tuition AY'!$Q$28)</f>
        <v>3180873.6091036974</v>
      </c>
    </row>
    <row r="57" spans="1:97" x14ac:dyDescent="0.25">
      <c r="BI57" s="32">
        <f>SUM(BI48:BI55)</f>
        <v>54240547.050000004</v>
      </c>
      <c r="BO57" s="32">
        <f>SUM(BO48:BO55)</f>
        <v>50216153.57</v>
      </c>
      <c r="BU57" s="32">
        <f>SUM(BU48:BU55)</f>
        <v>46280952.209999993</v>
      </c>
      <c r="CA57" s="23">
        <f>SUM(CA48:CA56)</f>
        <v>47779944.310000002</v>
      </c>
      <c r="CG57" s="23">
        <f>SUM(CG48:CG56)</f>
        <v>50522855.610000007</v>
      </c>
      <c r="CM57" s="23">
        <f>SUM(CM48:CM56)</f>
        <v>53904067</v>
      </c>
      <c r="CS57" s="23">
        <f>SUM(CS48:CS56)</f>
        <v>57438655.03703168</v>
      </c>
    </row>
    <row r="59" spans="1:97" x14ac:dyDescent="0.25">
      <c r="A59" s="5" t="s">
        <v>91</v>
      </c>
      <c r="BI59" s="5">
        <f>+'Net Tuition AY'!K23+'Net Tuition AY'!K29</f>
        <v>3648420.38</v>
      </c>
      <c r="BO59" s="5">
        <f>+'Net Tuition AY'!L23+'Net Tuition AY'!L29</f>
        <v>3436824.6700000004</v>
      </c>
      <c r="BU59" s="5">
        <f>+'Net Tuition AY'!M23+'Net Tuition AY'!M29</f>
        <v>3036858.0599999996</v>
      </c>
      <c r="CA59" s="5">
        <f>+'Net Tuition AY'!N23+'Net Tuition AY'!N29</f>
        <v>3078610.29</v>
      </c>
      <c r="CG59" s="18">
        <f>+'Net Tuition AY'!O23+'Net Tuition AY'!O29</f>
        <v>3639254</v>
      </c>
      <c r="CM59" s="18">
        <f>+'Net Tuition AY'!P23+'Net Tuition AY'!P29</f>
        <v>3928079</v>
      </c>
      <c r="CS59" s="5">
        <f>+'Net Tuition AY'!Q23+'Net Tuition AY'!Q29</f>
        <v>3881125.5436480436</v>
      </c>
    </row>
    <row r="60" spans="1:97" x14ac:dyDescent="0.25">
      <c r="A60" s="5" t="s">
        <v>92</v>
      </c>
    </row>
    <row r="61" spans="1:97" x14ac:dyDescent="0.25">
      <c r="A61" s="5" t="s">
        <v>93</v>
      </c>
    </row>
    <row r="62" spans="1:97" x14ac:dyDescent="0.25">
      <c r="A62" s="5" t="s">
        <v>95</v>
      </c>
    </row>
    <row r="63" spans="1:97" x14ac:dyDescent="0.25">
      <c r="A63" s="5" t="s">
        <v>26</v>
      </c>
    </row>
    <row r="64" spans="1:97" ht="15.75" thickBot="1" x14ac:dyDescent="0.3">
      <c r="BI64" s="33">
        <f>+BI59+BI57</f>
        <v>57888967.430000007</v>
      </c>
      <c r="BO64" s="33">
        <f>+BO59+BO57</f>
        <v>53652978.240000002</v>
      </c>
      <c r="BU64" s="33">
        <f>+BU59+BU57</f>
        <v>49317810.269999996</v>
      </c>
      <c r="CA64" s="33">
        <f>+CA59+CA57</f>
        <v>50858554.600000001</v>
      </c>
      <c r="CG64" s="256">
        <f>+CG59+CG57</f>
        <v>54162109.610000007</v>
      </c>
      <c r="CM64" s="256">
        <f>+CM59+CM57</f>
        <v>57832146</v>
      </c>
      <c r="CS64" s="33">
        <f>+CS59+CS57</f>
        <v>61319780.580679722</v>
      </c>
    </row>
    <row r="65" spans="1:97" ht="15.75" thickTop="1" x14ac:dyDescent="0.25"/>
    <row r="66" spans="1:97" x14ac:dyDescent="0.25">
      <c r="A66" s="5" t="s">
        <v>2671</v>
      </c>
      <c r="BI66" s="5">
        <f>+'Net Tuition AY'!K25+'Net Tuition AY'!K31</f>
        <v>57888967.43</v>
      </c>
      <c r="BO66" s="5">
        <f>+'Net Tuition AY'!L25+'Net Tuition AY'!L31</f>
        <v>53652978.240000002</v>
      </c>
      <c r="BU66" s="5">
        <f>+'Net Tuition AY'!M25+'Net Tuition AY'!M31</f>
        <v>49317810.269999996</v>
      </c>
      <c r="CA66" s="5">
        <f>+'Net Tuition AY'!N25+'Net Tuition AY'!N31</f>
        <v>50858554.600000001</v>
      </c>
      <c r="CG66" s="18">
        <f>+'Net Tuition AY'!O25+'Net Tuition AY'!O31</f>
        <v>54162109.609999999</v>
      </c>
      <c r="CM66" s="18">
        <f>+'Net Tuition AY'!P25+'Net Tuition AY'!P31</f>
        <v>57832146</v>
      </c>
      <c r="CS66" s="5">
        <f>+'Net Tuition AY'!Q25+'Net Tuition AY'!Q31</f>
        <v>61319780.580679737</v>
      </c>
    </row>
    <row r="67" spans="1:97" x14ac:dyDescent="0.25">
      <c r="CG67" s="375" t="s">
        <v>2822</v>
      </c>
    </row>
    <row r="68" spans="1:97" x14ac:dyDescent="0.25">
      <c r="A68" s="5" t="s">
        <v>220</v>
      </c>
      <c r="BI68" s="5">
        <f>+BI64-BI66</f>
        <v>0</v>
      </c>
      <c r="BO68" s="5">
        <f>+BO64-BO66</f>
        <v>0</v>
      </c>
      <c r="BU68" s="5">
        <f>+BU64-BU66</f>
        <v>0</v>
      </c>
      <c r="CA68" s="5">
        <f>+CA64-CA66</f>
        <v>0</v>
      </c>
      <c r="CG68" s="18">
        <f>+CG64-CG66</f>
        <v>0</v>
      </c>
      <c r="CM68" s="18">
        <f>+CM64-CM66</f>
        <v>0</v>
      </c>
      <c r="CS68" s="5">
        <f>+CS64-CS66</f>
        <v>0</v>
      </c>
    </row>
  </sheetData>
  <pageMargins left="0.7" right="0.7" top="0.75" bottom="0.75" header="0.3" footer="0.3"/>
  <pageSetup paperSize="5" scale="45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3"/>
  <sheetViews>
    <sheetView topLeftCell="A16" zoomScaleNormal="100" zoomScaleSheetLayoutView="100" workbookViewId="0">
      <selection activeCell="F13" sqref="F13"/>
    </sheetView>
  </sheetViews>
  <sheetFormatPr defaultRowHeight="15" x14ac:dyDescent="0.25"/>
  <cols>
    <col min="1" max="1" width="32.85546875" bestFit="1" customWidth="1"/>
    <col min="2" max="2" width="17" bestFit="1" customWidth="1"/>
    <col min="3" max="4" width="14.28515625" style="4" customWidth="1"/>
    <col min="5" max="5" width="20.28515625" customWidth="1"/>
    <col min="6" max="6" width="13.85546875" bestFit="1" customWidth="1"/>
    <col min="7" max="7" width="15.140625" style="1" bestFit="1" customWidth="1"/>
    <col min="8" max="8" width="10.5703125" bestFit="1" customWidth="1"/>
    <col min="9" max="9" width="14" bestFit="1" customWidth="1"/>
    <col min="10" max="10" width="16.42578125" bestFit="1" customWidth="1"/>
    <col min="11" max="11" width="2.140625" customWidth="1"/>
    <col min="12" max="12" width="17.7109375" bestFit="1" customWidth="1"/>
    <col min="13" max="13" width="17.7109375" customWidth="1"/>
    <col min="14" max="14" width="14.7109375" customWidth="1"/>
    <col min="15" max="16" width="16.140625" bestFit="1" customWidth="1"/>
    <col min="17" max="17" width="13.42578125" bestFit="1" customWidth="1"/>
    <col min="18" max="18" width="14" bestFit="1" customWidth="1"/>
    <col min="19" max="19" width="1.7109375" customWidth="1"/>
    <col min="20" max="20" width="25.28515625" style="108" hidden="1" customWidth="1"/>
    <col min="21" max="21" width="16" style="108" hidden="1" customWidth="1"/>
    <col min="22" max="22" width="15.28515625" style="108" hidden="1" customWidth="1"/>
    <col min="23" max="23" width="15" style="190" hidden="1" customWidth="1"/>
    <col min="24" max="24" width="16.140625" style="190" hidden="1" customWidth="1"/>
    <col min="25" max="25" width="1.7109375" style="108" hidden="1" customWidth="1"/>
    <col min="26" max="26" width="25.28515625" style="190" hidden="1" customWidth="1"/>
    <col min="27" max="27" width="18.85546875" style="108" hidden="1" customWidth="1"/>
    <col min="28" max="29" width="14.7109375" style="108" hidden="1" customWidth="1"/>
    <col min="30" max="30" width="1.7109375" style="189" hidden="1" customWidth="1"/>
    <col min="31" max="31" width="25.28515625" style="189" hidden="1" customWidth="1"/>
    <col min="32" max="32" width="14.7109375" style="161" hidden="1" customWidth="1"/>
    <col min="33" max="35" width="13" style="161" hidden="1" customWidth="1"/>
    <col min="36" max="36" width="14.140625" style="108" hidden="1" customWidth="1"/>
    <col min="37" max="37" width="13.7109375" style="161" hidden="1" customWidth="1"/>
    <col min="38" max="38" width="12.5703125" style="108" hidden="1" customWidth="1"/>
    <col min="39" max="39" width="12.28515625" bestFit="1" customWidth="1"/>
    <col min="40" max="40" width="14.28515625" bestFit="1" customWidth="1"/>
    <col min="41" max="41" width="11.5703125" bestFit="1" customWidth="1"/>
    <col min="42" max="42" width="14.42578125" style="18" bestFit="1" customWidth="1"/>
    <col min="43" max="44" width="14.42578125" style="18" customWidth="1"/>
    <col min="45" max="45" width="14.28515625" bestFit="1" customWidth="1"/>
    <col min="46" max="46" width="14" bestFit="1" customWidth="1"/>
  </cols>
  <sheetData>
    <row r="1" spans="1:45" ht="19.5" thickBot="1" x14ac:dyDescent="0.35">
      <c r="A1" s="73" t="s">
        <v>0</v>
      </c>
      <c r="B1" s="74"/>
      <c r="C1" s="73"/>
      <c r="D1" s="73"/>
      <c r="E1" s="75"/>
      <c r="F1" s="73"/>
      <c r="G1" s="73"/>
      <c r="H1" s="73"/>
      <c r="I1" s="73"/>
      <c r="J1" s="73"/>
      <c r="O1" s="4"/>
      <c r="P1" s="4"/>
      <c r="Q1" s="4"/>
      <c r="R1" s="4"/>
      <c r="S1" s="4"/>
      <c r="T1" s="464" t="s">
        <v>1</v>
      </c>
      <c r="U1" s="464"/>
      <c r="V1" s="464"/>
      <c r="W1" s="464"/>
      <c r="X1" s="464"/>
      <c r="Z1" s="465" t="s">
        <v>2</v>
      </c>
      <c r="AA1" s="465"/>
      <c r="AB1" s="465"/>
      <c r="AC1" s="465"/>
      <c r="AE1" s="465" t="s">
        <v>3</v>
      </c>
      <c r="AF1" s="465"/>
      <c r="AG1" s="465"/>
      <c r="AH1" s="465"/>
      <c r="AI1" s="465"/>
      <c r="AJ1" s="465"/>
      <c r="AK1" s="465"/>
      <c r="AN1" s="18"/>
      <c r="AO1" s="18"/>
      <c r="AQ1"/>
      <c r="AR1"/>
    </row>
    <row r="2" spans="1:45" ht="18.75" x14ac:dyDescent="0.3">
      <c r="A2" s="73" t="s">
        <v>4</v>
      </c>
      <c r="B2" s="74"/>
      <c r="C2" s="73"/>
      <c r="D2" s="73"/>
      <c r="E2" s="75"/>
      <c r="F2" s="73"/>
      <c r="G2" s="73"/>
      <c r="H2" s="73"/>
      <c r="I2" s="73"/>
      <c r="J2" s="73"/>
      <c r="O2" s="4"/>
      <c r="P2" s="4"/>
      <c r="Q2" s="4"/>
      <c r="R2" s="4"/>
      <c r="S2" s="4"/>
      <c r="T2" s="190"/>
      <c r="U2" s="190"/>
      <c r="V2" s="190"/>
      <c r="X2" s="191" t="s">
        <v>5</v>
      </c>
      <c r="Z2" s="189"/>
      <c r="AA2" s="189"/>
      <c r="AH2" s="108"/>
      <c r="AK2" s="108"/>
      <c r="AN2" s="18"/>
      <c r="AO2" s="18"/>
      <c r="AQ2"/>
      <c r="AR2"/>
    </row>
    <row r="3" spans="1:45" ht="18.75" x14ac:dyDescent="0.3">
      <c r="A3" s="73"/>
      <c r="B3" s="74"/>
      <c r="C3" s="73"/>
      <c r="D3" s="73"/>
      <c r="E3" s="75"/>
      <c r="F3" s="73"/>
      <c r="G3" s="73"/>
      <c r="H3" s="73"/>
      <c r="I3" s="73"/>
      <c r="J3" s="73"/>
      <c r="O3" s="4"/>
      <c r="P3" s="4"/>
      <c r="Q3" s="4"/>
      <c r="R3" s="4"/>
      <c r="S3" s="4"/>
      <c r="T3" s="190"/>
      <c r="U3" s="192" t="s">
        <v>6</v>
      </c>
      <c r="V3" s="190"/>
      <c r="X3" s="192" t="s">
        <v>7</v>
      </c>
      <c r="Z3" s="189"/>
      <c r="AA3" s="189"/>
      <c r="AH3" s="108"/>
      <c r="AJ3" s="193" t="s">
        <v>8</v>
      </c>
      <c r="AK3" s="108"/>
      <c r="AN3" s="18"/>
      <c r="AO3" s="18"/>
      <c r="AQ3"/>
      <c r="AR3"/>
    </row>
    <row r="4" spans="1:45" x14ac:dyDescent="0.25">
      <c r="B4" s="9" t="s">
        <v>9</v>
      </c>
      <c r="C4" s="91" t="s">
        <v>168</v>
      </c>
      <c r="D4"/>
      <c r="E4" s="1"/>
      <c r="G4"/>
      <c r="O4" s="12"/>
      <c r="P4" s="12"/>
      <c r="Q4" s="12"/>
      <c r="R4" s="12"/>
      <c r="S4" s="12"/>
      <c r="T4" s="194"/>
      <c r="U4" s="195" t="s">
        <v>11</v>
      </c>
      <c r="V4" s="196" t="s">
        <v>6</v>
      </c>
      <c r="W4" s="194"/>
      <c r="X4" s="197" t="s">
        <v>12</v>
      </c>
      <c r="Z4" s="161"/>
      <c r="AA4" s="198" t="s">
        <v>13</v>
      </c>
      <c r="AC4" s="198" t="s">
        <v>13</v>
      </c>
      <c r="AD4" s="161"/>
      <c r="AE4" s="161"/>
      <c r="AH4" s="108"/>
      <c r="AJ4" s="196" t="s">
        <v>14</v>
      </c>
      <c r="AN4" s="18"/>
      <c r="AO4" s="18"/>
      <c r="AQ4"/>
      <c r="AR4"/>
    </row>
    <row r="5" spans="1:45" x14ac:dyDescent="0.25">
      <c r="B5" s="1"/>
      <c r="C5"/>
      <c r="D5" s="62" t="s">
        <v>15</v>
      </c>
      <c r="E5" s="27"/>
      <c r="F5" s="27"/>
      <c r="G5" s="27"/>
      <c r="H5" s="27"/>
      <c r="P5" s="26"/>
      <c r="Q5" s="26"/>
      <c r="R5" s="26"/>
      <c r="S5" s="26"/>
      <c r="T5" s="199"/>
      <c r="U5" s="199"/>
      <c r="V5" s="199"/>
      <c r="W5" s="199"/>
      <c r="X5" s="199"/>
      <c r="Z5" s="108"/>
      <c r="AD5" s="161"/>
      <c r="AE5" s="161"/>
      <c r="AI5" s="108"/>
      <c r="AJ5" s="189"/>
      <c r="AN5" s="18"/>
      <c r="AO5" s="18"/>
      <c r="AQ5"/>
      <c r="AR5"/>
    </row>
    <row r="6" spans="1:45" x14ac:dyDescent="0.25">
      <c r="A6" s="59" t="s">
        <v>16</v>
      </c>
      <c r="B6" s="14">
        <f>+'Net Tuition AY'!L33</f>
        <v>53652978.240000002</v>
      </c>
      <c r="C6" s="1">
        <f>+'Net Tuition AY'!M33</f>
        <v>49317810.269999996</v>
      </c>
      <c r="D6" s="27"/>
      <c r="E6" s="27"/>
      <c r="F6" s="27"/>
      <c r="G6" s="27"/>
      <c r="H6" s="27"/>
      <c r="O6" s="6"/>
      <c r="P6" s="26"/>
      <c r="Q6" s="26"/>
      <c r="R6" s="26"/>
      <c r="S6" s="26"/>
      <c r="T6" s="200" t="s">
        <v>16</v>
      </c>
      <c r="U6" s="199"/>
      <c r="V6" s="201">
        <f>+B6</f>
        <v>53652978.240000002</v>
      </c>
      <c r="W6" s="199"/>
      <c r="X6" s="201">
        <f>+V6</f>
        <v>53652978.240000002</v>
      </c>
      <c r="Z6" s="200" t="s">
        <v>16</v>
      </c>
      <c r="AA6" s="189">
        <f>34627554+267214+32305216+261451-17661479</f>
        <v>49799956</v>
      </c>
      <c r="AC6" s="189">
        <f>+AA6</f>
        <v>49799956</v>
      </c>
      <c r="AD6" s="161"/>
      <c r="AE6" s="200" t="s">
        <v>16</v>
      </c>
      <c r="AI6" s="108"/>
      <c r="AJ6" s="189">
        <f>+B6</f>
        <v>53652978.240000002</v>
      </c>
      <c r="AL6" s="199"/>
      <c r="AM6" s="26"/>
      <c r="AO6" s="18"/>
      <c r="AS6" s="18"/>
    </row>
    <row r="7" spans="1:45" x14ac:dyDescent="0.25">
      <c r="A7" t="s">
        <v>17</v>
      </c>
      <c r="B7" s="14">
        <f>+'Net Tuition AY'!L55</f>
        <v>4799807</v>
      </c>
      <c r="C7" s="1">
        <f>+'Net Tuition AY'!M55</f>
        <v>5324996.5</v>
      </c>
      <c r="D7" s="62" t="s">
        <v>18</v>
      </c>
      <c r="E7" s="27" t="s">
        <v>19</v>
      </c>
      <c r="F7" s="27"/>
      <c r="G7" s="27"/>
      <c r="H7" s="27"/>
      <c r="I7" s="27"/>
      <c r="N7" s="5"/>
      <c r="O7" s="18"/>
      <c r="P7" s="18"/>
      <c r="Q7" s="18"/>
      <c r="R7" s="18"/>
      <c r="S7" s="18"/>
      <c r="T7" s="108" t="s">
        <v>17</v>
      </c>
      <c r="U7" s="161"/>
      <c r="V7" s="201">
        <f>+B7</f>
        <v>4799807</v>
      </c>
      <c r="W7" s="161"/>
      <c r="X7" s="201">
        <f>+V7</f>
        <v>4799807</v>
      </c>
      <c r="Z7" s="108" t="s">
        <v>17</v>
      </c>
      <c r="AA7" s="189">
        <v>4814923</v>
      </c>
      <c r="AC7" s="189">
        <f>+AA7</f>
        <v>4814923</v>
      </c>
      <c r="AD7" s="161"/>
      <c r="AE7" s="108" t="s">
        <v>17</v>
      </c>
      <c r="AI7" s="108"/>
      <c r="AJ7" s="189">
        <f>+B7</f>
        <v>4799807</v>
      </c>
      <c r="AL7" s="199"/>
      <c r="AM7" s="26"/>
      <c r="AO7" s="18"/>
      <c r="AS7" s="18"/>
    </row>
    <row r="8" spans="1:45" x14ac:dyDescent="0.25">
      <c r="B8" s="23">
        <f>SUM(B6:B7)</f>
        <v>58452785.240000002</v>
      </c>
      <c r="C8" s="23">
        <f>SUM(C6:C7)</f>
        <v>54642806.769999996</v>
      </c>
      <c r="D8" s="62"/>
      <c r="E8" s="27" t="s">
        <v>20</v>
      </c>
      <c r="F8" s="27"/>
      <c r="G8" s="27"/>
      <c r="H8" s="27"/>
      <c r="I8" s="27"/>
      <c r="N8" s="5"/>
      <c r="O8" s="18"/>
      <c r="P8" s="18"/>
      <c r="Q8" s="18"/>
      <c r="R8" s="18"/>
      <c r="S8" s="18"/>
      <c r="U8" s="161"/>
      <c r="V8" s="163">
        <f>SUM(V6:V7)</f>
        <v>58452785.240000002</v>
      </c>
      <c r="W8" s="161"/>
      <c r="X8" s="163">
        <f>SUM(X6:X7)</f>
        <v>58452785.240000002</v>
      </c>
      <c r="Z8" s="108"/>
      <c r="AA8" s="163">
        <f>SUM(AA6:AA7)</f>
        <v>54614879</v>
      </c>
      <c r="AC8" s="163">
        <f>SUM(AC6:AC7)</f>
        <v>54614879</v>
      </c>
      <c r="AD8" s="161"/>
      <c r="AE8" s="108"/>
      <c r="AI8" s="108"/>
      <c r="AJ8" s="163">
        <f>SUM(AJ6:AJ7)</f>
        <v>58452785.240000002</v>
      </c>
      <c r="AL8" s="161"/>
      <c r="AM8" s="18"/>
      <c r="AO8" s="18"/>
      <c r="AS8" s="18"/>
    </row>
    <row r="9" spans="1:45" x14ac:dyDescent="0.25">
      <c r="B9" s="14"/>
      <c r="C9" s="1"/>
      <c r="D9" s="62"/>
      <c r="E9" s="27" t="s">
        <v>21</v>
      </c>
      <c r="F9" s="27"/>
      <c r="G9" s="27"/>
      <c r="H9" s="27"/>
      <c r="I9" s="27"/>
      <c r="N9" s="5"/>
      <c r="O9" s="18"/>
      <c r="P9" s="18"/>
      <c r="Q9" s="18"/>
      <c r="R9" s="18"/>
      <c r="S9" s="18"/>
      <c r="U9" s="161"/>
      <c r="V9" s="161"/>
      <c r="W9" s="161"/>
      <c r="X9" s="161"/>
      <c r="Z9" s="108"/>
      <c r="AA9" s="189"/>
      <c r="AC9" s="189"/>
      <c r="AD9" s="161"/>
      <c r="AE9" s="108"/>
      <c r="AI9" s="108"/>
      <c r="AJ9" s="189"/>
      <c r="AL9" s="161"/>
      <c r="AM9" s="18"/>
      <c r="AO9" s="18"/>
      <c r="AS9" s="18"/>
    </row>
    <row r="10" spans="1:45" x14ac:dyDescent="0.25">
      <c r="A10" s="59" t="s">
        <v>22</v>
      </c>
      <c r="B10" s="14">
        <f>+'Net Tuition Summer'!J30</f>
        <v>4117101.129999999</v>
      </c>
      <c r="C10" s="1">
        <f>+'Net Tuition Summer'!K30</f>
        <v>2993739.5700000003</v>
      </c>
      <c r="D10"/>
      <c r="F10" s="27"/>
      <c r="G10" s="27"/>
      <c r="H10" s="27"/>
      <c r="I10" s="27"/>
      <c r="N10" s="5"/>
      <c r="O10" s="3"/>
      <c r="P10" s="18"/>
      <c r="S10" s="18"/>
      <c r="T10" s="200" t="s">
        <v>22</v>
      </c>
      <c r="U10" s="161"/>
      <c r="V10" s="201">
        <f>+B10</f>
        <v>4117101.129999999</v>
      </c>
      <c r="W10" s="161"/>
      <c r="X10" s="201">
        <f>+V10</f>
        <v>4117101.129999999</v>
      </c>
      <c r="Z10" s="200" t="s">
        <v>22</v>
      </c>
      <c r="AA10" s="189">
        <f>3708021+56897</f>
        <v>3764918</v>
      </c>
      <c r="AC10" s="189">
        <f>+AA10</f>
        <v>3764918</v>
      </c>
      <c r="AD10" s="161"/>
      <c r="AE10" s="200" t="s">
        <v>22</v>
      </c>
      <c r="AI10" s="108"/>
      <c r="AJ10" s="189">
        <f>+B10</f>
        <v>4117101.129999999</v>
      </c>
      <c r="AL10" s="161"/>
      <c r="AM10" s="18"/>
      <c r="AO10" s="18"/>
      <c r="AS10" s="18"/>
    </row>
    <row r="11" spans="1:45" x14ac:dyDescent="0.25">
      <c r="A11" t="s">
        <v>23</v>
      </c>
      <c r="B11" s="14">
        <f>+'Net Tuition Summer'!J51</f>
        <v>159341.5</v>
      </c>
      <c r="C11" s="1">
        <f>+'Net Tuition Summer'!K51</f>
        <v>168185</v>
      </c>
      <c r="D11"/>
      <c r="F11" s="27"/>
      <c r="G11" s="27"/>
      <c r="H11" s="27"/>
      <c r="I11" s="27"/>
      <c r="N11" s="5"/>
      <c r="O11" s="3"/>
      <c r="P11" s="18"/>
      <c r="S11" s="18"/>
      <c r="T11" s="108" t="s">
        <v>23</v>
      </c>
      <c r="V11" s="201">
        <f>+B11</f>
        <v>159341.5</v>
      </c>
      <c r="W11" s="161"/>
      <c r="X11" s="201">
        <f>+V11</f>
        <v>159341.5</v>
      </c>
      <c r="Z11" s="108" t="s">
        <v>23</v>
      </c>
      <c r="AA11" s="189"/>
      <c r="AC11" s="189"/>
      <c r="AD11" s="161"/>
      <c r="AE11" s="108" t="s">
        <v>23</v>
      </c>
      <c r="AI11" s="108"/>
      <c r="AJ11" s="189">
        <f>+B11</f>
        <v>159341.5</v>
      </c>
      <c r="AL11" s="161"/>
      <c r="AM11" s="18"/>
      <c r="AO11" s="18"/>
      <c r="AS11" s="18"/>
    </row>
    <row r="12" spans="1:45" x14ac:dyDescent="0.25">
      <c r="B12" s="23">
        <f>SUM(B10:B11)</f>
        <v>4276442.629999999</v>
      </c>
      <c r="C12" s="23">
        <f>SUM(C10:C11)</f>
        <v>3161924.5700000003</v>
      </c>
      <c r="D12"/>
      <c r="F12" s="27"/>
      <c r="G12" s="27"/>
      <c r="H12" s="27"/>
      <c r="I12" s="27"/>
      <c r="N12" s="5"/>
      <c r="O12" s="3"/>
      <c r="P12" s="18"/>
      <c r="S12" s="18"/>
      <c r="V12" s="163">
        <f>SUM(V10:V11)</f>
        <v>4276442.629999999</v>
      </c>
      <c r="W12" s="161"/>
      <c r="X12" s="163">
        <f>SUM(X10:X11)</f>
        <v>4276442.629999999</v>
      </c>
      <c r="Z12" s="108"/>
      <c r="AA12" s="163">
        <f>SUM(AA10:AA11)</f>
        <v>3764918</v>
      </c>
      <c r="AC12" s="163">
        <f>SUM(AC10:AC11)</f>
        <v>3764918</v>
      </c>
      <c r="AD12" s="161"/>
      <c r="AE12" s="108"/>
      <c r="AI12" s="108"/>
      <c r="AJ12" s="163">
        <f>SUM(AJ10:AJ11)</f>
        <v>4276442.629999999</v>
      </c>
      <c r="AL12" s="161"/>
      <c r="AM12" s="18"/>
      <c r="AO12" s="18"/>
      <c r="AS12" s="18"/>
    </row>
    <row r="13" spans="1:45" x14ac:dyDescent="0.25">
      <c r="B13" s="18"/>
      <c r="C13" s="1"/>
      <c r="D13" s="27"/>
      <c r="F13" s="27"/>
      <c r="G13" s="27"/>
      <c r="H13" s="27"/>
      <c r="I13" s="27"/>
      <c r="N13" s="5"/>
      <c r="O13" s="3"/>
      <c r="P13" s="18"/>
      <c r="S13" s="18"/>
      <c r="U13" s="161"/>
      <c r="V13" s="161"/>
      <c r="W13" s="161"/>
      <c r="X13" s="161"/>
      <c r="Z13" s="108"/>
      <c r="AA13" s="189"/>
      <c r="AC13" s="189"/>
      <c r="AD13" s="161"/>
      <c r="AE13" s="108"/>
      <c r="AI13" s="108"/>
      <c r="AJ13" s="161"/>
      <c r="AL13" s="161"/>
      <c r="AM13" s="18"/>
      <c r="AO13" s="18"/>
      <c r="AS13" s="18"/>
    </row>
    <row r="14" spans="1:45" x14ac:dyDescent="0.25">
      <c r="A14" t="s">
        <v>24</v>
      </c>
      <c r="B14" s="19">
        <f>+B12+B8</f>
        <v>62729227.870000005</v>
      </c>
      <c r="C14" s="23">
        <f>+C12+C8</f>
        <v>57804731.339999996</v>
      </c>
      <c r="D14" s="27"/>
      <c r="E14" s="27"/>
      <c r="F14" s="27"/>
      <c r="G14" s="27"/>
      <c r="H14" s="27"/>
      <c r="I14" s="27"/>
      <c r="N14" s="5"/>
      <c r="O14" s="3"/>
      <c r="P14" s="18"/>
      <c r="S14" s="18"/>
      <c r="T14" s="108" t="s">
        <v>24</v>
      </c>
      <c r="U14" s="161">
        <v>64305703</v>
      </c>
      <c r="V14" s="161">
        <f>+V12+V8</f>
        <v>62729227.870000005</v>
      </c>
      <c r="W14" s="161"/>
      <c r="X14" s="161">
        <f>+X12+X8</f>
        <v>62729227.870000005</v>
      </c>
      <c r="Z14" s="108" t="s">
        <v>24</v>
      </c>
      <c r="AA14" s="163">
        <f>+AA12+AA8</f>
        <v>58379797</v>
      </c>
      <c r="AC14" s="163">
        <f>+AC12+AC8</f>
        <v>58379797</v>
      </c>
      <c r="AD14" s="161"/>
      <c r="AE14" s="108" t="s">
        <v>24</v>
      </c>
      <c r="AI14" s="108"/>
      <c r="AJ14" s="202">
        <f>+AJ12+AJ8</f>
        <v>62729227.870000005</v>
      </c>
      <c r="AL14" s="161"/>
      <c r="AM14" s="18"/>
      <c r="AO14" s="18"/>
      <c r="AS14" s="18"/>
    </row>
    <row r="15" spans="1:45" x14ac:dyDescent="0.25">
      <c r="B15" s="14"/>
      <c r="C15" s="1"/>
      <c r="D15" s="3"/>
      <c r="E15" s="1"/>
      <c r="G15"/>
      <c r="I15" s="27"/>
      <c r="N15" s="5"/>
      <c r="O15" s="3"/>
      <c r="P15" s="18"/>
      <c r="S15" s="18"/>
      <c r="U15" s="161"/>
      <c r="V15" s="161"/>
      <c r="W15" s="161"/>
      <c r="X15" s="161"/>
      <c r="Z15" s="108"/>
      <c r="AA15" s="189"/>
      <c r="AC15" s="189"/>
      <c r="AD15" s="161"/>
      <c r="AE15" s="108"/>
      <c r="AI15" s="108"/>
      <c r="AJ15" s="189"/>
      <c r="AL15" s="161"/>
      <c r="AM15" s="18"/>
      <c r="AO15" s="18"/>
      <c r="AS15" s="18"/>
    </row>
    <row r="16" spans="1:45" x14ac:dyDescent="0.25">
      <c r="A16" s="59" t="s">
        <v>25</v>
      </c>
      <c r="B16" s="14">
        <f>+Appropriations!H4</f>
        <v>60147648</v>
      </c>
      <c r="C16" s="14">
        <f>+Appropriations!I4</f>
        <v>61862743</v>
      </c>
      <c r="D16"/>
      <c r="E16" s="1"/>
      <c r="G16"/>
      <c r="I16" s="27"/>
      <c r="N16" s="5"/>
      <c r="O16" s="3"/>
      <c r="P16" s="18"/>
      <c r="S16" s="18"/>
      <c r="T16" s="200" t="s">
        <v>25</v>
      </c>
      <c r="U16" s="161">
        <v>60336444</v>
      </c>
      <c r="V16" s="161">
        <f>+B16</f>
        <v>60147648</v>
      </c>
      <c r="W16" s="161"/>
      <c r="X16" s="161">
        <f>+V16</f>
        <v>60147648</v>
      </c>
      <c r="Z16" s="200" t="s">
        <v>25</v>
      </c>
      <c r="AA16" s="189">
        <v>61862743</v>
      </c>
      <c r="AC16" s="189">
        <f>+AA16</f>
        <v>61862743</v>
      </c>
      <c r="AD16" s="161"/>
      <c r="AE16" s="200" t="s">
        <v>25</v>
      </c>
      <c r="AI16" s="108"/>
      <c r="AJ16" s="189">
        <f>+B16</f>
        <v>60147648</v>
      </c>
      <c r="AL16" s="161"/>
      <c r="AM16" s="18"/>
      <c r="AO16" s="18"/>
      <c r="AS16" s="18"/>
    </row>
    <row r="17" spans="1:49" x14ac:dyDescent="0.25">
      <c r="B17" s="22"/>
      <c r="C17" s="1"/>
      <c r="D17"/>
      <c r="E17" s="1"/>
      <c r="G17"/>
      <c r="N17" s="5"/>
      <c r="O17" s="3"/>
      <c r="P17" s="18"/>
      <c r="S17" s="18"/>
      <c r="U17" s="161"/>
      <c r="V17" s="161"/>
      <c r="W17" s="161"/>
      <c r="X17" s="161"/>
      <c r="Z17" s="108"/>
      <c r="AA17" s="189"/>
      <c r="AC17" s="189"/>
      <c r="AD17" s="161"/>
      <c r="AE17" s="108"/>
      <c r="AI17" s="108"/>
      <c r="AJ17" s="190"/>
      <c r="AL17" s="161"/>
      <c r="AM17" s="18"/>
      <c r="AO17" s="18"/>
      <c r="AS17" s="18"/>
    </row>
    <row r="18" spans="1:49" x14ac:dyDescent="0.25">
      <c r="A18" t="s">
        <v>26</v>
      </c>
      <c r="B18" s="45">
        <f>123470642-122813092</f>
        <v>657550</v>
      </c>
      <c r="C18" s="45">
        <v>725980</v>
      </c>
      <c r="D18"/>
      <c r="E18" s="1"/>
      <c r="G18"/>
      <c r="N18" s="5"/>
      <c r="O18" s="3"/>
      <c r="P18" s="18"/>
      <c r="S18" s="18"/>
      <c r="T18" s="108" t="s">
        <v>26</v>
      </c>
      <c r="U18" s="161">
        <v>339925</v>
      </c>
      <c r="V18" s="161">
        <f>+B18</f>
        <v>657550</v>
      </c>
      <c r="W18" s="161"/>
      <c r="X18" s="161">
        <f>+V18</f>
        <v>657550</v>
      </c>
      <c r="Z18" s="108" t="s">
        <v>26</v>
      </c>
      <c r="AA18" s="189">
        <v>725980</v>
      </c>
      <c r="AC18" s="189">
        <f>+AA18</f>
        <v>725980</v>
      </c>
      <c r="AD18" s="161"/>
      <c r="AE18" s="108" t="s">
        <v>26</v>
      </c>
      <c r="AI18" s="108"/>
      <c r="AJ18" s="203">
        <f>123470642-122813092</f>
        <v>657550</v>
      </c>
      <c r="AL18" s="161"/>
      <c r="AM18" s="18"/>
      <c r="AO18" s="18"/>
      <c r="AS18" s="18"/>
    </row>
    <row r="19" spans="1:49" x14ac:dyDescent="0.25">
      <c r="B19" s="4"/>
      <c r="C19" s="1"/>
      <c r="D19"/>
      <c r="E19" s="1"/>
      <c r="G19"/>
      <c r="N19" s="53"/>
      <c r="O19" s="3"/>
      <c r="P19" s="18"/>
      <c r="Q19" s="18"/>
      <c r="S19" s="18"/>
      <c r="U19" s="161"/>
      <c r="V19" s="161"/>
      <c r="W19" s="161"/>
      <c r="X19" s="161"/>
      <c r="Z19" s="108"/>
      <c r="AA19" s="189"/>
      <c r="AC19" s="189"/>
      <c r="AD19" s="161"/>
      <c r="AE19" s="108"/>
      <c r="AI19" s="108"/>
      <c r="AJ19" s="190"/>
      <c r="AL19" s="161"/>
      <c r="AM19" s="18"/>
      <c r="AO19" s="18"/>
      <c r="AS19" s="18"/>
    </row>
    <row r="20" spans="1:49" ht="15.75" thickBot="1" x14ac:dyDescent="0.3">
      <c r="A20" t="s">
        <v>27</v>
      </c>
      <c r="B20" s="19">
        <f>SUM(B14:B19)</f>
        <v>123534425.87</v>
      </c>
      <c r="C20" s="19">
        <f>SUM(C14:C19)</f>
        <v>120393454.34</v>
      </c>
      <c r="D20" s="3"/>
      <c r="E20" s="1"/>
      <c r="G20"/>
      <c r="N20" s="18"/>
      <c r="O20" s="3"/>
      <c r="P20" s="18"/>
      <c r="Q20" s="18"/>
      <c r="S20" s="18"/>
      <c r="T20" s="108" t="s">
        <v>27</v>
      </c>
      <c r="U20" s="163">
        <f>SUM(U13:U19)</f>
        <v>124982072</v>
      </c>
      <c r="V20" s="163">
        <f>SUM(V13:V19)</f>
        <v>123534425.87</v>
      </c>
      <c r="W20" s="161"/>
      <c r="X20" s="163">
        <f>SUM(X13:X19)</f>
        <v>123534425.87</v>
      </c>
      <c r="Z20" s="108" t="s">
        <v>27</v>
      </c>
      <c r="AA20" s="202">
        <f>SUM(AA14:AA19)</f>
        <v>120968520</v>
      </c>
      <c r="AC20" s="202">
        <f>SUM(AC14:AC19)</f>
        <v>120968520</v>
      </c>
      <c r="AD20" s="161"/>
      <c r="AE20" s="200" t="s">
        <v>28</v>
      </c>
      <c r="AI20" s="108"/>
      <c r="AJ20" s="202">
        <f>SUM(AJ14:AJ19)</f>
        <v>123534425.87</v>
      </c>
      <c r="AL20" s="161"/>
      <c r="AM20" s="18"/>
      <c r="AO20" s="18"/>
      <c r="AS20" s="18"/>
    </row>
    <row r="21" spans="1:49" ht="15.75" thickBot="1" x14ac:dyDescent="0.3">
      <c r="A21" s="59" t="s">
        <v>29</v>
      </c>
      <c r="B21" s="18">
        <f>+B20*-D21</f>
        <v>-617672.12935000006</v>
      </c>
      <c r="C21" s="1">
        <f>+C20*-D21</f>
        <v>-601967.27170000004</v>
      </c>
      <c r="D21" s="98">
        <v>5.0000000000000001E-3</v>
      </c>
      <c r="E21" s="1"/>
      <c r="G21"/>
      <c r="N21" s="18"/>
      <c r="O21" s="3"/>
      <c r="P21" s="18"/>
      <c r="Q21" s="18"/>
      <c r="S21" s="18"/>
      <c r="T21" s="161"/>
      <c r="U21" s="161"/>
      <c r="V21" s="161"/>
      <c r="W21" s="161"/>
      <c r="X21" s="161"/>
      <c r="Z21" s="108"/>
      <c r="AA21" s="161"/>
      <c r="AD21" s="161"/>
      <c r="AE21" s="161"/>
      <c r="AI21" s="108"/>
      <c r="AJ21" s="161"/>
      <c r="AK21" s="204"/>
      <c r="AL21" s="161"/>
      <c r="AM21" s="18"/>
      <c r="AO21" s="18"/>
      <c r="AS21" s="18"/>
    </row>
    <row r="22" spans="1:49" ht="15.75" thickBot="1" x14ac:dyDescent="0.3">
      <c r="A22" t="s">
        <v>30</v>
      </c>
      <c r="B22" s="24">
        <f>B21+B20</f>
        <v>122916753.74065</v>
      </c>
      <c r="C22" s="24">
        <f>C21+C20</f>
        <v>119791487.06830001</v>
      </c>
      <c r="D22"/>
      <c r="F22" s="1"/>
      <c r="G22"/>
      <c r="N22" s="18"/>
      <c r="P22" s="18"/>
      <c r="Q22" s="18"/>
      <c r="S22" s="18"/>
      <c r="T22" s="161"/>
      <c r="U22" s="161"/>
      <c r="V22" s="161"/>
      <c r="W22" s="161"/>
      <c r="X22" s="161"/>
      <c r="Z22" s="108"/>
      <c r="AA22" s="161"/>
      <c r="AD22" s="161"/>
      <c r="AE22" s="161"/>
      <c r="AH22" s="108"/>
      <c r="AJ22" s="204"/>
      <c r="AL22" s="161"/>
      <c r="AM22" s="18"/>
      <c r="AO22" s="18"/>
      <c r="AS22" s="18"/>
    </row>
    <row r="23" spans="1:49" ht="15.75" thickTop="1" x14ac:dyDescent="0.25">
      <c r="B23" s="6"/>
      <c r="C23" s="6"/>
      <c r="D23"/>
      <c r="F23" s="6" t="s">
        <v>31</v>
      </c>
      <c r="G23"/>
      <c r="N23" s="105"/>
      <c r="P23" s="18"/>
      <c r="Q23" s="38"/>
      <c r="S23" s="38"/>
      <c r="T23" s="205"/>
      <c r="U23" s="205"/>
      <c r="V23" s="205"/>
      <c r="W23" s="206"/>
      <c r="X23" s="206"/>
      <c r="Z23" s="194"/>
      <c r="AD23" s="204"/>
      <c r="AE23" s="204"/>
      <c r="AF23" s="108"/>
      <c r="AJ23" s="161"/>
      <c r="AL23" s="161"/>
      <c r="AN23" s="18"/>
      <c r="AO23" s="18"/>
    </row>
    <row r="24" spans="1:49" x14ac:dyDescent="0.25">
      <c r="C24"/>
      <c r="D24" s="6" t="s">
        <v>32</v>
      </c>
      <c r="E24" s="6"/>
      <c r="F24" s="6" t="s">
        <v>32</v>
      </c>
      <c r="G24"/>
      <c r="P24" s="3"/>
      <c r="U24" s="191" t="s">
        <v>33</v>
      </c>
      <c r="V24" s="191" t="s">
        <v>33</v>
      </c>
      <c r="W24" s="191"/>
      <c r="X24" s="191" t="s">
        <v>33</v>
      </c>
      <c r="Z24" s="207"/>
      <c r="AD24" s="208"/>
      <c r="AE24" s="208"/>
      <c r="AF24" s="191" t="s">
        <v>33</v>
      </c>
      <c r="AG24" s="193" t="s">
        <v>34</v>
      </c>
      <c r="AH24" s="193" t="s">
        <v>34</v>
      </c>
      <c r="AI24" s="209" t="s">
        <v>35</v>
      </c>
      <c r="AJ24" s="193" t="s">
        <v>35</v>
      </c>
      <c r="AK24" s="193" t="s">
        <v>35</v>
      </c>
      <c r="AN24" s="3"/>
      <c r="AO24" s="3"/>
      <c r="AP24" s="3"/>
      <c r="AQ24"/>
      <c r="AS24" s="18"/>
      <c r="AT24" s="18"/>
      <c r="AU24" s="18"/>
      <c r="AV24" s="18"/>
    </row>
    <row r="25" spans="1:49" x14ac:dyDescent="0.25">
      <c r="B25" s="58" t="s">
        <v>36</v>
      </c>
      <c r="C25" s="58"/>
      <c r="D25" s="6" t="s">
        <v>37</v>
      </c>
      <c r="E25" s="15" t="s">
        <v>31</v>
      </c>
      <c r="F25" s="6" t="s">
        <v>37</v>
      </c>
      <c r="G25" s="6"/>
      <c r="H25" s="6"/>
      <c r="I25" s="6"/>
      <c r="J25" s="6" t="s">
        <v>38</v>
      </c>
      <c r="K25" s="6"/>
      <c r="L25" s="69" t="s">
        <v>39</v>
      </c>
      <c r="M25" s="69" t="s">
        <v>40</v>
      </c>
      <c r="N25" s="7" t="s">
        <v>41</v>
      </c>
      <c r="O25" s="6"/>
      <c r="P25" s="7"/>
      <c r="Q25" s="7"/>
      <c r="R25" s="7"/>
      <c r="S25" s="7"/>
      <c r="T25" s="210"/>
      <c r="U25" s="191" t="s">
        <v>11</v>
      </c>
      <c r="V25" s="191" t="s">
        <v>42</v>
      </c>
      <c r="W25" s="191" t="s">
        <v>43</v>
      </c>
      <c r="X25" s="191" t="s">
        <v>5</v>
      </c>
      <c r="Z25" s="193"/>
      <c r="AA25" s="161"/>
      <c r="AD25" s="191"/>
      <c r="AE25" s="191"/>
      <c r="AF25" s="191" t="s">
        <v>42</v>
      </c>
      <c r="AG25" s="191" t="s">
        <v>11</v>
      </c>
      <c r="AH25" s="211" t="s">
        <v>11</v>
      </c>
      <c r="AI25" s="212" t="s">
        <v>44</v>
      </c>
      <c r="AJ25" s="211" t="s">
        <v>44</v>
      </c>
      <c r="AK25" s="191" t="s">
        <v>45</v>
      </c>
      <c r="AL25" s="161"/>
      <c r="AO25" s="3"/>
      <c r="AP25" s="3"/>
      <c r="AQ25" s="3"/>
      <c r="AR25"/>
      <c r="AS25" s="18"/>
      <c r="AT25" s="18"/>
      <c r="AU25" s="18"/>
      <c r="AV25" s="18"/>
      <c r="AW25" s="18"/>
    </row>
    <row r="26" spans="1:49" x14ac:dyDescent="0.25">
      <c r="B26" s="6" t="s">
        <v>46</v>
      </c>
      <c r="C26" s="6"/>
      <c r="D26" s="6" t="s">
        <v>47</v>
      </c>
      <c r="E26" s="15" t="s">
        <v>48</v>
      </c>
      <c r="F26" s="6" t="s">
        <v>47</v>
      </c>
      <c r="G26" s="6" t="s">
        <v>49</v>
      </c>
      <c r="H26" s="6" t="s">
        <v>50</v>
      </c>
      <c r="I26" s="6" t="s">
        <v>51</v>
      </c>
      <c r="J26" s="6" t="s">
        <v>52</v>
      </c>
      <c r="K26" s="6"/>
      <c r="L26" s="6" t="s">
        <v>53</v>
      </c>
      <c r="M26" s="6" t="s">
        <v>52</v>
      </c>
      <c r="N26" s="6" t="s">
        <v>40</v>
      </c>
      <c r="O26" s="6" t="s">
        <v>40</v>
      </c>
      <c r="P26" s="6" t="s">
        <v>54</v>
      </c>
      <c r="Q26" s="6" t="s">
        <v>55</v>
      </c>
      <c r="R26" s="6" t="s">
        <v>56</v>
      </c>
      <c r="S26" s="6"/>
      <c r="T26" s="191"/>
      <c r="U26" s="191" t="s">
        <v>57</v>
      </c>
      <c r="V26" s="191" t="s">
        <v>57</v>
      </c>
      <c r="W26" s="191" t="s">
        <v>58</v>
      </c>
      <c r="X26" s="191" t="s">
        <v>57</v>
      </c>
      <c r="Z26" s="199"/>
      <c r="AA26" s="192" t="s">
        <v>13</v>
      </c>
      <c r="AC26" s="193" t="s">
        <v>59</v>
      </c>
      <c r="AD26" s="191"/>
      <c r="AE26" s="191"/>
      <c r="AF26" s="191" t="s">
        <v>57</v>
      </c>
      <c r="AG26" s="191" t="s">
        <v>60</v>
      </c>
      <c r="AH26" s="211" t="s">
        <v>61</v>
      </c>
      <c r="AI26" s="213" t="s">
        <v>62</v>
      </c>
      <c r="AJ26" s="211" t="s">
        <v>63</v>
      </c>
      <c r="AK26" s="191" t="s">
        <v>33</v>
      </c>
      <c r="AN26" s="18"/>
      <c r="AO26" s="18"/>
      <c r="AP26"/>
      <c r="AS26" s="18"/>
      <c r="AT26" s="18"/>
      <c r="AU26" s="18"/>
    </row>
    <row r="27" spans="1:49" x14ac:dyDescent="0.25">
      <c r="B27" s="8" t="s">
        <v>64</v>
      </c>
      <c r="C27" s="8" t="s">
        <v>65</v>
      </c>
      <c r="D27" s="8" t="s">
        <v>64</v>
      </c>
      <c r="E27" s="16" t="s">
        <v>66</v>
      </c>
      <c r="F27" s="8" t="s">
        <v>64</v>
      </c>
      <c r="G27" s="8" t="s">
        <v>64</v>
      </c>
      <c r="H27" s="8" t="s">
        <v>53</v>
      </c>
      <c r="I27" s="8" t="s">
        <v>67</v>
      </c>
      <c r="J27" s="8" t="s">
        <v>53</v>
      </c>
      <c r="K27" s="6"/>
      <c r="L27" s="8" t="s">
        <v>68</v>
      </c>
      <c r="M27" s="8" t="s">
        <v>53</v>
      </c>
      <c r="N27" s="8" t="s">
        <v>68</v>
      </c>
      <c r="O27" s="8" t="s">
        <v>57</v>
      </c>
      <c r="P27" s="8" t="s">
        <v>64</v>
      </c>
      <c r="Q27" s="8" t="s">
        <v>69</v>
      </c>
      <c r="R27" s="8" t="s">
        <v>70</v>
      </c>
      <c r="S27" s="6"/>
      <c r="T27" s="191"/>
      <c r="U27" s="198" t="s">
        <v>71</v>
      </c>
      <c r="V27" s="198" t="s">
        <v>71</v>
      </c>
      <c r="W27" s="214" t="s">
        <v>64</v>
      </c>
      <c r="X27" s="214" t="s">
        <v>71</v>
      </c>
      <c r="Z27" s="215"/>
      <c r="AA27" s="195" t="s">
        <v>11</v>
      </c>
      <c r="AB27" s="216"/>
      <c r="AC27" s="214" t="s">
        <v>72</v>
      </c>
      <c r="AD27" s="191"/>
      <c r="AE27" s="191"/>
      <c r="AF27" s="198" t="s">
        <v>71</v>
      </c>
      <c r="AG27" s="214" t="s">
        <v>64</v>
      </c>
      <c r="AH27" s="217" t="s">
        <v>73</v>
      </c>
      <c r="AI27" s="218" t="s">
        <v>74</v>
      </c>
      <c r="AJ27" s="217" t="s">
        <v>74</v>
      </c>
      <c r="AK27" s="217" t="s">
        <v>74</v>
      </c>
      <c r="AM27" s="3"/>
      <c r="AN27" s="12"/>
      <c r="AO27" s="12"/>
      <c r="AP27"/>
      <c r="AS27" s="18"/>
      <c r="AT27" s="18"/>
      <c r="AU27" s="18"/>
    </row>
    <row r="28" spans="1:49" x14ac:dyDescent="0.25">
      <c r="A28" s="5" t="s">
        <v>75</v>
      </c>
      <c r="B28" s="1">
        <f>+'Weighted Rev Allocation'!I5</f>
        <v>2733380.1253468231</v>
      </c>
      <c r="C28" s="51">
        <f>+B28/$B$41</f>
        <v>5.5423793359486148E-2</v>
      </c>
      <c r="D28" s="14"/>
      <c r="E28" s="1">
        <f>+'Summer Credit Hour Allocation'!AR46</f>
        <v>400668.33963018499</v>
      </c>
      <c r="F28" s="14"/>
      <c r="G28" s="1">
        <f>$C$16*C28</f>
        <v>3428667.8846829981</v>
      </c>
      <c r="H28" s="14"/>
      <c r="I28" s="14">
        <f t="shared" ref="I28:I40" si="0">-(+B28+SUM(D28:H28))*$D$21</f>
        <v>-32813.581748300036</v>
      </c>
      <c r="J28" s="14">
        <f>+B28+SUM(D28:I28)</f>
        <v>6529902.7679117061</v>
      </c>
      <c r="K28" s="14"/>
      <c r="L28" s="1">
        <f t="shared" ref="L28:L40" si="1">+D28+F28</f>
        <v>0</v>
      </c>
      <c r="M28" s="1">
        <f>+J28-L28</f>
        <v>6529902.7679117061</v>
      </c>
      <c r="N28" s="111">
        <v>0.47547011381927662</v>
      </c>
      <c r="O28" s="1">
        <f>+M28*N28</f>
        <v>3104773.6122877882</v>
      </c>
      <c r="P28" s="14">
        <f>+O28+L28</f>
        <v>3104773.6122877882</v>
      </c>
      <c r="Q28" s="118">
        <f>+P28/J28</f>
        <v>0.47547011381927662</v>
      </c>
      <c r="R28" s="18">
        <f t="shared" ref="R28:R40" si="2">+J28-P28</f>
        <v>3425129.1556239179</v>
      </c>
      <c r="S28" s="22"/>
      <c r="T28" s="161" t="s">
        <v>76</v>
      </c>
      <c r="U28" s="161">
        <v>3586407.2499999995</v>
      </c>
      <c r="V28" s="189">
        <f>+'Historical College Expenses'!F19</f>
        <v>3890318</v>
      </c>
      <c r="W28" s="189">
        <f t="shared" ref="W28:W36" si="3">+P28-V28</f>
        <v>-785544.38771221181</v>
      </c>
      <c r="X28" s="219">
        <f>+P28</f>
        <v>3104773.6122877882</v>
      </c>
      <c r="Y28" s="194"/>
      <c r="Z28" s="161" t="s">
        <v>76</v>
      </c>
      <c r="AA28" s="161">
        <v>3439077.523</v>
      </c>
      <c r="AB28" s="220">
        <f t="shared" ref="AB28:AB36" si="4">+AC28-AA28</f>
        <v>-334303.91071221186</v>
      </c>
      <c r="AC28" s="204">
        <f t="shared" ref="AC28:AC36" si="5">+P28</f>
        <v>3104773.6122877882</v>
      </c>
      <c r="AD28" s="194"/>
      <c r="AE28" s="161" t="s">
        <v>76</v>
      </c>
      <c r="AF28" s="161">
        <f t="shared" ref="AF28:AF36" si="6">+V28</f>
        <v>3890318</v>
      </c>
      <c r="AG28" s="161">
        <f>+AH28-AF28</f>
        <v>-451240.47699999996</v>
      </c>
      <c r="AH28" s="161">
        <f t="shared" ref="AH28:AH36" si="7">+AA28</f>
        <v>3439077.523</v>
      </c>
      <c r="AI28" s="221">
        <f>+AJ28-AH28</f>
        <v>-334303.91071221186</v>
      </c>
      <c r="AJ28" s="161">
        <f t="shared" ref="AJ28:AJ36" si="8">+AC28</f>
        <v>3104773.6122877882</v>
      </c>
      <c r="AK28" s="204">
        <f>+AI28+AG28</f>
        <v>-785544.38771221181</v>
      </c>
      <c r="AN28" s="12"/>
      <c r="AO28" s="12"/>
      <c r="AP28"/>
      <c r="AS28" s="18"/>
      <c r="AT28" s="18"/>
      <c r="AU28" s="18"/>
    </row>
    <row r="29" spans="1:49" x14ac:dyDescent="0.25">
      <c r="A29" s="5" t="s">
        <v>77</v>
      </c>
      <c r="B29" s="1">
        <f>+'Weighted Rev Allocation'!I6</f>
        <v>7781400.5845151683</v>
      </c>
      <c r="C29" s="51">
        <f t="shared" ref="C29:C40" si="9">+B29/$B$41</f>
        <v>0.15778073969453166</v>
      </c>
      <c r="D29" s="14">
        <f>SUM(G44:G49)</f>
        <v>2652261.5</v>
      </c>
      <c r="E29" s="1">
        <f>+'Summer Credit Hour Allocation'!AR47</f>
        <v>359647.53342995176</v>
      </c>
      <c r="F29" s="14">
        <f>SUM(H44:H49)</f>
        <v>64356</v>
      </c>
      <c r="G29" s="1">
        <f t="shared" ref="G29:G40" si="10">$C$16*C29</f>
        <v>9760749.3500727098</v>
      </c>
      <c r="H29" s="14"/>
      <c r="I29" s="14">
        <f t="shared" si="0"/>
        <v>-103092.07484008916</v>
      </c>
      <c r="J29" s="14">
        <f t="shared" ref="J29:J40" si="11">+B29+SUM(D29:I29)</f>
        <v>20515322.89317774</v>
      </c>
      <c r="K29" s="14"/>
      <c r="L29" s="1">
        <f t="shared" si="1"/>
        <v>2716617.5</v>
      </c>
      <c r="M29" s="1">
        <f t="shared" ref="M29:M40" si="12">+J29-L29</f>
        <v>17798705.39317774</v>
      </c>
      <c r="N29" s="111">
        <v>0.44760199133675427</v>
      </c>
      <c r="O29" s="1">
        <f t="shared" ref="O29:O36" si="13">+M29*N29</f>
        <v>7966735.977202584</v>
      </c>
      <c r="P29" s="14">
        <f t="shared" ref="P29:P36" si="14">+O29+L29</f>
        <v>10683353.477202583</v>
      </c>
      <c r="Q29" s="118">
        <f t="shared" ref="Q29:Q36" si="15">+P29/J29</f>
        <v>0.52074995518375555</v>
      </c>
      <c r="R29" s="18">
        <f t="shared" si="2"/>
        <v>9831969.4159751572</v>
      </c>
      <c r="S29" s="22"/>
      <c r="T29" s="161" t="s">
        <v>78</v>
      </c>
      <c r="U29" s="161">
        <v>10400802.720000001</v>
      </c>
      <c r="V29" s="189">
        <f>+'Historical College Expenses'!F38</f>
        <v>10246452</v>
      </c>
      <c r="W29" s="189">
        <f t="shared" si="3"/>
        <v>436901.4772025831</v>
      </c>
      <c r="X29" s="219">
        <f t="shared" ref="X29:X36" si="16">+P29</f>
        <v>10683353.477202583</v>
      </c>
      <c r="Y29" s="194"/>
      <c r="Z29" s="161" t="s">
        <v>78</v>
      </c>
      <c r="AA29" s="161">
        <v>10006237.092999998</v>
      </c>
      <c r="AB29" s="220">
        <f t="shared" si="4"/>
        <v>677116.38420258462</v>
      </c>
      <c r="AC29" s="204">
        <f t="shared" si="5"/>
        <v>10683353.477202583</v>
      </c>
      <c r="AD29" s="194"/>
      <c r="AE29" s="161" t="s">
        <v>78</v>
      </c>
      <c r="AF29" s="161">
        <f t="shared" si="6"/>
        <v>10246452</v>
      </c>
      <c r="AG29" s="161">
        <f t="shared" ref="AG29:AG36" si="17">+AH29-AF29</f>
        <v>-240214.90700000152</v>
      </c>
      <c r="AH29" s="161">
        <f t="shared" si="7"/>
        <v>10006237.092999998</v>
      </c>
      <c r="AI29" s="221">
        <f t="shared" ref="AI29:AI36" si="18">+AJ29-AH29</f>
        <v>677116.38420258462</v>
      </c>
      <c r="AJ29" s="161">
        <f t="shared" si="8"/>
        <v>10683353.477202583</v>
      </c>
      <c r="AK29" s="204">
        <f t="shared" ref="AK29:AK36" si="19">+AI29+AG29</f>
        <v>436901.4772025831</v>
      </c>
      <c r="AM29" s="18"/>
      <c r="AN29" s="18"/>
      <c r="AO29" s="18"/>
      <c r="AP29" s="12"/>
      <c r="AS29" s="18"/>
      <c r="AT29" s="18"/>
      <c r="AU29" s="18"/>
    </row>
    <row r="30" spans="1:49" x14ac:dyDescent="0.25">
      <c r="A30" s="5" t="s">
        <v>79</v>
      </c>
      <c r="B30" s="1">
        <f>+'Weighted Rev Allocation'!I7</f>
        <v>3477159.3146964838</v>
      </c>
      <c r="C30" s="51">
        <f t="shared" si="9"/>
        <v>7.050514399686636E-2</v>
      </c>
      <c r="D30" s="14">
        <f>+G50</f>
        <v>0</v>
      </c>
      <c r="E30" s="1">
        <f>+'Summer Credit Hour Allocation'!AR48</f>
        <v>953.97223721472619</v>
      </c>
      <c r="F30" s="14">
        <f>+H50</f>
        <v>7536.15</v>
      </c>
      <c r="G30" s="1">
        <f t="shared" si="10"/>
        <v>4361641.6032561362</v>
      </c>
      <c r="H30" s="14"/>
      <c r="I30" s="14">
        <f t="shared" si="0"/>
        <v>-39236.455200949174</v>
      </c>
      <c r="J30" s="14">
        <f t="shared" si="11"/>
        <v>7808054.5849888865</v>
      </c>
      <c r="K30" s="14"/>
      <c r="L30" s="1">
        <f t="shared" si="1"/>
        <v>7536.15</v>
      </c>
      <c r="M30" s="1">
        <f t="shared" si="12"/>
        <v>7800518.4349888861</v>
      </c>
      <c r="N30" s="111">
        <v>0.59551161988393908</v>
      </c>
      <c r="O30" s="1">
        <f t="shared" si="13"/>
        <v>4645299.3691547606</v>
      </c>
      <c r="P30" s="14">
        <f t="shared" si="14"/>
        <v>4652835.519154761</v>
      </c>
      <c r="Q30" s="118">
        <f t="shared" si="15"/>
        <v>0.59590202252170643</v>
      </c>
      <c r="R30" s="18">
        <f t="shared" si="2"/>
        <v>3155219.0658341255</v>
      </c>
      <c r="S30" s="22"/>
      <c r="T30" s="161" t="s">
        <v>80</v>
      </c>
      <c r="U30" s="161">
        <v>4333909.6300000008</v>
      </c>
      <c r="V30" s="189">
        <f>+'Historical College Expenses'!F57</f>
        <v>4301997</v>
      </c>
      <c r="W30" s="189">
        <f t="shared" si="3"/>
        <v>350838.51915476099</v>
      </c>
      <c r="X30" s="219">
        <f t="shared" si="16"/>
        <v>4652835.519154761</v>
      </c>
      <c r="Y30" s="194"/>
      <c r="Z30" s="161" t="s">
        <v>80</v>
      </c>
      <c r="AA30" s="161">
        <v>3965852.9334999998</v>
      </c>
      <c r="AB30" s="220">
        <f t="shared" si="4"/>
        <v>686982.58565476118</v>
      </c>
      <c r="AC30" s="204">
        <f t="shared" si="5"/>
        <v>4652835.519154761</v>
      </c>
      <c r="AD30" s="194"/>
      <c r="AE30" s="161" t="s">
        <v>80</v>
      </c>
      <c r="AF30" s="161">
        <f t="shared" si="6"/>
        <v>4301997</v>
      </c>
      <c r="AG30" s="161">
        <f t="shared" si="17"/>
        <v>-336144.06650000019</v>
      </c>
      <c r="AH30" s="161">
        <f t="shared" si="7"/>
        <v>3965852.9334999998</v>
      </c>
      <c r="AI30" s="221">
        <f t="shared" si="18"/>
        <v>686982.58565476118</v>
      </c>
      <c r="AJ30" s="161">
        <f t="shared" si="8"/>
        <v>4652835.519154761</v>
      </c>
      <c r="AK30" s="204">
        <f t="shared" si="19"/>
        <v>350838.51915476099</v>
      </c>
      <c r="AM30" s="18"/>
      <c r="AN30" s="18"/>
      <c r="AO30" s="138"/>
      <c r="AP30" s="12"/>
      <c r="AS30" s="18"/>
      <c r="AT30" s="18"/>
      <c r="AU30" s="18"/>
    </row>
    <row r="31" spans="1:49" x14ac:dyDescent="0.25">
      <c r="A31" s="5" t="s">
        <v>81</v>
      </c>
      <c r="B31" s="1">
        <f>+'Weighted Rev Allocation'!I8</f>
        <v>18858020.215345249</v>
      </c>
      <c r="C31" s="51">
        <f t="shared" si="9"/>
        <v>0.38237748416045508</v>
      </c>
      <c r="D31" s="14"/>
      <c r="E31" s="1">
        <f>+'Summer Credit Hour Allocation'!AR49</f>
        <v>1330791.270914543</v>
      </c>
      <c r="F31" s="14"/>
      <c r="G31" s="1">
        <f t="shared" si="10"/>
        <v>23654920.031604804</v>
      </c>
      <c r="H31" s="14"/>
      <c r="I31" s="14">
        <f t="shared" si="0"/>
        <v>-219218.657589323</v>
      </c>
      <c r="J31" s="14">
        <f t="shared" si="11"/>
        <v>43624512.860275269</v>
      </c>
      <c r="K31" s="14"/>
      <c r="L31" s="1">
        <f t="shared" si="1"/>
        <v>0</v>
      </c>
      <c r="M31" s="1">
        <f t="shared" si="12"/>
        <v>43624512.860275269</v>
      </c>
      <c r="N31" s="111">
        <v>0.49678722035890399</v>
      </c>
      <c r="O31" s="1">
        <f t="shared" si="13"/>
        <v>21672100.48336741</v>
      </c>
      <c r="P31" s="14">
        <f t="shared" si="14"/>
        <v>21672100.48336741</v>
      </c>
      <c r="Q31" s="118">
        <f t="shared" si="15"/>
        <v>0.49678722035890394</v>
      </c>
      <c r="R31" s="18">
        <f t="shared" si="2"/>
        <v>21952412.376907859</v>
      </c>
      <c r="S31" s="22"/>
      <c r="T31" s="161" t="s">
        <v>82</v>
      </c>
      <c r="U31" s="161">
        <v>29768561.050000001</v>
      </c>
      <c r="V31" s="189">
        <f>+'Historical College Expenses'!F76</f>
        <v>30713831</v>
      </c>
      <c r="W31" s="189">
        <f t="shared" si="3"/>
        <v>-9041730.5166325904</v>
      </c>
      <c r="X31" s="219">
        <f t="shared" si="16"/>
        <v>21672100.48336741</v>
      </c>
      <c r="Y31" s="194"/>
      <c r="Z31" s="161" t="s">
        <v>82</v>
      </c>
      <c r="AA31" s="161">
        <v>25715517.869000003</v>
      </c>
      <c r="AB31" s="220">
        <f t="shared" si="4"/>
        <v>-4043417.3856325932</v>
      </c>
      <c r="AC31" s="204">
        <f t="shared" si="5"/>
        <v>21672100.48336741</v>
      </c>
      <c r="AD31" s="194"/>
      <c r="AE31" s="161" t="s">
        <v>82</v>
      </c>
      <c r="AF31" s="161">
        <f t="shared" si="6"/>
        <v>30713831</v>
      </c>
      <c r="AG31" s="161">
        <f t="shared" si="17"/>
        <v>-4998313.1309999973</v>
      </c>
      <c r="AH31" s="161">
        <f t="shared" si="7"/>
        <v>25715517.869000003</v>
      </c>
      <c r="AI31" s="221">
        <f t="shared" si="18"/>
        <v>-4043417.3856325932</v>
      </c>
      <c r="AJ31" s="161">
        <f t="shared" si="8"/>
        <v>21672100.48336741</v>
      </c>
      <c r="AK31" s="204">
        <f t="shared" si="19"/>
        <v>-9041730.5166325904</v>
      </c>
      <c r="AM31" s="18"/>
      <c r="AN31" s="18"/>
      <c r="AO31" s="18"/>
      <c r="AP31" s="12"/>
      <c r="AS31" s="18"/>
      <c r="AT31" s="18"/>
      <c r="AU31" s="18"/>
    </row>
    <row r="32" spans="1:49" x14ac:dyDescent="0.25">
      <c r="A32" s="5" t="s">
        <v>83</v>
      </c>
      <c r="B32" s="1">
        <f>+'Weighted Rev Allocation'!I9</f>
        <v>4640501.5251164427</v>
      </c>
      <c r="C32" s="51">
        <f t="shared" si="9"/>
        <v>9.4093827355900647E-2</v>
      </c>
      <c r="D32" s="14"/>
      <c r="E32" s="1">
        <f>+'Summer Credit Hour Allocation'!AR50</f>
        <v>269735.65007246379</v>
      </c>
      <c r="F32" s="14"/>
      <c r="G32" s="1">
        <f t="shared" si="10"/>
        <v>5820902.2596044512</v>
      </c>
      <c r="H32" s="14"/>
      <c r="I32" s="14">
        <f t="shared" si="0"/>
        <v>-53655.697173966786</v>
      </c>
      <c r="J32" s="14">
        <f t="shared" si="11"/>
        <v>10677483.737619391</v>
      </c>
      <c r="K32" s="14"/>
      <c r="L32" s="1">
        <f t="shared" si="1"/>
        <v>0</v>
      </c>
      <c r="M32" s="1">
        <f t="shared" si="12"/>
        <v>10677483.737619391</v>
      </c>
      <c r="N32" s="111">
        <v>0.57480106629727035</v>
      </c>
      <c r="O32" s="1">
        <f t="shared" si="13"/>
        <v>6137429.0377553897</v>
      </c>
      <c r="P32" s="14">
        <f t="shared" si="14"/>
        <v>6137429.0377553897</v>
      </c>
      <c r="Q32" s="118">
        <f t="shared" si="15"/>
        <v>0.57480106629727035</v>
      </c>
      <c r="R32" s="18">
        <f t="shared" si="2"/>
        <v>4540054.699864001</v>
      </c>
      <c r="S32" s="22"/>
      <c r="T32" s="161" t="s">
        <v>84</v>
      </c>
      <c r="U32" s="161">
        <v>8395462.7100000009</v>
      </c>
      <c r="V32" s="189">
        <f>+'Historical College Expenses'!F95</f>
        <v>8390374</v>
      </c>
      <c r="W32" s="189">
        <f t="shared" si="3"/>
        <v>-2252944.9622446103</v>
      </c>
      <c r="X32" s="219">
        <f t="shared" si="16"/>
        <v>6137429.0377553897</v>
      </c>
      <c r="Y32" s="194"/>
      <c r="Z32" s="161" t="s">
        <v>84</v>
      </c>
      <c r="AA32" s="161">
        <v>7217339.8445000006</v>
      </c>
      <c r="AB32" s="220">
        <f t="shared" si="4"/>
        <v>-1079910.8067446109</v>
      </c>
      <c r="AC32" s="204">
        <f t="shared" si="5"/>
        <v>6137429.0377553897</v>
      </c>
      <c r="AD32" s="194"/>
      <c r="AE32" s="161" t="s">
        <v>84</v>
      </c>
      <c r="AF32" s="161">
        <f t="shared" si="6"/>
        <v>8390374</v>
      </c>
      <c r="AG32" s="161">
        <f t="shared" si="17"/>
        <v>-1173034.1554999994</v>
      </c>
      <c r="AH32" s="161">
        <f t="shared" si="7"/>
        <v>7217339.8445000006</v>
      </c>
      <c r="AI32" s="221">
        <f t="shared" si="18"/>
        <v>-1079910.8067446109</v>
      </c>
      <c r="AJ32" s="161">
        <f t="shared" si="8"/>
        <v>6137429.0377553897</v>
      </c>
      <c r="AK32" s="204">
        <f t="shared" si="19"/>
        <v>-2252944.9622446103</v>
      </c>
      <c r="AM32" s="18"/>
      <c r="AN32" s="18"/>
      <c r="AO32" s="18"/>
      <c r="AP32" s="12"/>
      <c r="AS32" s="18"/>
      <c r="AT32" s="18"/>
      <c r="AU32" s="18"/>
    </row>
    <row r="33" spans="1:47" x14ac:dyDescent="0.25">
      <c r="A33" s="5" t="s">
        <v>85</v>
      </c>
      <c r="B33" s="1">
        <f>+'Weighted Rev Allocation'!I10</f>
        <v>325960.51593442482</v>
      </c>
      <c r="C33" s="51">
        <f t="shared" si="9"/>
        <v>6.6093874433980401E-3</v>
      </c>
      <c r="D33" s="14"/>
      <c r="E33" s="1">
        <f>+'Summer Credit Hour Allocation'!AR51</f>
        <v>4531.3681267699485</v>
      </c>
      <c r="F33" s="14"/>
      <c r="G33" s="1">
        <f t="shared" si="10"/>
        <v>408874.83679835999</v>
      </c>
      <c r="H33" s="14"/>
      <c r="I33" s="14">
        <f t="shared" si="0"/>
        <v>-3696.8336042977744</v>
      </c>
      <c r="J33" s="14">
        <f t="shared" si="11"/>
        <v>735669.887255257</v>
      </c>
      <c r="K33" s="14"/>
      <c r="L33" s="1">
        <f t="shared" si="1"/>
        <v>0</v>
      </c>
      <c r="M33" s="1">
        <f t="shared" si="12"/>
        <v>735669.887255257</v>
      </c>
      <c r="N33" s="111">
        <v>0.83023922243875892</v>
      </c>
      <c r="O33" s="1">
        <f t="shared" si="13"/>
        <v>610781.99516641395</v>
      </c>
      <c r="P33" s="14">
        <f t="shared" si="14"/>
        <v>610781.99516641395</v>
      </c>
      <c r="Q33" s="118">
        <f t="shared" si="15"/>
        <v>0.83023922243875881</v>
      </c>
      <c r="R33" s="18">
        <f t="shared" si="2"/>
        <v>124887.89208884304</v>
      </c>
      <c r="S33" s="22"/>
      <c r="T33" s="161" t="s">
        <v>86</v>
      </c>
      <c r="U33" s="161">
        <v>556666.54999999993</v>
      </c>
      <c r="V33" s="189">
        <f>+'Historical College Expenses'!F114</f>
        <v>565685</v>
      </c>
      <c r="W33" s="189">
        <f t="shared" si="3"/>
        <v>45096.995166413952</v>
      </c>
      <c r="X33" s="219">
        <f t="shared" si="16"/>
        <v>610781.99516641395</v>
      </c>
      <c r="Y33" s="194"/>
      <c r="Z33" s="161" t="s">
        <v>86</v>
      </c>
      <c r="AA33" s="161">
        <v>577348.54850000003</v>
      </c>
      <c r="AB33" s="220">
        <f t="shared" si="4"/>
        <v>33433.446666413918</v>
      </c>
      <c r="AC33" s="204">
        <f t="shared" si="5"/>
        <v>610781.99516641395</v>
      </c>
      <c r="AD33" s="194"/>
      <c r="AE33" s="161" t="s">
        <v>86</v>
      </c>
      <c r="AF33" s="161">
        <f t="shared" si="6"/>
        <v>565685</v>
      </c>
      <c r="AG33" s="161">
        <f t="shared" si="17"/>
        <v>11663.548500000034</v>
      </c>
      <c r="AH33" s="161">
        <f t="shared" si="7"/>
        <v>577348.54850000003</v>
      </c>
      <c r="AI33" s="221">
        <f t="shared" si="18"/>
        <v>33433.446666413918</v>
      </c>
      <c r="AJ33" s="161">
        <f t="shared" si="8"/>
        <v>610781.99516641395</v>
      </c>
      <c r="AK33" s="204">
        <f t="shared" si="19"/>
        <v>45096.995166413952</v>
      </c>
      <c r="AM33" s="18"/>
      <c r="AN33" s="18"/>
      <c r="AO33" s="18"/>
      <c r="AP33" s="12"/>
      <c r="AS33" s="18"/>
      <c r="AT33" s="18"/>
      <c r="AU33" s="18"/>
    </row>
    <row r="34" spans="1:47" x14ac:dyDescent="0.25">
      <c r="A34" s="5" t="s">
        <v>87</v>
      </c>
      <c r="B34" s="1">
        <f>+'Weighted Rev Allocation'!I11</f>
        <v>4272720.2601104602</v>
      </c>
      <c r="C34" s="51">
        <f t="shared" si="9"/>
        <v>8.6636455201855436E-2</v>
      </c>
      <c r="D34" s="14">
        <f>+G51</f>
        <v>456550.5</v>
      </c>
      <c r="E34" s="1">
        <f>+'Summer Credit Hour Allocation'!AR52</f>
        <v>445505.03477927711</v>
      </c>
      <c r="F34" s="14">
        <f>+H51</f>
        <v>29743</v>
      </c>
      <c r="G34" s="1">
        <f t="shared" si="10"/>
        <v>5359568.7625833964</v>
      </c>
      <c r="H34" s="14"/>
      <c r="I34" s="14">
        <f t="shared" si="0"/>
        <v>-52820.43778736567</v>
      </c>
      <c r="J34" s="14">
        <f t="shared" si="11"/>
        <v>10511267.119685769</v>
      </c>
      <c r="K34" s="14"/>
      <c r="L34" s="1">
        <f t="shared" si="1"/>
        <v>486293.5</v>
      </c>
      <c r="M34" s="1">
        <f t="shared" si="12"/>
        <v>10024973.619685769</v>
      </c>
      <c r="N34" s="111">
        <v>0.58623047758368829</v>
      </c>
      <c r="O34" s="1">
        <f t="shared" si="13"/>
        <v>5876945.0728322649</v>
      </c>
      <c r="P34" s="14">
        <f t="shared" si="14"/>
        <v>6363238.5728322649</v>
      </c>
      <c r="Q34" s="118">
        <f t="shared" si="15"/>
        <v>0.60537312013648947</v>
      </c>
      <c r="R34" s="18">
        <f t="shared" si="2"/>
        <v>4148028.5468535041</v>
      </c>
      <c r="S34" s="22"/>
      <c r="T34" s="161" t="s">
        <v>88</v>
      </c>
      <c r="U34" s="161">
        <v>5407794.1900000013</v>
      </c>
      <c r="V34" s="189">
        <f>+'Historical College Expenses'!F152</f>
        <v>5974514</v>
      </c>
      <c r="W34" s="189">
        <f t="shared" si="3"/>
        <v>388724.57283226494</v>
      </c>
      <c r="X34" s="219">
        <f t="shared" si="16"/>
        <v>6363238.5728322649</v>
      </c>
      <c r="Y34" s="194"/>
      <c r="Z34" s="161" t="s">
        <v>88</v>
      </c>
      <c r="AA34" s="161">
        <v>5686261.2779999999</v>
      </c>
      <c r="AB34" s="220">
        <f t="shared" si="4"/>
        <v>676977.294832265</v>
      </c>
      <c r="AC34" s="204">
        <f t="shared" si="5"/>
        <v>6363238.5728322649</v>
      </c>
      <c r="AD34" s="194"/>
      <c r="AE34" s="161" t="s">
        <v>88</v>
      </c>
      <c r="AF34" s="161">
        <f t="shared" si="6"/>
        <v>5974514</v>
      </c>
      <c r="AG34" s="161">
        <f t="shared" si="17"/>
        <v>-288252.72200000007</v>
      </c>
      <c r="AH34" s="161">
        <f t="shared" si="7"/>
        <v>5686261.2779999999</v>
      </c>
      <c r="AI34" s="221">
        <f t="shared" si="18"/>
        <v>676977.294832265</v>
      </c>
      <c r="AJ34" s="161">
        <f t="shared" si="8"/>
        <v>6363238.5728322649</v>
      </c>
      <c r="AK34" s="204">
        <f t="shared" si="19"/>
        <v>388724.57283226494</v>
      </c>
      <c r="AM34" s="18"/>
      <c r="AN34" s="18"/>
      <c r="AO34" s="18"/>
      <c r="AP34" s="12"/>
      <c r="AS34" s="18"/>
      <c r="AT34" s="18"/>
      <c r="AU34" s="18"/>
    </row>
    <row r="35" spans="1:47" x14ac:dyDescent="0.25">
      <c r="A35" s="5" t="s">
        <v>89</v>
      </c>
      <c r="B35" s="1">
        <f>+'Weighted Rev Allocation'!I12</f>
        <v>1888245.4623177077</v>
      </c>
      <c r="C35" s="51">
        <f t="shared" si="9"/>
        <v>3.8287293210711081E-2</v>
      </c>
      <c r="D35" s="14">
        <f>+G52+G53</f>
        <v>1634526.5</v>
      </c>
      <c r="E35" s="1">
        <f>+'Summer Credit Hour Allocation'!AR53</f>
        <v>51514.500809595207</v>
      </c>
      <c r="F35" s="14">
        <f>+H52+H53</f>
        <v>38426</v>
      </c>
      <c r="G35" s="1">
        <f t="shared" si="10"/>
        <v>2368556.9800598645</v>
      </c>
      <c r="H35" s="14"/>
      <c r="I35" s="14">
        <f t="shared" si="0"/>
        <v>-29906.347215935839</v>
      </c>
      <c r="J35" s="14">
        <f t="shared" si="11"/>
        <v>5951363.0959712313</v>
      </c>
      <c r="K35" s="14"/>
      <c r="L35" s="1">
        <f t="shared" si="1"/>
        <v>1672952.5</v>
      </c>
      <c r="M35" s="1">
        <f t="shared" si="12"/>
        <v>4278410.5959712313</v>
      </c>
      <c r="N35" s="111">
        <v>0.89802092031493796</v>
      </c>
      <c r="O35" s="1">
        <f t="shared" si="13"/>
        <v>3842102.2208792674</v>
      </c>
      <c r="P35" s="14">
        <f t="shared" si="14"/>
        <v>5515054.7208792679</v>
      </c>
      <c r="Q35" s="118">
        <f t="shared" si="15"/>
        <v>0.92668765658285546</v>
      </c>
      <c r="R35" s="18">
        <f t="shared" si="2"/>
        <v>436308.37509196345</v>
      </c>
      <c r="S35" s="22"/>
      <c r="T35" s="161" t="s">
        <v>90</v>
      </c>
      <c r="U35" s="161">
        <v>5938188.6999999983</v>
      </c>
      <c r="V35" s="189">
        <f>+'Historical College Expenses'!F171</f>
        <v>4999729</v>
      </c>
      <c r="W35" s="189">
        <f t="shared" si="3"/>
        <v>515325.7208792679</v>
      </c>
      <c r="X35" s="219">
        <f t="shared" si="16"/>
        <v>5515054.7208792679</v>
      </c>
      <c r="Y35" s="194"/>
      <c r="Z35" s="161" t="s">
        <v>90</v>
      </c>
      <c r="AA35" s="161">
        <v>4826502.9780000001</v>
      </c>
      <c r="AB35" s="220">
        <f t="shared" si="4"/>
        <v>688551.74287926778</v>
      </c>
      <c r="AC35" s="204">
        <f t="shared" si="5"/>
        <v>5515054.7208792679</v>
      </c>
      <c r="AD35" s="194"/>
      <c r="AE35" s="161" t="s">
        <v>90</v>
      </c>
      <c r="AF35" s="161">
        <f t="shared" si="6"/>
        <v>4999729</v>
      </c>
      <c r="AG35" s="161">
        <f t="shared" si="17"/>
        <v>-173226.02199999988</v>
      </c>
      <c r="AH35" s="161">
        <f t="shared" si="7"/>
        <v>4826502.9780000001</v>
      </c>
      <c r="AI35" s="221">
        <f t="shared" si="18"/>
        <v>688551.74287926778</v>
      </c>
      <c r="AJ35" s="161">
        <f t="shared" si="8"/>
        <v>5515054.7208792679</v>
      </c>
      <c r="AK35" s="204">
        <f t="shared" si="19"/>
        <v>515325.7208792679</v>
      </c>
      <c r="AM35" s="18"/>
      <c r="AN35" s="18"/>
      <c r="AO35" s="18"/>
      <c r="AP35" s="12"/>
      <c r="AS35" s="18"/>
      <c r="AT35" s="18"/>
      <c r="AU35" s="18"/>
    </row>
    <row r="36" spans="1:47" x14ac:dyDescent="0.25">
      <c r="A36" s="5" t="s">
        <v>91</v>
      </c>
      <c r="B36" s="1">
        <f>+'Weighted Rev Allocation'!I13</f>
        <v>2759782.9866558611</v>
      </c>
      <c r="C36" s="51">
        <f t="shared" si="9"/>
        <v>5.5959154949234161E-2</v>
      </c>
      <c r="D36" s="18">
        <f>+G54+G55</f>
        <v>26500</v>
      </c>
      <c r="E36" s="5">
        <f>+'Summer Credit Hour Allocation'!AR56</f>
        <v>130391.90000000004</v>
      </c>
      <c r="F36" s="18">
        <f>+H54+H55</f>
        <v>1000</v>
      </c>
      <c r="G36" s="1">
        <f t="shared" si="10"/>
        <v>3461786.8211216507</v>
      </c>
      <c r="H36" s="18"/>
      <c r="I36" s="14">
        <f t="shared" si="0"/>
        <v>-31897.308538887559</v>
      </c>
      <c r="J36" s="14">
        <f t="shared" si="11"/>
        <v>6347564.3992386237</v>
      </c>
      <c r="K36" s="14"/>
      <c r="L36" s="1">
        <f t="shared" si="1"/>
        <v>27500</v>
      </c>
      <c r="M36" s="1">
        <f t="shared" si="12"/>
        <v>6320064.3992386237</v>
      </c>
      <c r="N36" s="111">
        <v>0.70767577942586568</v>
      </c>
      <c r="O36" s="1">
        <f t="shared" si="13"/>
        <v>4472556.4997528587</v>
      </c>
      <c r="P36" s="14">
        <f t="shared" si="14"/>
        <v>4500056.4997528587</v>
      </c>
      <c r="Q36" s="118">
        <f t="shared" si="15"/>
        <v>0.70894223622097174</v>
      </c>
      <c r="R36" s="18">
        <f t="shared" si="2"/>
        <v>1847507.899485765</v>
      </c>
      <c r="S36" s="22"/>
      <c r="T36" s="161" t="s">
        <v>91</v>
      </c>
      <c r="U36" s="161">
        <v>4751531.91</v>
      </c>
      <c r="V36" s="189">
        <f>+'Historical College Expenses'!F133</f>
        <v>5572290</v>
      </c>
      <c r="W36" s="189">
        <f t="shared" si="3"/>
        <v>-1072233.5002471413</v>
      </c>
      <c r="X36" s="219">
        <f t="shared" si="16"/>
        <v>4500056.4997528587</v>
      </c>
      <c r="Y36" s="194"/>
      <c r="Z36" s="161" t="s">
        <v>91</v>
      </c>
      <c r="AA36" s="161">
        <v>5337296.0924999993</v>
      </c>
      <c r="AB36" s="220">
        <f t="shared" si="4"/>
        <v>-837239.59274714068</v>
      </c>
      <c r="AC36" s="204">
        <f t="shared" si="5"/>
        <v>4500056.4997528587</v>
      </c>
      <c r="AD36" s="194"/>
      <c r="AE36" s="161" t="s">
        <v>91</v>
      </c>
      <c r="AF36" s="161">
        <f t="shared" si="6"/>
        <v>5572290</v>
      </c>
      <c r="AG36" s="161">
        <f t="shared" si="17"/>
        <v>-234993.90750000067</v>
      </c>
      <c r="AH36" s="161">
        <f t="shared" si="7"/>
        <v>5337296.0924999993</v>
      </c>
      <c r="AI36" s="221">
        <f t="shared" si="18"/>
        <v>-837239.59274714068</v>
      </c>
      <c r="AJ36" s="161">
        <f t="shared" si="8"/>
        <v>4500056.4997528587</v>
      </c>
      <c r="AK36" s="204">
        <f t="shared" si="19"/>
        <v>-1072233.5002471413</v>
      </c>
      <c r="AM36" s="18"/>
      <c r="AN36" s="18"/>
      <c r="AO36" s="18"/>
      <c r="AP36" s="12"/>
      <c r="AS36" s="18"/>
      <c r="AT36" s="18"/>
      <c r="AU36" s="18"/>
    </row>
    <row r="37" spans="1:47" x14ac:dyDescent="0.25">
      <c r="A37" s="5" t="s">
        <v>92</v>
      </c>
      <c r="B37" s="1">
        <f>+'Weighted Rev Allocation'!I14</f>
        <v>0</v>
      </c>
      <c r="C37" s="51">
        <f t="shared" si="9"/>
        <v>0</v>
      </c>
      <c r="D37" s="18"/>
      <c r="E37" s="5"/>
      <c r="F37" s="18"/>
      <c r="G37" s="1">
        <f t="shared" si="10"/>
        <v>0</v>
      </c>
      <c r="H37" s="18"/>
      <c r="I37" s="14">
        <f t="shared" si="0"/>
        <v>0</v>
      </c>
      <c r="J37" s="14">
        <f t="shared" si="11"/>
        <v>0</v>
      </c>
      <c r="K37" s="14"/>
      <c r="L37" s="1">
        <f t="shared" si="1"/>
        <v>0</v>
      </c>
      <c r="M37" s="1">
        <f t="shared" si="12"/>
        <v>0</v>
      </c>
      <c r="N37" s="111"/>
      <c r="O37" s="5"/>
      <c r="P37" s="14"/>
      <c r="Q37" s="1"/>
      <c r="R37" s="18">
        <f t="shared" si="2"/>
        <v>0</v>
      </c>
      <c r="S37" s="1"/>
      <c r="T37" s="161" t="s">
        <v>92</v>
      </c>
      <c r="U37" s="161"/>
      <c r="V37" s="161"/>
      <c r="W37" s="161"/>
      <c r="X37" s="161"/>
      <c r="Z37" s="161" t="s">
        <v>92</v>
      </c>
      <c r="AA37" s="161"/>
      <c r="AD37" s="194"/>
      <c r="AE37" s="161" t="s">
        <v>92</v>
      </c>
      <c r="AI37" s="221"/>
      <c r="AJ37" s="161"/>
      <c r="AK37" s="108"/>
      <c r="AM37" s="18"/>
      <c r="AN37" s="18"/>
      <c r="AO37" s="18"/>
      <c r="AP37" s="12"/>
      <c r="AS37" s="18"/>
      <c r="AT37" s="18"/>
      <c r="AU37" s="18"/>
    </row>
    <row r="38" spans="1:47" x14ac:dyDescent="0.25">
      <c r="A38" s="5" t="s">
        <v>93</v>
      </c>
      <c r="B38" s="1">
        <f>+'Weighted Rev Allocation'!I15</f>
        <v>2580639.2799613685</v>
      </c>
      <c r="C38" s="51">
        <f t="shared" si="9"/>
        <v>5.2326720627561413E-2</v>
      </c>
      <c r="D38" s="18"/>
      <c r="E38" s="5"/>
      <c r="F38" s="18"/>
      <c r="G38" s="1">
        <f t="shared" si="10"/>
        <v>3237074.4702156303</v>
      </c>
      <c r="H38" s="18"/>
      <c r="I38" s="14">
        <f t="shared" si="0"/>
        <v>-29088.568750884995</v>
      </c>
      <c r="J38" s="14">
        <f t="shared" si="11"/>
        <v>5788625.1814261135</v>
      </c>
      <c r="K38" s="14"/>
      <c r="L38" s="1">
        <f t="shared" si="1"/>
        <v>0</v>
      </c>
      <c r="M38" s="1">
        <f t="shared" si="12"/>
        <v>5788625.1814261135</v>
      </c>
      <c r="N38" s="111"/>
      <c r="O38" s="5"/>
      <c r="P38" s="1"/>
      <c r="Q38" s="1"/>
      <c r="R38" s="18">
        <f t="shared" si="2"/>
        <v>5788625.1814261135</v>
      </c>
      <c r="S38" s="1"/>
      <c r="T38" s="161" t="s">
        <v>94</v>
      </c>
      <c r="U38" s="161"/>
      <c r="V38" s="161"/>
      <c r="W38" s="161"/>
      <c r="X38" s="161"/>
      <c r="Z38" s="161" t="s">
        <v>94</v>
      </c>
      <c r="AA38" s="161"/>
      <c r="AD38" s="222"/>
      <c r="AE38" s="161" t="s">
        <v>94</v>
      </c>
      <c r="AI38" s="221"/>
      <c r="AJ38" s="204"/>
      <c r="AK38" s="108"/>
      <c r="AM38" s="18"/>
      <c r="AN38" s="18"/>
      <c r="AO38" s="18"/>
      <c r="AP38" s="12"/>
      <c r="AS38" s="18"/>
      <c r="AT38" s="18"/>
      <c r="AU38" s="18"/>
    </row>
    <row r="39" spans="1:47" x14ac:dyDescent="0.25">
      <c r="A39" s="5" t="s">
        <v>95</v>
      </c>
      <c r="B39" s="1">
        <f>+'Weighted Rev Allocation'!I16</f>
        <v>0</v>
      </c>
      <c r="C39" s="51">
        <f t="shared" si="9"/>
        <v>0</v>
      </c>
      <c r="D39" s="18"/>
      <c r="E39" s="5"/>
      <c r="F39" s="18"/>
      <c r="G39" s="1">
        <f t="shared" si="10"/>
        <v>0</v>
      </c>
      <c r="H39" s="18"/>
      <c r="I39" s="14">
        <f t="shared" si="0"/>
        <v>0</v>
      </c>
      <c r="J39" s="14">
        <f t="shared" si="11"/>
        <v>0</v>
      </c>
      <c r="K39" s="14"/>
      <c r="L39" s="1">
        <f t="shared" si="1"/>
        <v>0</v>
      </c>
      <c r="M39" s="1">
        <f t="shared" si="12"/>
        <v>0</v>
      </c>
      <c r="N39" s="111"/>
      <c r="O39" s="5"/>
      <c r="P39" s="1"/>
      <c r="Q39" s="1"/>
      <c r="R39" s="18">
        <f t="shared" si="2"/>
        <v>0</v>
      </c>
      <c r="S39" s="1"/>
      <c r="T39" s="161" t="s">
        <v>96</v>
      </c>
      <c r="U39" s="161"/>
      <c r="V39" s="161"/>
      <c r="W39" s="161"/>
      <c r="X39" s="161"/>
      <c r="Z39" s="161" t="s">
        <v>96</v>
      </c>
      <c r="AA39" s="161"/>
      <c r="AD39" s="194"/>
      <c r="AE39" s="161" t="s">
        <v>96</v>
      </c>
      <c r="AI39" s="221"/>
      <c r="AJ39" s="204"/>
      <c r="AK39" s="108"/>
      <c r="AM39" s="18"/>
      <c r="AN39" s="18"/>
      <c r="AO39" s="18"/>
      <c r="AP39" s="12"/>
      <c r="AS39" s="18"/>
      <c r="AT39" s="18"/>
      <c r="AU39" s="18"/>
    </row>
    <row r="40" spans="1:47" x14ac:dyDescent="0.25">
      <c r="A40" s="53" t="s">
        <v>97</v>
      </c>
      <c r="B40" s="1">
        <f>+'Weighted Rev Allocation'!I17</f>
        <v>0</v>
      </c>
      <c r="C40" s="51">
        <f t="shared" si="9"/>
        <v>0</v>
      </c>
      <c r="D40" s="18">
        <f>+G57</f>
        <v>0</v>
      </c>
      <c r="E40" s="5"/>
      <c r="F40" s="18">
        <f>+'Net Tuition Summer'!K50</f>
        <v>23385.420000000013</v>
      </c>
      <c r="G40" s="1">
        <f t="shared" si="10"/>
        <v>0</v>
      </c>
      <c r="H40" s="18">
        <f>+C18</f>
        <v>725980</v>
      </c>
      <c r="I40" s="14">
        <f t="shared" si="0"/>
        <v>-3746.8271000000004</v>
      </c>
      <c r="J40" s="14">
        <f t="shared" si="11"/>
        <v>745618.59290000005</v>
      </c>
      <c r="K40" s="14"/>
      <c r="L40" s="1">
        <f t="shared" si="1"/>
        <v>23385.420000000013</v>
      </c>
      <c r="M40" s="1">
        <f t="shared" si="12"/>
        <v>722233.17290000001</v>
      </c>
      <c r="N40" s="111"/>
      <c r="O40" s="5"/>
      <c r="P40" s="5"/>
      <c r="Q40" s="5"/>
      <c r="R40" s="18">
        <f t="shared" si="2"/>
        <v>745618.59290000005</v>
      </c>
      <c r="S40" s="5"/>
      <c r="T40" s="223" t="s">
        <v>98</v>
      </c>
      <c r="U40" s="161"/>
      <c r="V40" s="161"/>
      <c r="W40" s="161"/>
      <c r="X40" s="161"/>
      <c r="Z40" s="223" t="s">
        <v>98</v>
      </c>
      <c r="AA40" s="161">
        <v>4700000</v>
      </c>
      <c r="AC40" s="204">
        <f>+AA40</f>
        <v>4700000</v>
      </c>
      <c r="AD40" s="194"/>
      <c r="AE40" s="223" t="s">
        <v>98</v>
      </c>
      <c r="AH40" s="161">
        <v>4700000</v>
      </c>
      <c r="AI40" s="221"/>
      <c r="AJ40" s="204">
        <v>4700000</v>
      </c>
      <c r="AK40" s="108"/>
      <c r="AM40" s="18"/>
      <c r="AN40" s="18"/>
      <c r="AO40" s="18"/>
      <c r="AP40" s="12"/>
      <c r="AS40" s="18"/>
      <c r="AT40" s="18"/>
      <c r="AU40" s="18"/>
    </row>
    <row r="41" spans="1:47" x14ac:dyDescent="0.25">
      <c r="B41" s="25">
        <f t="shared" ref="B41:J41" si="20">SUM(B28:B40)</f>
        <v>49317810.269999988</v>
      </c>
      <c r="C41" s="61">
        <f>SUM(C28:C40)</f>
        <v>1.0000000000000002</v>
      </c>
      <c r="D41" s="25">
        <f t="shared" si="20"/>
        <v>4769838.5</v>
      </c>
      <c r="E41" s="25">
        <f t="shared" si="20"/>
        <v>2993739.5700000003</v>
      </c>
      <c r="F41" s="25">
        <f t="shared" si="20"/>
        <v>164446.57</v>
      </c>
      <c r="G41" s="25">
        <f t="shared" si="20"/>
        <v>61862743.000000007</v>
      </c>
      <c r="H41" s="25">
        <f t="shared" si="20"/>
        <v>725980</v>
      </c>
      <c r="I41" s="25">
        <f t="shared" si="20"/>
        <v>-599172.78954999999</v>
      </c>
      <c r="J41" s="25">
        <f t="shared" si="20"/>
        <v>119235385.12044998</v>
      </c>
      <c r="K41" s="3"/>
      <c r="L41" s="25">
        <f>SUM(L28:L40)</f>
        <v>4934285.07</v>
      </c>
      <c r="M41" s="25">
        <f>SUM(M28:M40)</f>
        <v>114301100.05044998</v>
      </c>
      <c r="N41" s="3"/>
      <c r="O41" s="25">
        <f>SUM(O28:O40)</f>
        <v>58328724.268398732</v>
      </c>
      <c r="P41" s="25">
        <f>SUM(P28:P40)</f>
        <v>63239623.91839873</v>
      </c>
      <c r="Q41" s="3"/>
      <c r="R41" s="78">
        <f>SUM(R28:R40)</f>
        <v>55995761.202051252</v>
      </c>
      <c r="S41" s="3"/>
      <c r="T41" s="204" t="s">
        <v>99</v>
      </c>
      <c r="U41" s="224">
        <f>SUM(U28:U40)</f>
        <v>73139324.710000008</v>
      </c>
      <c r="V41" s="224">
        <f>SUM(V28:V40)</f>
        <v>74655190</v>
      </c>
      <c r="W41" s="224">
        <f t="shared" ref="W41:X41" si="21">SUM(W28:W40)</f>
        <v>-11415566.081601264</v>
      </c>
      <c r="X41" s="224">
        <f t="shared" si="21"/>
        <v>63239623.91839873</v>
      </c>
      <c r="Z41" s="204" t="s">
        <v>99</v>
      </c>
      <c r="AA41" s="163">
        <f>SUM(AA28:AA40)</f>
        <v>71471434.159999996</v>
      </c>
      <c r="AB41" s="163">
        <f>SUM(AB28:AB40)</f>
        <v>-3531810.2416012641</v>
      </c>
      <c r="AC41" s="163">
        <f>SUM(AC28:AC40)</f>
        <v>67939623.918398738</v>
      </c>
      <c r="AD41" s="161"/>
      <c r="AE41" s="204" t="s">
        <v>99</v>
      </c>
      <c r="AF41" s="163">
        <f t="shared" ref="AF41:AK41" si="22">SUM(AF28:AF40)</f>
        <v>74655190</v>
      </c>
      <c r="AG41" s="163">
        <f t="shared" si="22"/>
        <v>-7883755.8399999989</v>
      </c>
      <c r="AH41" s="163">
        <f t="shared" si="22"/>
        <v>71471434.159999996</v>
      </c>
      <c r="AI41" s="225">
        <f t="shared" si="22"/>
        <v>-3531810.2416012641</v>
      </c>
      <c r="AJ41" s="163">
        <f t="shared" si="22"/>
        <v>67939623.918398738</v>
      </c>
      <c r="AK41" s="163">
        <f t="shared" si="22"/>
        <v>-11415566.081601264</v>
      </c>
      <c r="AM41" s="18"/>
      <c r="AN41" s="18"/>
      <c r="AO41" s="18"/>
      <c r="AP41" s="12"/>
      <c r="AS41" s="18"/>
      <c r="AT41" s="18"/>
      <c r="AU41" s="18"/>
    </row>
    <row r="42" spans="1:47" x14ac:dyDescent="0.25">
      <c r="B42" s="1"/>
      <c r="C42" s="3"/>
      <c r="D42"/>
      <c r="E42" s="48">
        <v>2020</v>
      </c>
      <c r="F42" s="48"/>
      <c r="G42" s="48"/>
      <c r="H42" s="187"/>
      <c r="I42" s="48">
        <v>2021</v>
      </c>
      <c r="J42" s="3"/>
      <c r="K42" s="3"/>
      <c r="L42" s="3"/>
      <c r="M42" s="3"/>
      <c r="N42" s="3"/>
      <c r="O42" s="35"/>
      <c r="P42" s="139">
        <f>+P41/C20</f>
        <v>0.52527460288501537</v>
      </c>
      <c r="Q42" s="12"/>
      <c r="S42" s="12"/>
      <c r="T42" s="194"/>
      <c r="U42" s="226">
        <f>+U41/U20</f>
        <v>0.58519852919385118</v>
      </c>
      <c r="V42" s="226">
        <f>+V41/V20</f>
        <v>0.60432700823463181</v>
      </c>
      <c r="W42" s="204"/>
      <c r="X42" s="204"/>
      <c r="Z42" s="161"/>
      <c r="AA42" s="226">
        <f>+AA41/AA20</f>
        <v>0.59082672219185617</v>
      </c>
      <c r="AC42" s="226">
        <f>+AC41/AC20</f>
        <v>0.56163061198399999</v>
      </c>
      <c r="AD42" s="161"/>
      <c r="AE42" s="161"/>
      <c r="AF42" s="108"/>
      <c r="AG42" s="204"/>
      <c r="AH42" s="194"/>
      <c r="AI42" s="194"/>
      <c r="AJ42" s="226">
        <f>+AJ41/AJ20</f>
        <v>0.5499651084297279</v>
      </c>
      <c r="AM42" s="3"/>
      <c r="AN42" s="18"/>
      <c r="AO42" s="18"/>
      <c r="AP42" s="12"/>
      <c r="AS42" s="18"/>
      <c r="AT42" s="18"/>
      <c r="AU42" s="18"/>
    </row>
    <row r="43" spans="1:47" x14ac:dyDescent="0.25">
      <c r="A43" s="13" t="s">
        <v>100</v>
      </c>
      <c r="C43" s="42" t="s">
        <v>101</v>
      </c>
      <c r="D43" s="42" t="s">
        <v>31</v>
      </c>
      <c r="E43" s="42" t="s">
        <v>38</v>
      </c>
      <c r="F43" s="3"/>
      <c r="G43" s="42" t="s">
        <v>101</v>
      </c>
      <c r="H43" s="42" t="s">
        <v>31</v>
      </c>
      <c r="I43" s="42" t="s">
        <v>38</v>
      </c>
      <c r="J43" s="3"/>
      <c r="Q43" s="35"/>
      <c r="R43" s="3"/>
      <c r="S43" s="35"/>
      <c r="T43" s="200" t="s">
        <v>102</v>
      </c>
      <c r="U43" s="204">
        <f>SUM(U28:U36)</f>
        <v>73139324.710000008</v>
      </c>
      <c r="V43" s="204">
        <f>SUM(V28:V36)</f>
        <v>74655190</v>
      </c>
      <c r="W43" s="227"/>
      <c r="X43" s="227"/>
      <c r="Z43" s="200" t="s">
        <v>102</v>
      </c>
      <c r="AA43" s="204">
        <f>SUM(AA28:AA36)</f>
        <v>66771434.160000004</v>
      </c>
      <c r="AC43" s="204">
        <f>SUM(AC28:AC36)</f>
        <v>63239623.91839873</v>
      </c>
      <c r="AD43" s="161"/>
      <c r="AE43" s="200" t="s">
        <v>102</v>
      </c>
      <c r="AF43" s="204">
        <f t="shared" ref="AF43:AJ43" si="23">SUM(AF28:AF36)</f>
        <v>74655190</v>
      </c>
      <c r="AG43" s="204"/>
      <c r="AH43" s="204">
        <f t="shared" si="23"/>
        <v>66771434.160000004</v>
      </c>
      <c r="AI43" s="204"/>
      <c r="AJ43" s="204">
        <f t="shared" si="23"/>
        <v>63239623.91839873</v>
      </c>
      <c r="AK43" s="204"/>
      <c r="AL43" s="161"/>
      <c r="AM43" s="18"/>
      <c r="AN43" s="18"/>
      <c r="AO43" s="18"/>
      <c r="AP43"/>
      <c r="AQ43"/>
      <c r="AR43"/>
    </row>
    <row r="44" spans="1:47" x14ac:dyDescent="0.25">
      <c r="A44" s="1" t="s">
        <v>103</v>
      </c>
      <c r="B44" t="s">
        <v>104</v>
      </c>
      <c r="C44" s="1">
        <f>+'Net Tuition AY'!L48</f>
        <v>1354203</v>
      </c>
      <c r="D44" s="1">
        <f>+'Net Tuition Summer'!J46</f>
        <v>44010</v>
      </c>
      <c r="E44" s="1">
        <f t="shared" ref="E44:E56" si="24">SUM(C44:D44)</f>
        <v>1398213</v>
      </c>
      <c r="G44" s="1">
        <f>+'Net Tuition AY'!M48</f>
        <v>1376886</v>
      </c>
      <c r="H44" s="1">
        <f>+'Net Tuition Summer'!K46</f>
        <v>46882</v>
      </c>
      <c r="I44" s="1">
        <f t="shared" ref="I44:I56" si="25">SUM(G44:H44)</f>
        <v>1423768</v>
      </c>
      <c r="R44" s="6"/>
      <c r="U44" s="204"/>
      <c r="Z44" s="228"/>
      <c r="AD44" s="161"/>
      <c r="AE44" s="228"/>
      <c r="AJ44" s="161"/>
      <c r="AK44" s="108"/>
      <c r="AL44" s="161"/>
      <c r="AM44" s="18"/>
      <c r="AN44" s="3"/>
      <c r="AO44" s="3"/>
      <c r="AP44" s="3"/>
      <c r="AQ44" s="3"/>
      <c r="AR44"/>
    </row>
    <row r="45" spans="1:47" x14ac:dyDescent="0.25">
      <c r="A45" s="1" t="s">
        <v>106</v>
      </c>
      <c r="B45" t="s">
        <v>104</v>
      </c>
      <c r="C45" s="1">
        <f>+'Net Tuition AY'!L38</f>
        <v>0</v>
      </c>
      <c r="D45" s="1">
        <f>+'Net Tuition Summer'!J35</f>
        <v>22429</v>
      </c>
      <c r="E45" s="1">
        <f t="shared" si="24"/>
        <v>22429</v>
      </c>
      <c r="G45" s="1">
        <f>+'Net Tuition AY'!M38</f>
        <v>0</v>
      </c>
      <c r="H45" s="1">
        <f>+'Net Tuition Summer'!K35</f>
        <v>16050</v>
      </c>
      <c r="I45" s="1">
        <f t="shared" si="25"/>
        <v>16050</v>
      </c>
      <c r="P45" s="6"/>
      <c r="Q45" s="6"/>
      <c r="R45" s="6"/>
      <c r="T45" s="108" t="s">
        <v>109</v>
      </c>
      <c r="U45" s="161">
        <v>3442921.2899999996</v>
      </c>
      <c r="V45" s="161">
        <v>3040576.2300000004</v>
      </c>
      <c r="X45" s="189">
        <f t="shared" ref="X45:X67" si="26">MAX(V45,U45)</f>
        <v>3442921.2899999996</v>
      </c>
      <c r="Z45" s="108" t="s">
        <v>109</v>
      </c>
      <c r="AA45" s="161">
        <v>3322431.0779999997</v>
      </c>
      <c r="AD45" s="161"/>
      <c r="AE45" s="108" t="s">
        <v>109</v>
      </c>
      <c r="AH45" s="108"/>
      <c r="AJ45" s="161">
        <f>+AA45</f>
        <v>3322431.0779999997</v>
      </c>
      <c r="AK45" s="108"/>
    </row>
    <row r="46" spans="1:47" x14ac:dyDescent="0.25">
      <c r="A46" s="1" t="s">
        <v>110</v>
      </c>
      <c r="B46" t="s">
        <v>104</v>
      </c>
      <c r="C46" s="1">
        <f>+'Net Tuition AY'!L54</f>
        <v>-1910</v>
      </c>
      <c r="D46" s="1">
        <f>+'Net Tuition Summer'!J44</f>
        <v>0</v>
      </c>
      <c r="E46" s="1">
        <f t="shared" si="24"/>
        <v>-1910</v>
      </c>
      <c r="G46" s="1">
        <f>+'Net Tuition AY'!M54</f>
        <v>244558.5</v>
      </c>
      <c r="H46" s="1">
        <f>+'Net Tuition Summer'!K44</f>
        <v>0</v>
      </c>
      <c r="I46" s="1">
        <f t="shared" si="25"/>
        <v>244558.5</v>
      </c>
      <c r="P46" s="6"/>
      <c r="Q46" s="6"/>
      <c r="R46" s="6"/>
      <c r="T46" s="108" t="s">
        <v>114</v>
      </c>
      <c r="U46" s="161">
        <v>4259976.7900000019</v>
      </c>
      <c r="V46" s="161">
        <v>4484819.37</v>
      </c>
      <c r="X46" s="189">
        <f t="shared" si="26"/>
        <v>4484819.37</v>
      </c>
      <c r="Z46" s="108" t="s">
        <v>114</v>
      </c>
      <c r="AA46" s="161">
        <v>4035388.71</v>
      </c>
      <c r="AD46" s="161"/>
      <c r="AE46" s="108" t="s">
        <v>114</v>
      </c>
      <c r="AI46" s="229"/>
      <c r="AJ46" s="161">
        <f>+AA46</f>
        <v>4035388.71</v>
      </c>
      <c r="AK46" s="108"/>
      <c r="AP46"/>
      <c r="AS46" s="18"/>
    </row>
    <row r="47" spans="1:47" x14ac:dyDescent="0.25">
      <c r="A47" s="1" t="s">
        <v>115</v>
      </c>
      <c r="B47" t="s">
        <v>104</v>
      </c>
      <c r="C47" s="1">
        <f>+'Net Tuition AY'!L47</f>
        <v>0</v>
      </c>
      <c r="D47" s="1">
        <f>+'Net Tuition Summer'!J45</f>
        <v>0</v>
      </c>
      <c r="E47" s="1">
        <f t="shared" si="24"/>
        <v>0</v>
      </c>
      <c r="F47" s="6"/>
      <c r="G47" s="1">
        <f>+'Net Tuition AY'!M47</f>
        <v>0</v>
      </c>
      <c r="H47" s="1">
        <f>+'Net Tuition Summer'!K45</f>
        <v>0</v>
      </c>
      <c r="I47" s="1">
        <f t="shared" si="25"/>
        <v>0</v>
      </c>
      <c r="S47" s="6"/>
      <c r="T47" s="108" t="s">
        <v>116</v>
      </c>
      <c r="U47" s="161">
        <v>1017442.7300000001</v>
      </c>
      <c r="V47" s="161">
        <v>1017450.4400000001</v>
      </c>
      <c r="X47" s="189">
        <f t="shared" si="26"/>
        <v>1017450.4400000001</v>
      </c>
      <c r="Z47" s="108" t="s">
        <v>116</v>
      </c>
      <c r="AA47" s="161">
        <v>1072323.6639999999</v>
      </c>
      <c r="AE47" s="108" t="s">
        <v>116</v>
      </c>
      <c r="AJ47" s="161">
        <f t="shared" ref="AJ47:AJ53" si="27">+AA47</f>
        <v>1072323.6639999999</v>
      </c>
      <c r="AK47" s="108"/>
      <c r="AO47" s="18"/>
      <c r="AR47"/>
    </row>
    <row r="48" spans="1:47" x14ac:dyDescent="0.25">
      <c r="A48" s="1" t="s">
        <v>117</v>
      </c>
      <c r="B48" t="s">
        <v>104</v>
      </c>
      <c r="C48" s="1">
        <f>+'Net Tuition AY'!L49</f>
        <v>595769</v>
      </c>
      <c r="D48" s="1">
        <f>+'Net Tuition Summer'!J47</f>
        <v>3381</v>
      </c>
      <c r="E48" s="1">
        <f t="shared" si="24"/>
        <v>599150</v>
      </c>
      <c r="F48" s="5"/>
      <c r="G48" s="1">
        <f>+'Net Tuition AY'!M49</f>
        <v>666696</v>
      </c>
      <c r="H48" s="1">
        <f>+'Net Tuition Summer'!K47</f>
        <v>1424</v>
      </c>
      <c r="I48" s="1">
        <f t="shared" si="25"/>
        <v>668120</v>
      </c>
      <c r="O48" s="5"/>
      <c r="P48" s="126"/>
      <c r="Q48" s="126"/>
      <c r="R48" s="126"/>
      <c r="S48" s="1"/>
      <c r="T48" s="108" t="s">
        <v>118</v>
      </c>
      <c r="U48" s="161">
        <v>753374.54000000015</v>
      </c>
      <c r="V48" s="161">
        <v>749788.52</v>
      </c>
      <c r="X48" s="189">
        <f t="shared" si="26"/>
        <v>753374.54000000015</v>
      </c>
      <c r="Z48" s="108" t="s">
        <v>118</v>
      </c>
      <c r="AA48" s="161">
        <v>755210.01699999999</v>
      </c>
      <c r="AE48" s="108" t="s">
        <v>118</v>
      </c>
      <c r="AJ48" s="161">
        <f t="shared" si="27"/>
        <v>755210.01699999999</v>
      </c>
      <c r="AK48" s="108"/>
      <c r="AP48"/>
      <c r="AS48" s="18"/>
    </row>
    <row r="49" spans="1:45" x14ac:dyDescent="0.25">
      <c r="A49" s="1" t="s">
        <v>119</v>
      </c>
      <c r="B49" t="s">
        <v>104</v>
      </c>
      <c r="C49" s="1">
        <f>+'Net Tuition AY'!L51</f>
        <v>304174</v>
      </c>
      <c r="D49" s="1">
        <f>+'Net Tuition Summer'!J48</f>
        <v>0</v>
      </c>
      <c r="E49" s="1">
        <f t="shared" si="24"/>
        <v>304174</v>
      </c>
      <c r="F49" s="5"/>
      <c r="G49" s="1">
        <f>+'Net Tuition AY'!M51</f>
        <v>364121</v>
      </c>
      <c r="H49" s="1">
        <f>+'Net Tuition Summer'!K48</f>
        <v>0</v>
      </c>
      <c r="I49" s="1">
        <f t="shared" si="25"/>
        <v>364121</v>
      </c>
      <c r="O49" s="5"/>
      <c r="P49" s="126"/>
      <c r="Q49" s="126"/>
      <c r="R49" s="126"/>
      <c r="S49" s="1"/>
      <c r="T49" s="108" t="s">
        <v>120</v>
      </c>
      <c r="U49" s="161">
        <v>481530.19</v>
      </c>
      <c r="V49" s="161">
        <v>482233.68999999994</v>
      </c>
      <c r="X49" s="189">
        <f t="shared" si="26"/>
        <v>482233.68999999994</v>
      </c>
      <c r="Z49" s="108" t="s">
        <v>120</v>
      </c>
      <c r="AA49" s="161">
        <v>478643.59050000005</v>
      </c>
      <c r="AE49" s="108" t="s">
        <v>120</v>
      </c>
      <c r="AJ49" s="161">
        <f t="shared" si="27"/>
        <v>478643.59050000005</v>
      </c>
      <c r="AK49" s="108"/>
      <c r="AP49"/>
      <c r="AS49" s="18"/>
    </row>
    <row r="50" spans="1:45" x14ac:dyDescent="0.25">
      <c r="A50" s="1" t="s">
        <v>80</v>
      </c>
      <c r="B50" t="s">
        <v>121</v>
      </c>
      <c r="C50" s="1">
        <f>+'Net Tuition AY'!L43</f>
        <v>0</v>
      </c>
      <c r="D50" s="1">
        <f>+'Net Tuition Summer'!J40</f>
        <v>3889.5</v>
      </c>
      <c r="E50" s="1">
        <f t="shared" si="24"/>
        <v>3889.5</v>
      </c>
      <c r="F50" s="5"/>
      <c r="G50" s="1">
        <f>+'Net Tuition AY'!M43</f>
        <v>0</v>
      </c>
      <c r="H50" s="1">
        <f>+'Net Tuition Summer'!K40</f>
        <v>7536.15</v>
      </c>
      <c r="I50" s="1">
        <f t="shared" si="25"/>
        <v>7536.15</v>
      </c>
      <c r="O50" s="5"/>
      <c r="P50" s="126"/>
      <c r="Q50" s="126"/>
      <c r="R50" s="126"/>
      <c r="S50" s="1"/>
      <c r="T50" s="108" t="s">
        <v>122</v>
      </c>
      <c r="U50" s="161">
        <v>4350543.9399999985</v>
      </c>
      <c r="V50" s="161">
        <v>4953955.2699999996</v>
      </c>
      <c r="X50" s="189">
        <f t="shared" si="26"/>
        <v>4953955.2699999996</v>
      </c>
      <c r="Z50" s="108" t="s">
        <v>122</v>
      </c>
      <c r="AA50" s="161">
        <v>4243926.6694999998</v>
      </c>
      <c r="AE50" s="108" t="s">
        <v>122</v>
      </c>
      <c r="AJ50" s="161">
        <f t="shared" si="27"/>
        <v>4243926.6694999998</v>
      </c>
      <c r="AK50" s="108"/>
      <c r="AP50"/>
      <c r="AS50" s="18"/>
    </row>
    <row r="51" spans="1:45" x14ac:dyDescent="0.25">
      <c r="A51" s="1" t="s">
        <v>88</v>
      </c>
      <c r="B51" t="s">
        <v>123</v>
      </c>
      <c r="C51" s="1">
        <f>+'Net Tuition AY'!L40</f>
        <v>434243</v>
      </c>
      <c r="D51" s="1">
        <f>+'Net Tuition Summer'!J36</f>
        <v>17962</v>
      </c>
      <c r="E51" s="1">
        <f t="shared" si="24"/>
        <v>452205</v>
      </c>
      <c r="F51" s="5"/>
      <c r="G51" s="1">
        <f>+'Net Tuition AY'!M40</f>
        <v>456550.5</v>
      </c>
      <c r="H51" s="1">
        <f>+'Net Tuition Summer'!K36</f>
        <v>29743</v>
      </c>
      <c r="I51" s="1">
        <f t="shared" si="25"/>
        <v>486293.5</v>
      </c>
      <c r="O51" s="5"/>
      <c r="P51" s="126"/>
      <c r="Q51" s="126"/>
      <c r="R51" s="126"/>
      <c r="S51" s="1"/>
      <c r="T51" s="108" t="s">
        <v>124</v>
      </c>
      <c r="U51" s="161">
        <v>2319299.6100000003</v>
      </c>
      <c r="V51" s="161">
        <v>2285519.8200000008</v>
      </c>
      <c r="X51" s="189">
        <f t="shared" si="26"/>
        <v>2319299.6100000003</v>
      </c>
      <c r="Z51" s="108" t="s">
        <v>124</v>
      </c>
      <c r="AA51" s="161">
        <v>2425054.2864999999</v>
      </c>
      <c r="AE51" s="108" t="s">
        <v>124</v>
      </c>
      <c r="AJ51" s="161">
        <f t="shared" si="27"/>
        <v>2425054.2864999999</v>
      </c>
      <c r="AK51" s="108"/>
      <c r="AP51"/>
      <c r="AS51" s="18"/>
    </row>
    <row r="52" spans="1:45" x14ac:dyDescent="0.25">
      <c r="A52" s="1" t="s">
        <v>90</v>
      </c>
      <c r="B52" t="s">
        <v>125</v>
      </c>
      <c r="C52" s="1">
        <f>+'Net Tuition AY'!L45</f>
        <v>1172289</v>
      </c>
      <c r="D52" s="1">
        <f>+'Net Tuition Summer'!J41</f>
        <v>14210.5</v>
      </c>
      <c r="E52" s="1">
        <f t="shared" si="24"/>
        <v>1186499.5</v>
      </c>
      <c r="F52" s="5"/>
      <c r="G52" s="1">
        <f>+'Net Tuition AY'!M45</f>
        <v>1540408</v>
      </c>
      <c r="H52" s="1">
        <f>+'Net Tuition Summer'!K41</f>
        <v>18942</v>
      </c>
      <c r="I52" s="1">
        <f t="shared" si="25"/>
        <v>1559350</v>
      </c>
      <c r="O52" s="5"/>
      <c r="P52" s="126"/>
      <c r="Q52" s="126"/>
      <c r="R52" s="126"/>
      <c r="S52" s="1"/>
      <c r="T52" s="108" t="s">
        <v>126</v>
      </c>
      <c r="U52" s="161">
        <v>14246688.899999993</v>
      </c>
      <c r="V52" s="161">
        <v>14087750.239999996</v>
      </c>
      <c r="X52" s="189">
        <f t="shared" si="26"/>
        <v>14246688.899999993</v>
      </c>
      <c r="Z52" s="108" t="s">
        <v>126</v>
      </c>
      <c r="AA52" s="161">
        <v>13539246.513499999</v>
      </c>
      <c r="AE52" s="108" t="s">
        <v>126</v>
      </c>
      <c r="AJ52" s="161">
        <f t="shared" si="27"/>
        <v>13539246.513499999</v>
      </c>
      <c r="AK52" s="108"/>
      <c r="AN52" s="18"/>
      <c r="AO52" s="18"/>
      <c r="AQ52"/>
      <c r="AR52"/>
    </row>
    <row r="53" spans="1:45" x14ac:dyDescent="0.25">
      <c r="A53" s="1" t="s">
        <v>127</v>
      </c>
      <c r="B53" t="s">
        <v>125</v>
      </c>
      <c r="C53" s="1">
        <f>+'Net Tuition AY'!L46</f>
        <v>89855</v>
      </c>
      <c r="D53" s="1">
        <f>+'Net Tuition Summer'!J42</f>
        <v>12916.5</v>
      </c>
      <c r="E53" s="1">
        <f t="shared" si="24"/>
        <v>102771.5</v>
      </c>
      <c r="F53" s="5"/>
      <c r="G53" s="1">
        <f>+'Net Tuition AY'!M46</f>
        <v>94118.5</v>
      </c>
      <c r="H53" s="1">
        <f>+'Net Tuition Summer'!K42</f>
        <v>19484</v>
      </c>
      <c r="I53" s="1">
        <f t="shared" si="25"/>
        <v>113602.5</v>
      </c>
      <c r="O53" s="5"/>
      <c r="P53" s="126"/>
      <c r="Q53" s="126"/>
      <c r="R53" s="126"/>
      <c r="S53" s="1"/>
      <c r="T53" s="108" t="s">
        <v>128</v>
      </c>
      <c r="U53" s="161">
        <v>1041224.8800000008</v>
      </c>
      <c r="V53" s="161">
        <v>852449.90000000224</v>
      </c>
      <c r="X53" s="189">
        <f t="shared" si="26"/>
        <v>1041224.8800000008</v>
      </c>
      <c r="Z53" s="108" t="s">
        <v>128</v>
      </c>
      <c r="AA53" s="161">
        <v>1041199.5490000006</v>
      </c>
      <c r="AE53" s="108" t="s">
        <v>128</v>
      </c>
      <c r="AJ53" s="161">
        <f t="shared" si="27"/>
        <v>1041199.5490000006</v>
      </c>
      <c r="AK53" s="108"/>
      <c r="AM53" s="18"/>
      <c r="AN53" s="18"/>
      <c r="AO53" s="18"/>
      <c r="AP53"/>
      <c r="AQ53"/>
      <c r="AR53"/>
    </row>
    <row r="54" spans="1:45" x14ac:dyDescent="0.25">
      <c r="A54" s="1" t="s">
        <v>129</v>
      </c>
      <c r="B54" t="s">
        <v>130</v>
      </c>
      <c r="C54" s="1">
        <f>+'Net Tuition AY'!L41</f>
        <v>34250</v>
      </c>
      <c r="D54" s="1">
        <f>+'Net Tuition Summer'!J37</f>
        <v>5500</v>
      </c>
      <c r="E54" s="1">
        <f t="shared" si="24"/>
        <v>39750</v>
      </c>
      <c r="F54" s="5"/>
      <c r="G54" s="1">
        <f>+'Net Tuition AY'!M41</f>
        <v>26500</v>
      </c>
      <c r="H54" s="1">
        <f>+'Net Tuition Summer'!K37</f>
        <v>1000</v>
      </c>
      <c r="I54" s="1">
        <f t="shared" si="25"/>
        <v>27500</v>
      </c>
      <c r="O54" s="5"/>
      <c r="P54" s="126"/>
      <c r="Q54" s="126"/>
      <c r="R54" s="126"/>
      <c r="S54" s="1"/>
      <c r="T54" s="108" t="s">
        <v>131</v>
      </c>
      <c r="U54" s="161">
        <v>5767585.7199999979</v>
      </c>
      <c r="V54" s="161">
        <v>4441745.2799999984</v>
      </c>
      <c r="X54" s="189">
        <f t="shared" si="26"/>
        <v>5767585.7199999979</v>
      </c>
      <c r="Z54" s="108" t="s">
        <v>131</v>
      </c>
      <c r="AA54" s="161">
        <v>7130635.6255000001</v>
      </c>
      <c r="AD54" s="161"/>
      <c r="AE54" s="108" t="s">
        <v>131</v>
      </c>
      <c r="AJ54" s="161">
        <f>+AA54</f>
        <v>7130635.6255000001</v>
      </c>
      <c r="AK54" s="108"/>
      <c r="AM54" s="18"/>
      <c r="AN54" s="18"/>
      <c r="AO54" s="18"/>
      <c r="AP54"/>
      <c r="AQ54"/>
      <c r="AR54"/>
    </row>
    <row r="55" spans="1:45" x14ac:dyDescent="0.25">
      <c r="A55" s="1" t="s">
        <v>132</v>
      </c>
      <c r="B55" t="s">
        <v>130</v>
      </c>
      <c r="C55" s="1">
        <f>+'Net Tuition AY'!L42</f>
        <v>2413</v>
      </c>
      <c r="D55" s="1">
        <f>+'Net Tuition Summer'!J38</f>
        <v>100</v>
      </c>
      <c r="E55" s="1">
        <f t="shared" si="24"/>
        <v>2513</v>
      </c>
      <c r="F55" s="5"/>
      <c r="G55" s="1">
        <f>+'Net Tuition AY'!M42</f>
        <v>0</v>
      </c>
      <c r="H55" s="1">
        <f>+'Net Tuition Summer'!K38</f>
        <v>0</v>
      </c>
      <c r="I55" s="1">
        <f t="shared" si="25"/>
        <v>0</v>
      </c>
      <c r="O55" s="5"/>
      <c r="P55" s="126"/>
      <c r="Q55" s="126"/>
      <c r="R55" s="126"/>
      <c r="S55" s="1"/>
      <c r="T55" s="108" t="s">
        <v>133</v>
      </c>
      <c r="U55" s="161">
        <v>-5857320.7600000007</v>
      </c>
      <c r="V55" s="161">
        <v>-6212764.3200000003</v>
      </c>
      <c r="X55" s="189">
        <f t="shared" si="26"/>
        <v>-5857320.7600000007</v>
      </c>
      <c r="Z55" s="108" t="s">
        <v>133</v>
      </c>
      <c r="AA55" s="161">
        <v>-7383641</v>
      </c>
      <c r="AD55" s="161"/>
      <c r="AE55" s="108" t="s">
        <v>133</v>
      </c>
      <c r="AJ55" s="161">
        <f>+AA55</f>
        <v>-7383641</v>
      </c>
      <c r="AK55" s="108"/>
      <c r="AO55" s="18"/>
      <c r="AR55"/>
    </row>
    <row r="56" spans="1:45" x14ac:dyDescent="0.25">
      <c r="A56" s="1" t="s">
        <v>134</v>
      </c>
      <c r="B56" t="s">
        <v>130</v>
      </c>
      <c r="C56" s="1">
        <f>+'Net Tuition AY'!L37</f>
        <v>0</v>
      </c>
      <c r="D56" s="1">
        <f>+'Net Tuition Summer'!J33</f>
        <v>0</v>
      </c>
      <c r="E56" s="1">
        <f t="shared" si="24"/>
        <v>0</v>
      </c>
      <c r="F56" s="5"/>
      <c r="G56" s="1">
        <f>+'Net Tuition AY'!M37</f>
        <v>0</v>
      </c>
      <c r="H56" s="1">
        <f>+'Net Tuition Summer'!K33</f>
        <v>0</v>
      </c>
      <c r="I56" s="1">
        <f t="shared" si="25"/>
        <v>0</v>
      </c>
      <c r="O56" s="5"/>
      <c r="P56" s="126"/>
      <c r="Q56" s="126"/>
      <c r="R56" s="126"/>
      <c r="S56" s="1"/>
      <c r="T56" s="108" t="s">
        <v>135</v>
      </c>
      <c r="U56" s="161">
        <v>309451</v>
      </c>
      <c r="V56" s="161">
        <v>172750</v>
      </c>
      <c r="X56" s="189">
        <f t="shared" si="26"/>
        <v>309451</v>
      </c>
      <c r="Z56" s="108" t="s">
        <v>135</v>
      </c>
      <c r="AA56" s="161">
        <v>172750</v>
      </c>
      <c r="AD56" s="161"/>
      <c r="AE56" s="108" t="s">
        <v>135</v>
      </c>
      <c r="AJ56" s="161">
        <f>+AA56</f>
        <v>172750</v>
      </c>
      <c r="AK56" s="108"/>
    </row>
    <row r="57" spans="1:45" x14ac:dyDescent="0.25">
      <c r="A57" s="1" t="s">
        <v>136</v>
      </c>
      <c r="G57" s="1">
        <f>+'Net Tuition AY'!M52</f>
        <v>0</v>
      </c>
      <c r="H57" s="4"/>
      <c r="S57" s="1"/>
      <c r="T57" s="108" t="s">
        <v>137</v>
      </c>
      <c r="U57" s="161">
        <v>471066.13</v>
      </c>
      <c r="V57" s="161">
        <v>316111.2</v>
      </c>
      <c r="X57" s="189">
        <f t="shared" si="26"/>
        <v>471066.13</v>
      </c>
      <c r="Z57" s="108" t="s">
        <v>137</v>
      </c>
      <c r="AA57" s="161">
        <v>405637.90350000001</v>
      </c>
      <c r="AD57" s="161"/>
      <c r="AE57" s="108" t="s">
        <v>137</v>
      </c>
      <c r="AJ57" s="161">
        <f t="shared" ref="AJ57:AJ59" si="28">+AA57</f>
        <v>405637.90350000001</v>
      </c>
      <c r="AK57" s="108"/>
    </row>
    <row r="58" spans="1:45" ht="15.75" thickBot="1" x14ac:dyDescent="0.3">
      <c r="C58" s="60">
        <f>SUM(C44:C57)</f>
        <v>3985286</v>
      </c>
      <c r="D58" s="60">
        <f t="shared" ref="D58:E58" si="29">SUM(D44:D57)</f>
        <v>124398.5</v>
      </c>
      <c r="E58" s="60">
        <f t="shared" si="29"/>
        <v>4109684.5</v>
      </c>
      <c r="F58" s="5"/>
      <c r="G58" s="60">
        <f t="shared" ref="G58:I58" si="30">SUM(G44:G57)</f>
        <v>4769838.5</v>
      </c>
      <c r="H58" s="60">
        <f t="shared" si="30"/>
        <v>141061.15</v>
      </c>
      <c r="I58" s="60">
        <f t="shared" si="30"/>
        <v>4910899.6500000004</v>
      </c>
      <c r="P58" s="6"/>
      <c r="Q58" s="6"/>
      <c r="S58" s="1"/>
      <c r="T58" s="108" t="s">
        <v>140</v>
      </c>
      <c r="U58" s="161">
        <v>551357.9</v>
      </c>
      <c r="V58" s="161">
        <v>563719.57999999996</v>
      </c>
      <c r="X58" s="189">
        <f t="shared" si="26"/>
        <v>563719.57999999996</v>
      </c>
      <c r="Z58" s="108" t="s">
        <v>140</v>
      </c>
      <c r="AA58" s="161">
        <v>415297.34849999996</v>
      </c>
      <c r="AD58" s="161"/>
      <c r="AE58" s="108" t="s">
        <v>140</v>
      </c>
      <c r="AJ58" s="161">
        <f t="shared" si="28"/>
        <v>415297.34849999996</v>
      </c>
      <c r="AK58" s="108"/>
    </row>
    <row r="59" spans="1:45" ht="15.75" thickTop="1" x14ac:dyDescent="0.25">
      <c r="F59" s="5"/>
      <c r="G59" s="5"/>
      <c r="H59" s="30" t="s">
        <v>141</v>
      </c>
      <c r="I59" s="48"/>
      <c r="J59" s="48"/>
      <c r="K59" s="48"/>
      <c r="L59" s="48"/>
      <c r="P59" s="188"/>
      <c r="Q59" s="6"/>
      <c r="S59" s="1"/>
      <c r="T59" s="108" t="s">
        <v>144</v>
      </c>
      <c r="U59" s="161">
        <v>76021.66</v>
      </c>
      <c r="V59" s="161">
        <v>71362.53</v>
      </c>
      <c r="X59" s="189">
        <f t="shared" si="26"/>
        <v>76021.66</v>
      </c>
      <c r="Z59" s="108" t="s">
        <v>144</v>
      </c>
      <c r="AA59" s="161">
        <v>61650.652499999997</v>
      </c>
      <c r="AD59" s="161"/>
      <c r="AE59" s="108" t="s">
        <v>144</v>
      </c>
      <c r="AJ59" s="161">
        <f t="shared" si="28"/>
        <v>61650.652499999997</v>
      </c>
      <c r="AK59" s="108"/>
    </row>
    <row r="60" spans="1:45" x14ac:dyDescent="0.25">
      <c r="B60" s="156" t="s">
        <v>40</v>
      </c>
      <c r="C60" s="156" t="s">
        <v>32</v>
      </c>
      <c r="D60" s="3"/>
      <c r="G60"/>
      <c r="H60" s="30" t="s">
        <v>32</v>
      </c>
      <c r="I60" s="48"/>
      <c r="J60" s="48" t="s">
        <v>145</v>
      </c>
      <c r="L60" s="48" t="s">
        <v>146</v>
      </c>
      <c r="O60" s="5"/>
      <c r="P60" s="126"/>
      <c r="Q60" s="126"/>
      <c r="S60" s="1"/>
      <c r="T60" s="108" t="s">
        <v>147</v>
      </c>
      <c r="U60" s="161">
        <v>6611500.3099999996</v>
      </c>
      <c r="V60" s="161">
        <v>6611866.7300000004</v>
      </c>
      <c r="X60" s="189">
        <f t="shared" si="26"/>
        <v>6611866.7300000004</v>
      </c>
      <c r="Z60" s="108" t="s">
        <v>147</v>
      </c>
      <c r="AA60" s="161">
        <v>5808070.1485000001</v>
      </c>
      <c r="AD60" s="161"/>
      <c r="AE60" s="108" t="s">
        <v>147</v>
      </c>
      <c r="AJ60" s="161">
        <f>+AA60</f>
        <v>5808070.1485000001</v>
      </c>
      <c r="AK60" s="108"/>
      <c r="AM60" s="18"/>
      <c r="AN60" s="18"/>
      <c r="AO60" s="18"/>
      <c r="AP60"/>
      <c r="AQ60"/>
      <c r="AR60"/>
    </row>
    <row r="61" spans="1:45" x14ac:dyDescent="0.25">
      <c r="B61" s="154" t="s">
        <v>148</v>
      </c>
      <c r="C61" s="154" t="s">
        <v>148</v>
      </c>
      <c r="D61" s="42" t="s">
        <v>149</v>
      </c>
      <c r="E61" s="42" t="s">
        <v>150</v>
      </c>
      <c r="F61" s="28" t="s">
        <v>151</v>
      </c>
      <c r="G61" s="155" t="s">
        <v>152</v>
      </c>
      <c r="H61" s="28" t="s">
        <v>153</v>
      </c>
      <c r="I61" s="55" t="s">
        <v>154</v>
      </c>
      <c r="J61" s="55" t="s">
        <v>64</v>
      </c>
      <c r="L61" s="55" t="s">
        <v>64</v>
      </c>
      <c r="O61" s="5"/>
      <c r="P61" s="126"/>
      <c r="Q61" s="126"/>
      <c r="S61" s="63"/>
      <c r="T61" s="108" t="s">
        <v>155</v>
      </c>
      <c r="U61" s="161">
        <v>1195464.1200000003</v>
      </c>
      <c r="V61" s="161">
        <v>1124877.5499999998</v>
      </c>
      <c r="X61" s="189">
        <f t="shared" si="26"/>
        <v>1195464.1200000003</v>
      </c>
      <c r="Z61" s="108" t="s">
        <v>155</v>
      </c>
      <c r="AA61" s="161">
        <v>1596671.2425000002</v>
      </c>
      <c r="AD61" s="161"/>
      <c r="AE61" s="108" t="s">
        <v>155</v>
      </c>
      <c r="AJ61" s="161">
        <f t="shared" ref="AJ61:AJ66" si="31">+AA61</f>
        <v>1596671.2425000002</v>
      </c>
      <c r="AK61" s="108"/>
      <c r="AN61" s="18"/>
      <c r="AO61" s="18"/>
      <c r="AQ61"/>
      <c r="AR61"/>
    </row>
    <row r="62" spans="1:45" x14ac:dyDescent="0.25">
      <c r="A62" s="5" t="str">
        <f t="shared" ref="A62:A74" si="32">+A28</f>
        <v>College of Education</v>
      </c>
      <c r="B62" s="5">
        <f t="shared" ref="B62:B74" si="33">((+B28+D28+G28+H28)*(1-$D$21))-C62</f>
        <v>6131237.7699796716</v>
      </c>
      <c r="C62" s="137">
        <f t="shared" ref="C62:C74" si="34">+D28</f>
        <v>0</v>
      </c>
      <c r="D62" s="11">
        <f t="shared" ref="D62:D74" si="35">((+E28+F28)*(1-$D$21))-E62</f>
        <v>398664.99793203408</v>
      </c>
      <c r="E62" s="3">
        <f t="shared" ref="E62:E74" si="36">+F28</f>
        <v>0</v>
      </c>
      <c r="F62" s="5">
        <f>+'Summer Credit Hour Allocation'!AR2</f>
        <v>1787.1864067965976</v>
      </c>
      <c r="G62" s="11">
        <f>+D62/F62</f>
        <v>223.06850388741051</v>
      </c>
      <c r="H62" s="115">
        <f t="shared" ref="H62:H70" si="37">+N28</f>
        <v>0.47547011381927662</v>
      </c>
      <c r="I62" s="94">
        <f>+H62*G62</f>
        <v>106.06240693284282</v>
      </c>
      <c r="J62" s="5">
        <f t="shared" ref="J62:J70" si="38">(+D62*H62)+E62</f>
        <v>189553.29194250592</v>
      </c>
      <c r="L62" s="1">
        <f t="shared" ref="L62:L70" si="39">+P28-J62</f>
        <v>2915220.3203452821</v>
      </c>
      <c r="M62" s="3"/>
      <c r="O62" s="5"/>
      <c r="P62" s="126"/>
      <c r="Q62" s="126"/>
      <c r="T62" s="108" t="s">
        <v>156</v>
      </c>
      <c r="U62" s="161">
        <v>5440886.3200000003</v>
      </c>
      <c r="V62" s="161">
        <v>4593094.0600000005</v>
      </c>
      <c r="X62" s="189">
        <f t="shared" si="26"/>
        <v>5440886.3200000003</v>
      </c>
      <c r="Z62" s="108" t="s">
        <v>156</v>
      </c>
      <c r="AA62" s="161">
        <v>5143941.9000000004</v>
      </c>
      <c r="AD62" s="161"/>
      <c r="AE62" s="108" t="s">
        <v>156</v>
      </c>
      <c r="AJ62" s="161">
        <f>+V62</f>
        <v>4593094.0600000005</v>
      </c>
      <c r="AK62" s="108"/>
      <c r="AO62" s="18"/>
      <c r="AR62"/>
    </row>
    <row r="63" spans="1:45" x14ac:dyDescent="0.25">
      <c r="A63" s="5" t="str">
        <f t="shared" si="32"/>
        <v>College of Health</v>
      </c>
      <c r="B63" s="5">
        <f t="shared" si="33"/>
        <v>17441177.877414942</v>
      </c>
      <c r="C63" s="137">
        <f t="shared" si="34"/>
        <v>2652261.5</v>
      </c>
      <c r="D63" s="11">
        <f t="shared" si="35"/>
        <v>357527.51576280198</v>
      </c>
      <c r="E63" s="3">
        <f t="shared" si="36"/>
        <v>64356</v>
      </c>
      <c r="F63" s="5">
        <f>+'Summer Credit Hour Allocation'!AR3</f>
        <v>1604.2125603864697</v>
      </c>
      <c r="G63" s="11">
        <f t="shared" ref="G63:G70" si="40">+D63/F63</f>
        <v>222.86791949607368</v>
      </c>
      <c r="H63" s="115">
        <f t="shared" si="37"/>
        <v>0.44760199133675427</v>
      </c>
      <c r="I63" s="94">
        <f t="shared" ref="I63:I70" si="41">+H63*G63</f>
        <v>99.756124571522022</v>
      </c>
      <c r="J63" s="5">
        <f t="shared" si="38"/>
        <v>224386.02801311295</v>
      </c>
      <c r="L63" s="1">
        <f t="shared" si="39"/>
        <v>10458967.449189469</v>
      </c>
      <c r="M63" s="3"/>
      <c r="O63" s="5"/>
      <c r="P63" s="126"/>
      <c r="Q63" s="126"/>
      <c r="S63" s="3"/>
      <c r="T63" s="230" t="s">
        <v>157</v>
      </c>
      <c r="U63" s="224">
        <v>1981850.06</v>
      </c>
      <c r="V63" s="224">
        <v>2013186.0000000009</v>
      </c>
      <c r="W63" s="231"/>
      <c r="X63" s="224">
        <f t="shared" si="26"/>
        <v>2013186.0000000009</v>
      </c>
      <c r="Y63" s="232"/>
      <c r="Z63" s="230" t="s">
        <v>157</v>
      </c>
      <c r="AA63" s="233">
        <f>6746487.8485-4700000</f>
        <v>2046487.8485000003</v>
      </c>
      <c r="AB63" s="232"/>
      <c r="AC63" s="232"/>
      <c r="AD63" s="224"/>
      <c r="AE63" s="230" t="s">
        <v>157</v>
      </c>
      <c r="AF63" s="224"/>
      <c r="AG63" s="224"/>
      <c r="AH63" s="224"/>
      <c r="AI63" s="224"/>
      <c r="AJ63" s="233">
        <f t="shared" si="31"/>
        <v>2046487.8485000003</v>
      </c>
      <c r="AK63" s="108"/>
      <c r="AO63" s="18"/>
      <c r="AR63"/>
    </row>
    <row r="64" spans="1:45" x14ac:dyDescent="0.25">
      <c r="A64" s="5" t="str">
        <f t="shared" si="32"/>
        <v>College of Forestry</v>
      </c>
      <c r="B64" s="5">
        <f t="shared" si="33"/>
        <v>7799606.913362856</v>
      </c>
      <c r="C64" s="137">
        <f t="shared" si="34"/>
        <v>0</v>
      </c>
      <c r="D64" s="11">
        <f t="shared" si="35"/>
        <v>911.52162602865246</v>
      </c>
      <c r="E64" s="3">
        <f t="shared" si="36"/>
        <v>7536.15</v>
      </c>
      <c r="F64" s="5">
        <f>+'Summer Credit Hour Allocation'!AR4</f>
        <v>4.2552057304680897</v>
      </c>
      <c r="G64" s="11">
        <f t="shared" si="40"/>
        <v>214.21329161642706</v>
      </c>
      <c r="H64" s="115">
        <f t="shared" si="37"/>
        <v>0.59551161988393908</v>
      </c>
      <c r="I64" s="94">
        <f t="shared" si="41"/>
        <v>127.56650429116911</v>
      </c>
      <c r="J64" s="5">
        <f t="shared" si="38"/>
        <v>8078.9717200755649</v>
      </c>
      <c r="L64" s="1">
        <f t="shared" si="39"/>
        <v>4644756.5474346858</v>
      </c>
      <c r="M64" s="3"/>
      <c r="O64" s="5"/>
      <c r="P64" s="126"/>
      <c r="Q64" s="126"/>
      <c r="T64" s="108" t="s">
        <v>158</v>
      </c>
      <c r="U64" s="161">
        <v>3828937.2800000003</v>
      </c>
      <c r="V64" s="161">
        <v>3768038.0100000016</v>
      </c>
      <c r="X64" s="189">
        <f t="shared" si="26"/>
        <v>3828937.2800000003</v>
      </c>
      <c r="Z64" s="108" t="s">
        <v>158</v>
      </c>
      <c r="AA64" s="161">
        <v>3862397.8935000002</v>
      </c>
      <c r="AD64" s="161"/>
      <c r="AE64" s="108" t="s">
        <v>158</v>
      </c>
      <c r="AJ64" s="161">
        <f t="shared" si="31"/>
        <v>3862397.8935000002</v>
      </c>
      <c r="AK64" s="108"/>
      <c r="AO64" s="18"/>
      <c r="AR64"/>
    </row>
    <row r="65" spans="1:44" x14ac:dyDescent="0.25">
      <c r="A65" s="5" t="str">
        <f t="shared" si="32"/>
        <v>College of Humanities/Sciences</v>
      </c>
      <c r="B65" s="5">
        <f t="shared" si="33"/>
        <v>42300375.545715302</v>
      </c>
      <c r="C65" s="137">
        <f t="shared" si="34"/>
        <v>0</v>
      </c>
      <c r="D65" s="11">
        <f t="shared" si="35"/>
        <v>1324137.3145599703</v>
      </c>
      <c r="E65" s="3">
        <f t="shared" si="36"/>
        <v>0</v>
      </c>
      <c r="F65" s="5">
        <f>+'Summer Credit Hour Allocation'!AR5</f>
        <v>5936.0119940029854</v>
      </c>
      <c r="G65" s="11">
        <f t="shared" si="40"/>
        <v>223.06850388741049</v>
      </c>
      <c r="H65" s="115">
        <f t="shared" si="37"/>
        <v>0.49678722035890399</v>
      </c>
      <c r="I65" s="94">
        <f t="shared" si="41"/>
        <v>110.81758199584603</v>
      </c>
      <c r="J65" s="5">
        <f t="shared" si="38"/>
        <v>657814.49587375135</v>
      </c>
      <c r="L65" s="1">
        <f t="shared" si="39"/>
        <v>21014285.987493657</v>
      </c>
      <c r="M65" s="3"/>
      <c r="O65" s="5"/>
      <c r="P65" s="126"/>
      <c r="Q65" s="126"/>
      <c r="T65" s="108" t="s">
        <v>159</v>
      </c>
      <c r="U65" s="161">
        <v>1821106.64</v>
      </c>
      <c r="V65" s="161">
        <v>1548860.63</v>
      </c>
      <c r="X65" s="189">
        <f t="shared" si="26"/>
        <v>1821106.64</v>
      </c>
      <c r="Z65" s="108" t="s">
        <v>159</v>
      </c>
      <c r="AA65" s="161">
        <v>1778107.5530000001</v>
      </c>
      <c r="AD65" s="161"/>
      <c r="AE65" s="108" t="s">
        <v>159</v>
      </c>
      <c r="AJ65" s="161">
        <f>+V65</f>
        <v>1548860.63</v>
      </c>
      <c r="AK65" s="108"/>
      <c r="AO65" s="18"/>
      <c r="AR65"/>
    </row>
    <row r="66" spans="1:44" x14ac:dyDescent="0.25">
      <c r="A66" s="5" t="str">
        <f t="shared" si="32"/>
        <v>College of Arts and Media</v>
      </c>
      <c r="B66" s="5">
        <f t="shared" si="33"/>
        <v>10409096.765797289</v>
      </c>
      <c r="C66" s="137">
        <f t="shared" si="34"/>
        <v>0</v>
      </c>
      <c r="D66" s="11">
        <f t="shared" si="35"/>
        <v>268386.97182210145</v>
      </c>
      <c r="E66" s="3">
        <f t="shared" si="36"/>
        <v>0</v>
      </c>
      <c r="F66" s="5">
        <f>+'Summer Credit Hour Allocation'!AR6</f>
        <v>1203.1594202898523</v>
      </c>
      <c r="G66" s="11">
        <f t="shared" si="40"/>
        <v>223.06850388741049</v>
      </c>
      <c r="H66" s="115">
        <f t="shared" si="37"/>
        <v>0.57480106629727035</v>
      </c>
      <c r="I66" s="94">
        <f t="shared" si="41"/>
        <v>128.22001389182034</v>
      </c>
      <c r="J66" s="5">
        <f t="shared" si="38"/>
        <v>154269.11758363937</v>
      </c>
      <c r="L66" s="1">
        <f t="shared" si="39"/>
        <v>5983159.9201717507</v>
      </c>
      <c r="M66" s="3"/>
      <c r="O66" s="5"/>
      <c r="P66" s="126"/>
      <c r="Q66" s="126"/>
      <c r="T66" s="108" t="s">
        <v>160</v>
      </c>
      <c r="U66" s="161">
        <v>1831838.0399999996</v>
      </c>
      <c r="V66" s="161">
        <v>2219065.58</v>
      </c>
      <c r="X66" s="189">
        <f t="shared" si="26"/>
        <v>2219065.58</v>
      </c>
      <c r="Z66" s="108" t="s">
        <v>160</v>
      </c>
      <c r="AA66" s="161">
        <v>2108400.98</v>
      </c>
      <c r="AD66" s="161"/>
      <c r="AE66" s="108" t="s">
        <v>160</v>
      </c>
      <c r="AJ66" s="161">
        <f t="shared" si="31"/>
        <v>2108400.98</v>
      </c>
      <c r="AK66" s="108"/>
      <c r="AN66" s="18"/>
      <c r="AO66" s="18"/>
      <c r="AQ66"/>
      <c r="AR66"/>
    </row>
    <row r="67" spans="1:44" x14ac:dyDescent="0.25">
      <c r="A67" s="5" t="str">
        <f t="shared" si="32"/>
        <v>Davidson Honors College</v>
      </c>
      <c r="B67" s="5">
        <f t="shared" si="33"/>
        <v>731161.17596912093</v>
      </c>
      <c r="C67" s="137">
        <f t="shared" si="34"/>
        <v>0</v>
      </c>
      <c r="D67" s="11">
        <f t="shared" si="35"/>
        <v>4508.7112861360984</v>
      </c>
      <c r="E67" s="3">
        <f t="shared" si="36"/>
        <v>0</v>
      </c>
      <c r="F67" s="5">
        <f>+'Summer Credit Hour Allocation'!AR7</f>
        <v>20.212227219723424</v>
      </c>
      <c r="G67" s="11">
        <f t="shared" si="40"/>
        <v>223.06850388741049</v>
      </c>
      <c r="H67" s="115">
        <f t="shared" si="37"/>
        <v>0.83023922243875892</v>
      </c>
      <c r="I67" s="94">
        <f t="shared" si="41"/>
        <v>185.20022121806096</v>
      </c>
      <c r="J67" s="5">
        <f t="shared" si="38"/>
        <v>3743.3089524024908</v>
      </c>
      <c r="L67" s="1">
        <f t="shared" si="39"/>
        <v>607038.68621401151</v>
      </c>
      <c r="M67" s="3"/>
      <c r="O67" s="5"/>
      <c r="P67" s="126"/>
      <c r="Q67" s="126"/>
      <c r="S67" s="1"/>
      <c r="T67" s="108" t="s">
        <v>161</v>
      </c>
      <c r="U67" s="161">
        <v>0</v>
      </c>
      <c r="V67" s="161">
        <v>-709950</v>
      </c>
      <c r="X67" s="189">
        <f t="shared" si="26"/>
        <v>0</v>
      </c>
      <c r="Z67" s="108" t="s">
        <v>161</v>
      </c>
      <c r="AA67" s="161">
        <v>0</v>
      </c>
      <c r="AD67" s="161"/>
      <c r="AE67" s="108" t="s">
        <v>161</v>
      </c>
      <c r="AJ67" s="161">
        <v>-700000</v>
      </c>
      <c r="AK67" s="108"/>
      <c r="AN67" s="18"/>
      <c r="AO67" s="18"/>
      <c r="AQ67"/>
      <c r="AR67"/>
    </row>
    <row r="68" spans="1:44" x14ac:dyDescent="0.25">
      <c r="A68" s="5" t="str">
        <f t="shared" si="32"/>
        <v>College of Business</v>
      </c>
      <c r="B68" s="5">
        <f t="shared" si="33"/>
        <v>9581844.8250803873</v>
      </c>
      <c r="C68" s="137">
        <f t="shared" si="34"/>
        <v>456550.5</v>
      </c>
      <c r="D68" s="11">
        <f t="shared" si="35"/>
        <v>443128.79460538074</v>
      </c>
      <c r="E68" s="3">
        <f t="shared" si="36"/>
        <v>29743</v>
      </c>
      <c r="F68" s="5">
        <f>+'Summer Credit Hour Allocation'!AR8</f>
        <v>1987.1810761285979</v>
      </c>
      <c r="G68" s="11">
        <f t="shared" si="40"/>
        <v>222.99366672144387</v>
      </c>
      <c r="H68" s="115">
        <f t="shared" si="37"/>
        <v>0.58623047758368829</v>
      </c>
      <c r="I68" s="94">
        <f t="shared" si="41"/>
        <v>130.72568374024985</v>
      </c>
      <c r="J68" s="5">
        <f t="shared" si="38"/>
        <v>289518.60489259649</v>
      </c>
      <c r="L68" s="1">
        <f t="shared" si="39"/>
        <v>6073719.9679396683</v>
      </c>
      <c r="M68" s="3"/>
      <c r="O68" s="5"/>
      <c r="P68" s="126"/>
      <c r="Q68" s="126"/>
      <c r="T68" s="108" t="s">
        <v>162</v>
      </c>
      <c r="U68" s="161">
        <v>0</v>
      </c>
      <c r="V68" s="161">
        <v>0</v>
      </c>
      <c r="X68" s="189">
        <f>+X20-X41-SUM(X45:X67)</f>
        <v>3091797.9616012946</v>
      </c>
      <c r="Z68" s="108" t="s">
        <v>162</v>
      </c>
      <c r="AA68" s="161"/>
      <c r="AD68" s="161"/>
      <c r="AE68" s="108" t="s">
        <v>162</v>
      </c>
      <c r="AJ68" s="204">
        <v>1422470</v>
      </c>
      <c r="AK68" s="108"/>
      <c r="AN68" s="18"/>
      <c r="AO68" s="18"/>
      <c r="AQ68"/>
      <c r="AR68"/>
    </row>
    <row r="69" spans="1:44" x14ac:dyDescent="0.25">
      <c r="A69" s="5" t="str">
        <f t="shared" si="32"/>
        <v>School of Law</v>
      </c>
      <c r="B69" s="5">
        <f t="shared" si="33"/>
        <v>4227345.7976656854</v>
      </c>
      <c r="C69" s="137">
        <f t="shared" si="34"/>
        <v>1634526.5</v>
      </c>
      <c r="D69" s="11">
        <f t="shared" si="35"/>
        <v>51064.798305547229</v>
      </c>
      <c r="E69" s="3">
        <f t="shared" si="36"/>
        <v>38426</v>
      </c>
      <c r="F69" s="5">
        <f>+'Summer Credit Hour Allocation'!AR9</f>
        <v>229.78110944527683</v>
      </c>
      <c r="G69" s="11">
        <f t="shared" si="40"/>
        <v>222.232360305095</v>
      </c>
      <c r="H69" s="115">
        <f t="shared" si="37"/>
        <v>0.89802092031493796</v>
      </c>
      <c r="I69" s="94">
        <f t="shared" si="41"/>
        <v>199.56930872494229</v>
      </c>
      <c r="J69" s="5">
        <f t="shared" si="38"/>
        <v>84283.257170044206</v>
      </c>
      <c r="L69" s="1">
        <f t="shared" si="39"/>
        <v>5430771.463709224</v>
      </c>
      <c r="M69" s="3"/>
      <c r="T69" s="108" t="s">
        <v>163</v>
      </c>
      <c r="U69" s="163">
        <f>SUM(U45:U68)</f>
        <v>55942747.289999992</v>
      </c>
      <c r="V69" s="163">
        <f>SUM(V45:V68)</f>
        <v>52476506.309999995</v>
      </c>
      <c r="W69" s="227"/>
      <c r="X69" s="163">
        <f t="shared" ref="X69" si="42">SUM(X45:X68)</f>
        <v>60294801.951601274</v>
      </c>
      <c r="Z69" s="108" t="s">
        <v>163</v>
      </c>
      <c r="AA69" s="163">
        <f t="shared" ref="AA69" si="43">SUM(AA45:AA68)</f>
        <v>54059832.173999995</v>
      </c>
      <c r="AB69" s="220"/>
      <c r="AC69" s="204"/>
      <c r="AD69" s="161"/>
      <c r="AE69" s="108" t="s">
        <v>163</v>
      </c>
      <c r="AJ69" s="163">
        <f t="shared" ref="AJ69" si="44">SUM(AJ45:AJ68)</f>
        <v>54002207.410999998</v>
      </c>
      <c r="AK69" s="108"/>
      <c r="AN69" s="18"/>
      <c r="AO69" s="18"/>
      <c r="AQ69"/>
      <c r="AR69"/>
    </row>
    <row r="70" spans="1:44" x14ac:dyDescent="0.25">
      <c r="A70" s="5" t="str">
        <f t="shared" si="32"/>
        <v>Missoula College</v>
      </c>
      <c r="B70" s="5">
        <f t="shared" si="33"/>
        <v>6190329.4587386241</v>
      </c>
      <c r="C70" s="137">
        <f t="shared" si="34"/>
        <v>26500</v>
      </c>
      <c r="D70" s="11">
        <f t="shared" si="35"/>
        <v>129734.94050000003</v>
      </c>
      <c r="E70" s="3">
        <f t="shared" si="36"/>
        <v>1000</v>
      </c>
      <c r="F70" s="1">
        <f>+'Summer Credit Hour Allocation'!AR12</f>
        <v>1474.0000000000041</v>
      </c>
      <c r="G70" s="11">
        <f t="shared" si="40"/>
        <v>88.015563432835592</v>
      </c>
      <c r="H70" s="115">
        <f t="shared" si="37"/>
        <v>0.70767577942586568</v>
      </c>
      <c r="I70" s="94">
        <f t="shared" si="41"/>
        <v>62.286482453938646</v>
      </c>
      <c r="J70" s="5">
        <f t="shared" si="38"/>
        <v>92810.275137105826</v>
      </c>
      <c r="L70" s="1">
        <f t="shared" si="39"/>
        <v>4407246.2246157527</v>
      </c>
      <c r="M70" s="3"/>
      <c r="Z70" s="108"/>
      <c r="AA70" s="161"/>
      <c r="AD70" s="161"/>
      <c r="AE70" s="108"/>
      <c r="AJ70" s="161"/>
      <c r="AK70" s="108"/>
      <c r="AN70" s="18"/>
      <c r="AO70" s="18"/>
      <c r="AQ70"/>
      <c r="AR70"/>
    </row>
    <row r="71" spans="1:44" x14ac:dyDescent="0.25">
      <c r="A71" s="5" t="str">
        <f t="shared" si="32"/>
        <v>Unknown MC</v>
      </c>
      <c r="B71" s="5">
        <f t="shared" si="33"/>
        <v>0</v>
      </c>
      <c r="C71" s="137">
        <f t="shared" si="34"/>
        <v>0</v>
      </c>
      <c r="D71" s="11">
        <f t="shared" si="35"/>
        <v>0</v>
      </c>
      <c r="E71" s="3">
        <f t="shared" si="36"/>
        <v>0</v>
      </c>
      <c r="F71" s="1"/>
      <c r="M71" s="3"/>
      <c r="T71" s="108" t="s">
        <v>164</v>
      </c>
      <c r="U71" s="202">
        <f>+U69+U41</f>
        <v>129082072</v>
      </c>
      <c r="V71" s="202">
        <f>+V69+V41</f>
        <v>127131696.31</v>
      </c>
      <c r="W71" s="227"/>
      <c r="X71" s="202">
        <f>+X69+X41</f>
        <v>123534425.87</v>
      </c>
      <c r="Z71" s="108" t="s">
        <v>164</v>
      </c>
      <c r="AA71" s="163">
        <f>+AA69+AA41</f>
        <v>125531266.33399999</v>
      </c>
      <c r="AC71" s="161"/>
      <c r="AD71" s="161"/>
      <c r="AE71" s="108" t="s">
        <v>164</v>
      </c>
      <c r="AG71" s="194"/>
      <c r="AJ71" s="163">
        <f>+AJ69+AJ41</f>
        <v>121941831.32939874</v>
      </c>
      <c r="AK71" s="108"/>
      <c r="AN71" s="18"/>
      <c r="AO71" s="18"/>
      <c r="AQ71"/>
      <c r="AR71"/>
    </row>
    <row r="72" spans="1:44" x14ac:dyDescent="0.25">
      <c r="A72" s="5" t="str">
        <f t="shared" si="32"/>
        <v>Unknown Other UNITS</v>
      </c>
      <c r="B72" s="5">
        <f t="shared" si="33"/>
        <v>5788625.1814261135</v>
      </c>
      <c r="C72" s="137">
        <f t="shared" si="34"/>
        <v>0</v>
      </c>
      <c r="D72" s="11">
        <f t="shared" si="35"/>
        <v>0</v>
      </c>
      <c r="E72" s="3">
        <f t="shared" si="36"/>
        <v>0</v>
      </c>
      <c r="M72" s="3"/>
      <c r="Z72" s="161"/>
      <c r="AA72" s="161"/>
      <c r="AD72" s="161"/>
      <c r="AE72" s="161"/>
      <c r="AH72" s="108"/>
      <c r="AJ72" s="161"/>
      <c r="AK72" s="108"/>
      <c r="AN72" s="18"/>
      <c r="AO72" s="18"/>
      <c r="AQ72"/>
      <c r="AR72"/>
    </row>
    <row r="73" spans="1:44" ht="15.75" thickBot="1" x14ac:dyDescent="0.3">
      <c r="A73" s="5" t="str">
        <f t="shared" si="32"/>
        <v>Other GL to Detail Difference</v>
      </c>
      <c r="B73" s="5">
        <f t="shared" si="33"/>
        <v>0</v>
      </c>
      <c r="C73" s="137">
        <f t="shared" si="34"/>
        <v>0</v>
      </c>
      <c r="D73" s="11">
        <f t="shared" si="35"/>
        <v>0</v>
      </c>
      <c r="E73" s="3">
        <f t="shared" si="36"/>
        <v>0</v>
      </c>
      <c r="M73" s="3"/>
      <c r="T73" s="108" t="s">
        <v>165</v>
      </c>
      <c r="U73" s="234">
        <f>+U20-U71</f>
        <v>-4100000</v>
      </c>
      <c r="V73" s="234">
        <f>+V20-V71</f>
        <v>-3597270.4399999976</v>
      </c>
      <c r="X73" s="234">
        <f>+X20-X71</f>
        <v>0</v>
      </c>
      <c r="Z73" s="108" t="s">
        <v>165</v>
      </c>
      <c r="AA73" s="234">
        <f>+AA20-AA71</f>
        <v>-4562746.3339999914</v>
      </c>
      <c r="AC73" s="204"/>
      <c r="AD73" s="161"/>
      <c r="AE73" s="108" t="s">
        <v>165</v>
      </c>
      <c r="AJ73" s="234">
        <f>+AJ20-AJ71</f>
        <v>1592594.5406012684</v>
      </c>
      <c r="AK73" s="108"/>
      <c r="AN73" s="18"/>
      <c r="AO73" s="18"/>
      <c r="AQ73"/>
      <c r="AR73"/>
    </row>
    <row r="74" spans="1:44" ht="15.75" thickTop="1" x14ac:dyDescent="0.25">
      <c r="A74" s="5" t="str">
        <f t="shared" si="32"/>
        <v>Other including research</v>
      </c>
      <c r="B74" s="5">
        <f t="shared" si="33"/>
        <v>722350.1</v>
      </c>
      <c r="C74" s="137">
        <f t="shared" si="34"/>
        <v>0</v>
      </c>
      <c r="D74" s="11">
        <f t="shared" si="35"/>
        <v>-116.92710000000079</v>
      </c>
      <c r="E74" s="3">
        <f t="shared" si="36"/>
        <v>23385.420000000013</v>
      </c>
      <c r="F74" s="1"/>
      <c r="G74" s="11"/>
      <c r="H74" s="115"/>
      <c r="I74" s="94"/>
      <c r="J74" s="5"/>
      <c r="L74" s="1"/>
      <c r="M74" s="3"/>
      <c r="X74" s="235" t="s">
        <v>166</v>
      </c>
      <c r="AK74" s="108"/>
      <c r="AN74" s="18"/>
      <c r="AO74" s="18"/>
      <c r="AQ74"/>
      <c r="AR74"/>
    </row>
    <row r="75" spans="1:44" x14ac:dyDescent="0.25">
      <c r="A75" s="18" t="s">
        <v>167</v>
      </c>
      <c r="B75" s="153">
        <f>SUM(B62:B74)</f>
        <v>111323151.41114998</v>
      </c>
      <c r="C75" s="153">
        <f t="shared" ref="C75:E75" si="45">SUM(C62:C74)</f>
        <v>4769838.5</v>
      </c>
      <c r="D75" s="153">
        <f t="shared" si="45"/>
        <v>2977948.6393000009</v>
      </c>
      <c r="E75" s="153">
        <f t="shared" si="45"/>
        <v>164446.57</v>
      </c>
      <c r="G75"/>
      <c r="H75" s="1"/>
      <c r="J75" s="153">
        <f>SUM(J62:J74)</f>
        <v>1704457.3512852341</v>
      </c>
      <c r="L75" s="153">
        <f>SUM(L62:L74)</f>
        <v>61535166.567113504</v>
      </c>
      <c r="M75" s="63"/>
      <c r="AN75" s="18"/>
      <c r="AO75" s="18"/>
      <c r="AQ75"/>
      <c r="AR75"/>
    </row>
    <row r="76" spans="1:44" x14ac:dyDescent="0.25">
      <c r="W76" s="194"/>
      <c r="X76" s="194"/>
      <c r="Z76" s="108"/>
      <c r="AD76" s="161"/>
      <c r="AE76" s="161"/>
    </row>
    <row r="77" spans="1:44" x14ac:dyDescent="0.25">
      <c r="V77" s="204"/>
      <c r="W77" s="194"/>
      <c r="Z77" s="108"/>
      <c r="AA77" s="204"/>
      <c r="AD77" s="161"/>
      <c r="AE77" s="161"/>
    </row>
    <row r="78" spans="1:44" x14ac:dyDescent="0.25">
      <c r="W78" s="194"/>
      <c r="X78" s="194"/>
      <c r="Z78" s="194"/>
      <c r="AD78" s="161"/>
      <c r="AE78" s="161"/>
    </row>
    <row r="79" spans="1:44" x14ac:dyDescent="0.25">
      <c r="W79" s="194"/>
      <c r="X79" s="194"/>
      <c r="Z79" s="194"/>
      <c r="AD79" s="161"/>
      <c r="AE79" s="161"/>
    </row>
    <row r="80" spans="1:44" x14ac:dyDescent="0.25">
      <c r="W80" s="194"/>
      <c r="X80" s="194"/>
      <c r="Z80" s="194"/>
      <c r="AD80" s="161"/>
      <c r="AE80" s="161"/>
    </row>
    <row r="81" spans="23:31" x14ac:dyDescent="0.25">
      <c r="W81" s="194"/>
      <c r="X81" s="194"/>
      <c r="Z81" s="194"/>
      <c r="AD81" s="161"/>
      <c r="AE81" s="161"/>
    </row>
    <row r="82" spans="23:31" x14ac:dyDescent="0.25">
      <c r="W82" s="194"/>
      <c r="X82" s="194"/>
      <c r="Z82" s="194"/>
      <c r="AD82" s="161"/>
      <c r="AE82" s="161"/>
    </row>
    <row r="83" spans="23:31" x14ac:dyDescent="0.25">
      <c r="W83" s="194"/>
      <c r="X83" s="194"/>
      <c r="Z83" s="194"/>
      <c r="AD83" s="161"/>
      <c r="AE83" s="161"/>
    </row>
    <row r="84" spans="23:31" x14ac:dyDescent="0.25">
      <c r="W84" s="194"/>
      <c r="X84" s="194"/>
      <c r="Z84" s="194"/>
      <c r="AD84" s="161"/>
      <c r="AE84" s="161"/>
    </row>
    <row r="85" spans="23:31" x14ac:dyDescent="0.25">
      <c r="W85" s="194"/>
      <c r="X85" s="194"/>
      <c r="Z85" s="194"/>
      <c r="AD85" s="161"/>
      <c r="AE85" s="161"/>
    </row>
    <row r="86" spans="23:31" x14ac:dyDescent="0.25">
      <c r="W86" s="194"/>
      <c r="X86" s="194"/>
      <c r="Z86" s="194"/>
      <c r="AD86" s="161"/>
      <c r="AE86" s="161"/>
    </row>
    <row r="87" spans="23:31" x14ac:dyDescent="0.25">
      <c r="W87" s="194"/>
      <c r="X87" s="194"/>
      <c r="Z87" s="194"/>
      <c r="AD87" s="161"/>
      <c r="AE87" s="161"/>
    </row>
    <row r="88" spans="23:31" x14ac:dyDescent="0.25">
      <c r="W88" s="194"/>
      <c r="X88" s="194"/>
      <c r="Z88" s="194"/>
      <c r="AD88" s="161"/>
      <c r="AE88" s="161"/>
    </row>
    <row r="89" spans="23:31" x14ac:dyDescent="0.25">
      <c r="W89" s="194"/>
      <c r="X89" s="194"/>
      <c r="Z89" s="194"/>
      <c r="AD89" s="161"/>
      <c r="AE89" s="161"/>
    </row>
    <row r="90" spans="23:31" x14ac:dyDescent="0.25">
      <c r="W90" s="194"/>
      <c r="X90" s="194"/>
      <c r="Z90" s="194"/>
      <c r="AD90" s="161"/>
      <c r="AE90" s="161"/>
    </row>
    <row r="91" spans="23:31" x14ac:dyDescent="0.25">
      <c r="W91" s="194"/>
      <c r="X91" s="194"/>
      <c r="Z91" s="194"/>
      <c r="AD91" s="161"/>
      <c r="AE91" s="161"/>
    </row>
    <row r="92" spans="23:31" x14ac:dyDescent="0.25">
      <c r="W92" s="194"/>
      <c r="X92" s="194"/>
      <c r="Z92" s="194"/>
      <c r="AD92" s="161"/>
      <c r="AE92" s="161"/>
    </row>
    <row r="93" spans="23:31" x14ac:dyDescent="0.25">
      <c r="W93" s="194"/>
      <c r="X93" s="194"/>
      <c r="Z93" s="194"/>
      <c r="AD93" s="161"/>
      <c r="AE93" s="161"/>
    </row>
    <row r="94" spans="23:31" x14ac:dyDescent="0.25">
      <c r="W94" s="194"/>
      <c r="X94" s="194"/>
      <c r="Z94" s="194"/>
      <c r="AD94" s="161"/>
      <c r="AE94" s="161"/>
    </row>
    <row r="95" spans="23:31" x14ac:dyDescent="0.25">
      <c r="W95" s="194"/>
      <c r="X95" s="194"/>
      <c r="Z95" s="194"/>
      <c r="AD95" s="161"/>
      <c r="AE95" s="161"/>
    </row>
    <row r="96" spans="23:31" x14ac:dyDescent="0.25">
      <c r="W96" s="194"/>
      <c r="X96" s="194"/>
      <c r="Z96" s="194"/>
      <c r="AD96" s="161"/>
      <c r="AE96" s="161"/>
    </row>
    <row r="97" spans="23:31" x14ac:dyDescent="0.25">
      <c r="W97" s="194"/>
      <c r="X97" s="194"/>
      <c r="Z97" s="194"/>
      <c r="AD97" s="161"/>
      <c r="AE97" s="161"/>
    </row>
    <row r="98" spans="23:31" x14ac:dyDescent="0.25">
      <c r="W98" s="194"/>
      <c r="X98" s="194"/>
      <c r="Z98" s="194"/>
    </row>
    <row r="99" spans="23:31" x14ac:dyDescent="0.25">
      <c r="W99" s="194"/>
      <c r="X99" s="194"/>
      <c r="Z99" s="194"/>
    </row>
    <row r="100" spans="23:31" x14ac:dyDescent="0.25">
      <c r="W100" s="194"/>
      <c r="X100" s="194"/>
      <c r="Z100" s="194"/>
    </row>
    <row r="101" spans="23:31" x14ac:dyDescent="0.25">
      <c r="W101" s="194"/>
      <c r="X101" s="194"/>
      <c r="Z101" s="194"/>
    </row>
    <row r="102" spans="23:31" x14ac:dyDescent="0.25">
      <c r="W102" s="194"/>
      <c r="X102" s="194"/>
      <c r="Z102" s="194"/>
    </row>
    <row r="103" spans="23:31" x14ac:dyDescent="0.25">
      <c r="W103" s="194"/>
      <c r="X103" s="194"/>
      <c r="Z103" s="194"/>
    </row>
  </sheetData>
  <mergeCells count="3">
    <mergeCell ref="T1:X1"/>
    <mergeCell ref="Z1:AC1"/>
    <mergeCell ref="AE1:AK1"/>
  </mergeCells>
  <pageMargins left="0.7" right="0.7" top="0.75" bottom="0.75" header="0.3" footer="0.3"/>
  <pageSetup scale="43" fitToWidth="2" orientation="landscape" r:id="rId1"/>
  <colBreaks count="1" manualBreakCount="1">
    <brk id="18" max="7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58"/>
  <sheetViews>
    <sheetView workbookViewId="0">
      <pane xSplit="1" ySplit="1" topLeftCell="AG14" activePane="bottomRight" state="frozen"/>
      <selection pane="topRight" activeCell="B39" sqref="B39"/>
      <selection pane="bottomLeft" activeCell="B39" sqref="B39"/>
      <selection pane="bottomRight" activeCell="AM30" sqref="AM30"/>
    </sheetView>
  </sheetViews>
  <sheetFormatPr defaultRowHeight="15" x14ac:dyDescent="0.25"/>
  <cols>
    <col min="1" max="1" width="35.42578125" bestFit="1" customWidth="1"/>
    <col min="2" max="2" width="34" bestFit="1" customWidth="1"/>
    <col min="3" max="3" width="13.5703125" bestFit="1" customWidth="1"/>
    <col min="4" max="4" width="15.42578125" bestFit="1" customWidth="1"/>
    <col min="5" max="5" width="1.5703125" customWidth="1"/>
    <col min="6" max="7" width="13.5703125" bestFit="1" customWidth="1"/>
    <col min="8" max="8" width="15.42578125" bestFit="1" customWidth="1"/>
    <col min="9" max="9" width="1.5703125" customWidth="1"/>
    <col min="10" max="11" width="13.5703125" bestFit="1" customWidth="1"/>
    <col min="12" max="12" width="15" style="1" bestFit="1" customWidth="1"/>
    <col min="13" max="13" width="1.5703125" customWidth="1"/>
    <col min="14" max="14" width="11.85546875" bestFit="1" customWidth="1"/>
    <col min="15" max="15" width="11.42578125" bestFit="1" customWidth="1"/>
    <col min="16" max="16" width="15" bestFit="1" customWidth="1"/>
    <col min="17" max="17" width="1.5703125" customWidth="1"/>
    <col min="18" max="18" width="11.85546875" bestFit="1" customWidth="1"/>
    <col min="19" max="19" width="11.42578125" bestFit="1" customWidth="1"/>
    <col min="20" max="20" width="15" bestFit="1" customWidth="1"/>
    <col min="21" max="21" width="1.5703125" customWidth="1"/>
    <col min="22" max="22" width="11.85546875" bestFit="1" customWidth="1"/>
    <col min="23" max="23" width="11.42578125" bestFit="1" customWidth="1"/>
    <col min="24" max="24" width="15" bestFit="1" customWidth="1"/>
    <col min="25" max="25" width="1.5703125" customWidth="1"/>
    <col min="26" max="26" width="11.85546875" bestFit="1" customWidth="1"/>
    <col min="27" max="27" width="11.42578125" bestFit="1" customWidth="1"/>
    <col min="28" max="28" width="15" bestFit="1" customWidth="1"/>
    <col min="29" max="29" width="1.5703125" customWidth="1"/>
    <col min="30" max="30" width="11.85546875" bestFit="1" customWidth="1"/>
    <col min="31" max="31" width="11.5703125" bestFit="1" customWidth="1"/>
    <col min="32" max="32" width="15.140625" bestFit="1" customWidth="1"/>
    <col min="33" max="33" width="1.5703125" customWidth="1"/>
    <col min="34" max="34" width="12" bestFit="1" customWidth="1"/>
    <col min="35" max="35" width="11.5703125" bestFit="1" customWidth="1"/>
    <col min="36" max="36" width="15.140625" bestFit="1" customWidth="1"/>
    <col min="37" max="37" width="1.5703125" customWidth="1"/>
    <col min="38" max="38" width="11.85546875" bestFit="1" customWidth="1"/>
    <col min="39" max="39" width="11.42578125" style="1" bestFit="1" customWidth="1"/>
    <col min="40" max="40" width="15.140625" bestFit="1" customWidth="1"/>
    <col min="41" max="41" width="1.5703125" customWidth="1"/>
    <col min="42" max="42" width="11.85546875" bestFit="1" customWidth="1"/>
    <col min="43" max="43" width="11.42578125" style="1" bestFit="1" customWidth="1"/>
    <col min="44" max="44" width="15.140625" bestFit="1" customWidth="1"/>
    <col min="45" max="45" width="1.7109375" customWidth="1"/>
    <col min="46" max="46" width="11.85546875" bestFit="1" customWidth="1"/>
    <col min="47" max="47" width="11.42578125" style="1" bestFit="1" customWidth="1"/>
    <col min="48" max="48" width="15.140625" bestFit="1" customWidth="1"/>
    <col min="49" max="49" width="2.28515625" customWidth="1"/>
    <col min="50" max="50" width="11.85546875" bestFit="1" customWidth="1"/>
    <col min="51" max="51" width="11.42578125" style="1" bestFit="1" customWidth="1"/>
    <col min="52" max="52" width="15" bestFit="1" customWidth="1"/>
    <col min="53" max="53" width="2.140625" customWidth="1"/>
    <col min="54" max="54" width="11.85546875" bestFit="1" customWidth="1"/>
    <col min="55" max="55" width="11.42578125" bestFit="1" customWidth="1"/>
    <col min="56" max="56" width="15" bestFit="1" customWidth="1"/>
    <col min="57" max="57" width="2.42578125" customWidth="1"/>
    <col min="58" max="58" width="11.85546875" bestFit="1" customWidth="1"/>
    <col min="59" max="59" width="11.42578125" bestFit="1" customWidth="1"/>
    <col min="60" max="60" width="15" bestFit="1" customWidth="1"/>
  </cols>
  <sheetData>
    <row r="1" spans="1:60" x14ac:dyDescent="0.25">
      <c r="A1" s="30"/>
      <c r="B1" s="44" t="s">
        <v>2823</v>
      </c>
      <c r="C1" s="30" t="s">
        <v>64</v>
      </c>
      <c r="D1" s="54" t="s">
        <v>2824</v>
      </c>
      <c r="E1" s="30"/>
      <c r="F1" s="44" t="s">
        <v>2825</v>
      </c>
      <c r="G1" s="30" t="s">
        <v>64</v>
      </c>
      <c r="H1" s="54" t="s">
        <v>2826</v>
      </c>
      <c r="I1" s="30"/>
      <c r="J1" s="44" t="s">
        <v>2827</v>
      </c>
      <c r="K1" s="30" t="s">
        <v>64</v>
      </c>
      <c r="L1" s="54" t="s">
        <v>2828</v>
      </c>
      <c r="M1" s="30"/>
      <c r="N1" s="44" t="s">
        <v>2829</v>
      </c>
      <c r="O1" s="30" t="s">
        <v>64</v>
      </c>
      <c r="P1" s="54" t="s">
        <v>2830</v>
      </c>
      <c r="Q1" s="30"/>
      <c r="R1" s="44" t="s">
        <v>2831</v>
      </c>
      <c r="S1" s="30" t="s">
        <v>64</v>
      </c>
      <c r="T1" s="54" t="s">
        <v>2832</v>
      </c>
      <c r="U1" s="30"/>
      <c r="V1" s="44" t="s">
        <v>2833</v>
      </c>
      <c r="W1" s="30" t="s">
        <v>64</v>
      </c>
      <c r="X1" s="54" t="s">
        <v>2834</v>
      </c>
      <c r="Y1" s="30"/>
      <c r="Z1" s="44" t="s">
        <v>2835</v>
      </c>
      <c r="AA1" s="30" t="s">
        <v>64</v>
      </c>
      <c r="AB1" s="54" t="s">
        <v>2836</v>
      </c>
      <c r="AC1" s="30"/>
      <c r="AD1" s="44" t="s">
        <v>2837</v>
      </c>
      <c r="AE1" s="30" t="s">
        <v>64</v>
      </c>
      <c r="AF1" s="54" t="s">
        <v>2838</v>
      </c>
      <c r="AG1" s="30"/>
      <c r="AH1" s="44" t="s">
        <v>2839</v>
      </c>
      <c r="AI1" s="30" t="s">
        <v>64</v>
      </c>
      <c r="AJ1" s="54" t="s">
        <v>2840</v>
      </c>
      <c r="AK1" s="30"/>
      <c r="AL1" s="44" t="s">
        <v>2841</v>
      </c>
      <c r="AM1" s="30" t="s">
        <v>64</v>
      </c>
      <c r="AN1" s="54" t="s">
        <v>2842</v>
      </c>
      <c r="AO1" s="30"/>
      <c r="AP1" s="44" t="s">
        <v>2843</v>
      </c>
      <c r="AQ1" s="30" t="s">
        <v>64</v>
      </c>
      <c r="AR1" s="54" t="s">
        <v>2844</v>
      </c>
      <c r="AT1" s="44" t="s">
        <v>2845</v>
      </c>
      <c r="AU1" s="30" t="s">
        <v>64</v>
      </c>
      <c r="AV1" s="54" t="s">
        <v>2846</v>
      </c>
      <c r="AX1" s="44" t="s">
        <v>2847</v>
      </c>
      <c r="AY1" s="30" t="s">
        <v>64</v>
      </c>
      <c r="AZ1" s="54" t="s">
        <v>2848</v>
      </c>
      <c r="BB1" s="44" t="s">
        <v>2849</v>
      </c>
      <c r="BC1" s="30" t="s">
        <v>64</v>
      </c>
      <c r="BD1" s="54" t="s">
        <v>2850</v>
      </c>
      <c r="BF1" s="44" t="s">
        <v>2851</v>
      </c>
      <c r="BG1" s="30" t="s">
        <v>64</v>
      </c>
      <c r="BH1" s="54" t="s">
        <v>2852</v>
      </c>
    </row>
    <row r="2" spans="1:60" x14ac:dyDescent="0.25">
      <c r="A2" s="5" t="s">
        <v>434</v>
      </c>
      <c r="B2" s="1">
        <f>+'State SCH'!C29</f>
        <v>1060</v>
      </c>
      <c r="C2" s="5">
        <f t="shared" ref="C2:C9" si="0">(+B2/B$10)*B$26</f>
        <v>3832.4394184168013</v>
      </c>
      <c r="D2" s="5">
        <f t="shared" ref="D2:D9" si="1">SUM(B2:C2)</f>
        <v>4892.4394184168013</v>
      </c>
      <c r="E2" s="5"/>
      <c r="F2" s="1">
        <f>+'State SCH'!D29</f>
        <v>1061</v>
      </c>
      <c r="G2" s="5">
        <f>+F2/$F$10*$G$10</f>
        <v>3571.3468616082687</v>
      </c>
      <c r="H2" s="5">
        <f t="shared" ref="H2:H9" si="2">SUM(F2:G2)</f>
        <v>4632.3468616082682</v>
      </c>
      <c r="I2" s="5"/>
      <c r="J2" s="1">
        <f>+'State SCH'!E29</f>
        <v>815</v>
      </c>
      <c r="K2" s="5">
        <f>+J2/$J$10*$K$10</f>
        <v>3075.1710654936464</v>
      </c>
      <c r="L2" s="5">
        <f t="shared" ref="L2:L9" si="3">SUM(J2:K2)</f>
        <v>3890.1710654936464</v>
      </c>
      <c r="M2" s="5"/>
      <c r="N2" s="1">
        <f>+'State SCH'!F29</f>
        <v>291</v>
      </c>
      <c r="O2" s="5">
        <f>+N2/$N$10*$O$10</f>
        <v>2809.6630179827989</v>
      </c>
      <c r="P2" s="5">
        <f t="shared" ref="P2:P9" si="4">SUM(N2:O2)</f>
        <v>3100.6630179827989</v>
      </c>
      <c r="Q2" s="5"/>
      <c r="R2" s="1">
        <f>+'State SCH'!G29</f>
        <v>1833</v>
      </c>
      <c r="S2" s="5">
        <f>+R2/$R$10*$S$10</f>
        <v>156.50268166090424</v>
      </c>
      <c r="T2" s="5">
        <f t="shared" ref="T2:T9" si="5">SUM(R2:S2)</f>
        <v>1989.5026816609043</v>
      </c>
      <c r="U2" s="5"/>
      <c r="V2" s="1">
        <f>+'State SCH'!H29</f>
        <v>1668</v>
      </c>
      <c r="W2" s="5">
        <f>+V2/$V$10*$W$10</f>
        <v>52.508340807183046</v>
      </c>
      <c r="X2" s="5">
        <f t="shared" ref="X2:X9" si="6">SUM(V2:W2)</f>
        <v>1720.508340807183</v>
      </c>
      <c r="Y2" s="5"/>
      <c r="Z2" s="1">
        <f>+'State SCH'!I29</f>
        <v>1998</v>
      </c>
      <c r="AA2" s="5">
        <f>+Z2/$Z$10*$AA$10</f>
        <v>138.81686746987805</v>
      </c>
      <c r="AB2" s="5">
        <f t="shared" ref="AB2:AB9" si="7">SUM(Z2:AA2)</f>
        <v>2136.8168674698782</v>
      </c>
      <c r="AC2" s="5"/>
      <c r="AD2" s="1">
        <f>+'State SCH'!J29</f>
        <v>2020</v>
      </c>
      <c r="AE2" s="5">
        <f>+AD2/$AD$10*$AE$10</f>
        <v>209.10925140433591</v>
      </c>
      <c r="AF2" s="5">
        <f t="shared" ref="AF2:AF9" si="8">SUM(AD2:AE2)</f>
        <v>2229.1092514043357</v>
      </c>
      <c r="AG2" s="5"/>
      <c r="AH2" s="1">
        <f>+'State SCH'!K29</f>
        <v>2545</v>
      </c>
      <c r="AI2" s="5">
        <f>+AH2/$AH$10*$AH$26</f>
        <v>397.3084236546872</v>
      </c>
      <c r="AJ2" s="5">
        <f t="shared" ref="AJ2:AJ9" si="9">SUM(AH2:AI2)</f>
        <v>2942.3084236546874</v>
      </c>
      <c r="AK2" s="5"/>
      <c r="AL2" s="1">
        <f>+'State SCH'!L29</f>
        <v>1884</v>
      </c>
      <c r="AM2" s="5">
        <f t="shared" ref="AM2:AM8" si="10">(+AL2/AL$10)*$AM$10</f>
        <v>68.774887576032754</v>
      </c>
      <c r="AN2" s="5">
        <f t="shared" ref="AN2:AN9" si="11">SUM(AL2:AM2)</f>
        <v>1952.7748875760328</v>
      </c>
      <c r="AO2" s="5"/>
      <c r="AP2" s="1">
        <f>+'State SCH'!M29</f>
        <v>1680</v>
      </c>
      <c r="AQ2" s="5">
        <f>(+AP2/AP$10)*$AQ$10</f>
        <v>107.18640679659762</v>
      </c>
      <c r="AR2" s="5">
        <f t="shared" ref="AR2:AR9" si="12">SUM(AP2:AQ2)</f>
        <v>1787.1864067965976</v>
      </c>
      <c r="AT2" s="1">
        <f>+'State SCH'!N29</f>
        <v>1345</v>
      </c>
      <c r="AU2" s="5">
        <f>+AT2/$AT$10*$AT$26</f>
        <v>99.153583617747699</v>
      </c>
      <c r="AV2" s="5">
        <f t="shared" ref="AV2:AV9" si="13">SUM(AT2:AU2)</f>
        <v>1444.1535836177477</v>
      </c>
      <c r="AX2" s="1">
        <f>+'State SCH'!O29</f>
        <v>1192</v>
      </c>
      <c r="AY2" s="5">
        <f>+AX2/$AX$10*$AX$26</f>
        <v>101.41107618944403</v>
      </c>
      <c r="AZ2" s="5">
        <f t="shared" ref="AZ2:AZ9" si="14">SUM(AX2:AY2)</f>
        <v>1293.411076189444</v>
      </c>
      <c r="BB2" s="1">
        <f>+'State SCH'!P29</f>
        <v>1174</v>
      </c>
      <c r="BC2" s="5">
        <f>+BB2/$BB$10*$BB$26</f>
        <v>127.76894097948933</v>
      </c>
      <c r="BD2" s="5">
        <f t="shared" ref="BD2:BD9" si="15">SUM(BB2:BC2)</f>
        <v>1301.7689409794893</v>
      </c>
      <c r="BF2" s="1">
        <v>1450</v>
      </c>
      <c r="BG2" s="5"/>
      <c r="BH2" s="5">
        <f t="shared" ref="BH2:BH9" si="16">SUM(BF2:BG2)</f>
        <v>1450</v>
      </c>
    </row>
    <row r="3" spans="1:60" x14ac:dyDescent="0.25">
      <c r="A3" s="5" t="s">
        <v>436</v>
      </c>
      <c r="B3" s="1">
        <f>+'State SCH'!C30</f>
        <v>638</v>
      </c>
      <c r="C3" s="5">
        <f t="shared" si="0"/>
        <v>2306.6946688206785</v>
      </c>
      <c r="D3" s="5">
        <f t="shared" si="1"/>
        <v>2944.6946688206785</v>
      </c>
      <c r="E3" s="5"/>
      <c r="F3" s="1">
        <f>+'State SCH'!D30</f>
        <v>520</v>
      </c>
      <c r="G3" s="5">
        <f t="shared" ref="G3:G9" si="17">+F3/$F$10*$G$10</f>
        <v>1750.3302243508949</v>
      </c>
      <c r="H3" s="5">
        <f t="shared" si="2"/>
        <v>2270.3302243508952</v>
      </c>
      <c r="I3" s="5"/>
      <c r="J3" s="1">
        <f>+'State SCH'!E30</f>
        <v>392</v>
      </c>
      <c r="K3" s="5">
        <f t="shared" ref="K3:K9" si="18">+J3/$J$10*$K$10</f>
        <v>1479.1006842619747</v>
      </c>
      <c r="L3" s="5">
        <f t="shared" si="3"/>
        <v>1871.1006842619747</v>
      </c>
      <c r="M3" s="5"/>
      <c r="N3" s="1">
        <f>+'State SCH'!F30</f>
        <v>208</v>
      </c>
      <c r="O3" s="5">
        <f t="shared" ref="O3:O9" si="19">+N3/$N$10*$O$10</f>
        <v>2008.2814698983582</v>
      </c>
      <c r="P3" s="5">
        <f t="shared" si="4"/>
        <v>2216.2814698983584</v>
      </c>
      <c r="Q3" s="5"/>
      <c r="R3" s="1">
        <f>+'State SCH'!G30</f>
        <v>791</v>
      </c>
      <c r="S3" s="5">
        <f t="shared" ref="S3:S9" si="20">+R3/$R$10*$S$10</f>
        <v>67.536072664361853</v>
      </c>
      <c r="T3" s="5">
        <f t="shared" si="5"/>
        <v>858.53607266436188</v>
      </c>
      <c r="U3" s="5"/>
      <c r="V3" s="1">
        <f>+'State SCH'!H30</f>
        <v>798</v>
      </c>
      <c r="W3" s="5">
        <f t="shared" ref="W3:W9" si="21">+V3/$V$10*$W$10</f>
        <v>25.120896860990452</v>
      </c>
      <c r="X3" s="5">
        <f t="shared" si="6"/>
        <v>823.12089686099046</v>
      </c>
      <c r="Y3" s="5"/>
      <c r="Z3" s="1">
        <f>+'State SCH'!I30</f>
        <v>801</v>
      </c>
      <c r="AA3" s="5">
        <f t="shared" ref="AA3:AA9" si="22">+Z3/$Z$10*$AA$10</f>
        <v>55.651807228915075</v>
      </c>
      <c r="AB3" s="5">
        <f t="shared" si="7"/>
        <v>856.65180722891512</v>
      </c>
      <c r="AC3" s="5"/>
      <c r="AD3" s="1">
        <f>+'State SCH'!J30</f>
        <v>820</v>
      </c>
      <c r="AE3" s="5">
        <f t="shared" ref="AE3:AE9" si="23">+AD3/$AD$10*$AE$10</f>
        <v>84.885933738393774</v>
      </c>
      <c r="AF3" s="5">
        <f t="shared" si="8"/>
        <v>904.88593373839376</v>
      </c>
      <c r="AG3" s="5"/>
      <c r="AH3" s="1">
        <f>+'State SCH'!K30</f>
        <v>993</v>
      </c>
      <c r="AI3" s="5">
        <f t="shared" ref="AI3:AI9" si="24">+AH3/$AH$10*$AH$26</f>
        <v>155.02053622361666</v>
      </c>
      <c r="AJ3" s="5">
        <f t="shared" si="9"/>
        <v>1148.0205362236165</v>
      </c>
      <c r="AK3" s="5"/>
      <c r="AL3" s="1">
        <f>+'State SCH'!L30</f>
        <v>1495</v>
      </c>
      <c r="AM3" s="5">
        <f t="shared" si="10"/>
        <v>54.574552508582265</v>
      </c>
      <c r="AN3" s="5">
        <f t="shared" si="11"/>
        <v>1549.5745525085822</v>
      </c>
      <c r="AO3" s="5"/>
      <c r="AP3" s="1">
        <f>+'State SCH'!M30</f>
        <v>1508</v>
      </c>
      <c r="AQ3" s="5">
        <f t="shared" ref="AQ3:AQ9" si="25">(+AP3/AP$10)*$AQ$10</f>
        <v>96.212560386469775</v>
      </c>
      <c r="AR3" s="5">
        <f t="shared" si="12"/>
        <v>1604.2125603864697</v>
      </c>
      <c r="AT3" s="1">
        <f>+'State SCH'!N30</f>
        <v>1639</v>
      </c>
      <c r="AU3" s="5">
        <f t="shared" ref="AU3:AU9" si="26">+AT3/$AT$10*$AT$26</f>
        <v>120.82730375426654</v>
      </c>
      <c r="AV3" s="5">
        <f t="shared" si="13"/>
        <v>1759.8273037542665</v>
      </c>
      <c r="AX3" s="1">
        <f>+'State SCH'!O30</f>
        <v>1853</v>
      </c>
      <c r="AY3" s="5">
        <f t="shared" ref="AY3:AY9" si="27">+AX3/$AX$10*$AX$26</f>
        <v>157.6465806871139</v>
      </c>
      <c r="AZ3" s="5">
        <f t="shared" si="14"/>
        <v>2010.6465806871138</v>
      </c>
      <c r="BB3" s="1">
        <f>+'State SCH'!P30</f>
        <v>1967</v>
      </c>
      <c r="BC3" s="5">
        <f t="shared" ref="BC3:BC9" si="28">+BB3/$BB$10*$BB$26</f>
        <v>214.07283382168271</v>
      </c>
      <c r="BD3" s="5">
        <f t="shared" si="15"/>
        <v>2181.0728338216827</v>
      </c>
      <c r="BF3" s="1">
        <v>2029</v>
      </c>
      <c r="BG3" s="5"/>
      <c r="BH3" s="5">
        <f t="shared" si="16"/>
        <v>2029</v>
      </c>
    </row>
    <row r="4" spans="1:60" x14ac:dyDescent="0.25">
      <c r="A4" s="5" t="s">
        <v>437</v>
      </c>
      <c r="B4" s="1">
        <f>+'State SCH'!C31+'State SCH'!C39</f>
        <v>101</v>
      </c>
      <c r="C4" s="5">
        <f t="shared" si="0"/>
        <v>365.16639741518577</v>
      </c>
      <c r="D4" s="5">
        <f t="shared" si="1"/>
        <v>466.16639741518577</v>
      </c>
      <c r="E4" s="5"/>
      <c r="F4" s="1">
        <f>+'State SCH'!D31+'State SCH'!D39</f>
        <v>160</v>
      </c>
      <c r="G4" s="5">
        <f t="shared" si="17"/>
        <v>538.56314595412152</v>
      </c>
      <c r="H4" s="5">
        <f t="shared" si="2"/>
        <v>698.56314595412152</v>
      </c>
      <c r="I4" s="5"/>
      <c r="J4" s="1">
        <f>+'State SCH'!E31+'State SCH'!E39</f>
        <v>202</v>
      </c>
      <c r="K4" s="5">
        <f t="shared" si="18"/>
        <v>762.18963831867063</v>
      </c>
      <c r="L4" s="5">
        <f t="shared" si="3"/>
        <v>964.18963831867063</v>
      </c>
      <c r="M4" s="5"/>
      <c r="N4" s="1">
        <f>+'State SCH'!F31+'State SCH'!F39</f>
        <v>24</v>
      </c>
      <c r="O4" s="5">
        <f t="shared" si="19"/>
        <v>231.72478498827209</v>
      </c>
      <c r="P4" s="5">
        <f t="shared" si="4"/>
        <v>255.72478498827209</v>
      </c>
      <c r="Q4" s="5"/>
      <c r="R4" s="1">
        <f>+'State SCH'!G31+'State SCH'!G39</f>
        <v>28</v>
      </c>
      <c r="S4" s="5">
        <f t="shared" si="20"/>
        <v>2.390657439446437</v>
      </c>
      <c r="T4" s="5">
        <f t="shared" si="5"/>
        <v>30.390657439446436</v>
      </c>
      <c r="U4" s="5"/>
      <c r="V4" s="1">
        <f>+'State SCH'!H31+'State SCH'!H39</f>
        <v>6</v>
      </c>
      <c r="W4" s="5">
        <f t="shared" si="21"/>
        <v>0.18887892376684551</v>
      </c>
      <c r="X4" s="5">
        <f t="shared" si="6"/>
        <v>6.1888789237668451</v>
      </c>
      <c r="Y4" s="5"/>
      <c r="Z4" s="1">
        <f>+'State SCH'!I31+'State SCH'!I39</f>
        <v>13</v>
      </c>
      <c r="AA4" s="5">
        <f t="shared" si="22"/>
        <v>0.90321285140561303</v>
      </c>
      <c r="AB4" s="5">
        <f t="shared" si="7"/>
        <v>13.903212851405613</v>
      </c>
      <c r="AC4" s="5"/>
      <c r="AD4" s="1">
        <f>+'State SCH'!J31+'State SCH'!J39</f>
        <v>13</v>
      </c>
      <c r="AE4" s="5">
        <f t="shared" si="23"/>
        <v>1.3457526080477062</v>
      </c>
      <c r="AF4" s="5">
        <f t="shared" si="8"/>
        <v>14.345752608047706</v>
      </c>
      <c r="AG4" s="5"/>
      <c r="AH4" s="1">
        <f>+'State SCH'!K31+'State SCH'!K39</f>
        <v>22</v>
      </c>
      <c r="AI4" s="5">
        <f t="shared" si="24"/>
        <v>3.4344932496672369</v>
      </c>
      <c r="AJ4" s="5">
        <f t="shared" si="9"/>
        <v>25.434493249667238</v>
      </c>
      <c r="AK4" s="5"/>
      <c r="AL4" s="1">
        <f>+'State SCH'!L31+'State SCH'!L39</f>
        <v>36</v>
      </c>
      <c r="AM4" s="5">
        <f t="shared" si="10"/>
        <v>1.3141698262936194</v>
      </c>
      <c r="AN4" s="5">
        <f t="shared" si="11"/>
        <v>37.314169826293622</v>
      </c>
      <c r="AO4" s="5"/>
      <c r="AP4" s="1">
        <f>+'State SCH'!M31+'State SCH'!M39</f>
        <v>4</v>
      </c>
      <c r="AQ4" s="5">
        <f t="shared" si="25"/>
        <v>0.25520573046808959</v>
      </c>
      <c r="AR4" s="5">
        <f t="shared" si="12"/>
        <v>4.2552057304680897</v>
      </c>
      <c r="AT4" s="1">
        <f>+'State SCH'!N31+'State SCH'!N39</f>
        <v>23</v>
      </c>
      <c r="AU4" s="5">
        <f t="shared" si="26"/>
        <v>1.6955631399317455</v>
      </c>
      <c r="AV4" s="5">
        <f t="shared" si="13"/>
        <v>24.695563139931746</v>
      </c>
      <c r="AX4" s="1">
        <f>+'State SCH'!O31</f>
        <v>4</v>
      </c>
      <c r="AY4" s="5">
        <f t="shared" si="27"/>
        <v>0.34030562479679205</v>
      </c>
      <c r="AZ4" s="5">
        <f t="shared" si="14"/>
        <v>4.3403056247967919</v>
      </c>
      <c r="BB4" s="1">
        <f>+'State SCH'!P31</f>
        <v>8</v>
      </c>
      <c r="BC4" s="5">
        <f t="shared" si="28"/>
        <v>0.87065717873587278</v>
      </c>
      <c r="BD4" s="5">
        <f t="shared" si="15"/>
        <v>8.8706571787358719</v>
      </c>
      <c r="BF4" s="1">
        <f>+'State SCH'!T31</f>
        <v>0</v>
      </c>
      <c r="BG4" s="5"/>
      <c r="BH4" s="5">
        <f t="shared" si="16"/>
        <v>0</v>
      </c>
    </row>
    <row r="5" spans="1:60" x14ac:dyDescent="0.25">
      <c r="A5" s="5" t="s">
        <v>81</v>
      </c>
      <c r="B5" s="1">
        <f>+'State SCH'!C32</f>
        <v>1967</v>
      </c>
      <c r="C5" s="5">
        <f t="shared" si="0"/>
        <v>7111.705977382876</v>
      </c>
      <c r="D5" s="5">
        <f t="shared" si="1"/>
        <v>9078.7059773828769</v>
      </c>
      <c r="E5" s="5"/>
      <c r="F5" s="1">
        <f>+'State SCH'!D32</f>
        <v>1455</v>
      </c>
      <c r="G5" s="5">
        <f t="shared" si="17"/>
        <v>4897.5586085202922</v>
      </c>
      <c r="H5" s="5">
        <f t="shared" si="2"/>
        <v>6352.5586085202922</v>
      </c>
      <c r="I5" s="5"/>
      <c r="J5" s="1">
        <f>+'State SCH'!E32</f>
        <v>1076</v>
      </c>
      <c r="K5" s="5">
        <f t="shared" si="18"/>
        <v>4059.980449657869</v>
      </c>
      <c r="L5" s="5">
        <f t="shared" si="3"/>
        <v>5135.980449657869</v>
      </c>
      <c r="M5" s="5"/>
      <c r="N5" s="1">
        <f>+'State SCH'!F32</f>
        <v>428</v>
      </c>
      <c r="O5" s="5">
        <f t="shared" si="19"/>
        <v>4132.4253322908526</v>
      </c>
      <c r="P5" s="5">
        <f t="shared" si="4"/>
        <v>4560.4253322908526</v>
      </c>
      <c r="Q5" s="5"/>
      <c r="R5" s="1">
        <f>+'State SCH'!G32</f>
        <v>6125</v>
      </c>
      <c r="S5" s="5">
        <f t="shared" si="20"/>
        <v>522.95631487890819</v>
      </c>
      <c r="T5" s="5">
        <f t="shared" si="5"/>
        <v>6647.9563148789084</v>
      </c>
      <c r="U5" s="5"/>
      <c r="V5" s="1">
        <f>+'State SCH'!H32</f>
        <v>5779</v>
      </c>
      <c r="W5" s="5">
        <f t="shared" si="21"/>
        <v>181.92188340810003</v>
      </c>
      <c r="X5" s="5">
        <f t="shared" si="6"/>
        <v>5960.9218834081003</v>
      </c>
      <c r="Y5" s="5"/>
      <c r="Z5" s="1">
        <f>+'State SCH'!I32</f>
        <v>4573</v>
      </c>
      <c r="AA5" s="5">
        <f t="shared" si="22"/>
        <v>317.72248995983603</v>
      </c>
      <c r="AB5" s="5">
        <f t="shared" si="7"/>
        <v>4890.7224899598359</v>
      </c>
      <c r="AC5" s="5"/>
      <c r="AD5" s="1">
        <f>+'State SCH'!J32</f>
        <v>4017</v>
      </c>
      <c r="AE5" s="5">
        <f t="shared" si="23"/>
        <v>415.8375558867412</v>
      </c>
      <c r="AF5" s="5">
        <f t="shared" si="8"/>
        <v>4432.837555886741</v>
      </c>
      <c r="AG5" s="5"/>
      <c r="AH5" s="1">
        <f>+'State SCH'!K32</f>
        <v>4260</v>
      </c>
      <c r="AI5" s="5">
        <f t="shared" si="24"/>
        <v>665.04278379920129</v>
      </c>
      <c r="AJ5" s="5">
        <f t="shared" si="9"/>
        <v>4925.0427837992011</v>
      </c>
      <c r="AK5" s="5"/>
      <c r="AL5" s="1">
        <f>+'State SCH'!L32</f>
        <v>4648</v>
      </c>
      <c r="AM5" s="5">
        <f t="shared" si="10"/>
        <v>169.6739264614651</v>
      </c>
      <c r="AN5" s="5">
        <f t="shared" si="11"/>
        <v>4817.6739264614653</v>
      </c>
      <c r="AO5" s="5"/>
      <c r="AP5" s="1">
        <f>+'State SCH'!M32</f>
        <v>5580</v>
      </c>
      <c r="AQ5" s="5">
        <f t="shared" si="25"/>
        <v>356.01199400298498</v>
      </c>
      <c r="AR5" s="5">
        <f t="shared" si="12"/>
        <v>5936.0119940029854</v>
      </c>
      <c r="AT5" s="1">
        <f>+'State SCH'!N32</f>
        <v>4495</v>
      </c>
      <c r="AU5" s="5">
        <f t="shared" si="26"/>
        <v>331.37201365187804</v>
      </c>
      <c r="AV5" s="5">
        <f t="shared" si="13"/>
        <v>4826.3720136518778</v>
      </c>
      <c r="AX5" s="1">
        <f>+'State SCH'!O32</f>
        <v>3847</v>
      </c>
      <c r="AY5" s="5">
        <f t="shared" si="27"/>
        <v>327.28893464831475</v>
      </c>
      <c r="AZ5" s="5">
        <f t="shared" si="14"/>
        <v>4174.2889346483144</v>
      </c>
      <c r="BB5" s="1">
        <f>+'State SCH'!P32</f>
        <v>4043</v>
      </c>
      <c r="BC5" s="5">
        <f t="shared" si="28"/>
        <v>440.00837170364167</v>
      </c>
      <c r="BD5" s="5">
        <f t="shared" si="15"/>
        <v>4483.0083717036414</v>
      </c>
      <c r="BF5" s="1">
        <v>4000</v>
      </c>
      <c r="BG5" s="5"/>
      <c r="BH5" s="5">
        <f t="shared" si="16"/>
        <v>4000</v>
      </c>
    </row>
    <row r="6" spans="1:60" x14ac:dyDescent="0.25">
      <c r="A6" s="5" t="s">
        <v>440</v>
      </c>
      <c r="B6" s="1">
        <f>+'State SCH'!C33</f>
        <v>170</v>
      </c>
      <c r="C6" s="5">
        <f t="shared" si="0"/>
        <v>614.63651050080773</v>
      </c>
      <c r="D6" s="5">
        <f t="shared" si="1"/>
        <v>784.63651050080773</v>
      </c>
      <c r="E6" s="5"/>
      <c r="F6" s="1">
        <f>+'State SCH'!D33</f>
        <v>102</v>
      </c>
      <c r="G6" s="5">
        <f t="shared" si="17"/>
        <v>343.33400554575246</v>
      </c>
      <c r="H6" s="5">
        <f t="shared" si="2"/>
        <v>445.33400554575246</v>
      </c>
      <c r="I6" s="5"/>
      <c r="J6" s="1">
        <f>+'State SCH'!E33</f>
        <v>101</v>
      </c>
      <c r="K6" s="5">
        <f t="shared" si="18"/>
        <v>381.09481915933532</v>
      </c>
      <c r="L6" s="5">
        <f t="shared" si="3"/>
        <v>482.09481915933532</v>
      </c>
      <c r="M6" s="5"/>
      <c r="N6" s="1">
        <f>+'State SCH'!F33</f>
        <v>39</v>
      </c>
      <c r="O6" s="5">
        <f t="shared" si="19"/>
        <v>376.55277560594214</v>
      </c>
      <c r="P6" s="5">
        <f t="shared" si="4"/>
        <v>415.55277560594214</v>
      </c>
      <c r="Q6" s="5"/>
      <c r="R6" s="1">
        <f>+'State SCH'!G33</f>
        <v>1410</v>
      </c>
      <c r="S6" s="5">
        <f t="shared" si="20"/>
        <v>120.38667820069558</v>
      </c>
      <c r="T6" s="5">
        <f t="shared" si="5"/>
        <v>1530.3866782006955</v>
      </c>
      <c r="U6" s="5"/>
      <c r="V6" s="1">
        <f>+'State SCH'!H33</f>
        <v>1438</v>
      </c>
      <c r="W6" s="5">
        <f t="shared" si="21"/>
        <v>45.267982062787304</v>
      </c>
      <c r="X6" s="5">
        <f t="shared" si="6"/>
        <v>1483.2679820627873</v>
      </c>
      <c r="Y6" s="5"/>
      <c r="Z6" s="1">
        <f>+'State SCH'!I33</f>
        <v>1158</v>
      </c>
      <c r="AA6" s="5">
        <f t="shared" si="22"/>
        <v>80.455421686746135</v>
      </c>
      <c r="AB6" s="5">
        <f t="shared" si="7"/>
        <v>1238.4554216867461</v>
      </c>
      <c r="AC6" s="5"/>
      <c r="AD6" s="1">
        <f>+'State SCH'!J33</f>
        <v>605</v>
      </c>
      <c r="AE6" s="5">
        <f t="shared" si="23"/>
        <v>62.629255989912487</v>
      </c>
      <c r="AF6" s="5">
        <f t="shared" si="8"/>
        <v>667.62925598991251</v>
      </c>
      <c r="AG6" s="5"/>
      <c r="AH6" s="1">
        <f>+'State SCH'!K33</f>
        <v>1311</v>
      </c>
      <c r="AI6" s="5">
        <f t="shared" si="24"/>
        <v>204.66457501426126</v>
      </c>
      <c r="AJ6" s="5">
        <f t="shared" si="9"/>
        <v>1515.6645750142613</v>
      </c>
      <c r="AK6" s="5"/>
      <c r="AL6" s="1">
        <f>+'State SCH'!L33</f>
        <v>1489</v>
      </c>
      <c r="AM6" s="5">
        <f t="shared" si="10"/>
        <v>54.355524204199988</v>
      </c>
      <c r="AN6" s="5">
        <f t="shared" si="11"/>
        <v>1543.3555242042</v>
      </c>
      <c r="AO6" s="5"/>
      <c r="AP6" s="1">
        <f>+'State SCH'!M33</f>
        <v>1131</v>
      </c>
      <c r="AQ6" s="5">
        <f t="shared" si="25"/>
        <v>72.159420289852335</v>
      </c>
      <c r="AR6" s="5">
        <f t="shared" si="12"/>
        <v>1203.1594202898523</v>
      </c>
      <c r="AT6" s="1">
        <f>+'State SCH'!N33</f>
        <v>924</v>
      </c>
      <c r="AU6" s="5">
        <f t="shared" si="26"/>
        <v>68.117406143344894</v>
      </c>
      <c r="AV6" s="5">
        <f t="shared" si="13"/>
        <v>992.11740614334485</v>
      </c>
      <c r="AX6" s="1">
        <f>+'State SCH'!O33</f>
        <v>844</v>
      </c>
      <c r="AY6" s="5">
        <f t="shared" si="27"/>
        <v>71.804486832123118</v>
      </c>
      <c r="AZ6" s="5">
        <f t="shared" si="14"/>
        <v>915.80448683212308</v>
      </c>
      <c r="BB6" s="1">
        <f>+'State SCH'!P33</f>
        <v>1010</v>
      </c>
      <c r="BC6" s="5">
        <f t="shared" si="28"/>
        <v>109.92046881540394</v>
      </c>
      <c r="BD6" s="5">
        <f t="shared" si="15"/>
        <v>1119.9204688154039</v>
      </c>
      <c r="BF6" s="1">
        <v>900</v>
      </c>
      <c r="BG6" s="5"/>
      <c r="BH6" s="5">
        <f t="shared" si="16"/>
        <v>900</v>
      </c>
    </row>
    <row r="7" spans="1:60" x14ac:dyDescent="0.25">
      <c r="A7" s="5" t="s">
        <v>85</v>
      </c>
      <c r="B7" s="1">
        <f>+'State SCH'!C34</f>
        <v>149</v>
      </c>
      <c r="C7" s="5">
        <f t="shared" si="0"/>
        <v>538.71082390953154</v>
      </c>
      <c r="D7" s="5">
        <f t="shared" si="1"/>
        <v>687.71082390953154</v>
      </c>
      <c r="E7" s="5"/>
      <c r="F7" s="1">
        <f>+'State SCH'!D34</f>
        <v>87</v>
      </c>
      <c r="G7" s="5">
        <f t="shared" si="17"/>
        <v>292.84371061255359</v>
      </c>
      <c r="H7" s="5">
        <f t="shared" si="2"/>
        <v>379.84371061255359</v>
      </c>
      <c r="I7" s="5"/>
      <c r="J7" s="1">
        <f>+'State SCH'!E34</f>
        <v>108</v>
      </c>
      <c r="K7" s="5">
        <f t="shared" si="18"/>
        <v>407.50733137829917</v>
      </c>
      <c r="L7" s="5">
        <f t="shared" si="3"/>
        <v>515.50733137829911</v>
      </c>
      <c r="M7" s="5"/>
      <c r="N7" s="1">
        <f>+'State SCH'!F34</f>
        <v>24</v>
      </c>
      <c r="O7" s="5">
        <f t="shared" si="19"/>
        <v>231.72478498827209</v>
      </c>
      <c r="P7" s="5">
        <f t="shared" si="4"/>
        <v>255.72478498827209</v>
      </c>
      <c r="Q7" s="5"/>
      <c r="R7" s="1">
        <f>+'State SCH'!G34</f>
        <v>27</v>
      </c>
      <c r="S7" s="5">
        <f t="shared" si="20"/>
        <v>2.3052768166090645</v>
      </c>
      <c r="T7" s="5">
        <f t="shared" si="5"/>
        <v>29.305276816609066</v>
      </c>
      <c r="U7" s="5"/>
      <c r="V7" s="1">
        <f>+'State SCH'!H34</f>
        <v>13</v>
      </c>
      <c r="W7" s="5">
        <f t="shared" si="21"/>
        <v>0.40923766816149859</v>
      </c>
      <c r="X7" s="5">
        <f t="shared" si="6"/>
        <v>13.409237668161499</v>
      </c>
      <c r="Y7" s="5"/>
      <c r="Z7" s="1">
        <f>+'State SCH'!I34</f>
        <v>0</v>
      </c>
      <c r="AA7" s="5">
        <f t="shared" si="22"/>
        <v>0</v>
      </c>
      <c r="AB7" s="5">
        <f t="shared" si="7"/>
        <v>0</v>
      </c>
      <c r="AC7" s="5"/>
      <c r="AD7" s="1">
        <f>+'State SCH'!J34</f>
        <v>33</v>
      </c>
      <c r="AE7" s="5">
        <f t="shared" si="23"/>
        <v>3.4161412358134084</v>
      </c>
      <c r="AF7" s="5">
        <f t="shared" si="8"/>
        <v>36.416141235813406</v>
      </c>
      <c r="AG7" s="5"/>
      <c r="AH7" s="1">
        <f>+'State SCH'!K34</f>
        <v>48</v>
      </c>
      <c r="AI7" s="5">
        <f t="shared" si="24"/>
        <v>7.4934398174557897</v>
      </c>
      <c r="AJ7" s="5">
        <f t="shared" si="9"/>
        <v>55.493439817455787</v>
      </c>
      <c r="AK7" s="5"/>
      <c r="AL7" s="1">
        <f>+'State SCH'!L34</f>
        <v>97</v>
      </c>
      <c r="AM7" s="5">
        <f t="shared" si="10"/>
        <v>3.5409575875133643</v>
      </c>
      <c r="AN7" s="5">
        <f t="shared" si="11"/>
        <v>100.54095758751336</v>
      </c>
      <c r="AO7" s="5"/>
      <c r="AP7" s="1">
        <f>+'State SCH'!M34</f>
        <v>19</v>
      </c>
      <c r="AQ7" s="5">
        <f t="shared" si="25"/>
        <v>1.2122272197234256</v>
      </c>
      <c r="AR7" s="5">
        <f t="shared" si="12"/>
        <v>20.212227219723424</v>
      </c>
      <c r="AT7" s="1">
        <f>+'State SCH'!N34</f>
        <v>9</v>
      </c>
      <c r="AU7" s="5">
        <f t="shared" si="26"/>
        <v>0.66348122866894377</v>
      </c>
      <c r="AV7" s="5">
        <f t="shared" si="13"/>
        <v>9.6634812286689442</v>
      </c>
      <c r="AX7" s="1">
        <f>+'State SCH'!O34</f>
        <v>3</v>
      </c>
      <c r="AY7" s="5">
        <f t="shared" si="27"/>
        <v>0.25522921859759401</v>
      </c>
      <c r="AZ7" s="5">
        <f t="shared" si="14"/>
        <v>3.2552292185975942</v>
      </c>
      <c r="BB7" s="1">
        <f>+'State SCH'!P34</f>
        <v>1</v>
      </c>
      <c r="BC7" s="5">
        <f t="shared" si="28"/>
        <v>0.1088321473419841</v>
      </c>
      <c r="BD7" s="5">
        <f t="shared" si="15"/>
        <v>1.108832147341984</v>
      </c>
      <c r="BF7" s="1">
        <v>30</v>
      </c>
      <c r="BG7" s="5"/>
      <c r="BH7" s="5">
        <f t="shared" si="16"/>
        <v>30</v>
      </c>
    </row>
    <row r="8" spans="1:60" x14ac:dyDescent="0.25">
      <c r="A8" s="5" t="s">
        <v>87</v>
      </c>
      <c r="B8" s="1">
        <f>+'State SCH'!C35</f>
        <v>233</v>
      </c>
      <c r="C8" s="5">
        <f t="shared" si="0"/>
        <v>842.41357027463653</v>
      </c>
      <c r="D8" s="5">
        <f t="shared" si="1"/>
        <v>1075.4135702746366</v>
      </c>
      <c r="E8" s="5"/>
      <c r="F8" s="1">
        <f>+'State SCH'!D35</f>
        <v>565</v>
      </c>
      <c r="G8" s="5">
        <f t="shared" si="17"/>
        <v>1901.8011091504916</v>
      </c>
      <c r="H8" s="5">
        <f t="shared" si="2"/>
        <v>2466.8011091504914</v>
      </c>
      <c r="I8" s="5"/>
      <c r="J8" s="1">
        <f>+'State SCH'!E35</f>
        <v>353</v>
      </c>
      <c r="K8" s="5">
        <f t="shared" si="18"/>
        <v>1331.9452590420333</v>
      </c>
      <c r="L8" s="5">
        <f t="shared" si="3"/>
        <v>1684.9452590420333</v>
      </c>
      <c r="M8" s="5"/>
      <c r="N8" s="1">
        <f>+'State SCH'!F35</f>
        <v>171</v>
      </c>
      <c r="O8" s="5">
        <f t="shared" si="19"/>
        <v>1651.0390930414387</v>
      </c>
      <c r="P8" s="5">
        <f t="shared" si="4"/>
        <v>1822.0390930414387</v>
      </c>
      <c r="Q8" s="5"/>
      <c r="R8" s="1">
        <f>+'State SCH'!G35</f>
        <v>1174</v>
      </c>
      <c r="S8" s="5">
        <f t="shared" si="20"/>
        <v>100.23685121107562</v>
      </c>
      <c r="T8" s="5">
        <f t="shared" si="5"/>
        <v>1274.2368512110756</v>
      </c>
      <c r="U8" s="5"/>
      <c r="V8" s="1">
        <f>+'State SCH'!H35</f>
        <v>1271</v>
      </c>
      <c r="W8" s="5">
        <f t="shared" si="21"/>
        <v>40.010852017943442</v>
      </c>
      <c r="X8" s="5">
        <f t="shared" si="6"/>
        <v>1311.0108520179435</v>
      </c>
      <c r="Y8" s="5"/>
      <c r="Z8" s="1">
        <f>+'State SCH'!I35</f>
        <v>1297</v>
      </c>
      <c r="AA8" s="5">
        <f t="shared" si="22"/>
        <v>90.112851405621541</v>
      </c>
      <c r="AB8" s="5">
        <f t="shared" si="7"/>
        <v>1387.1128514056215</v>
      </c>
      <c r="AC8" s="5"/>
      <c r="AD8" s="1">
        <f>+'State SCH'!J35</f>
        <v>1183</v>
      </c>
      <c r="AE8" s="5">
        <f t="shared" si="23"/>
        <v>122.46348733234127</v>
      </c>
      <c r="AF8" s="5">
        <f t="shared" si="8"/>
        <v>1305.4634873323412</v>
      </c>
      <c r="AG8" s="5"/>
      <c r="AH8" s="1">
        <f>+'State SCH'!K35</f>
        <v>1325</v>
      </c>
      <c r="AI8" s="5">
        <f t="shared" si="24"/>
        <v>206.85016162768588</v>
      </c>
      <c r="AJ8" s="5">
        <f t="shared" si="9"/>
        <v>1531.8501616276858</v>
      </c>
      <c r="AK8" s="5"/>
      <c r="AL8" s="1">
        <f>+'State SCH'!L35</f>
        <v>1501</v>
      </c>
      <c r="AM8" s="5">
        <f t="shared" si="10"/>
        <v>54.793580812964528</v>
      </c>
      <c r="AN8" s="5">
        <f t="shared" si="11"/>
        <v>1555.7935808129646</v>
      </c>
      <c r="AO8" s="5"/>
      <c r="AP8" s="1">
        <f>+'State SCH'!M35</f>
        <v>1868</v>
      </c>
      <c r="AQ8" s="5">
        <f t="shared" si="25"/>
        <v>119.18107612859785</v>
      </c>
      <c r="AR8" s="5">
        <f t="shared" si="12"/>
        <v>1987.1810761285979</v>
      </c>
      <c r="AT8" s="1">
        <f>+'State SCH'!N35</f>
        <v>1485</v>
      </c>
      <c r="AU8" s="5">
        <f t="shared" si="26"/>
        <v>109.47440273037573</v>
      </c>
      <c r="AV8" s="5">
        <f t="shared" si="13"/>
        <v>1594.4744027303757</v>
      </c>
      <c r="AX8" s="1">
        <f>+'State SCH'!O35</f>
        <v>1167</v>
      </c>
      <c r="AY8" s="5">
        <f t="shared" si="27"/>
        <v>99.284166034464064</v>
      </c>
      <c r="AZ8" s="5">
        <f t="shared" si="14"/>
        <v>1266.2841660344641</v>
      </c>
      <c r="BB8" s="1">
        <f>+'State SCH'!P35</f>
        <v>1073</v>
      </c>
      <c r="BC8" s="5">
        <f t="shared" si="28"/>
        <v>116.77689409794894</v>
      </c>
      <c r="BD8" s="5">
        <f t="shared" si="15"/>
        <v>1189.776894097949</v>
      </c>
      <c r="BF8" s="1">
        <v>1073</v>
      </c>
      <c r="BG8" s="5"/>
      <c r="BH8" s="5">
        <f t="shared" si="16"/>
        <v>1073</v>
      </c>
    </row>
    <row r="9" spans="1:60" x14ac:dyDescent="0.25">
      <c r="A9" s="5" t="s">
        <v>447</v>
      </c>
      <c r="B9" s="1">
        <f>+'State SCH'!C36</f>
        <v>15</v>
      </c>
      <c r="C9" s="5">
        <f t="shared" si="0"/>
        <v>54.232633279483039</v>
      </c>
      <c r="D9" s="5">
        <f t="shared" si="1"/>
        <v>69.232633279483039</v>
      </c>
      <c r="E9" s="5"/>
      <c r="F9" s="1">
        <f>+'State SCH'!D36</f>
        <v>17</v>
      </c>
      <c r="G9" s="5">
        <f t="shared" si="17"/>
        <v>57.222334257625405</v>
      </c>
      <c r="H9" s="5">
        <f t="shared" si="2"/>
        <v>74.222334257625405</v>
      </c>
      <c r="I9" s="5"/>
      <c r="J9" s="1">
        <f>+'State SCH'!E36</f>
        <v>22</v>
      </c>
      <c r="K9" s="5">
        <f t="shared" si="18"/>
        <v>83.010752688172047</v>
      </c>
      <c r="L9" s="5">
        <f t="shared" si="3"/>
        <v>105.01075268817205</v>
      </c>
      <c r="M9" s="5"/>
      <c r="N9" s="1">
        <f>+'State SCH'!F36</f>
        <v>94</v>
      </c>
      <c r="O9" s="5">
        <f t="shared" si="19"/>
        <v>907.58874120406563</v>
      </c>
      <c r="P9" s="5">
        <f t="shared" si="4"/>
        <v>1001.5887412040656</v>
      </c>
      <c r="Q9" s="5"/>
      <c r="R9" s="1">
        <f>+'State SCH'!G36</f>
        <v>172</v>
      </c>
      <c r="S9" s="5">
        <f t="shared" si="20"/>
        <v>14.685467128028115</v>
      </c>
      <c r="T9" s="5">
        <f t="shared" si="5"/>
        <v>186.68546712802811</v>
      </c>
      <c r="U9" s="5"/>
      <c r="V9" s="1">
        <f>+'State SCH'!H36</f>
        <v>177</v>
      </c>
      <c r="W9" s="5">
        <f t="shared" si="21"/>
        <v>5.5719282511219426</v>
      </c>
      <c r="X9" s="5">
        <f t="shared" si="6"/>
        <v>182.57192825112193</v>
      </c>
      <c r="Y9" s="5"/>
      <c r="Z9" s="1">
        <f>+'State SCH'!I36</f>
        <v>120</v>
      </c>
      <c r="AA9" s="5">
        <f t="shared" si="22"/>
        <v>8.337349397590275</v>
      </c>
      <c r="AB9" s="5">
        <f t="shared" si="7"/>
        <v>128.33734939759029</v>
      </c>
      <c r="AC9" s="5"/>
      <c r="AD9" s="1">
        <f>+'State SCH'!J36</f>
        <v>32</v>
      </c>
      <c r="AE9" s="5">
        <f t="shared" si="23"/>
        <v>3.312621804425123</v>
      </c>
      <c r="AF9" s="5">
        <f t="shared" si="8"/>
        <v>35.31262180442512</v>
      </c>
      <c r="AG9" s="5"/>
      <c r="AH9" s="1">
        <f>+'State SCH'!K36</f>
        <v>14</v>
      </c>
      <c r="AI9" s="5">
        <f t="shared" si="24"/>
        <v>2.1855866134246056</v>
      </c>
      <c r="AJ9" s="5">
        <f t="shared" si="9"/>
        <v>16.185586613424604</v>
      </c>
      <c r="AK9" s="5"/>
      <c r="AL9" s="1">
        <f>+'State SCH'!L36</f>
        <v>191</v>
      </c>
      <c r="AM9" s="5">
        <f>(+AL9/AL$10)*$AM$10</f>
        <v>6.9724010228355935</v>
      </c>
      <c r="AN9" s="5">
        <f t="shared" si="11"/>
        <v>197.97240102283558</v>
      </c>
      <c r="AO9" s="5"/>
      <c r="AP9" s="1">
        <f>+'State SCH'!M36</f>
        <v>216</v>
      </c>
      <c r="AQ9" s="5">
        <f t="shared" si="25"/>
        <v>13.781109445276837</v>
      </c>
      <c r="AR9" s="5">
        <f t="shared" si="12"/>
        <v>229.78110944527683</v>
      </c>
      <c r="AT9" s="1">
        <f>+'State SCH'!N36</f>
        <v>335</v>
      </c>
      <c r="AU9" s="5">
        <f t="shared" si="26"/>
        <v>24.696245733788462</v>
      </c>
      <c r="AV9" s="5">
        <f t="shared" si="13"/>
        <v>359.69624573378849</v>
      </c>
      <c r="AX9" s="1">
        <f>+'State SCH'!O36</f>
        <v>317</v>
      </c>
      <c r="AY9" s="5">
        <f t="shared" si="27"/>
        <v>26.969220765145767</v>
      </c>
      <c r="AZ9" s="5">
        <f t="shared" si="14"/>
        <v>343.96922076514579</v>
      </c>
      <c r="BB9" s="1">
        <f>+'State SCH'!P36</f>
        <v>280</v>
      </c>
      <c r="BC9" s="5">
        <f t="shared" si="28"/>
        <v>30.473001255755548</v>
      </c>
      <c r="BD9" s="5">
        <f t="shared" si="15"/>
        <v>310.47300125575555</v>
      </c>
      <c r="BF9" s="1">
        <v>415</v>
      </c>
      <c r="BG9" s="5"/>
      <c r="BH9" s="5">
        <f t="shared" si="16"/>
        <v>415</v>
      </c>
    </row>
    <row r="10" spans="1:60" x14ac:dyDescent="0.25">
      <c r="A10" s="5"/>
      <c r="B10" s="32">
        <f>SUM(B2:B9)</f>
        <v>4333</v>
      </c>
      <c r="C10" s="32">
        <f>SUM(C2:C9)</f>
        <v>15666.000000000004</v>
      </c>
      <c r="D10" s="32">
        <f>SUM(D2:D9)</f>
        <v>19999</v>
      </c>
      <c r="E10" s="5"/>
      <c r="F10" s="32">
        <f>SUM(F2:F9)</f>
        <v>3967</v>
      </c>
      <c r="G10" s="32">
        <f>+'Net Tuition Summer'!B56-'Summer Credit Hour Allocation'!F10</f>
        <v>13353</v>
      </c>
      <c r="H10" s="32">
        <f>SUM(H2:H9)</f>
        <v>17320</v>
      </c>
      <c r="I10" s="5"/>
      <c r="J10" s="32">
        <f>SUM(J2:J9)</f>
        <v>3069</v>
      </c>
      <c r="K10" s="32">
        <f>+'Net Tuition Summer'!C56-'Summer Credit Hour Allocation'!J10</f>
        <v>11580</v>
      </c>
      <c r="L10" s="32">
        <f>SUM(L2:L9)</f>
        <v>14649.000000000002</v>
      </c>
      <c r="M10" s="5"/>
      <c r="N10" s="32">
        <f>SUM(N2:N9)</f>
        <v>1279</v>
      </c>
      <c r="O10" s="32">
        <f>+'Net Tuition Summer'!D56-'Summer Credit Hour Allocation'!N10</f>
        <v>12349</v>
      </c>
      <c r="P10" s="32">
        <f>SUM(P2:P9)</f>
        <v>13628</v>
      </c>
      <c r="Q10" s="5"/>
      <c r="R10" s="32">
        <f>SUM(R2:R9)</f>
        <v>11560</v>
      </c>
      <c r="S10" s="32">
        <f>+'Net Tuition Summer'!E56-'Summer Credit Hour Allocation'!R10</f>
        <v>987.0000000000291</v>
      </c>
      <c r="T10" s="32">
        <f>SUM(T2:T9)</f>
        <v>12547.000000000029</v>
      </c>
      <c r="U10" s="5"/>
      <c r="V10" s="32">
        <f>SUM(V2:V9)</f>
        <v>11150</v>
      </c>
      <c r="W10" s="32">
        <f>+'Net Tuition Summer'!F56-'Summer Credit Hour Allocation'!V10</f>
        <v>351.00000000005457</v>
      </c>
      <c r="X10" s="32">
        <f>SUM(X2:X9)</f>
        <v>11501.000000000056</v>
      </c>
      <c r="Y10" s="5"/>
      <c r="Z10" s="32">
        <f>SUM(Z2:Z9)</f>
        <v>9960</v>
      </c>
      <c r="AA10" s="32">
        <f>+'Net Tuition Summer'!G56-'Summer Credit Hour Allocation'!Z10</f>
        <v>691.99999999999272</v>
      </c>
      <c r="AB10" s="32">
        <f>SUM(AB2:AB9)</f>
        <v>10651.999999999993</v>
      </c>
      <c r="AC10" s="5"/>
      <c r="AD10" s="32">
        <f>SUM(AD2:AD9)</f>
        <v>8723</v>
      </c>
      <c r="AE10" s="32">
        <f>+'Net Tuition Summer'!H56-'Summer Credit Hour Allocation'!AD10</f>
        <v>903.00000000001091</v>
      </c>
      <c r="AF10" s="32">
        <f>SUM(AF2:AF9)</f>
        <v>9626.0000000000109</v>
      </c>
      <c r="AG10" s="5"/>
      <c r="AH10" s="32">
        <f>SUM(AH2:AH9)</f>
        <v>10518</v>
      </c>
      <c r="AI10" s="32">
        <f>+AH26</f>
        <v>1642</v>
      </c>
      <c r="AJ10" s="32">
        <f>SUM(AJ2:AJ9)</f>
        <v>12160</v>
      </c>
      <c r="AK10" s="5"/>
      <c r="AL10" s="32">
        <f>SUM(AL2:AL9)</f>
        <v>11341</v>
      </c>
      <c r="AM10" s="32">
        <f>+'Net Tuition Summer'!J56-'Summer Credit Hour Allocation'!AL10</f>
        <v>413.99999999988722</v>
      </c>
      <c r="AN10" s="32">
        <f>SUM(AN2:AN9)</f>
        <v>11754.999999999887</v>
      </c>
      <c r="AO10" s="5"/>
      <c r="AP10" s="32">
        <f>SUM(AP2:AP9)</f>
        <v>12006</v>
      </c>
      <c r="AQ10" s="32">
        <f>-AP10+'Net Tuition Summer'!K56</f>
        <v>765.9999999999709</v>
      </c>
      <c r="AR10" s="32">
        <f>SUM(AR2:AR9)</f>
        <v>12771.999999999971</v>
      </c>
      <c r="AT10" s="32">
        <f>SUM(AT2:AT9)</f>
        <v>10255</v>
      </c>
      <c r="AU10" s="32">
        <f>SUM(AU2:AU9)</f>
        <v>756.00000000000205</v>
      </c>
      <c r="AV10" s="32">
        <f>SUM(AV2:AV9)</f>
        <v>11011</v>
      </c>
      <c r="AX10" s="32">
        <f>SUM(AX2:AX9)</f>
        <v>9227</v>
      </c>
      <c r="AY10" s="32">
        <f>SUM(AY2:AY9)</f>
        <v>785</v>
      </c>
      <c r="AZ10" s="32">
        <f>SUM(AZ2:AZ9)</f>
        <v>10012</v>
      </c>
      <c r="BB10" s="32">
        <f>SUM(BB2:BB9)</f>
        <v>9556</v>
      </c>
      <c r="BC10" s="32">
        <f>SUM(BC2:BC9)</f>
        <v>1040</v>
      </c>
      <c r="BD10" s="32">
        <f>SUM(BD2:BD9)</f>
        <v>10596</v>
      </c>
      <c r="BF10" s="32">
        <f>SUM(BF2:BF9)</f>
        <v>9897</v>
      </c>
      <c r="BG10" s="32">
        <f>SUM(BG2:BG9)</f>
        <v>0</v>
      </c>
      <c r="BH10" s="32">
        <f>SUM(BH2:BH9)</f>
        <v>9897</v>
      </c>
    </row>
    <row r="11" spans="1:6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T11" s="5"/>
      <c r="AU11" s="5"/>
      <c r="AV11" s="5"/>
      <c r="AX11" s="5"/>
      <c r="AY11" s="5"/>
      <c r="AZ11" s="5"/>
      <c r="BB11" s="5"/>
      <c r="BC11" s="5"/>
      <c r="BD11" s="5"/>
      <c r="BF11" s="5"/>
      <c r="BG11" s="5"/>
      <c r="BH11" s="5"/>
    </row>
    <row r="12" spans="1:60" x14ac:dyDescent="0.25">
      <c r="A12" s="5" t="s">
        <v>91</v>
      </c>
      <c r="B12" s="5">
        <f>+'State SCH'!C37</f>
        <v>242</v>
      </c>
      <c r="C12" s="5"/>
      <c r="D12" s="5">
        <f>SUM(B12:C12)</f>
        <v>242</v>
      </c>
      <c r="E12" s="5"/>
      <c r="F12" s="5">
        <f>+'State SCH'!D37</f>
        <v>646</v>
      </c>
      <c r="G12" s="5">
        <f>+'Net Tuition Summer'!B57-'Summer Credit Hour Allocation'!F12</f>
        <v>2753</v>
      </c>
      <c r="H12" s="5">
        <f>SUM(F12:G12)</f>
        <v>3399</v>
      </c>
      <c r="I12" s="5"/>
      <c r="J12" s="5">
        <f>+'State SCH'!E37</f>
        <v>704</v>
      </c>
      <c r="K12" s="5">
        <f>+'Net Tuition Summer'!C57-'Summer Credit Hour Allocation'!J12</f>
        <v>1689</v>
      </c>
      <c r="L12" s="5">
        <f>SUM(J12:K12)</f>
        <v>2393</v>
      </c>
      <c r="M12" s="5"/>
      <c r="N12" s="5">
        <f>+'State SCH'!F37</f>
        <v>303</v>
      </c>
      <c r="O12" s="5">
        <f>+'Net Tuition Summer'!D57-'Summer Credit Hour Allocation'!N12</f>
        <v>1620</v>
      </c>
      <c r="P12" s="5">
        <f>SUM(N12:O12)</f>
        <v>1923</v>
      </c>
      <c r="Q12" s="5"/>
      <c r="R12" s="5">
        <f>+'State SCH'!G37</f>
        <v>1957</v>
      </c>
      <c r="S12" s="5">
        <f>+'Net Tuition Summer'!E57-'Summer Credit Hour Allocation'!R12</f>
        <v>-363.99999999999659</v>
      </c>
      <c r="T12" s="5">
        <f>SUM(R12:S12)</f>
        <v>1593.0000000000034</v>
      </c>
      <c r="U12" s="5"/>
      <c r="V12" s="5">
        <f>+'State SCH'!H37</f>
        <v>1011</v>
      </c>
      <c r="W12" s="5">
        <f>+'Net Tuition Summer'!F57-'Summer Credit Hour Allocation'!V12</f>
        <v>187.00000000000068</v>
      </c>
      <c r="X12" s="5">
        <f>SUM(V12:W12)</f>
        <v>1198.0000000000007</v>
      </c>
      <c r="Y12" s="5"/>
      <c r="Z12" s="5">
        <f>+'State SCH'!I37</f>
        <v>1125</v>
      </c>
      <c r="AA12" s="5">
        <f>+'Net Tuition Summer'!G57-'Summer Credit Hour Allocation'!Z12</f>
        <v>25.000000000002501</v>
      </c>
      <c r="AB12" s="5">
        <f>SUM(Z12:AA12)</f>
        <v>1150.0000000000025</v>
      </c>
      <c r="AC12" s="5"/>
      <c r="AD12" s="5">
        <f>+'State SCH'!J37</f>
        <v>862</v>
      </c>
      <c r="AE12" s="5">
        <f>+'Net Tuition Summer'!H57-'Summer Credit Hour Allocation'!AD12</f>
        <v>126.00000000000057</v>
      </c>
      <c r="AF12" s="5">
        <f>SUM(AD12:AE12)</f>
        <v>988.00000000000057</v>
      </c>
      <c r="AG12" s="5"/>
      <c r="AH12" s="5">
        <f>+'State SCH'!K37</f>
        <v>1412</v>
      </c>
      <c r="AI12" s="5">
        <f>+'Net Tuition Summer'!I57-'Summer Credit Hour Allocation'!AH12</f>
        <v>9.0000000000029559</v>
      </c>
      <c r="AJ12" s="5">
        <f>SUM(AH12:AI12)</f>
        <v>1421.000000000003</v>
      </c>
      <c r="AK12" s="5"/>
      <c r="AL12" s="5">
        <f>+'State SCH'!L37</f>
        <v>1333</v>
      </c>
      <c r="AM12" s="5">
        <f>+'Net Tuition Summer'!J57-'Summer Credit Hour Allocation'!AL12</f>
        <v>271.99999999999909</v>
      </c>
      <c r="AN12" s="5">
        <f>SUM(AL12:AM12)</f>
        <v>1604.9999999999991</v>
      </c>
      <c r="AO12" s="5"/>
      <c r="AP12" s="5">
        <f>+'State SCH'!M37</f>
        <v>1264</v>
      </c>
      <c r="AQ12" s="5">
        <f>-AP12+'Net Tuition Summer'!K57</f>
        <v>210.00000000000409</v>
      </c>
      <c r="AR12" s="5">
        <f>SUM(AP12:AQ12)</f>
        <v>1474.0000000000041</v>
      </c>
      <c r="AT12" s="5">
        <f>+'State SCH'!N37</f>
        <v>1461</v>
      </c>
      <c r="AU12" s="5">
        <f>-AT12+'Net Tuition Summer'!L57</f>
        <v>79.000000000002046</v>
      </c>
      <c r="AV12" s="5">
        <f>SUM(AT12:AU12)</f>
        <v>1540.000000000002</v>
      </c>
      <c r="AX12" s="5">
        <f>+'State SCH'!O37</f>
        <v>1450</v>
      </c>
      <c r="AY12" s="5">
        <f>-AX12+'Net Tuition Summer'!M57</f>
        <v>54</v>
      </c>
      <c r="AZ12" s="5">
        <f>SUM(AX12:AY12)</f>
        <v>1504</v>
      </c>
      <c r="BB12" s="5">
        <f>+'State SCH'!P37</f>
        <v>2176</v>
      </c>
      <c r="BC12" s="5">
        <f>-BB12+'Net Tuition Summer'!N57</f>
        <v>-232.00000000000045</v>
      </c>
      <c r="BD12" s="5">
        <f>SUM(BB12:BC12)</f>
        <v>1943.9999999999995</v>
      </c>
      <c r="BF12" s="5">
        <v>2000</v>
      </c>
      <c r="BG12" s="5"/>
      <c r="BH12" s="5">
        <f>SUM(BF12:BG12)</f>
        <v>2000</v>
      </c>
    </row>
    <row r="13" spans="1:6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T13" s="5"/>
      <c r="AU13" s="5"/>
      <c r="AV13" s="5"/>
      <c r="AX13" s="5"/>
      <c r="AY13" s="5"/>
      <c r="AZ13" s="5"/>
      <c r="BB13" s="5"/>
      <c r="BC13" s="5"/>
      <c r="BD13" s="5"/>
      <c r="BF13" s="5"/>
      <c r="BG13" s="5"/>
      <c r="BH13" s="5"/>
    </row>
    <row r="14" spans="1:60" x14ac:dyDescent="0.25">
      <c r="A14" s="5" t="s">
        <v>2811</v>
      </c>
      <c r="B14" s="32">
        <f>SUM(B10:B13)</f>
        <v>4575</v>
      </c>
      <c r="C14" s="32">
        <f>+C12+C10</f>
        <v>15666.000000000004</v>
      </c>
      <c r="D14" s="32">
        <f>+D12+D10</f>
        <v>20241</v>
      </c>
      <c r="E14" s="5"/>
      <c r="F14" s="32">
        <f>SUM(F10:F13)</f>
        <v>4613</v>
      </c>
      <c r="G14" s="32">
        <f>+G12+G10</f>
        <v>16106</v>
      </c>
      <c r="H14" s="32">
        <f>+H12+H10</f>
        <v>20719</v>
      </c>
      <c r="I14" s="5"/>
      <c r="J14" s="32">
        <f>SUM(J10:J13)</f>
        <v>3773</v>
      </c>
      <c r="K14" s="32">
        <f>+K12+K10</f>
        <v>13269</v>
      </c>
      <c r="L14" s="32">
        <f>+L12+L10</f>
        <v>17042</v>
      </c>
      <c r="M14" s="5"/>
      <c r="N14" s="32">
        <f>SUM(N10:N13)</f>
        <v>1582</v>
      </c>
      <c r="O14" s="32">
        <f>+O12+O10</f>
        <v>13969</v>
      </c>
      <c r="P14" s="32">
        <f>+P12+P10</f>
        <v>15551</v>
      </c>
      <c r="Q14" s="5"/>
      <c r="R14" s="32">
        <f>SUM(R10:R13)</f>
        <v>13517</v>
      </c>
      <c r="S14" s="32">
        <f>+S12+S10</f>
        <v>623.00000000003251</v>
      </c>
      <c r="T14" s="32">
        <f>+T12+T10</f>
        <v>14140.000000000033</v>
      </c>
      <c r="U14" s="5"/>
      <c r="V14" s="32">
        <f>SUM(V10:V13)</f>
        <v>12161</v>
      </c>
      <c r="W14" s="32">
        <f>+W12+W10</f>
        <v>538.00000000005525</v>
      </c>
      <c r="X14" s="32">
        <f>+X12+X10</f>
        <v>12699.000000000056</v>
      </c>
      <c r="Y14" s="5"/>
      <c r="Z14" s="32">
        <f>SUM(Z10:Z13)</f>
        <v>11085</v>
      </c>
      <c r="AA14" s="32">
        <f>+AA12+AA10</f>
        <v>716.99999999999523</v>
      </c>
      <c r="AB14" s="32">
        <f>+AB12+AB10</f>
        <v>11801.999999999995</v>
      </c>
      <c r="AC14" s="5"/>
      <c r="AD14" s="32">
        <f>SUM(AD10:AD13)</f>
        <v>9585</v>
      </c>
      <c r="AE14" s="32">
        <f>+AE12+AE10</f>
        <v>1029.0000000000114</v>
      </c>
      <c r="AF14" s="32">
        <f>+AF12+AF10</f>
        <v>10614.000000000011</v>
      </c>
      <c r="AG14" s="5"/>
      <c r="AH14" s="32">
        <f>SUM(AH10:AH13)</f>
        <v>11930</v>
      </c>
      <c r="AI14" s="32">
        <f>+AI12+AI10</f>
        <v>1651.000000000003</v>
      </c>
      <c r="AJ14" s="32">
        <f>+AJ12+AJ10</f>
        <v>13581.000000000004</v>
      </c>
      <c r="AK14" s="5"/>
      <c r="AL14" s="32">
        <f>SUM(AL10:AL13)</f>
        <v>12674</v>
      </c>
      <c r="AM14" s="32">
        <f>+AM12+AM10</f>
        <v>685.99999999988631</v>
      </c>
      <c r="AN14" s="32">
        <f>+AN12+AN10</f>
        <v>13359.999999999887</v>
      </c>
      <c r="AO14" s="5"/>
      <c r="AP14" s="32">
        <f>SUM(AP10:AP13)</f>
        <v>13270</v>
      </c>
      <c r="AQ14" s="32">
        <f>+AQ12+AQ10</f>
        <v>975.99999999997499</v>
      </c>
      <c r="AR14" s="32">
        <f>+AR12+AR10</f>
        <v>14245.999999999975</v>
      </c>
      <c r="AT14" s="32">
        <f>SUM(AT10:AT13)</f>
        <v>11716</v>
      </c>
      <c r="AU14" s="32">
        <f>+AU12+AU10</f>
        <v>835.00000000000409</v>
      </c>
      <c r="AV14" s="32">
        <f>+AV12+AV10</f>
        <v>12551.000000000002</v>
      </c>
      <c r="AX14" s="32">
        <f>SUM(AX10:AX13)</f>
        <v>10677</v>
      </c>
      <c r="AY14" s="32">
        <f>+AY12+AY10</f>
        <v>839</v>
      </c>
      <c r="AZ14" s="32">
        <f>+AZ12+AZ10</f>
        <v>11516</v>
      </c>
      <c r="BB14" s="32">
        <f>SUM(BB10:BB13)</f>
        <v>11732</v>
      </c>
      <c r="BC14" s="32">
        <f>+BC12+BC10</f>
        <v>807.99999999999955</v>
      </c>
      <c r="BD14" s="32">
        <f>+BD12+BD10</f>
        <v>12540</v>
      </c>
      <c r="BF14" s="32">
        <f>SUM(BF10:BF13)</f>
        <v>11897</v>
      </c>
      <c r="BG14" s="32">
        <f>+BG12+BG10</f>
        <v>0</v>
      </c>
      <c r="BH14" s="32">
        <f>+BH12+BH10</f>
        <v>11897</v>
      </c>
    </row>
    <row r="15" spans="1:6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T15" s="5"/>
      <c r="AU15" s="5"/>
      <c r="AV15" s="5"/>
      <c r="AX15" s="5"/>
      <c r="AY15" s="5"/>
      <c r="AZ15" s="5"/>
      <c r="BB15" s="5"/>
      <c r="BC15" s="5"/>
      <c r="BD15" s="5"/>
      <c r="BF15" s="5"/>
      <c r="BG15" s="5"/>
      <c r="BH15" s="5"/>
    </row>
    <row r="16" spans="1:60" s="1" customFormat="1" x14ac:dyDescent="0.25">
      <c r="A16" s="5" t="s">
        <v>2812</v>
      </c>
      <c r="C16" s="5"/>
      <c r="D16" s="5"/>
      <c r="E16" s="5"/>
      <c r="G16" s="5"/>
      <c r="H16" s="5"/>
      <c r="I16" s="5"/>
      <c r="K16" s="5"/>
      <c r="L16" s="5"/>
      <c r="M16" s="5"/>
      <c r="O16" s="5"/>
      <c r="P16" s="5"/>
      <c r="Q16" s="5"/>
      <c r="S16" s="5"/>
      <c r="T16" s="5"/>
      <c r="U16" s="5"/>
      <c r="W16" s="5"/>
      <c r="X16" s="5"/>
      <c r="Y16" s="5"/>
      <c r="AA16" s="5"/>
      <c r="AB16" s="5"/>
      <c r="AC16" s="5"/>
      <c r="AE16" s="5"/>
      <c r="AF16" s="5"/>
      <c r="AG16" s="5"/>
      <c r="AI16" s="5"/>
      <c r="AJ16" s="5"/>
      <c r="AK16" s="5"/>
      <c r="AM16" s="5"/>
      <c r="AN16" s="5"/>
      <c r="AO16" s="5"/>
      <c r="AQ16" s="5"/>
      <c r="AR16" s="5"/>
      <c r="AU16" s="5"/>
      <c r="AV16" s="5"/>
      <c r="AY16" s="5"/>
      <c r="AZ16" s="5"/>
      <c r="BC16" s="5"/>
      <c r="BD16" s="5"/>
      <c r="BG16" s="5"/>
      <c r="BH16" s="5"/>
    </row>
    <row r="17" spans="1:60" s="1" customFormat="1" x14ac:dyDescent="0.25">
      <c r="A17" s="5" t="s">
        <v>2813</v>
      </c>
      <c r="B17" s="1">
        <f>+'State SCH'!C40</f>
        <v>0</v>
      </c>
      <c r="C17" s="5"/>
      <c r="D17" s="5"/>
      <c r="E17" s="5"/>
      <c r="F17" s="1">
        <f>+'State SCH'!D40</f>
        <v>0</v>
      </c>
      <c r="G17" s="5"/>
      <c r="H17" s="5"/>
      <c r="I17" s="5"/>
      <c r="J17" s="1">
        <f>+'State SCH'!E40</f>
        <v>0</v>
      </c>
      <c r="K17" s="5"/>
      <c r="L17" s="5"/>
      <c r="M17" s="5"/>
      <c r="N17" s="1">
        <f>+'State SCH'!F40</f>
        <v>0</v>
      </c>
      <c r="O17" s="5"/>
      <c r="P17" s="5"/>
      <c r="Q17" s="5"/>
      <c r="R17" s="1">
        <f>+'State SCH'!G40</f>
        <v>0</v>
      </c>
      <c r="S17" s="5"/>
      <c r="T17" s="5"/>
      <c r="U17" s="5"/>
      <c r="V17" s="1">
        <f>+'State SCH'!H40</f>
        <v>0</v>
      </c>
      <c r="W17" s="5"/>
      <c r="X17" s="5"/>
      <c r="Y17" s="5"/>
      <c r="Z17" s="1">
        <f>+'State SCH'!I40</f>
        <v>0</v>
      </c>
      <c r="AA17" s="5"/>
      <c r="AB17" s="5"/>
      <c r="AC17" s="5"/>
      <c r="AD17" s="1">
        <f>+'State SCH'!J40</f>
        <v>0</v>
      </c>
      <c r="AE17" s="5"/>
      <c r="AF17" s="5"/>
      <c r="AG17" s="5"/>
      <c r="AH17" s="1">
        <f>+'State SCH'!K40</f>
        <v>0</v>
      </c>
      <c r="AI17" s="5"/>
      <c r="AJ17" s="5"/>
      <c r="AK17" s="5"/>
      <c r="AL17" s="1">
        <f>+'State SCH'!L40</f>
        <v>0</v>
      </c>
      <c r="AM17" s="5"/>
      <c r="AN17" s="5"/>
      <c r="AO17" s="5"/>
      <c r="AP17" s="1">
        <f>+'State SCH'!M40</f>
        <v>0</v>
      </c>
      <c r="AQ17" s="5"/>
      <c r="AR17" s="5"/>
      <c r="AT17" s="1">
        <f>+'State SCH'!N40</f>
        <v>0</v>
      </c>
      <c r="AU17" s="5"/>
      <c r="AV17" s="5"/>
      <c r="AX17" s="1">
        <f>+'State SCH'!O40</f>
        <v>0</v>
      </c>
      <c r="AY17" s="5"/>
      <c r="AZ17" s="5"/>
      <c r="BB17" s="1">
        <f>+'State SCH'!P40</f>
        <v>0</v>
      </c>
      <c r="BC17" s="5"/>
      <c r="BD17" s="5"/>
      <c r="BG17" s="5"/>
      <c r="BH17" s="5"/>
    </row>
    <row r="18" spans="1:60" s="1" customFormat="1" x14ac:dyDescent="0.25">
      <c r="A18" s="5" t="s">
        <v>144</v>
      </c>
      <c r="B18" s="1">
        <f>+'State SCH'!C41</f>
        <v>29</v>
      </c>
      <c r="C18" s="5"/>
      <c r="D18" s="5"/>
      <c r="E18" s="5"/>
      <c r="F18" s="1">
        <f>+'State SCH'!D41</f>
        <v>94</v>
      </c>
      <c r="G18" s="5"/>
      <c r="H18" s="5"/>
      <c r="I18" s="5"/>
      <c r="J18" s="1">
        <f>+'State SCH'!E41</f>
        <v>4</v>
      </c>
      <c r="K18" s="5"/>
      <c r="L18" s="5"/>
      <c r="M18" s="5"/>
      <c r="N18" s="1">
        <f>+'State SCH'!F41</f>
        <v>5</v>
      </c>
      <c r="O18" s="5"/>
      <c r="P18" s="5"/>
      <c r="Q18" s="5"/>
      <c r="R18" s="1">
        <f>+'State SCH'!G41</f>
        <v>0</v>
      </c>
      <c r="S18" s="5"/>
      <c r="T18" s="5"/>
      <c r="U18" s="5"/>
      <c r="V18" s="1">
        <f>+'State SCH'!H41</f>
        <v>0</v>
      </c>
      <c r="W18" s="5"/>
      <c r="X18" s="5"/>
      <c r="Y18" s="5"/>
      <c r="Z18" s="1">
        <f>+'State SCH'!I41</f>
        <v>0</v>
      </c>
      <c r="AA18" s="5"/>
      <c r="AB18" s="5"/>
      <c r="AC18" s="5"/>
      <c r="AD18" s="1">
        <f>+'State SCH'!J41</f>
        <v>0</v>
      </c>
      <c r="AE18" s="5"/>
      <c r="AF18" s="5"/>
      <c r="AG18" s="5"/>
      <c r="AH18" s="1">
        <f>+'State SCH'!K41</f>
        <v>0</v>
      </c>
      <c r="AI18" s="5"/>
      <c r="AJ18" s="5"/>
      <c r="AK18" s="5"/>
      <c r="AL18" s="1">
        <f>+'State SCH'!L41</f>
        <v>0</v>
      </c>
      <c r="AM18" s="5"/>
      <c r="AN18" s="5"/>
      <c r="AO18" s="5"/>
      <c r="AP18" s="1">
        <f>+'State SCH'!M41</f>
        <v>0</v>
      </c>
      <c r="AQ18" s="5"/>
      <c r="AR18" s="5"/>
      <c r="AT18" s="1">
        <f>+'State SCH'!N41</f>
        <v>0</v>
      </c>
      <c r="AU18" s="5"/>
      <c r="AV18" s="5"/>
      <c r="AX18" s="1">
        <f>+'State SCH'!O41</f>
        <v>0</v>
      </c>
      <c r="AY18" s="5"/>
      <c r="AZ18" s="5"/>
      <c r="BB18" s="1">
        <f>+'State SCH'!P41</f>
        <v>0</v>
      </c>
      <c r="BC18" s="5"/>
      <c r="BD18" s="5"/>
      <c r="BG18" s="5"/>
      <c r="BH18" s="5"/>
    </row>
    <row r="19" spans="1:60" s="1" customFormat="1" x14ac:dyDescent="0.25">
      <c r="A19" s="5" t="s">
        <v>147</v>
      </c>
      <c r="B19" s="1">
        <f>+'State SCH'!C42</f>
        <v>0</v>
      </c>
      <c r="C19" s="5"/>
      <c r="D19" s="5"/>
      <c r="E19" s="5"/>
      <c r="F19" s="1">
        <f>+'State SCH'!D42</f>
        <v>24</v>
      </c>
      <c r="G19" s="5"/>
      <c r="H19" s="5"/>
      <c r="I19" s="5"/>
      <c r="J19" s="1">
        <f>+'State SCH'!E42</f>
        <v>0</v>
      </c>
      <c r="K19" s="5"/>
      <c r="L19" s="5"/>
      <c r="M19" s="5"/>
      <c r="N19" s="1">
        <f>+'State SCH'!F42</f>
        <v>0</v>
      </c>
      <c r="O19" s="5"/>
      <c r="P19" s="5"/>
      <c r="Q19" s="5"/>
      <c r="R19" s="1">
        <f>+'State SCH'!G42</f>
        <v>0</v>
      </c>
      <c r="S19" s="5"/>
      <c r="T19" s="5"/>
      <c r="U19" s="5"/>
      <c r="V19" s="1">
        <f>+'State SCH'!H42</f>
        <v>0</v>
      </c>
      <c r="W19" s="5"/>
      <c r="X19" s="5"/>
      <c r="Y19" s="5"/>
      <c r="Z19" s="1">
        <f>+'State SCH'!I42</f>
        <v>0</v>
      </c>
      <c r="AA19" s="5"/>
      <c r="AB19" s="5"/>
      <c r="AC19" s="5"/>
      <c r="AD19" s="1">
        <f>+'State SCH'!J42</f>
        <v>0</v>
      </c>
      <c r="AE19" s="5"/>
      <c r="AF19" s="5"/>
      <c r="AG19" s="5"/>
      <c r="AH19" s="1">
        <f>+'State SCH'!K42</f>
        <v>0</v>
      </c>
      <c r="AI19" s="5"/>
      <c r="AJ19" s="5"/>
      <c r="AK19" s="5"/>
      <c r="AL19" s="1">
        <f>+'State SCH'!L42</f>
        <v>0</v>
      </c>
      <c r="AM19" s="5"/>
      <c r="AN19" s="5"/>
      <c r="AO19" s="5"/>
      <c r="AP19" s="1">
        <f>+'State SCH'!M42</f>
        <v>0</v>
      </c>
      <c r="AQ19" s="5"/>
      <c r="AR19" s="5"/>
      <c r="AT19" s="1">
        <f>+'State SCH'!N42</f>
        <v>0</v>
      </c>
      <c r="AU19" s="5"/>
      <c r="AV19" s="5"/>
      <c r="AX19" s="1">
        <f>+'State SCH'!O42</f>
        <v>0</v>
      </c>
      <c r="AY19" s="5"/>
      <c r="AZ19" s="5"/>
      <c r="BB19" s="1">
        <f>+'State SCH'!P42</f>
        <v>0</v>
      </c>
      <c r="BC19" s="5"/>
      <c r="BD19" s="5"/>
      <c r="BG19" s="5"/>
      <c r="BH19" s="5"/>
    </row>
    <row r="20" spans="1:60" s="1" customFormat="1" x14ac:dyDescent="0.25">
      <c r="A20" s="5" t="s">
        <v>2814</v>
      </c>
      <c r="B20" s="1">
        <f>+'State SCH'!C43</f>
        <v>0</v>
      </c>
      <c r="C20" s="5"/>
      <c r="D20" s="5"/>
      <c r="E20" s="5"/>
      <c r="F20" s="1">
        <f>+'State SCH'!D43</f>
        <v>0</v>
      </c>
      <c r="G20" s="5"/>
      <c r="H20" s="5"/>
      <c r="I20" s="5"/>
      <c r="J20" s="1">
        <f>+'State SCH'!E43</f>
        <v>0</v>
      </c>
      <c r="K20" s="5"/>
      <c r="L20" s="5"/>
      <c r="M20" s="5"/>
      <c r="N20" s="1">
        <f>+'State SCH'!F43</f>
        <v>0</v>
      </c>
      <c r="O20" s="5"/>
      <c r="P20" s="5"/>
      <c r="Q20" s="5"/>
      <c r="R20" s="1">
        <f>+'State SCH'!G43</f>
        <v>19</v>
      </c>
      <c r="S20" s="5"/>
      <c r="T20" s="5"/>
      <c r="U20" s="5"/>
      <c r="V20" s="1">
        <f>+'State SCH'!H43</f>
        <v>49</v>
      </c>
      <c r="W20" s="5"/>
      <c r="X20" s="5"/>
      <c r="Y20" s="5"/>
      <c r="Z20" s="1">
        <f>+'State SCH'!I43</f>
        <v>0</v>
      </c>
      <c r="AA20" s="5"/>
      <c r="AB20" s="5"/>
      <c r="AC20" s="5"/>
      <c r="AD20" s="1">
        <f>+'State SCH'!J43</f>
        <v>220</v>
      </c>
      <c r="AE20" s="5"/>
      <c r="AF20" s="5"/>
      <c r="AG20" s="5"/>
      <c r="AH20" s="1">
        <f>+'State SCH'!K43</f>
        <v>3</v>
      </c>
      <c r="AI20" s="5"/>
      <c r="AJ20" s="5"/>
      <c r="AK20" s="5"/>
      <c r="AL20" s="1">
        <f>+'State SCH'!L43</f>
        <v>0</v>
      </c>
      <c r="AM20" s="5"/>
      <c r="AN20" s="5"/>
      <c r="AO20" s="5"/>
      <c r="AP20" s="1">
        <f>+'State SCH'!M43</f>
        <v>3</v>
      </c>
      <c r="AQ20" s="5"/>
      <c r="AR20" s="5"/>
      <c r="AT20" s="1">
        <f>+'State SCH'!N43</f>
        <v>0</v>
      </c>
      <c r="AU20" s="5"/>
      <c r="AV20" s="5"/>
      <c r="AX20" s="1">
        <f>+'State SCH'!O43</f>
        <v>0</v>
      </c>
      <c r="AY20" s="5"/>
      <c r="AZ20" s="5"/>
      <c r="BB20" s="1">
        <f>+'State SCH'!P43</f>
        <v>0</v>
      </c>
      <c r="BC20" s="5"/>
      <c r="BD20" s="5"/>
      <c r="BG20" s="5"/>
      <c r="BH20" s="5"/>
    </row>
    <row r="21" spans="1:60" s="1" customFormat="1" x14ac:dyDescent="0.25">
      <c r="A21" s="5" t="s">
        <v>2815</v>
      </c>
      <c r="B21" s="1">
        <f>+'State SCH'!C44</f>
        <v>15603</v>
      </c>
      <c r="C21" s="5"/>
      <c r="D21" s="5"/>
      <c r="E21" s="5"/>
      <c r="F21" s="1">
        <f>+'State SCH'!D44</f>
        <v>14893</v>
      </c>
      <c r="G21" s="5"/>
      <c r="H21" s="5"/>
      <c r="I21" s="5"/>
      <c r="J21" s="1">
        <f>+'State SCH'!E44</f>
        <v>12836</v>
      </c>
      <c r="K21" s="5"/>
      <c r="L21" s="5"/>
      <c r="M21" s="5"/>
      <c r="N21" s="1">
        <f>+'State SCH'!F44</f>
        <v>170</v>
      </c>
      <c r="O21" s="5"/>
      <c r="P21" s="5"/>
      <c r="Q21" s="5"/>
      <c r="R21" s="1">
        <f>+'State SCH'!G44</f>
        <v>229</v>
      </c>
      <c r="S21" s="5"/>
      <c r="T21" s="5"/>
      <c r="U21" s="5"/>
      <c r="V21" s="1">
        <f>+'State SCH'!H44</f>
        <v>134</v>
      </c>
      <c r="W21" s="5"/>
      <c r="X21" s="5"/>
      <c r="Y21" s="5"/>
      <c r="Z21" s="1">
        <f>+'State SCH'!I44</f>
        <v>72</v>
      </c>
      <c r="AA21" s="5"/>
      <c r="AB21" s="5"/>
      <c r="AC21" s="5"/>
      <c r="AD21" s="1">
        <f>+'State SCH'!J44</f>
        <v>307</v>
      </c>
      <c r="AE21" s="5"/>
      <c r="AF21" s="5"/>
      <c r="AG21" s="5"/>
      <c r="AH21" s="1">
        <f>+'State SCH'!K44</f>
        <v>542</v>
      </c>
      <c r="AI21" s="5"/>
      <c r="AJ21" s="5"/>
      <c r="AK21" s="5"/>
      <c r="AL21" s="1">
        <f>+'State SCH'!L44</f>
        <v>339</v>
      </c>
      <c r="AM21" s="5"/>
      <c r="AN21" s="5"/>
      <c r="AO21" s="5"/>
      <c r="AP21" s="1">
        <f>+'State SCH'!M44</f>
        <v>463</v>
      </c>
      <c r="AQ21" s="5"/>
      <c r="AR21" s="5"/>
      <c r="AT21" s="1">
        <f>+'State SCH'!N44</f>
        <v>432</v>
      </c>
      <c r="AU21" s="5"/>
      <c r="AV21" s="5"/>
      <c r="AX21" s="1">
        <f>+'State SCH'!O44</f>
        <v>170</v>
      </c>
      <c r="AY21" s="5"/>
      <c r="AZ21" s="5"/>
      <c r="BB21" s="1">
        <f>+'State SCH'!P44</f>
        <v>233</v>
      </c>
      <c r="BC21" s="5"/>
      <c r="BD21" s="5"/>
      <c r="BG21" s="5"/>
      <c r="BH21" s="5"/>
    </row>
    <row r="22" spans="1:60" s="1" customFormat="1" x14ac:dyDescent="0.25">
      <c r="A22" s="5" t="s">
        <v>2816</v>
      </c>
      <c r="B22" s="1">
        <f>+'State SCH'!C45</f>
        <v>34</v>
      </c>
      <c r="C22" s="5"/>
      <c r="D22" s="5"/>
      <c r="E22" s="5"/>
      <c r="F22" s="1">
        <f>+'State SCH'!D45</f>
        <v>2</v>
      </c>
      <c r="G22" s="5"/>
      <c r="H22" s="5"/>
      <c r="I22" s="5"/>
      <c r="J22" s="1">
        <f>+'State SCH'!E45</f>
        <v>10</v>
      </c>
      <c r="K22" s="5"/>
      <c r="L22" s="5"/>
      <c r="M22" s="5"/>
      <c r="N22" s="1">
        <f>+'State SCH'!F45</f>
        <v>1</v>
      </c>
      <c r="O22" s="5"/>
      <c r="P22" s="5"/>
      <c r="Q22" s="5"/>
      <c r="R22" s="1">
        <f>+'State SCH'!G45</f>
        <v>21</v>
      </c>
      <c r="S22" s="5"/>
      <c r="T22" s="5"/>
      <c r="U22" s="5"/>
      <c r="V22" s="1">
        <f>+'State SCH'!H45</f>
        <v>30</v>
      </c>
      <c r="W22" s="5"/>
      <c r="X22" s="5"/>
      <c r="Y22" s="5"/>
      <c r="Z22" s="1">
        <f>+'State SCH'!I45</f>
        <v>50</v>
      </c>
      <c r="AA22" s="5"/>
      <c r="AB22" s="5"/>
      <c r="AC22" s="5"/>
      <c r="AD22" s="1">
        <f>+'State SCH'!J45</f>
        <v>60</v>
      </c>
      <c r="AE22" s="5"/>
      <c r="AF22" s="5"/>
      <c r="AG22" s="5"/>
      <c r="AH22" s="1">
        <f>+'State SCH'!K45</f>
        <v>208</v>
      </c>
      <c r="AI22" s="5"/>
      <c r="AJ22" s="5"/>
      <c r="AK22" s="5"/>
      <c r="AL22" s="1">
        <f>+'State SCH'!L45</f>
        <v>60</v>
      </c>
      <c r="AM22" s="5"/>
      <c r="AN22" s="5"/>
      <c r="AO22" s="5"/>
      <c r="AP22" s="1">
        <f>+'State SCH'!M45</f>
        <v>25</v>
      </c>
      <c r="AQ22" s="5"/>
      <c r="AR22" s="5"/>
      <c r="AT22" s="1">
        <f>+'State SCH'!N45</f>
        <v>23</v>
      </c>
      <c r="AU22" s="5"/>
      <c r="AV22" s="5"/>
      <c r="AX22" s="1">
        <f>+'State SCH'!O45</f>
        <v>166</v>
      </c>
      <c r="AY22" s="5"/>
      <c r="AZ22" s="5"/>
      <c r="BB22" s="1">
        <f>+'State SCH'!P45</f>
        <v>85</v>
      </c>
      <c r="BC22" s="5"/>
      <c r="BD22" s="5"/>
      <c r="BG22" s="5"/>
      <c r="BH22" s="5"/>
    </row>
    <row r="23" spans="1:60" s="1" customFormat="1" x14ac:dyDescent="0.25">
      <c r="A23" s="5" t="s">
        <v>156</v>
      </c>
      <c r="B23" s="1">
        <f>+'State SCH'!C46</f>
        <v>0</v>
      </c>
      <c r="C23" s="5"/>
      <c r="D23" s="5"/>
      <c r="E23" s="5"/>
      <c r="F23" s="1">
        <f>+'State SCH'!D46</f>
        <v>0</v>
      </c>
      <c r="G23" s="5"/>
      <c r="H23" s="5"/>
      <c r="I23" s="5"/>
      <c r="J23" s="1">
        <f>+'State SCH'!E46</f>
        <v>0</v>
      </c>
      <c r="K23" s="5"/>
      <c r="L23" s="5"/>
      <c r="M23" s="5"/>
      <c r="N23" s="1">
        <f>+'State SCH'!F46</f>
        <v>13701</v>
      </c>
      <c r="O23" s="5"/>
      <c r="P23" s="5"/>
      <c r="Q23" s="5"/>
      <c r="R23" s="1">
        <f>+'State SCH'!G46</f>
        <v>173</v>
      </c>
      <c r="S23" s="5"/>
      <c r="T23" s="5"/>
      <c r="U23" s="5"/>
      <c r="V23" s="1">
        <f>+'State SCH'!H46</f>
        <v>115</v>
      </c>
      <c r="W23" s="5"/>
      <c r="X23" s="5"/>
      <c r="Y23" s="5"/>
      <c r="Z23" s="1">
        <f>+'State SCH'!I46</f>
        <v>13</v>
      </c>
      <c r="AA23" s="5"/>
      <c r="AB23" s="5"/>
      <c r="AC23" s="5"/>
      <c r="AD23" s="1">
        <f>+'State SCH'!J46</f>
        <v>125</v>
      </c>
      <c r="AE23" s="5"/>
      <c r="AF23" s="5"/>
      <c r="AG23" s="5"/>
      <c r="AH23" s="1">
        <f>+'State SCH'!K46</f>
        <v>269</v>
      </c>
      <c r="AI23" s="5"/>
      <c r="AJ23" s="5"/>
      <c r="AK23" s="5"/>
      <c r="AL23" s="1">
        <f>+'State SCH'!L46</f>
        <v>70</v>
      </c>
      <c r="AM23" s="5"/>
      <c r="AN23" s="5"/>
      <c r="AO23" s="5"/>
      <c r="AP23" s="1">
        <f>+'State SCH'!M46</f>
        <v>164</v>
      </c>
      <c r="AQ23" s="5"/>
      <c r="AR23" s="5"/>
      <c r="AT23" s="1">
        <f>+'State SCH'!N46</f>
        <v>176</v>
      </c>
      <c r="AU23" s="5"/>
      <c r="AV23" s="5"/>
      <c r="AX23" s="1">
        <f>+'State SCH'!O46</f>
        <v>282</v>
      </c>
      <c r="AY23" s="5"/>
      <c r="AZ23" s="5"/>
      <c r="BB23" s="1">
        <f>+'State SCH'!P46</f>
        <v>246</v>
      </c>
      <c r="BC23" s="5"/>
      <c r="BD23" s="5"/>
      <c r="BG23" s="5"/>
      <c r="BH23" s="5"/>
    </row>
    <row r="24" spans="1:60" s="1" customFormat="1" x14ac:dyDescent="0.25">
      <c r="A24" s="5" t="s">
        <v>2853</v>
      </c>
      <c r="C24" s="5"/>
      <c r="D24" s="5"/>
      <c r="E24" s="5"/>
      <c r="G24" s="5"/>
      <c r="H24" s="5"/>
      <c r="I24" s="5"/>
      <c r="K24" s="5"/>
      <c r="L24" s="5"/>
      <c r="M24" s="5"/>
      <c r="O24" s="5"/>
      <c r="P24" s="5"/>
      <c r="Q24" s="5"/>
      <c r="S24" s="5"/>
      <c r="T24" s="5"/>
      <c r="U24" s="5"/>
      <c r="W24" s="5"/>
      <c r="X24" s="5"/>
      <c r="Y24" s="5"/>
      <c r="AA24" s="5"/>
      <c r="AB24" s="5"/>
      <c r="AC24" s="5"/>
      <c r="AE24" s="5"/>
      <c r="AF24" s="5"/>
      <c r="AG24" s="5"/>
      <c r="AI24" s="5"/>
      <c r="AJ24" s="5"/>
      <c r="AK24" s="5"/>
      <c r="AM24" s="5"/>
      <c r="AN24" s="5"/>
      <c r="AO24" s="5"/>
      <c r="AP24" s="1">
        <f>+'State SCH'!M48</f>
        <v>210.00000000000409</v>
      </c>
      <c r="AQ24" s="5"/>
      <c r="AR24" s="5"/>
      <c r="AT24" s="1">
        <f>+'State SCH'!N48</f>
        <v>79.000000000002046</v>
      </c>
      <c r="AU24" s="5"/>
      <c r="AV24" s="5"/>
      <c r="AX24" s="1">
        <f>+'State SCH'!O48</f>
        <v>54</v>
      </c>
      <c r="AY24" s="5"/>
      <c r="AZ24" s="5"/>
      <c r="BB24" s="1">
        <f>+'State SCH'!P47</f>
        <v>0</v>
      </c>
      <c r="BC24" s="5"/>
      <c r="BD24" s="5"/>
      <c r="BG24" s="5"/>
      <c r="BH24" s="5"/>
    </row>
    <row r="25" spans="1:60" s="1" customFormat="1" x14ac:dyDescent="0.25">
      <c r="A25" s="53" t="s">
        <v>2819</v>
      </c>
      <c r="C25" s="5"/>
      <c r="D25" s="5"/>
      <c r="E25" s="5"/>
      <c r="F25" s="5">
        <f>-16044+16106</f>
        <v>62</v>
      </c>
      <c r="G25" s="5"/>
      <c r="H25" s="5"/>
      <c r="I25" s="5"/>
      <c r="J25">
        <f>-13200+13269</f>
        <v>69</v>
      </c>
      <c r="K25" s="5"/>
      <c r="L25" s="5"/>
      <c r="M25" s="5"/>
      <c r="N25" s="1">
        <f>-12089+12182</f>
        <v>93</v>
      </c>
      <c r="O25" s="5"/>
      <c r="P25" s="5"/>
      <c r="Q25" s="5"/>
      <c r="R25" s="1">
        <f>-472+584</f>
        <v>112</v>
      </c>
      <c r="S25" s="5"/>
      <c r="T25" s="5"/>
      <c r="U25" s="5"/>
      <c r="V25" s="5">
        <f>-12489+12529</f>
        <v>40</v>
      </c>
      <c r="W25" s="5"/>
      <c r="X25" s="5"/>
      <c r="Y25" s="5"/>
      <c r="Z25" s="5">
        <f>-180+411</f>
        <v>231</v>
      </c>
      <c r="AA25" s="5"/>
      <c r="AB25" s="5"/>
      <c r="AC25" s="5"/>
      <c r="AD25">
        <f>-742+939</f>
        <v>197</v>
      </c>
      <c r="AE25" s="5"/>
      <c r="AF25" s="5"/>
      <c r="AG25" s="5"/>
      <c r="AH25" s="1">
        <v>620</v>
      </c>
      <c r="AI25" s="5"/>
      <c r="AJ25" s="5"/>
      <c r="AK25" s="5"/>
      <c r="AL25" s="1">
        <f>-483+576</f>
        <v>93</v>
      </c>
      <c r="AM25" s="5"/>
      <c r="AN25" s="5"/>
      <c r="AO25" s="5"/>
      <c r="AQ25" s="5"/>
      <c r="AR25" s="5"/>
      <c r="AT25" s="1">
        <f>835-710-79</f>
        <v>46</v>
      </c>
      <c r="AU25" s="5"/>
      <c r="AV25" s="5"/>
      <c r="AX25" s="1">
        <v>113</v>
      </c>
      <c r="AY25" s="5"/>
      <c r="AZ25" s="5"/>
      <c r="BB25" s="1">
        <v>476</v>
      </c>
      <c r="BC25" s="5"/>
      <c r="BD25" s="5"/>
      <c r="BG25" s="5"/>
      <c r="BH25" s="5"/>
    </row>
    <row r="26" spans="1:60" x14ac:dyDescent="0.25">
      <c r="A26" s="5"/>
      <c r="B26" s="32">
        <f t="shared" ref="B26:AN26" si="29">SUM(B16:B25)</f>
        <v>15666</v>
      </c>
      <c r="C26" s="32">
        <f t="shared" si="29"/>
        <v>0</v>
      </c>
      <c r="D26" s="32">
        <f t="shared" si="29"/>
        <v>0</v>
      </c>
      <c r="E26" s="32">
        <f t="shared" si="29"/>
        <v>0</v>
      </c>
      <c r="F26" s="32">
        <f t="shared" si="29"/>
        <v>15075</v>
      </c>
      <c r="G26" s="32">
        <f t="shared" si="29"/>
        <v>0</v>
      </c>
      <c r="H26" s="32">
        <f t="shared" si="29"/>
        <v>0</v>
      </c>
      <c r="I26" s="32">
        <f t="shared" si="29"/>
        <v>0</v>
      </c>
      <c r="J26" s="32">
        <f t="shared" si="29"/>
        <v>12919</v>
      </c>
      <c r="K26" s="32">
        <f t="shared" si="29"/>
        <v>0</v>
      </c>
      <c r="L26" s="32">
        <f t="shared" si="29"/>
        <v>0</v>
      </c>
      <c r="M26" s="32">
        <f t="shared" si="29"/>
        <v>0</v>
      </c>
      <c r="N26" s="32">
        <f t="shared" si="29"/>
        <v>13970</v>
      </c>
      <c r="O26" s="32">
        <f t="shared" si="29"/>
        <v>0</v>
      </c>
      <c r="P26" s="32">
        <f t="shared" si="29"/>
        <v>0</v>
      </c>
      <c r="Q26" s="32">
        <f t="shared" si="29"/>
        <v>0</v>
      </c>
      <c r="R26" s="32">
        <f t="shared" si="29"/>
        <v>554</v>
      </c>
      <c r="S26" s="32">
        <f t="shared" si="29"/>
        <v>0</v>
      </c>
      <c r="T26" s="32">
        <f t="shared" si="29"/>
        <v>0</v>
      </c>
      <c r="U26" s="32">
        <f t="shared" si="29"/>
        <v>0</v>
      </c>
      <c r="V26" s="32">
        <f t="shared" si="29"/>
        <v>368</v>
      </c>
      <c r="W26" s="32">
        <f t="shared" si="29"/>
        <v>0</v>
      </c>
      <c r="X26" s="32">
        <f t="shared" si="29"/>
        <v>0</v>
      </c>
      <c r="Y26" s="32">
        <f t="shared" si="29"/>
        <v>0</v>
      </c>
      <c r="Z26" s="32">
        <f t="shared" si="29"/>
        <v>366</v>
      </c>
      <c r="AA26" s="32">
        <f t="shared" si="29"/>
        <v>0</v>
      </c>
      <c r="AB26" s="32">
        <f t="shared" si="29"/>
        <v>0</v>
      </c>
      <c r="AC26" s="32">
        <f t="shared" si="29"/>
        <v>0</v>
      </c>
      <c r="AD26" s="32">
        <f t="shared" si="29"/>
        <v>909</v>
      </c>
      <c r="AE26" s="32">
        <f t="shared" si="29"/>
        <v>0</v>
      </c>
      <c r="AF26" s="32">
        <f t="shared" si="29"/>
        <v>0</v>
      </c>
      <c r="AG26" s="32">
        <f t="shared" si="29"/>
        <v>0</v>
      </c>
      <c r="AH26" s="32">
        <f t="shared" si="29"/>
        <v>1642</v>
      </c>
      <c r="AI26" s="32">
        <f t="shared" si="29"/>
        <v>0</v>
      </c>
      <c r="AJ26" s="32">
        <f t="shared" si="29"/>
        <v>0</v>
      </c>
      <c r="AK26" s="32">
        <f t="shared" si="29"/>
        <v>0</v>
      </c>
      <c r="AL26" s="32">
        <f t="shared" si="29"/>
        <v>562</v>
      </c>
      <c r="AM26" s="32">
        <f t="shared" si="29"/>
        <v>0</v>
      </c>
      <c r="AN26" s="32">
        <f t="shared" si="29"/>
        <v>0</v>
      </c>
      <c r="AO26" s="32">
        <f t="shared" ref="AO26:AR26" si="30">SUM(AO16:AO25)</f>
        <v>0</v>
      </c>
      <c r="AP26" s="32">
        <f t="shared" si="30"/>
        <v>865.00000000000409</v>
      </c>
      <c r="AQ26" s="32">
        <f t="shared" si="30"/>
        <v>0</v>
      </c>
      <c r="AR26" s="32">
        <f t="shared" si="30"/>
        <v>0</v>
      </c>
      <c r="AT26" s="32">
        <f t="shared" ref="AT26:AV26" si="31">SUM(AT16:AT25)</f>
        <v>756.00000000000205</v>
      </c>
      <c r="AU26" s="32">
        <f t="shared" si="31"/>
        <v>0</v>
      </c>
      <c r="AV26" s="32">
        <f t="shared" si="31"/>
        <v>0</v>
      </c>
      <c r="AX26" s="32">
        <f t="shared" ref="AX26:AZ26" si="32">SUM(AX16:AX25)</f>
        <v>785</v>
      </c>
      <c r="AY26" s="32">
        <f t="shared" si="32"/>
        <v>0</v>
      </c>
      <c r="AZ26" s="32">
        <f t="shared" si="32"/>
        <v>0</v>
      </c>
      <c r="BB26" s="32">
        <f t="shared" ref="BB26:BD26" si="33">SUM(BB16:BB25)</f>
        <v>1040</v>
      </c>
      <c r="BC26" s="32">
        <f t="shared" si="33"/>
        <v>0</v>
      </c>
      <c r="BD26" s="32">
        <f t="shared" si="33"/>
        <v>0</v>
      </c>
      <c r="BF26" s="32">
        <f t="shared" ref="BF26:BH26" si="34">SUM(BF16:BF25)</f>
        <v>0</v>
      </c>
      <c r="BG26" s="32">
        <f t="shared" si="34"/>
        <v>0</v>
      </c>
      <c r="BH26" s="32">
        <f t="shared" si="34"/>
        <v>0</v>
      </c>
    </row>
    <row r="27" spans="1:6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T27" s="5"/>
      <c r="AU27" s="5"/>
      <c r="AV27" s="5"/>
      <c r="AX27" s="5"/>
      <c r="AY27" s="5"/>
      <c r="AZ27" s="5"/>
      <c r="BB27" s="5"/>
      <c r="BC27" s="5"/>
      <c r="BD27" s="5"/>
      <c r="BF27" s="5"/>
      <c r="BG27" s="5"/>
      <c r="BH27" s="5"/>
    </row>
    <row r="28" spans="1:60" x14ac:dyDescent="0.25">
      <c r="A28" s="5"/>
      <c r="B28" s="32">
        <f>+B26+B14</f>
        <v>20241</v>
      </c>
      <c r="C28" s="32">
        <f>+C26+C14</f>
        <v>15666.000000000004</v>
      </c>
      <c r="D28" s="32">
        <f>+D26+D14</f>
        <v>20241</v>
      </c>
      <c r="E28" s="5"/>
      <c r="F28" s="32">
        <f>+F26+F14</f>
        <v>19688</v>
      </c>
      <c r="G28" s="32">
        <f>+G26+G14</f>
        <v>16106</v>
      </c>
      <c r="H28" s="32">
        <f>+H26+H14</f>
        <v>20719</v>
      </c>
      <c r="I28" s="5"/>
      <c r="J28" s="32">
        <f>+J26+J14</f>
        <v>16692</v>
      </c>
      <c r="K28" s="32">
        <f>+K26+K14</f>
        <v>13269</v>
      </c>
      <c r="L28" s="32">
        <f>+L26+L14</f>
        <v>17042</v>
      </c>
      <c r="M28" s="5"/>
      <c r="N28" s="32">
        <f>+N26+N14</f>
        <v>15552</v>
      </c>
      <c r="O28" s="32">
        <f>+O26+O14</f>
        <v>13969</v>
      </c>
      <c r="P28" s="32">
        <f>+P26+P14</f>
        <v>15551</v>
      </c>
      <c r="Q28" s="5"/>
      <c r="R28" s="32">
        <f>+R26+R14</f>
        <v>14071</v>
      </c>
      <c r="S28" s="32">
        <f>+S26+S14</f>
        <v>623.00000000003251</v>
      </c>
      <c r="T28" s="32">
        <f>+T26+T14</f>
        <v>14140.000000000033</v>
      </c>
      <c r="U28" s="5"/>
      <c r="V28" s="32">
        <f>+V26+V14</f>
        <v>12529</v>
      </c>
      <c r="W28" s="32">
        <f>+W26+W14</f>
        <v>538.00000000005525</v>
      </c>
      <c r="X28" s="32">
        <f>+X26+X14</f>
        <v>12699.000000000056</v>
      </c>
      <c r="Y28" s="5"/>
      <c r="Z28" s="32">
        <f>+Z26+Z14</f>
        <v>11451</v>
      </c>
      <c r="AA28" s="32">
        <f>+AA26+AA14</f>
        <v>716.99999999999523</v>
      </c>
      <c r="AB28" s="32">
        <f>+AB26+AB14</f>
        <v>11801.999999999995</v>
      </c>
      <c r="AC28" s="5"/>
      <c r="AD28" s="32">
        <f>+AD26+AD14</f>
        <v>10494</v>
      </c>
      <c r="AE28" s="32">
        <f>+AE26+AE14</f>
        <v>1029.0000000000114</v>
      </c>
      <c r="AF28" s="32">
        <f>+AF26+AF14</f>
        <v>10614.000000000011</v>
      </c>
      <c r="AG28" s="5"/>
      <c r="AH28" s="32">
        <f>+AH26+AH14</f>
        <v>13572</v>
      </c>
      <c r="AI28" s="32">
        <f>+AI26+AI14</f>
        <v>1651.000000000003</v>
      </c>
      <c r="AJ28" s="32">
        <f>+AJ26+AJ14</f>
        <v>13581.000000000004</v>
      </c>
      <c r="AK28" s="5"/>
      <c r="AL28" s="32">
        <f>+AL26+AL14</f>
        <v>13236</v>
      </c>
      <c r="AM28" s="32">
        <f>+AM26+AM14</f>
        <v>685.99999999988631</v>
      </c>
      <c r="AN28" s="32">
        <f>+AN26+AN14</f>
        <v>13359.999999999887</v>
      </c>
      <c r="AO28" s="5"/>
      <c r="AP28" s="32">
        <f>+AP26+AP14</f>
        <v>14135.000000000004</v>
      </c>
      <c r="AQ28" s="32">
        <f>+AQ26+AQ14</f>
        <v>975.99999999997499</v>
      </c>
      <c r="AR28" s="32">
        <f>+AR26+AR14</f>
        <v>14245.999999999975</v>
      </c>
      <c r="AT28" s="32">
        <f>+AT26+AT14</f>
        <v>12472.000000000002</v>
      </c>
      <c r="AU28" s="32">
        <f>+AU26+AU14</f>
        <v>835.00000000000409</v>
      </c>
      <c r="AV28" s="32">
        <f>+AV26+AV14</f>
        <v>12551.000000000002</v>
      </c>
      <c r="AX28" s="32">
        <f>+AX26+AX14</f>
        <v>11462</v>
      </c>
      <c r="AY28" s="32">
        <f>+AY26+AY14</f>
        <v>839</v>
      </c>
      <c r="AZ28" s="32">
        <f>+AZ26+AZ14</f>
        <v>11516</v>
      </c>
      <c r="BB28" s="32">
        <f>+BB26+BB14</f>
        <v>12772</v>
      </c>
      <c r="BC28" s="32">
        <f>+BC26+BC14</f>
        <v>807.99999999999955</v>
      </c>
      <c r="BD28" s="32">
        <f>+BD26+BD14</f>
        <v>12540</v>
      </c>
      <c r="BF28" s="32">
        <f>+BF26+BF14</f>
        <v>11897</v>
      </c>
      <c r="BG28" s="32">
        <f>+BG26+BG14</f>
        <v>0</v>
      </c>
      <c r="BH28" s="32">
        <f>+BH26+BH14</f>
        <v>11897</v>
      </c>
    </row>
    <row r="29" spans="1:6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T29" s="5"/>
      <c r="AU29" s="5"/>
      <c r="AV29" s="5">
        <f>+AV28-12551</f>
        <v>0</v>
      </c>
      <c r="AX29" s="5"/>
      <c r="AY29" s="5"/>
      <c r="AZ29" s="5">
        <f>-AZ28+11516</f>
        <v>0</v>
      </c>
      <c r="BB29" s="5"/>
      <c r="BC29" s="5"/>
      <c r="BD29" s="5">
        <f>+BD28-12540</f>
        <v>0</v>
      </c>
      <c r="BF29" s="5"/>
      <c r="BG29" s="5"/>
      <c r="BH29" s="5"/>
    </row>
    <row r="30" spans="1:60" x14ac:dyDescent="0.25">
      <c r="A30" s="5" t="s">
        <v>2821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T30" s="5"/>
      <c r="AU30" s="5"/>
      <c r="AV30" s="5"/>
      <c r="AX30" s="5"/>
      <c r="AY30" s="5"/>
      <c r="AZ30" s="5"/>
      <c r="BB30" s="5"/>
      <c r="BC30" s="5"/>
      <c r="BD30" s="5"/>
      <c r="BF30" s="5"/>
      <c r="BG30" s="5"/>
      <c r="BH30" s="5"/>
    </row>
    <row r="31" spans="1:6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T31" s="5"/>
      <c r="AU31" s="5"/>
      <c r="AV31" s="5"/>
      <c r="AX31" s="5"/>
      <c r="AY31" s="5"/>
      <c r="AZ31" s="5"/>
      <c r="BB31" s="5"/>
      <c r="BC31" s="5"/>
      <c r="BD31" s="5"/>
      <c r="BF31" s="5"/>
      <c r="BG31" s="5"/>
      <c r="BH31" s="5"/>
    </row>
    <row r="32" spans="1:60" x14ac:dyDescent="0.25">
      <c r="A32" s="5" t="s">
        <v>434</v>
      </c>
      <c r="B32" s="5"/>
      <c r="C32" s="5"/>
      <c r="D32" s="56">
        <f t="shared" ref="D32:D40" si="35">+D2/D$28</f>
        <v>0.24170937297647357</v>
      </c>
      <c r="E32" s="5"/>
      <c r="F32" s="5"/>
      <c r="G32" s="5"/>
      <c r="H32" s="56">
        <f t="shared" ref="H32:H39" si="36">+H2/H$10</f>
        <v>0.26745651625913791</v>
      </c>
      <c r="I32" s="5"/>
      <c r="J32" s="5"/>
      <c r="K32" s="5"/>
      <c r="L32" s="56">
        <f t="shared" ref="L32:L39" si="37">+L2/L$10</f>
        <v>0.26555881394591069</v>
      </c>
      <c r="M32" s="5"/>
      <c r="N32" s="5"/>
      <c r="O32" s="5"/>
      <c r="P32" s="56">
        <f t="shared" ref="P32:P39" si="38">+P2/P$10</f>
        <v>0.22752150117279124</v>
      </c>
      <c r="Q32" s="5"/>
      <c r="R32" s="5"/>
      <c r="S32" s="5"/>
      <c r="T32" s="56">
        <f t="shared" ref="T32:T39" si="39">+T2/T$10</f>
        <v>0.15856401384083044</v>
      </c>
      <c r="U32" s="5"/>
      <c r="V32" s="5"/>
      <c r="W32" s="5"/>
      <c r="X32" s="56">
        <f t="shared" ref="X32:X39" si="40">+X2/X$10</f>
        <v>0.14959641255605377</v>
      </c>
      <c r="Y32" s="5"/>
      <c r="Z32" s="5"/>
      <c r="AA32" s="5"/>
      <c r="AB32" s="56">
        <f t="shared" ref="AB32:AB39" si="41">+AB2/AB$10</f>
        <v>0.20060240963855422</v>
      </c>
      <c r="AC32" s="5"/>
      <c r="AD32" s="5"/>
      <c r="AE32" s="5"/>
      <c r="AF32" s="56">
        <f t="shared" ref="AF32:AF39" si="42">+AF2/AF$10</f>
        <v>0.23157170698154303</v>
      </c>
      <c r="AG32" s="5"/>
      <c r="AH32" s="5"/>
      <c r="AI32" s="5"/>
      <c r="AJ32" s="56">
        <f t="shared" ref="AJ32:AJ39" si="43">+AJ2/AJ$10</f>
        <v>0.24196615326107626</v>
      </c>
      <c r="AK32" s="5"/>
      <c r="AL32" s="5"/>
      <c r="AM32" s="5"/>
      <c r="AN32" s="56">
        <f t="shared" ref="AN32:AN39" si="44">+AN2/AN$10</f>
        <v>0.16612291685036593</v>
      </c>
      <c r="AO32" s="5"/>
      <c r="AP32" s="5"/>
      <c r="AQ32" s="5"/>
      <c r="AR32" s="56">
        <f t="shared" ref="AR32:AR39" si="45">+AR2/AR$10</f>
        <v>0.13993003498250875</v>
      </c>
      <c r="AT32" s="5"/>
      <c r="AU32" s="5"/>
      <c r="AV32" s="56">
        <f t="shared" ref="AV32:AV39" si="46">+AV2/AV$10</f>
        <v>0.13115553388590934</v>
      </c>
      <c r="AX32" s="5"/>
      <c r="AY32" s="5"/>
      <c r="AZ32" s="56">
        <f t="shared" ref="AZ32:AZ39" si="47">+AZ2/AZ$10</f>
        <v>0.12918608431776307</v>
      </c>
      <c r="BB32" s="5"/>
      <c r="BC32" s="5"/>
      <c r="BD32" s="56">
        <f t="shared" ref="BD32:BD39" si="48">+BD2/BD$10</f>
        <v>0.12285475094181666</v>
      </c>
      <c r="BF32" s="5"/>
      <c r="BG32" s="5"/>
      <c r="BH32" s="56">
        <f t="shared" ref="BH32:BH39" si="49">+BH2/BH$10</f>
        <v>0.14650904314438717</v>
      </c>
    </row>
    <row r="33" spans="1:60" x14ac:dyDescent="0.25">
      <c r="A33" s="5" t="s">
        <v>436</v>
      </c>
      <c r="B33" s="5"/>
      <c r="C33" s="5"/>
      <c r="D33" s="56">
        <f t="shared" si="35"/>
        <v>0.14548167920659447</v>
      </c>
      <c r="E33" s="5"/>
      <c r="F33" s="5"/>
      <c r="G33" s="5"/>
      <c r="H33" s="56">
        <f t="shared" si="36"/>
        <v>0.13108142172926646</v>
      </c>
      <c r="I33" s="5"/>
      <c r="J33" s="5"/>
      <c r="K33" s="5"/>
      <c r="L33" s="56">
        <f t="shared" si="37"/>
        <v>0.12772890192245032</v>
      </c>
      <c r="M33" s="5"/>
      <c r="N33" s="5"/>
      <c r="O33" s="5"/>
      <c r="P33" s="56">
        <f t="shared" si="38"/>
        <v>0.16262705238467556</v>
      </c>
      <c r="Q33" s="5"/>
      <c r="R33" s="5"/>
      <c r="S33" s="5"/>
      <c r="T33" s="56">
        <f t="shared" si="39"/>
        <v>6.8425605536332187E-2</v>
      </c>
      <c r="U33" s="5"/>
      <c r="V33" s="5"/>
      <c r="W33" s="5"/>
      <c r="X33" s="56">
        <f t="shared" si="40"/>
        <v>7.1569506726457385E-2</v>
      </c>
      <c r="Y33" s="5"/>
      <c r="Z33" s="5"/>
      <c r="AA33" s="5"/>
      <c r="AB33" s="56">
        <f t="shared" si="41"/>
        <v>8.042168674698795E-2</v>
      </c>
      <c r="AC33" s="5"/>
      <c r="AD33" s="5"/>
      <c r="AE33" s="5"/>
      <c r="AF33" s="56">
        <f t="shared" si="42"/>
        <v>9.4004356299438263E-2</v>
      </c>
      <c r="AG33" s="5"/>
      <c r="AH33" s="5"/>
      <c r="AI33" s="5"/>
      <c r="AJ33" s="56">
        <f t="shared" si="43"/>
        <v>9.4409583571021097E-2</v>
      </c>
      <c r="AK33" s="5"/>
      <c r="AL33" s="5"/>
      <c r="AM33" s="5"/>
      <c r="AN33" s="56">
        <f t="shared" si="44"/>
        <v>0.13182259060047613</v>
      </c>
      <c r="AO33" s="5"/>
      <c r="AP33" s="5"/>
      <c r="AQ33" s="5"/>
      <c r="AR33" s="56">
        <f t="shared" si="45"/>
        <v>0.12560386473429952</v>
      </c>
      <c r="AT33" s="5"/>
      <c r="AU33" s="5"/>
      <c r="AV33" s="56">
        <f t="shared" si="46"/>
        <v>0.15982447586543153</v>
      </c>
      <c r="AX33" s="5"/>
      <c r="AY33" s="5"/>
      <c r="AZ33" s="56">
        <f t="shared" si="47"/>
        <v>0.20082366966511325</v>
      </c>
      <c r="BB33" s="5"/>
      <c r="BC33" s="5"/>
      <c r="BD33" s="56">
        <f t="shared" si="48"/>
        <v>0.20583926329007954</v>
      </c>
      <c r="BF33" s="5"/>
      <c r="BG33" s="5"/>
      <c r="BH33" s="56">
        <f t="shared" si="49"/>
        <v>0.20501161968273215</v>
      </c>
    </row>
    <row r="34" spans="1:60" x14ac:dyDescent="0.25">
      <c r="A34" s="5" t="s">
        <v>437</v>
      </c>
      <c r="B34" s="5"/>
      <c r="C34" s="5"/>
      <c r="D34" s="56">
        <f t="shared" si="35"/>
        <v>2.3030798745871536E-2</v>
      </c>
      <c r="E34" s="5"/>
      <c r="F34" s="5"/>
      <c r="G34" s="5"/>
      <c r="H34" s="56">
        <f t="shared" si="36"/>
        <v>4.0332745147466598E-2</v>
      </c>
      <c r="I34" s="5"/>
      <c r="J34" s="5"/>
      <c r="K34" s="5"/>
      <c r="L34" s="56">
        <f t="shared" si="37"/>
        <v>6.5819485174323886E-2</v>
      </c>
      <c r="M34" s="5"/>
      <c r="N34" s="5"/>
      <c r="O34" s="5"/>
      <c r="P34" s="56">
        <f t="shared" si="38"/>
        <v>1.8764659890539485E-2</v>
      </c>
      <c r="Q34" s="5"/>
      <c r="R34" s="5"/>
      <c r="S34" s="5"/>
      <c r="T34" s="56">
        <f t="shared" si="39"/>
        <v>2.422145328719723E-3</v>
      </c>
      <c r="U34" s="5"/>
      <c r="V34" s="5"/>
      <c r="W34" s="5"/>
      <c r="X34" s="56">
        <f t="shared" si="40"/>
        <v>5.3811659192825104E-4</v>
      </c>
      <c r="Y34" s="5"/>
      <c r="Z34" s="5"/>
      <c r="AA34" s="5"/>
      <c r="AB34" s="56">
        <f t="shared" si="41"/>
        <v>1.3052208835341364E-3</v>
      </c>
      <c r="AC34" s="5"/>
      <c r="AD34" s="5"/>
      <c r="AE34" s="5"/>
      <c r="AF34" s="56">
        <f t="shared" si="42"/>
        <v>1.4903129657228018E-3</v>
      </c>
      <c r="AG34" s="5"/>
      <c r="AH34" s="5"/>
      <c r="AI34" s="5"/>
      <c r="AJ34" s="56">
        <f t="shared" si="43"/>
        <v>2.0916524054002661E-3</v>
      </c>
      <c r="AK34" s="5"/>
      <c r="AL34" s="5"/>
      <c r="AM34" s="5"/>
      <c r="AN34" s="56">
        <f t="shared" si="44"/>
        <v>3.1743232519178205E-3</v>
      </c>
      <c r="AO34" s="5"/>
      <c r="AP34" s="5"/>
      <c r="AQ34" s="5"/>
      <c r="AR34" s="56">
        <f t="shared" si="45"/>
        <v>3.3316674995835418E-4</v>
      </c>
      <c r="AT34" s="5"/>
      <c r="AU34" s="5"/>
      <c r="AV34" s="56">
        <f t="shared" si="46"/>
        <v>2.2428083861530967E-3</v>
      </c>
      <c r="AX34" s="5"/>
      <c r="AY34" s="5"/>
      <c r="AZ34" s="56">
        <f t="shared" si="47"/>
        <v>4.3351035005960767E-4</v>
      </c>
      <c r="BB34" s="5"/>
      <c r="BC34" s="5"/>
      <c r="BD34" s="56">
        <f t="shared" si="48"/>
        <v>8.3717036416910832E-4</v>
      </c>
      <c r="BF34" s="5"/>
      <c r="BG34" s="5"/>
      <c r="BH34" s="56">
        <f t="shared" si="49"/>
        <v>0</v>
      </c>
    </row>
    <row r="35" spans="1:60" x14ac:dyDescent="0.25">
      <c r="A35" s="5" t="s">
        <v>81</v>
      </c>
      <c r="B35" s="5"/>
      <c r="C35" s="5"/>
      <c r="D35" s="56">
        <f t="shared" si="35"/>
        <v>0.44853050626860713</v>
      </c>
      <c r="E35" s="5"/>
      <c r="F35" s="5"/>
      <c r="G35" s="5"/>
      <c r="H35" s="56">
        <f t="shared" si="36"/>
        <v>0.36677590118477438</v>
      </c>
      <c r="I35" s="5"/>
      <c r="J35" s="5"/>
      <c r="K35" s="5"/>
      <c r="L35" s="56">
        <f t="shared" si="37"/>
        <v>0.35060280221570539</v>
      </c>
      <c r="M35" s="5"/>
      <c r="N35" s="5"/>
      <c r="O35" s="5"/>
      <c r="P35" s="56">
        <f t="shared" si="38"/>
        <v>0.33463643471462085</v>
      </c>
      <c r="Q35" s="5"/>
      <c r="R35" s="5"/>
      <c r="S35" s="5"/>
      <c r="T35" s="56">
        <f t="shared" si="39"/>
        <v>0.52984429065743943</v>
      </c>
      <c r="U35" s="5"/>
      <c r="V35" s="5"/>
      <c r="W35" s="5"/>
      <c r="X35" s="56">
        <f t="shared" si="40"/>
        <v>0.51829596412556045</v>
      </c>
      <c r="Y35" s="5"/>
      <c r="Z35" s="5"/>
      <c r="AA35" s="5"/>
      <c r="AB35" s="56">
        <f t="shared" si="41"/>
        <v>0.45913654618473893</v>
      </c>
      <c r="AC35" s="5"/>
      <c r="AD35" s="5"/>
      <c r="AE35" s="5"/>
      <c r="AF35" s="56">
        <f t="shared" si="42"/>
        <v>0.46050670640834573</v>
      </c>
      <c r="AG35" s="5"/>
      <c r="AH35" s="5"/>
      <c r="AI35" s="5"/>
      <c r="AJ35" s="56">
        <f t="shared" si="43"/>
        <v>0.40501996577296062</v>
      </c>
      <c r="AK35" s="5"/>
      <c r="AL35" s="5"/>
      <c r="AM35" s="5"/>
      <c r="AN35" s="56">
        <f t="shared" si="44"/>
        <v>0.40984040208094524</v>
      </c>
      <c r="AO35" s="5"/>
      <c r="AP35" s="5"/>
      <c r="AQ35" s="5"/>
      <c r="AR35" s="56">
        <f t="shared" si="45"/>
        <v>0.4647676161919041</v>
      </c>
      <c r="AT35" s="5"/>
      <c r="AU35" s="5"/>
      <c r="AV35" s="56">
        <f t="shared" si="46"/>
        <v>0.4383227693807899</v>
      </c>
      <c r="AX35" s="5"/>
      <c r="AY35" s="5"/>
      <c r="AZ35" s="56">
        <f t="shared" si="47"/>
        <v>0.41692857916982762</v>
      </c>
      <c r="BB35" s="5"/>
      <c r="BC35" s="5"/>
      <c r="BD35" s="56">
        <f t="shared" si="48"/>
        <v>0.42308497279196311</v>
      </c>
      <c r="BF35" s="5"/>
      <c r="BG35" s="5"/>
      <c r="BH35" s="56">
        <f t="shared" si="49"/>
        <v>0.40416287763968878</v>
      </c>
    </row>
    <row r="36" spans="1:60" x14ac:dyDescent="0.25">
      <c r="A36" s="5" t="s">
        <v>440</v>
      </c>
      <c r="B36" s="5"/>
      <c r="C36" s="5"/>
      <c r="D36" s="56">
        <f t="shared" si="35"/>
        <v>3.8764710760377831E-2</v>
      </c>
      <c r="E36" s="5"/>
      <c r="F36" s="5"/>
      <c r="G36" s="5"/>
      <c r="H36" s="56">
        <f t="shared" si="36"/>
        <v>2.5712125031509957E-2</v>
      </c>
      <c r="I36" s="5"/>
      <c r="J36" s="5"/>
      <c r="K36" s="5"/>
      <c r="L36" s="56">
        <f t="shared" si="37"/>
        <v>3.2909742587161943E-2</v>
      </c>
      <c r="M36" s="5"/>
      <c r="N36" s="5"/>
      <c r="O36" s="5"/>
      <c r="P36" s="56">
        <f t="shared" si="38"/>
        <v>3.0492572322126661E-2</v>
      </c>
      <c r="Q36" s="5"/>
      <c r="R36" s="5"/>
      <c r="S36" s="5"/>
      <c r="T36" s="56">
        <f t="shared" si="39"/>
        <v>0.12197231833910034</v>
      </c>
      <c r="U36" s="5"/>
      <c r="V36" s="5"/>
      <c r="W36" s="5"/>
      <c r="X36" s="56">
        <f t="shared" si="40"/>
        <v>0.12896860986547082</v>
      </c>
      <c r="Y36" s="5"/>
      <c r="Z36" s="5"/>
      <c r="AA36" s="5"/>
      <c r="AB36" s="56">
        <f t="shared" si="41"/>
        <v>0.11626506024096385</v>
      </c>
      <c r="AC36" s="5"/>
      <c r="AD36" s="5"/>
      <c r="AE36" s="5"/>
      <c r="AF36" s="56">
        <f t="shared" si="42"/>
        <v>6.9356872635561159E-2</v>
      </c>
      <c r="AG36" s="5"/>
      <c r="AH36" s="5"/>
      <c r="AI36" s="5"/>
      <c r="AJ36" s="56">
        <f t="shared" si="43"/>
        <v>0.1246434683399886</v>
      </c>
      <c r="AK36" s="5"/>
      <c r="AL36" s="5"/>
      <c r="AM36" s="5"/>
      <c r="AN36" s="56">
        <f t="shared" si="44"/>
        <v>0.13129353672515651</v>
      </c>
      <c r="AO36" s="5"/>
      <c r="AP36" s="5"/>
      <c r="AQ36" s="5"/>
      <c r="AR36" s="56">
        <f t="shared" si="45"/>
        <v>9.420289855072464E-2</v>
      </c>
      <c r="AT36" s="5"/>
      <c r="AU36" s="5"/>
      <c r="AV36" s="56">
        <f t="shared" si="46"/>
        <v>9.010238907849831E-2</v>
      </c>
      <c r="AX36" s="5"/>
      <c r="AY36" s="5"/>
      <c r="AZ36" s="56">
        <f t="shared" si="47"/>
        <v>9.1470683862577215E-2</v>
      </c>
      <c r="BB36" s="5"/>
      <c r="BC36" s="5"/>
      <c r="BD36" s="56">
        <f t="shared" si="48"/>
        <v>0.10569275847634993</v>
      </c>
      <c r="BF36" s="5"/>
      <c r="BG36" s="5"/>
      <c r="BH36" s="56">
        <f t="shared" si="49"/>
        <v>9.0936647468929974E-2</v>
      </c>
    </row>
    <row r="37" spans="1:60" x14ac:dyDescent="0.25">
      <c r="A37" s="5" t="s">
        <v>85</v>
      </c>
      <c r="B37" s="5"/>
      <c r="C37" s="5"/>
      <c r="D37" s="56">
        <f t="shared" si="35"/>
        <v>3.3976128842919395E-2</v>
      </c>
      <c r="E37" s="5"/>
      <c r="F37" s="5"/>
      <c r="G37" s="5"/>
      <c r="H37" s="56">
        <f t="shared" si="36"/>
        <v>2.1930930173934965E-2</v>
      </c>
      <c r="I37" s="5"/>
      <c r="J37" s="5"/>
      <c r="K37" s="5"/>
      <c r="L37" s="56">
        <f t="shared" si="37"/>
        <v>3.5190615835777123E-2</v>
      </c>
      <c r="M37" s="5"/>
      <c r="N37" s="5"/>
      <c r="O37" s="5"/>
      <c r="P37" s="56">
        <f t="shared" si="38"/>
        <v>1.8764659890539485E-2</v>
      </c>
      <c r="Q37" s="5"/>
      <c r="R37" s="5"/>
      <c r="S37" s="5"/>
      <c r="T37" s="56">
        <f t="shared" si="39"/>
        <v>2.3356401384083047E-3</v>
      </c>
      <c r="U37" s="5"/>
      <c r="V37" s="5"/>
      <c r="W37" s="5"/>
      <c r="X37" s="56">
        <f t="shared" si="40"/>
        <v>1.1659192825112107E-3</v>
      </c>
      <c r="Y37" s="5"/>
      <c r="Z37" s="5"/>
      <c r="AA37" s="5"/>
      <c r="AB37" s="56">
        <f t="shared" si="41"/>
        <v>0</v>
      </c>
      <c r="AC37" s="5"/>
      <c r="AD37" s="5"/>
      <c r="AE37" s="5"/>
      <c r="AF37" s="56">
        <f t="shared" si="42"/>
        <v>3.783102143757881E-3</v>
      </c>
      <c r="AG37" s="5"/>
      <c r="AH37" s="5"/>
      <c r="AI37" s="5"/>
      <c r="AJ37" s="56">
        <f t="shared" si="43"/>
        <v>4.5636052481460351E-3</v>
      </c>
      <c r="AK37" s="5"/>
      <c r="AL37" s="5"/>
      <c r="AM37" s="5"/>
      <c r="AN37" s="56">
        <f t="shared" si="44"/>
        <v>8.5530376510007926E-3</v>
      </c>
      <c r="AO37" s="5"/>
      <c r="AP37" s="5"/>
      <c r="AQ37" s="5"/>
      <c r="AR37" s="56">
        <f t="shared" si="45"/>
        <v>1.582542062302182E-3</v>
      </c>
      <c r="AT37" s="5"/>
      <c r="AU37" s="5"/>
      <c r="AV37" s="56">
        <f t="shared" si="46"/>
        <v>8.7762067284251604E-4</v>
      </c>
      <c r="AX37" s="5"/>
      <c r="AY37" s="5"/>
      <c r="AZ37" s="56">
        <f t="shared" si="47"/>
        <v>3.2513276254470577E-4</v>
      </c>
      <c r="BB37" s="5"/>
      <c r="BC37" s="5"/>
      <c r="BD37" s="56">
        <f t="shared" si="48"/>
        <v>1.0464629552113854E-4</v>
      </c>
      <c r="BF37" s="5"/>
      <c r="BG37" s="5"/>
      <c r="BH37" s="56">
        <f t="shared" si="49"/>
        <v>3.031221582297666E-3</v>
      </c>
    </row>
    <row r="38" spans="1:60" x14ac:dyDescent="0.25">
      <c r="A38" s="5" t="s">
        <v>87</v>
      </c>
      <c r="B38" s="5"/>
      <c r="C38" s="5"/>
      <c r="D38" s="56">
        <f t="shared" si="35"/>
        <v>5.3130456512753159E-2</v>
      </c>
      <c r="E38" s="5"/>
      <c r="F38" s="5"/>
      <c r="G38" s="5"/>
      <c r="H38" s="56">
        <f t="shared" si="36"/>
        <v>0.14242500630199142</v>
      </c>
      <c r="I38" s="5"/>
      <c r="J38" s="5"/>
      <c r="K38" s="5"/>
      <c r="L38" s="56">
        <f t="shared" si="37"/>
        <v>0.11502117953730856</v>
      </c>
      <c r="M38" s="5"/>
      <c r="N38" s="5"/>
      <c r="O38" s="5"/>
      <c r="P38" s="56">
        <f t="shared" si="38"/>
        <v>0.13369820172009383</v>
      </c>
      <c r="Q38" s="5"/>
      <c r="R38" s="5"/>
      <c r="S38" s="5"/>
      <c r="T38" s="56">
        <f t="shared" si="39"/>
        <v>0.10155709342560554</v>
      </c>
      <c r="U38" s="5"/>
      <c r="V38" s="5"/>
      <c r="W38" s="5"/>
      <c r="X38" s="56">
        <f t="shared" si="40"/>
        <v>0.11399103139013451</v>
      </c>
      <c r="Y38" s="5"/>
      <c r="Z38" s="5"/>
      <c r="AA38" s="5"/>
      <c r="AB38" s="56">
        <f t="shared" si="41"/>
        <v>0.13022088353413655</v>
      </c>
      <c r="AC38" s="5"/>
      <c r="AD38" s="5"/>
      <c r="AE38" s="5"/>
      <c r="AF38" s="56">
        <f t="shared" si="42"/>
        <v>0.13561847988077494</v>
      </c>
      <c r="AG38" s="5"/>
      <c r="AH38" s="5"/>
      <c r="AI38" s="5"/>
      <c r="AJ38" s="56">
        <f t="shared" si="43"/>
        <v>0.12597451987069785</v>
      </c>
      <c r="AK38" s="5"/>
      <c r="AL38" s="5"/>
      <c r="AM38" s="5"/>
      <c r="AN38" s="56">
        <f t="shared" si="44"/>
        <v>0.13235164447579578</v>
      </c>
      <c r="AO38" s="5"/>
      <c r="AP38" s="5"/>
      <c r="AQ38" s="5"/>
      <c r="AR38" s="56">
        <f t="shared" si="45"/>
        <v>0.1555888722305514</v>
      </c>
      <c r="AT38" s="5"/>
      <c r="AU38" s="5"/>
      <c r="AV38" s="56">
        <f t="shared" si="46"/>
        <v>0.14480741101901515</v>
      </c>
      <c r="AX38" s="5"/>
      <c r="AY38" s="5"/>
      <c r="AZ38" s="56">
        <f t="shared" si="47"/>
        <v>0.12647664462989053</v>
      </c>
      <c r="BB38" s="5"/>
      <c r="BC38" s="5"/>
      <c r="BD38" s="56">
        <f t="shared" si="48"/>
        <v>0.11228547509418167</v>
      </c>
      <c r="BF38" s="5"/>
      <c r="BG38" s="5"/>
      <c r="BH38" s="56">
        <f t="shared" si="49"/>
        <v>0.10841669192684653</v>
      </c>
    </row>
    <row r="39" spans="1:60" x14ac:dyDescent="0.25">
      <c r="A39" s="5" t="s">
        <v>447</v>
      </c>
      <c r="B39" s="5"/>
      <c r="C39" s="5"/>
      <c r="D39" s="56">
        <f t="shared" si="35"/>
        <v>3.4204156553274559E-3</v>
      </c>
      <c r="E39" s="5"/>
      <c r="F39" s="5"/>
      <c r="G39" s="5"/>
      <c r="H39" s="56">
        <f t="shared" si="36"/>
        <v>4.2853541719183258E-3</v>
      </c>
      <c r="I39" s="5"/>
      <c r="J39" s="5"/>
      <c r="K39" s="5"/>
      <c r="L39" s="56">
        <f t="shared" si="37"/>
        <v>7.1684587813620063E-3</v>
      </c>
      <c r="M39" s="5"/>
      <c r="N39" s="5"/>
      <c r="O39" s="5"/>
      <c r="P39" s="56">
        <f t="shared" si="38"/>
        <v>7.3494917904612975E-2</v>
      </c>
      <c r="Q39" s="5"/>
      <c r="R39" s="5"/>
      <c r="S39" s="5"/>
      <c r="T39" s="56">
        <f t="shared" si="39"/>
        <v>1.4878892733564013E-2</v>
      </c>
      <c r="U39" s="5"/>
      <c r="V39" s="5"/>
      <c r="W39" s="5"/>
      <c r="X39" s="56">
        <f t="shared" si="40"/>
        <v>1.5874439461883404E-2</v>
      </c>
      <c r="Y39" s="5"/>
      <c r="Z39" s="5"/>
      <c r="AA39" s="5"/>
      <c r="AB39" s="56">
        <f t="shared" si="41"/>
        <v>1.2048192771084338E-2</v>
      </c>
      <c r="AC39" s="5"/>
      <c r="AD39" s="5"/>
      <c r="AE39" s="5"/>
      <c r="AF39" s="56">
        <f t="shared" si="42"/>
        <v>3.668462684856127E-3</v>
      </c>
      <c r="AG39" s="5"/>
      <c r="AH39" s="5"/>
      <c r="AI39" s="5"/>
      <c r="AJ39" s="56">
        <f t="shared" si="43"/>
        <v>1.3310515307092602E-3</v>
      </c>
      <c r="AK39" s="5"/>
      <c r="AL39" s="5"/>
      <c r="AM39" s="5"/>
      <c r="AN39" s="56">
        <f t="shared" si="44"/>
        <v>1.6841548364341766E-2</v>
      </c>
      <c r="AO39" s="5"/>
      <c r="AP39" s="5"/>
      <c r="AQ39" s="5"/>
      <c r="AR39" s="56">
        <f t="shared" si="45"/>
        <v>1.7991004497751123E-2</v>
      </c>
      <c r="AT39" s="5"/>
      <c r="AU39" s="5"/>
      <c r="AV39" s="56">
        <f t="shared" si="46"/>
        <v>3.2666991711360317E-2</v>
      </c>
      <c r="AX39" s="5"/>
      <c r="AY39" s="5"/>
      <c r="AZ39" s="56">
        <f t="shared" si="47"/>
        <v>3.4355695242223913E-2</v>
      </c>
      <c r="BB39" s="5"/>
      <c r="BC39" s="5"/>
      <c r="BD39" s="56">
        <f t="shared" si="48"/>
        <v>2.9300962745918795E-2</v>
      </c>
      <c r="BF39" s="5"/>
      <c r="BG39" s="5"/>
      <c r="BH39" s="56">
        <f t="shared" si="49"/>
        <v>4.1931898555117711E-2</v>
      </c>
    </row>
    <row r="40" spans="1:60" x14ac:dyDescent="0.25">
      <c r="A40" s="5"/>
      <c r="B40" s="5"/>
      <c r="C40" s="5"/>
      <c r="D40" s="57">
        <f t="shared" si="35"/>
        <v>0.98804406896892449</v>
      </c>
      <c r="E40" s="5"/>
      <c r="F40" s="5"/>
      <c r="G40" s="5"/>
      <c r="H40" s="57">
        <f>SUM(H32:H39)</f>
        <v>1</v>
      </c>
      <c r="I40" s="5"/>
      <c r="J40" s="5"/>
      <c r="K40" s="5"/>
      <c r="L40" s="57">
        <f>SUM(L32:L39)</f>
        <v>0.99999999999999989</v>
      </c>
      <c r="M40" s="5"/>
      <c r="N40" s="5"/>
      <c r="O40" s="5"/>
      <c r="P40" s="57">
        <f>SUM(P32:P39)</f>
        <v>1</v>
      </c>
      <c r="Q40" s="5"/>
      <c r="R40" s="5"/>
      <c r="S40" s="5"/>
      <c r="T40" s="57">
        <f>SUM(T32:T39)</f>
        <v>0.99999999999999989</v>
      </c>
      <c r="U40" s="5"/>
      <c r="V40" s="5"/>
      <c r="W40" s="5"/>
      <c r="X40" s="57">
        <f>SUM(X32:X39)</f>
        <v>0.99999999999999989</v>
      </c>
      <c r="Y40" s="5"/>
      <c r="Z40" s="5"/>
      <c r="AA40" s="5"/>
      <c r="AB40" s="57">
        <f>SUM(AB32:AB39)</f>
        <v>0.99999999999999989</v>
      </c>
      <c r="AC40" s="5"/>
      <c r="AD40" s="5"/>
      <c r="AE40" s="5"/>
      <c r="AF40" s="57">
        <f>SUM(AF32:AF39)</f>
        <v>0.99999999999999989</v>
      </c>
      <c r="AG40" s="5"/>
      <c r="AH40" s="5"/>
      <c r="AI40" s="5"/>
      <c r="AJ40" s="57">
        <f>SUM(AJ32:AJ39)</f>
        <v>1</v>
      </c>
      <c r="AK40" s="5"/>
      <c r="AL40" s="5"/>
      <c r="AM40" s="5"/>
      <c r="AN40" s="57">
        <f>SUM(AN32:AN39)</f>
        <v>1</v>
      </c>
      <c r="AO40" s="5"/>
      <c r="AP40" s="5"/>
      <c r="AQ40" s="5"/>
      <c r="AR40" s="57">
        <f>SUM(AR32:AR39)</f>
        <v>1</v>
      </c>
      <c r="AT40" s="5"/>
      <c r="AU40" s="5"/>
      <c r="AV40" s="57">
        <f>SUM(AV32:AV39)</f>
        <v>1.0000000000000002</v>
      </c>
      <c r="AX40" s="5"/>
      <c r="AY40" s="5"/>
      <c r="AZ40" s="57">
        <f>SUM(AZ32:AZ39)</f>
        <v>1</v>
      </c>
      <c r="BB40" s="5"/>
      <c r="BC40" s="5"/>
      <c r="BD40" s="57">
        <f>SUM(BD32:BD39)</f>
        <v>0.99999999999999978</v>
      </c>
      <c r="BF40" s="5"/>
      <c r="BG40" s="5"/>
      <c r="BH40" s="57">
        <f>SUM(BH32:BH39)</f>
        <v>0.99999999999999989</v>
      </c>
    </row>
    <row r="41" spans="1:60" x14ac:dyDescent="0.25">
      <c r="A41" s="5"/>
      <c r="B41" s="5"/>
      <c r="C41" s="5"/>
      <c r="D41" s="56"/>
      <c r="E41" s="5"/>
      <c r="F41" s="5"/>
      <c r="G41" s="5"/>
      <c r="H41" s="56"/>
      <c r="I41" s="5"/>
      <c r="J41" s="5"/>
      <c r="K41" s="5"/>
      <c r="L41" s="56"/>
      <c r="M41" s="5"/>
      <c r="N41" s="5"/>
      <c r="O41" s="5"/>
      <c r="P41" s="56"/>
      <c r="Q41" s="5"/>
      <c r="R41" s="5"/>
      <c r="S41" s="5"/>
      <c r="T41" s="56"/>
      <c r="U41" s="5"/>
      <c r="V41" s="5"/>
      <c r="W41" s="5"/>
      <c r="X41" s="56"/>
      <c r="Y41" s="5"/>
      <c r="Z41" s="5"/>
      <c r="AA41" s="5"/>
      <c r="AB41" s="56"/>
      <c r="AC41" s="5"/>
      <c r="AD41" s="5"/>
      <c r="AE41" s="5"/>
      <c r="AF41" s="56"/>
      <c r="AG41" s="5"/>
      <c r="AH41" s="5"/>
      <c r="AI41" s="5"/>
      <c r="AJ41" s="56"/>
      <c r="AK41" s="5"/>
      <c r="AL41" s="5"/>
      <c r="AM41" s="5"/>
      <c r="AN41" s="56"/>
      <c r="AO41" s="5"/>
      <c r="AP41" s="5"/>
      <c r="AQ41" s="5"/>
      <c r="AR41" s="56"/>
      <c r="AT41" s="5"/>
      <c r="AU41" s="5"/>
      <c r="AV41" s="56"/>
      <c r="AX41" s="5"/>
      <c r="AY41" s="5"/>
      <c r="AZ41" s="56"/>
      <c r="BB41" s="5"/>
      <c r="BC41" s="5"/>
      <c r="BD41" s="56"/>
      <c r="BF41" s="5"/>
      <c r="BG41" s="5"/>
      <c r="BH41" s="56"/>
    </row>
    <row r="42" spans="1:60" x14ac:dyDescent="0.25">
      <c r="A42" s="5" t="s">
        <v>91</v>
      </c>
      <c r="B42" s="5"/>
      <c r="C42" s="5"/>
      <c r="D42" s="56">
        <f>+D12/D$28</f>
        <v>1.1955931031075539E-2</v>
      </c>
      <c r="E42" s="5"/>
      <c r="F42" s="5"/>
      <c r="G42" s="5"/>
      <c r="H42" s="56">
        <f>+H12/H12</f>
        <v>1</v>
      </c>
      <c r="I42" s="5"/>
      <c r="J42" s="5"/>
      <c r="K42" s="5"/>
      <c r="L42" s="56">
        <f>+L12/L12</f>
        <v>1</v>
      </c>
      <c r="M42" s="5"/>
      <c r="N42" s="5"/>
      <c r="O42" s="5"/>
      <c r="P42" s="56">
        <f>+P12/P12</f>
        <v>1</v>
      </c>
      <c r="Q42" s="5"/>
      <c r="R42" s="5"/>
      <c r="S42" s="5"/>
      <c r="T42" s="56">
        <f>+T12/T12</f>
        <v>1</v>
      </c>
      <c r="U42" s="5"/>
      <c r="V42" s="5"/>
      <c r="W42" s="5"/>
      <c r="X42" s="56">
        <f>+X12/X12</f>
        <v>1</v>
      </c>
      <c r="Y42" s="5"/>
      <c r="Z42" s="5"/>
      <c r="AA42" s="5"/>
      <c r="AB42" s="56">
        <f>+AB12/AB12</f>
        <v>1</v>
      </c>
      <c r="AC42" s="5"/>
      <c r="AD42" s="5"/>
      <c r="AE42" s="5"/>
      <c r="AF42" s="56">
        <f>+AF12/AF12</f>
        <v>1</v>
      </c>
      <c r="AG42" s="5"/>
      <c r="AH42" s="5"/>
      <c r="AI42" s="5"/>
      <c r="AJ42" s="56">
        <f>+AJ12/AJ12</f>
        <v>1</v>
      </c>
      <c r="AK42" s="5"/>
      <c r="AL42" s="5"/>
      <c r="AM42" s="5"/>
      <c r="AN42" s="56">
        <f>+AN12/AN12</f>
        <v>1</v>
      </c>
      <c r="AO42" s="5"/>
      <c r="AP42" s="5"/>
      <c r="AQ42" s="5"/>
      <c r="AR42" s="56">
        <f>+AR12/AR12</f>
        <v>1</v>
      </c>
      <c r="AT42" s="5"/>
      <c r="AU42" s="5"/>
      <c r="AV42" s="56">
        <f>+AV12/AV12</f>
        <v>1</v>
      </c>
      <c r="AX42" s="5"/>
      <c r="AY42" s="5"/>
      <c r="AZ42" s="56">
        <f>+AZ12/AZ12</f>
        <v>1</v>
      </c>
      <c r="BB42" s="5"/>
      <c r="BC42" s="5"/>
      <c r="BD42" s="56">
        <f>+BD12/BD12</f>
        <v>1</v>
      </c>
      <c r="BF42" s="5"/>
      <c r="BG42" s="5"/>
      <c r="BH42" s="56">
        <f>+BH12/BH12</f>
        <v>1</v>
      </c>
    </row>
    <row r="43" spans="1:60" x14ac:dyDescent="0.25">
      <c r="A43" s="5"/>
      <c r="B43" s="5"/>
      <c r="C43" s="5"/>
      <c r="D43" s="5"/>
      <c r="E43" s="5"/>
      <c r="F43" s="56"/>
      <c r="G43" s="5"/>
      <c r="H43" s="5"/>
      <c r="I43" s="5"/>
      <c r="J43" s="5"/>
      <c r="K43" s="5"/>
      <c r="L43" s="56"/>
      <c r="M43" s="5"/>
      <c r="N43" s="5"/>
      <c r="O43" s="5"/>
      <c r="P43" s="5"/>
      <c r="Q43" s="5"/>
      <c r="R43" s="56"/>
      <c r="S43" s="5"/>
      <c r="T43" s="5"/>
      <c r="U43" s="5"/>
      <c r="V43" s="56"/>
      <c r="W43" s="5"/>
      <c r="X43" s="5"/>
      <c r="Y43" s="5"/>
      <c r="Z43" s="56"/>
      <c r="AA43" s="5"/>
      <c r="AB43" s="5"/>
      <c r="AC43" s="5"/>
      <c r="AD43" s="56"/>
      <c r="AE43" s="5"/>
      <c r="AF43" s="5"/>
      <c r="AG43" s="5"/>
      <c r="AH43" s="56"/>
      <c r="AI43" s="5"/>
      <c r="AJ43" s="5"/>
      <c r="AK43" s="5"/>
      <c r="AM43" s="5"/>
      <c r="AN43" s="5"/>
      <c r="AO43" s="5"/>
      <c r="AQ43" s="5"/>
      <c r="AR43" s="5"/>
      <c r="AS43" s="5"/>
      <c r="AU43" s="5"/>
      <c r="AV43" s="5"/>
      <c r="AY43" s="5"/>
      <c r="AZ43" s="5"/>
      <c r="BC43" s="5"/>
      <c r="BD43" s="5"/>
      <c r="BG43" s="5"/>
      <c r="BH43" s="5"/>
    </row>
    <row r="44" spans="1:60" s="1" customFormat="1" x14ac:dyDescent="0.25">
      <c r="A44" s="5" t="s">
        <v>2448</v>
      </c>
      <c r="B44" s="5"/>
      <c r="C44" s="5"/>
      <c r="D44" s="5" t="e">
        <f>+'Net Tuition Summer'!#REF!+'Net Tuition Summer'!#REF!</f>
        <v>#REF!</v>
      </c>
      <c r="E44" s="5"/>
      <c r="F44" s="5"/>
      <c r="G44" s="5"/>
      <c r="H44" s="5">
        <f>+'Net Tuition Summer'!B20+'Net Tuition Summer'!B26</f>
        <v>4621639</v>
      </c>
      <c r="I44" s="5"/>
      <c r="J44" s="5"/>
      <c r="K44" s="5"/>
      <c r="L44" s="5">
        <f>+'Net Tuition Summer'!C20+'Net Tuition Summer'!C26</f>
        <v>4212230</v>
      </c>
      <c r="M44" s="5"/>
      <c r="N44" s="5"/>
      <c r="O44" s="5"/>
      <c r="P44" s="5">
        <f>+'Net Tuition Summer'!D20+'Net Tuition Summer'!D26</f>
        <v>4108505</v>
      </c>
      <c r="Q44" s="5"/>
      <c r="R44" s="5"/>
      <c r="S44" s="5"/>
      <c r="T44" s="5">
        <f>+'Net Tuition Summer'!E20+'Net Tuition Summer'!E26</f>
        <v>3934352.660000002</v>
      </c>
      <c r="U44" s="5"/>
      <c r="V44" s="5"/>
      <c r="W44" s="5"/>
      <c r="X44" s="5">
        <f>+'Net Tuition Summer'!F20+'Net Tuition Summer'!F26</f>
        <v>3583391.5100000002</v>
      </c>
      <c r="Y44" s="5"/>
      <c r="Z44" s="5"/>
      <c r="AA44" s="5"/>
      <c r="AB44" s="5">
        <f>+'Net Tuition Summer'!G20+'Net Tuition Summer'!G26</f>
        <v>3378372.3400000008</v>
      </c>
      <c r="AC44" s="5"/>
      <c r="AD44" s="5"/>
      <c r="AE44" s="5"/>
      <c r="AF44" s="5">
        <f>+'Net Tuition Summer'!H20+'Net Tuition Summer'!H26</f>
        <v>2983323.3199999994</v>
      </c>
      <c r="AG44" s="5"/>
      <c r="AH44" s="5"/>
      <c r="AI44" s="5"/>
      <c r="AJ44" s="5">
        <f>+'Net Tuition Summer'!I20+'Net Tuition Summer'!I26</f>
        <v>4046704.9599999995</v>
      </c>
      <c r="AK44" s="5"/>
      <c r="AL44" s="5"/>
      <c r="AM44" s="5"/>
      <c r="AN44" s="5">
        <f>+'Net Tuition Summer'!J20+'Net Tuition Summer'!J26</f>
        <v>3921392.5499999989</v>
      </c>
      <c r="AO44" s="5"/>
      <c r="AP44" s="5"/>
      <c r="AQ44" s="5"/>
      <c r="AR44" s="5">
        <f>+'Net Tuition Summer'!K20+'Net Tuition Summer'!K26</f>
        <v>2863347.6700000004</v>
      </c>
      <c r="AS44" s="5"/>
      <c r="AT44" s="5"/>
      <c r="AU44" s="5"/>
      <c r="AV44" s="5">
        <f>+'Net Tuition Summer'!L20+'Net Tuition Summer'!L26</f>
        <v>3745875.28</v>
      </c>
      <c r="AX44" s="5"/>
      <c r="AY44" s="5"/>
      <c r="AZ44" s="5">
        <f>+'Net Tuition Summer'!M20+'Net Tuition Summer'!M26</f>
        <v>3416322</v>
      </c>
      <c r="BB44" s="5"/>
      <c r="BC44" s="5"/>
      <c r="BD44" s="5">
        <f>+'Net Tuition Summer'!N20+'Net Tuition Summer'!N26</f>
        <v>3851715</v>
      </c>
      <c r="BF44" s="5"/>
      <c r="BG44" s="5"/>
      <c r="BH44" s="5">
        <f>+'Net Tuition Summer'!O20+'Net Tuition Summer'!O26</f>
        <v>3854730.525258149</v>
      </c>
    </row>
    <row r="45" spans="1:60" s="1" customFormat="1" x14ac:dyDescent="0.25"/>
    <row r="46" spans="1:60" s="1" customFormat="1" x14ac:dyDescent="0.25">
      <c r="A46" s="5" t="s">
        <v>434</v>
      </c>
      <c r="H46" s="1">
        <f>+H$44*H32</f>
        <v>1236087.4663473659</v>
      </c>
      <c r="L46" s="1">
        <f>+L$44*L32</f>
        <v>1118594.8028673835</v>
      </c>
      <c r="P46" s="1">
        <f>+P$44*P32</f>
        <v>934773.22517591866</v>
      </c>
      <c r="T46" s="1">
        <f>+T$44*T32</f>
        <v>623846.74963494833</v>
      </c>
      <c r="X46" s="1">
        <f>+X$44*X32</f>
        <v>536062.51467982051</v>
      </c>
      <c r="AB46" s="1">
        <f>+AB$44*AB32</f>
        <v>677709.63206024107</v>
      </c>
      <c r="AF46" s="1">
        <f>+AF$44*AF32</f>
        <v>690853.27369024395</v>
      </c>
      <c r="AJ46" s="1">
        <f>+AJ$44*AJ32</f>
        <v>979165.63255371735</v>
      </c>
      <c r="AN46" s="1">
        <f>+AN$44*AN32</f>
        <v>651433.16852129425</v>
      </c>
      <c r="AR46" s="1">
        <f>+AR$44*AR32</f>
        <v>400668.33963018499</v>
      </c>
      <c r="AV46" s="1">
        <f>+AV$44*AV32</f>
        <v>491292.27221843012</v>
      </c>
      <c r="AZ46" s="1">
        <f>+AZ$44*AZ32</f>
        <v>441341.26194862899</v>
      </c>
      <c r="BD46" s="1">
        <f>+BD$44*BD32</f>
        <v>473201.4870238594</v>
      </c>
      <c r="BH46" s="1">
        <f>+BH$44*BH32</f>
        <v>564752.88083503244</v>
      </c>
    </row>
    <row r="47" spans="1:60" s="1" customFormat="1" x14ac:dyDescent="0.25">
      <c r="A47" s="5" t="s">
        <v>436</v>
      </c>
      <c r="H47" s="1">
        <f t="shared" ref="H47:H53" si="50">+H$44*H33</f>
        <v>605811.01083942526</v>
      </c>
      <c r="L47" s="1">
        <f t="shared" ref="L47:L53" si="51">+L$44*L33</f>
        <v>538023.51254480286</v>
      </c>
      <c r="P47" s="1">
        <f t="shared" ref="P47:P53" si="52">+P$44*P33</f>
        <v>668154.05785770144</v>
      </c>
      <c r="T47" s="1">
        <f t="shared" ref="T47:T53" si="53">+T$44*T33</f>
        <v>269210.46315397939</v>
      </c>
      <c r="X47" s="1">
        <f t="shared" ref="X47:X53" si="54">+X$44*X33</f>
        <v>256461.56277847532</v>
      </c>
      <c r="AB47" s="1">
        <f t="shared" ref="AB47:AB53" si="55">+AB$44*AB33</f>
        <v>271694.40204216872</v>
      </c>
      <c r="AF47" s="1">
        <f t="shared" ref="AF47:AF53" si="56">+AF$44*AF33</f>
        <v>280445.38832970301</v>
      </c>
      <c r="AJ47" s="1">
        <f t="shared" ref="AJ47:AJ53" si="57">+AJ$44*AJ33</f>
        <v>382047.73010838556</v>
      </c>
      <c r="AN47" s="1">
        <f t="shared" ref="AN47:AN53" si="58">+AN$44*AN33</f>
        <v>516928.12470240699</v>
      </c>
      <c r="AR47" s="1">
        <f t="shared" ref="AR47:AR53" si="59">+AR$44*AR33</f>
        <v>359647.53342995176</v>
      </c>
      <c r="AV47" s="1">
        <f t="shared" ref="AV47:AV53" si="60">+AV$44*AV33</f>
        <v>598682.5532832765</v>
      </c>
      <c r="AZ47" s="1">
        <f t="shared" ref="AZ47:AZ53" si="61">+AZ$44*AZ33</f>
        <v>686078.32079765899</v>
      </c>
      <c r="BD47" s="1">
        <f t="shared" ref="BD47:BD53" si="62">+BD$44*BD33</f>
        <v>792834.17800334876</v>
      </c>
      <c r="BH47" s="1">
        <f t="shared" ref="BH47:BH53" si="63">+BH$44*BH33</f>
        <v>790264.54842364194</v>
      </c>
    </row>
    <row r="48" spans="1:60" s="1" customFormat="1" x14ac:dyDescent="0.25">
      <c r="A48" s="5" t="s">
        <v>437</v>
      </c>
      <c r="H48" s="1">
        <f t="shared" si="50"/>
        <v>186403.38795059238</v>
      </c>
      <c r="L48" s="1">
        <f t="shared" si="51"/>
        <v>277246.8100358423</v>
      </c>
      <c r="P48" s="1">
        <f t="shared" si="52"/>
        <v>77094.698983580922</v>
      </c>
      <c r="T48" s="1">
        <f t="shared" si="53"/>
        <v>9529.5739169550216</v>
      </c>
      <c r="X48" s="1">
        <f t="shared" si="54"/>
        <v>1928.2824269058294</v>
      </c>
      <c r="AB48" s="1">
        <f t="shared" si="55"/>
        <v>4409.5221305220894</v>
      </c>
      <c r="AF48" s="1">
        <f t="shared" si="56"/>
        <v>4446.0854247391944</v>
      </c>
      <c r="AJ48" s="1">
        <f t="shared" si="57"/>
        <v>8464.3001635291876</v>
      </c>
      <c r="AN48" s="1">
        <f t="shared" si="58"/>
        <v>12447.767551362311</v>
      </c>
      <c r="AR48" s="1">
        <f t="shared" si="59"/>
        <v>953.97223721472619</v>
      </c>
      <c r="AV48" s="1">
        <f t="shared" si="60"/>
        <v>8401.280491467578</v>
      </c>
      <c r="AZ48" s="1">
        <f t="shared" si="61"/>
        <v>1481.010946136339</v>
      </c>
      <c r="BD48" s="1">
        <f t="shared" si="62"/>
        <v>3224.5416492256172</v>
      </c>
      <c r="BH48" s="1">
        <f t="shared" si="63"/>
        <v>0</v>
      </c>
    </row>
    <row r="49" spans="1:60" s="1" customFormat="1" x14ac:dyDescent="0.25">
      <c r="A49" s="5" t="s">
        <v>81</v>
      </c>
      <c r="H49" s="1">
        <f t="shared" si="50"/>
        <v>1695105.8091756995</v>
      </c>
      <c r="L49" s="1">
        <f t="shared" si="51"/>
        <v>1476819.6415770608</v>
      </c>
      <c r="P49" s="1">
        <f t="shared" si="52"/>
        <v>1374855.4652071933</v>
      </c>
      <c r="T49" s="1">
        <f t="shared" si="53"/>
        <v>2084594.294333911</v>
      </c>
      <c r="X49" s="1">
        <f t="shared" si="54"/>
        <v>1857257.3575147979</v>
      </c>
      <c r="AB49" s="1">
        <f t="shared" si="55"/>
        <v>1551134.2079136549</v>
      </c>
      <c r="AF49" s="1">
        <f t="shared" si="56"/>
        <v>1373840.3962444109</v>
      </c>
      <c r="AJ49" s="1">
        <f t="shared" si="57"/>
        <v>1638996.3043924698</v>
      </c>
      <c r="AN49" s="1">
        <f t="shared" si="58"/>
        <v>1607145.0994092226</v>
      </c>
      <c r="AR49" s="1">
        <f t="shared" si="59"/>
        <v>1330791.270914543</v>
      </c>
      <c r="AV49" s="1">
        <f t="shared" si="60"/>
        <v>1641902.4264846416</v>
      </c>
      <c r="AZ49" s="1">
        <f t="shared" si="61"/>
        <v>1424362.2774466239</v>
      </c>
      <c r="BD49" s="1">
        <f t="shared" si="62"/>
        <v>1629602.7359773961</v>
      </c>
      <c r="BH49" s="1">
        <f t="shared" si="63"/>
        <v>1557938.9816138826</v>
      </c>
    </row>
    <row r="50" spans="1:60" s="1" customFormat="1" x14ac:dyDescent="0.25">
      <c r="A50" s="5" t="s">
        <v>440</v>
      </c>
      <c r="H50" s="1">
        <f t="shared" si="50"/>
        <v>118832.15981850264</v>
      </c>
      <c r="L50" s="1">
        <f t="shared" si="51"/>
        <v>138623.40501792115</v>
      </c>
      <c r="P50" s="1">
        <f t="shared" si="52"/>
        <v>125278.885848319</v>
      </c>
      <c r="T50" s="1">
        <f t="shared" si="53"/>
        <v>479882.11510380643</v>
      </c>
      <c r="X50" s="1">
        <f t="shared" si="54"/>
        <v>462145.02164843038</v>
      </c>
      <c r="AB50" s="1">
        <f t="shared" si="55"/>
        <v>392786.66362650611</v>
      </c>
      <c r="AF50" s="1">
        <f t="shared" si="56"/>
        <v>206913.97553593942</v>
      </c>
      <c r="AJ50" s="1">
        <f t="shared" si="57"/>
        <v>504395.34156303474</v>
      </c>
      <c r="AN50" s="1">
        <f t="shared" si="58"/>
        <v>514853.49677718</v>
      </c>
      <c r="AR50" s="1">
        <f t="shared" si="59"/>
        <v>269735.65007246379</v>
      </c>
      <c r="AV50" s="1">
        <f t="shared" si="60"/>
        <v>337512.31191808876</v>
      </c>
      <c r="AZ50" s="1">
        <f t="shared" si="61"/>
        <v>312493.30963476753</v>
      </c>
      <c r="BD50" s="1">
        <f t="shared" si="62"/>
        <v>407098.38321473415</v>
      </c>
      <c r="BH50" s="1">
        <f t="shared" si="63"/>
        <v>350536.27086312359</v>
      </c>
    </row>
    <row r="51" spans="1:60" s="1" customFormat="1" x14ac:dyDescent="0.25">
      <c r="A51" s="5" t="s">
        <v>85</v>
      </c>
      <c r="H51" s="1">
        <f t="shared" si="50"/>
        <v>101356.84219813462</v>
      </c>
      <c r="L51" s="1">
        <f t="shared" si="51"/>
        <v>148230.96774193546</v>
      </c>
      <c r="P51" s="1">
        <f t="shared" si="52"/>
        <v>77094.698983580922</v>
      </c>
      <c r="T51" s="1">
        <f t="shared" si="53"/>
        <v>9189.2319913494866</v>
      </c>
      <c r="X51" s="1">
        <f t="shared" si="54"/>
        <v>4177.9452582959639</v>
      </c>
      <c r="AB51" s="1">
        <f t="shared" si="55"/>
        <v>0</v>
      </c>
      <c r="AF51" s="1">
        <f t="shared" si="56"/>
        <v>11286.216847414877</v>
      </c>
      <c r="AJ51" s="1">
        <f t="shared" si="57"/>
        <v>18467.563993154588</v>
      </c>
      <c r="AN51" s="1">
        <f t="shared" si="58"/>
        <v>33539.818124503996</v>
      </c>
      <c r="AR51" s="1">
        <f t="shared" si="59"/>
        <v>4531.3681267699485</v>
      </c>
      <c r="AV51" s="1">
        <f t="shared" si="60"/>
        <v>3287.4575836177478</v>
      </c>
      <c r="AZ51" s="1">
        <f t="shared" si="61"/>
        <v>1110.7582096022543</v>
      </c>
      <c r="BD51" s="1">
        <f t="shared" si="62"/>
        <v>403.06770615320215</v>
      </c>
      <c r="BH51" s="1">
        <f t="shared" si="63"/>
        <v>11684.542362104119</v>
      </c>
    </row>
    <row r="52" spans="1:60" s="1" customFormat="1" x14ac:dyDescent="0.25">
      <c r="A52" s="5" t="s">
        <v>87</v>
      </c>
      <c r="H52" s="1">
        <f t="shared" si="50"/>
        <v>658236.9637005293</v>
      </c>
      <c r="L52" s="1">
        <f t="shared" si="51"/>
        <v>484495.66308243724</v>
      </c>
      <c r="P52" s="1">
        <f t="shared" si="52"/>
        <v>549299.73025801417</v>
      </c>
      <c r="T52" s="1">
        <f t="shared" si="53"/>
        <v>399561.42066089989</v>
      </c>
      <c r="X52" s="1">
        <f t="shared" si="54"/>
        <v>408474.49409955152</v>
      </c>
      <c r="AB52" s="1">
        <f t="shared" si="55"/>
        <v>439934.63102208846</v>
      </c>
      <c r="AF52" s="1">
        <f t="shared" si="56"/>
        <v>404593.77365126659</v>
      </c>
      <c r="AJ52" s="1">
        <f t="shared" si="57"/>
        <v>509781.71439437149</v>
      </c>
      <c r="AN52" s="1">
        <f t="shared" si="58"/>
        <v>519002.75262763409</v>
      </c>
      <c r="AR52" s="1">
        <f t="shared" si="59"/>
        <v>445505.03477927711</v>
      </c>
      <c r="AV52" s="1">
        <f t="shared" si="60"/>
        <v>542430.50129692839</v>
      </c>
      <c r="AZ52" s="1">
        <f t="shared" si="61"/>
        <v>432084.94353527686</v>
      </c>
      <c r="BD52" s="1">
        <f t="shared" si="62"/>
        <v>432491.64870238595</v>
      </c>
      <c r="BH52" s="1">
        <f t="shared" si="63"/>
        <v>417917.13181792403</v>
      </c>
    </row>
    <row r="53" spans="1:60" s="1" customFormat="1" x14ac:dyDescent="0.25">
      <c r="A53" s="5" t="s">
        <v>447</v>
      </c>
      <c r="H53" s="1">
        <f t="shared" si="50"/>
        <v>19805.35996975044</v>
      </c>
      <c r="L53" s="1">
        <f t="shared" si="51"/>
        <v>30195.197132616482</v>
      </c>
      <c r="P53" s="1">
        <f t="shared" si="52"/>
        <v>301954.23768569191</v>
      </c>
      <c r="T53" s="1">
        <f t="shared" si="53"/>
        <v>58538.811204152276</v>
      </c>
      <c r="X53" s="1">
        <f t="shared" si="54"/>
        <v>56884.33159372196</v>
      </c>
      <c r="AB53" s="1">
        <f t="shared" si="55"/>
        <v>40703.281204819286</v>
      </c>
      <c r="AF53" s="1">
        <f t="shared" si="56"/>
        <v>10944.210276281092</v>
      </c>
      <c r="AJ53" s="1">
        <f t="shared" si="57"/>
        <v>5386.3728313367546</v>
      </c>
      <c r="AN53" s="1">
        <f t="shared" si="58"/>
        <v>66042.322286394468</v>
      </c>
      <c r="AR53" s="1">
        <f t="shared" si="59"/>
        <v>51514.500809595207</v>
      </c>
      <c r="AV53" s="1">
        <f t="shared" si="60"/>
        <v>122366.47672354949</v>
      </c>
      <c r="AZ53" s="1">
        <f t="shared" si="61"/>
        <v>117370.11748130489</v>
      </c>
      <c r="BD53" s="1">
        <f t="shared" si="62"/>
        <v>112858.95772289661</v>
      </c>
      <c r="BH53" s="1">
        <f t="shared" si="63"/>
        <v>161636.16934244032</v>
      </c>
    </row>
    <row r="54" spans="1:60" s="1" customFormat="1" x14ac:dyDescent="0.25">
      <c r="A54" s="5"/>
      <c r="H54" s="32">
        <f>SUM(H46:H53)</f>
        <v>4621639</v>
      </c>
      <c r="L54" s="32">
        <f>SUM(L46:L53)</f>
        <v>4212230</v>
      </c>
      <c r="P54" s="32">
        <f>SUM(P46:P53)</f>
        <v>4108505.0000000005</v>
      </c>
      <c r="T54" s="32">
        <f>SUM(T46:T53)</f>
        <v>3934352.660000002</v>
      </c>
      <c r="X54" s="32">
        <f>SUM(X46:X53)</f>
        <v>3583391.5099999993</v>
      </c>
      <c r="AB54" s="32">
        <f>SUM(AB46:AB53)</f>
        <v>3378372.3400000003</v>
      </c>
      <c r="AF54" s="32">
        <f>SUM(AF46:AF53)</f>
        <v>2983323.3199999989</v>
      </c>
      <c r="AJ54" s="32">
        <f>SUM(AJ46:AJ53)</f>
        <v>4046704.9599999995</v>
      </c>
      <c r="AN54" s="32">
        <f>SUM(AN46:AN53)</f>
        <v>3921392.5499999984</v>
      </c>
      <c r="AR54" s="32">
        <f>SUM(AR46:AR53)</f>
        <v>2863347.6700000004</v>
      </c>
      <c r="AV54" s="32">
        <f>SUM(AV46:AV53)</f>
        <v>3745875.28</v>
      </c>
      <c r="AZ54" s="32">
        <f>SUM(AZ46:AZ53)</f>
        <v>3416322</v>
      </c>
      <c r="BD54" s="32">
        <f>SUM(BD46:BD53)</f>
        <v>3851715</v>
      </c>
      <c r="BH54" s="32">
        <f>SUM(BH46:BH53)</f>
        <v>3854730.525258149</v>
      </c>
    </row>
    <row r="55" spans="1:60" s="1" customFormat="1" x14ac:dyDescent="0.25">
      <c r="A55" s="5"/>
    </row>
    <row r="56" spans="1:60" s="1" customFormat="1" x14ac:dyDescent="0.25">
      <c r="A56" s="5" t="s">
        <v>91</v>
      </c>
      <c r="L56" s="1">
        <f>+'Net Tuition Summer'!C27+'Net Tuition Summer'!C21</f>
        <v>261888</v>
      </c>
      <c r="P56" s="1">
        <f>+'Net Tuition Summer'!D27+'Net Tuition Summer'!D21</f>
        <v>214561</v>
      </c>
      <c r="T56" s="1">
        <f>+'Net Tuition Summer'!E27+'Net Tuition Summer'!E21</f>
        <v>186707.65</v>
      </c>
      <c r="X56" s="1">
        <f>+'Net Tuition Summer'!F27+'Net Tuition Summer'!F21</f>
        <v>145542.99999999994</v>
      </c>
      <c r="AB56" s="1">
        <f>+'Net Tuition Summer'!G27+'Net Tuition Summer'!G21</f>
        <v>148686.50000000003</v>
      </c>
      <c r="AF56" s="1">
        <f>+'Net Tuition Summer'!H27+'Net Tuition Summer'!H21</f>
        <v>114699.3</v>
      </c>
      <c r="AJ56" s="1">
        <f>+'Net Tuition Summer'!I27+'Net Tuition Summer'!I21</f>
        <v>182863.35</v>
      </c>
      <c r="AN56" s="1">
        <f>+'Net Tuition Summer'!J27+'Net Tuition Summer'!J21</f>
        <v>195708.57999999996</v>
      </c>
      <c r="AR56" s="1">
        <f>+'Net Tuition Summer'!K21+'Net Tuition Summer'!K27</f>
        <v>130391.90000000004</v>
      </c>
      <c r="AV56" s="1">
        <f>+'Net Tuition Summer'!L21+'Net Tuition Summer'!L27</f>
        <v>204409</v>
      </c>
      <c r="AZ56" s="1">
        <f>+'Net Tuition Summer'!M21+'Net Tuition Summer'!M27</f>
        <v>187480</v>
      </c>
      <c r="BD56" s="1">
        <f>+'Net Tuition Summer'!N21+'Net Tuition Summer'!N27</f>
        <v>284963</v>
      </c>
      <c r="BH56" s="1">
        <f>+'Net Tuition Summer'!O21+'Net Tuition Summer'!O27</f>
        <v>252524.23751635355</v>
      </c>
    </row>
    <row r="57" spans="1:60" s="1" customFormat="1" x14ac:dyDescent="0.25"/>
    <row r="58" spans="1:60" x14ac:dyDescent="0.25">
      <c r="H58" s="19">
        <f>SUM(H54:H57)</f>
        <v>4621639</v>
      </c>
      <c r="L58" s="19">
        <f>SUM(L54:L57)</f>
        <v>4474118</v>
      </c>
      <c r="P58" s="19">
        <f>SUM(P54:P57)</f>
        <v>4323066</v>
      </c>
      <c r="T58" s="19">
        <f>SUM(T54:T57)</f>
        <v>4121060.3100000019</v>
      </c>
      <c r="X58" s="19">
        <f>SUM(X54:X57)</f>
        <v>3728934.5099999993</v>
      </c>
      <c r="AB58" s="19">
        <f>SUM(AB54:AB57)</f>
        <v>3527058.8400000003</v>
      </c>
      <c r="AF58" s="19">
        <f>SUM(AF54:AF57)</f>
        <v>3098022.6199999987</v>
      </c>
      <c r="AJ58" s="19">
        <f>SUM(AJ54:AJ57)</f>
        <v>4229568.3099999996</v>
      </c>
      <c r="AN58" s="19">
        <f>SUM(AN54:AN57)</f>
        <v>4117101.1299999985</v>
      </c>
      <c r="AR58" s="19">
        <f>SUM(AR54:AR57)</f>
        <v>2993739.5700000003</v>
      </c>
      <c r="AV58" s="19">
        <f>SUM(AV54:AV57)</f>
        <v>3950284.28</v>
      </c>
      <c r="AZ58" s="19">
        <f>SUM(AZ54:AZ57)</f>
        <v>3603802</v>
      </c>
      <c r="BC58" s="1"/>
      <c r="BD58" s="19">
        <f>SUM(BD54:BD57)</f>
        <v>4136678</v>
      </c>
      <c r="BG58" s="1"/>
      <c r="BH58" s="19">
        <f>SUM(BH54:BH57)</f>
        <v>4107254.7627745024</v>
      </c>
    </row>
  </sheetData>
  <pageMargins left="0.2" right="0.2" top="0.25" bottom="0.25" header="0.3" footer="0.3"/>
  <pageSetup paperSize="5" scale="3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1"/>
  <sheetViews>
    <sheetView workbookViewId="0">
      <pane xSplit="1" ySplit="1" topLeftCell="Y2" activePane="bottomRight" state="frozen"/>
      <selection pane="topRight" activeCell="B39" sqref="B39"/>
      <selection pane="bottomLeft" activeCell="B39" sqref="B39"/>
      <selection pane="bottomRight" activeCell="AA6" sqref="AA6"/>
    </sheetView>
  </sheetViews>
  <sheetFormatPr defaultColWidth="17.5703125" defaultRowHeight="15" x14ac:dyDescent="0.25"/>
  <cols>
    <col min="1" max="1" width="42.42578125" style="1" bestFit="1" customWidth="1"/>
    <col min="2" max="24" width="17.5703125" style="1"/>
    <col min="25" max="27" width="20.140625" style="1" bestFit="1" customWidth="1"/>
    <col min="28" max="30" width="17.5703125" style="1"/>
    <col min="31" max="35" width="17.5703125" style="14"/>
    <col min="36" max="36" width="3.85546875" style="1" customWidth="1"/>
    <col min="37" max="37" width="23" style="1" bestFit="1" customWidth="1"/>
    <col min="38" max="16384" width="17.5703125" style="1"/>
  </cols>
  <sheetData>
    <row r="1" spans="1:37" s="100" customFormat="1" x14ac:dyDescent="0.25">
      <c r="B1" s="100" t="s">
        <v>2854</v>
      </c>
      <c r="C1" s="100" t="s">
        <v>2855</v>
      </c>
      <c r="D1" s="100" t="s">
        <v>2856</v>
      </c>
      <c r="E1" s="100" t="s">
        <v>2857</v>
      </c>
      <c r="F1" s="100" t="s">
        <v>2753</v>
      </c>
      <c r="G1" s="100" t="s">
        <v>2754</v>
      </c>
      <c r="H1" s="100" t="s">
        <v>2757</v>
      </c>
      <c r="I1" s="100" t="s">
        <v>2758</v>
      </c>
      <c r="J1" s="100" t="s">
        <v>2761</v>
      </c>
      <c r="K1" s="100" t="s">
        <v>2762</v>
      </c>
      <c r="L1" s="100" t="s">
        <v>2765</v>
      </c>
      <c r="M1" s="100" t="s">
        <v>2766</v>
      </c>
      <c r="N1" s="100" t="s">
        <v>2769</v>
      </c>
      <c r="O1" s="100" t="s">
        <v>2770</v>
      </c>
      <c r="P1" s="100" t="s">
        <v>2773</v>
      </c>
      <c r="Q1" s="100" t="s">
        <v>2774</v>
      </c>
      <c r="R1" s="100" t="s">
        <v>2777</v>
      </c>
      <c r="S1" s="100" t="s">
        <v>2778</v>
      </c>
      <c r="T1" s="100" t="s">
        <v>2781</v>
      </c>
      <c r="U1" s="100" t="s">
        <v>2782</v>
      </c>
      <c r="V1" s="100" t="s">
        <v>2785</v>
      </c>
      <c r="W1" s="100" t="s">
        <v>2786</v>
      </c>
      <c r="X1" s="100" t="s">
        <v>2789</v>
      </c>
      <c r="Y1" s="185" t="s">
        <v>2790</v>
      </c>
      <c r="Z1" s="185" t="s">
        <v>2793</v>
      </c>
      <c r="AA1" s="185" t="s">
        <v>2858</v>
      </c>
      <c r="AB1" s="100" t="s">
        <v>2797</v>
      </c>
      <c r="AC1" s="100" t="s">
        <v>2798</v>
      </c>
      <c r="AD1" s="100" t="s">
        <v>2859</v>
      </c>
      <c r="AE1" s="346" t="s">
        <v>2860</v>
      </c>
      <c r="AF1" s="346" t="s">
        <v>2861</v>
      </c>
      <c r="AG1" s="346" t="s">
        <v>2862</v>
      </c>
      <c r="AH1" s="346" t="s">
        <v>2863</v>
      </c>
      <c r="AI1" s="346" t="s">
        <v>2864</v>
      </c>
    </row>
    <row r="2" spans="1:37" x14ac:dyDescent="0.25">
      <c r="A2" s="1" t="s">
        <v>434</v>
      </c>
      <c r="B2" s="31">
        <v>11985</v>
      </c>
      <c r="C2" s="31">
        <v>11836</v>
      </c>
      <c r="D2" s="31">
        <v>12465</v>
      </c>
      <c r="E2" s="31">
        <v>13218</v>
      </c>
      <c r="F2" s="31">
        <v>13337</v>
      </c>
      <c r="G2" s="31">
        <v>12841</v>
      </c>
      <c r="H2" s="31">
        <v>13145</v>
      </c>
      <c r="I2" s="31">
        <v>13211</v>
      </c>
      <c r="J2" s="31">
        <v>13026</v>
      </c>
      <c r="K2" s="31">
        <v>12450</v>
      </c>
      <c r="L2" s="31">
        <v>11927</v>
      </c>
      <c r="M2" s="31">
        <v>12256</v>
      </c>
      <c r="N2" s="289">
        <v>11935.596666666666</v>
      </c>
      <c r="O2" s="289">
        <v>13090.546666666667</v>
      </c>
      <c r="P2" s="289">
        <v>13076.249523809523</v>
      </c>
      <c r="Q2" s="289">
        <v>13094.568433333336</v>
      </c>
      <c r="R2" s="289">
        <v>12849.320000000002</v>
      </c>
      <c r="S2" s="289">
        <v>11905.164173765248</v>
      </c>
      <c r="T2" s="289">
        <v>12274.870099999996</v>
      </c>
      <c r="U2" s="289">
        <v>11885.305833333332</v>
      </c>
      <c r="V2" s="289">
        <v>11396.122833333335</v>
      </c>
      <c r="W2" s="289">
        <v>10295.499600000001</v>
      </c>
      <c r="X2" s="289">
        <v>6269.8315254237286</v>
      </c>
      <c r="Y2" s="289">
        <v>5968.7006666666657</v>
      </c>
      <c r="Z2" s="289">
        <v>5758.7400000000007</v>
      </c>
      <c r="AA2" s="289">
        <v>5408.7499333333335</v>
      </c>
      <c r="AB2" s="289">
        <v>5356</v>
      </c>
      <c r="AC2" s="289">
        <v>4561</v>
      </c>
      <c r="AD2" s="289">
        <v>4613</v>
      </c>
      <c r="AE2" s="289">
        <v>4561</v>
      </c>
      <c r="AF2" s="289">
        <v>4529</v>
      </c>
      <c r="AG2" s="289">
        <v>4319</v>
      </c>
      <c r="AH2" s="289">
        <v>4566.3662974683539</v>
      </c>
      <c r="AI2" s="289">
        <v>4354.6337025316452</v>
      </c>
      <c r="AK2" s="289" t="s">
        <v>2865</v>
      </c>
    </row>
    <row r="3" spans="1:37" x14ac:dyDescent="0.25">
      <c r="A3" s="1" t="s">
        <v>436</v>
      </c>
      <c r="B3" s="31">
        <v>9258</v>
      </c>
      <c r="C3" s="31">
        <v>9421</v>
      </c>
      <c r="D3" s="31">
        <v>9521</v>
      </c>
      <c r="E3" s="31">
        <v>9344</v>
      </c>
      <c r="F3" s="31">
        <v>9834</v>
      </c>
      <c r="G3" s="31">
        <v>9911</v>
      </c>
      <c r="H3" s="31">
        <v>10164</v>
      </c>
      <c r="I3" s="31">
        <v>10004</v>
      </c>
      <c r="J3" s="31">
        <v>9687</v>
      </c>
      <c r="K3" s="31">
        <v>9668</v>
      </c>
      <c r="L3" s="31">
        <v>9572</v>
      </c>
      <c r="M3" s="31">
        <v>9295</v>
      </c>
      <c r="N3" s="289">
        <v>9631.8596190476183</v>
      </c>
      <c r="O3" s="289">
        <v>9929.6994904761923</v>
      </c>
      <c r="P3" s="289">
        <v>9654.4118714285723</v>
      </c>
      <c r="Q3" s="289">
        <v>9444.9447657142828</v>
      </c>
      <c r="R3" s="289">
        <v>9339.9145142857142</v>
      </c>
      <c r="S3" s="289">
        <v>9335.0811787042567</v>
      </c>
      <c r="T3" s="289">
        <v>9413.6763952380952</v>
      </c>
      <c r="U3" s="289">
        <v>9337.6547142857144</v>
      </c>
      <c r="V3" s="289">
        <v>9514.0382428571447</v>
      </c>
      <c r="W3" s="289">
        <v>8997.7548285714292</v>
      </c>
      <c r="X3" s="289">
        <v>13101.477866004843</v>
      </c>
      <c r="Y3" s="289">
        <v>12232.76933333333</v>
      </c>
      <c r="Z3" s="289">
        <v>13633.82273899439</v>
      </c>
      <c r="AA3" s="289">
        <v>12404.241167654825</v>
      </c>
      <c r="AB3" s="289">
        <v>13157</v>
      </c>
      <c r="AC3" s="289">
        <v>12490</v>
      </c>
      <c r="AD3" s="289">
        <v>12876</v>
      </c>
      <c r="AE3" s="289">
        <v>11353</v>
      </c>
      <c r="AF3" s="289">
        <v>12201</v>
      </c>
      <c r="AG3" s="289">
        <v>10879</v>
      </c>
      <c r="AH3" s="289">
        <v>13236.076169844022</v>
      </c>
      <c r="AI3" s="289">
        <v>11801.923830155978</v>
      </c>
    </row>
    <row r="4" spans="1:37" x14ac:dyDescent="0.25">
      <c r="A4" s="160" t="s">
        <v>2866</v>
      </c>
      <c r="B4" s="31">
        <v>3960</v>
      </c>
      <c r="C4" s="31">
        <v>4175</v>
      </c>
      <c r="D4" s="31">
        <v>4795</v>
      </c>
      <c r="E4" s="31">
        <v>4591</v>
      </c>
      <c r="F4" s="31">
        <v>5717</v>
      </c>
      <c r="G4" s="31">
        <v>5144</v>
      </c>
      <c r="H4" s="31">
        <v>5646</v>
      </c>
      <c r="I4" s="31">
        <v>5322</v>
      </c>
      <c r="J4" s="31">
        <v>5792</v>
      </c>
      <c r="K4" s="31">
        <v>5108</v>
      </c>
      <c r="L4" s="31">
        <v>4862</v>
      </c>
      <c r="M4" s="31">
        <v>4796</v>
      </c>
      <c r="N4" s="289">
        <v>5678.2200000000012</v>
      </c>
      <c r="O4" s="289">
        <v>4739.8</v>
      </c>
      <c r="P4" s="289">
        <v>5288.4500000000007</v>
      </c>
      <c r="Q4" s="289">
        <v>4737.3500000000004</v>
      </c>
      <c r="R4" s="289">
        <v>4967</v>
      </c>
      <c r="S4" s="289">
        <v>4803.46</v>
      </c>
      <c r="T4" s="289">
        <v>4582.5</v>
      </c>
      <c r="U4" s="289">
        <v>4899.3036000000002</v>
      </c>
      <c r="V4" s="289">
        <v>4997.5271000000012</v>
      </c>
      <c r="W4" s="289">
        <v>5153.5</v>
      </c>
      <c r="X4" s="289">
        <v>5492.0000000000009</v>
      </c>
      <c r="Y4" s="289">
        <v>6059.4950000000008</v>
      </c>
      <c r="Z4" s="289">
        <v>5744.9000000000015</v>
      </c>
      <c r="AA4" s="289">
        <v>5621.6066666666666</v>
      </c>
      <c r="AB4" s="289">
        <f>5642+574</f>
        <v>6216</v>
      </c>
      <c r="AC4" s="289">
        <f>5119+612</f>
        <v>5731</v>
      </c>
      <c r="AD4" s="289">
        <f>5605+560</f>
        <v>6165</v>
      </c>
      <c r="AE4" s="289">
        <f>5042+564</f>
        <v>5606</v>
      </c>
      <c r="AF4" s="289">
        <f>6383+670</f>
        <v>7053</v>
      </c>
      <c r="AG4" s="289">
        <f>4798+611</f>
        <v>5409</v>
      </c>
      <c r="AH4" s="289">
        <v>7678.9523350987001</v>
      </c>
      <c r="AI4" s="289">
        <v>5889.0476649012999</v>
      </c>
    </row>
    <row r="5" spans="1:37" x14ac:dyDescent="0.25">
      <c r="A5" s="1" t="s">
        <v>81</v>
      </c>
      <c r="B5" s="31">
        <v>90535</v>
      </c>
      <c r="C5" s="31">
        <v>86249</v>
      </c>
      <c r="D5" s="31">
        <v>91895</v>
      </c>
      <c r="E5" s="31">
        <v>90548</v>
      </c>
      <c r="F5" s="31">
        <v>95020</v>
      </c>
      <c r="G5" s="31">
        <v>91472</v>
      </c>
      <c r="H5" s="31">
        <v>93665</v>
      </c>
      <c r="I5" s="31">
        <v>88455</v>
      </c>
      <c r="J5" s="31">
        <v>86955</v>
      </c>
      <c r="K5" s="31">
        <v>81036</v>
      </c>
      <c r="L5" s="31">
        <v>81562</v>
      </c>
      <c r="M5" s="31">
        <v>73653</v>
      </c>
      <c r="N5" s="289">
        <v>79289.5775703463</v>
      </c>
      <c r="O5" s="289">
        <v>73857.981042857122</v>
      </c>
      <c r="P5" s="289">
        <v>72888.871904761894</v>
      </c>
      <c r="Q5" s="289">
        <v>67921.775380952386</v>
      </c>
      <c r="R5" s="289">
        <v>66586.479802380971</v>
      </c>
      <c r="S5" s="289">
        <v>60833.589480863826</v>
      </c>
      <c r="T5" s="289">
        <v>65286.303038095255</v>
      </c>
      <c r="U5" s="289">
        <v>56379.541619047617</v>
      </c>
      <c r="V5" s="289">
        <v>55065.261723809526</v>
      </c>
      <c r="W5" s="289">
        <v>46427.324004761904</v>
      </c>
      <c r="X5" s="289">
        <v>49641.577808571434</v>
      </c>
      <c r="Y5" s="289">
        <v>43254.540722141741</v>
      </c>
      <c r="Z5" s="289">
        <v>44698.521661922437</v>
      </c>
      <c r="AA5" s="289">
        <v>39429.50992122708</v>
      </c>
      <c r="AB5" s="289">
        <v>45221</v>
      </c>
      <c r="AC5" s="289">
        <v>40360</v>
      </c>
      <c r="AD5" s="289">
        <v>45229</v>
      </c>
      <c r="AE5" s="289">
        <v>41187</v>
      </c>
      <c r="AF5" s="289">
        <v>45207</v>
      </c>
      <c r="AG5" s="289">
        <v>42077</v>
      </c>
      <c r="AH5" s="289">
        <v>45667.957678383209</v>
      </c>
      <c r="AI5" s="289">
        <f>42506.0423216168-18</f>
        <v>42488.042321616798</v>
      </c>
    </row>
    <row r="6" spans="1:37" x14ac:dyDescent="0.25">
      <c r="A6" s="1" t="s">
        <v>440</v>
      </c>
      <c r="B6" s="31">
        <v>17170</v>
      </c>
      <c r="C6" s="31">
        <v>16801</v>
      </c>
      <c r="D6" s="31">
        <v>17752</v>
      </c>
      <c r="E6" s="31">
        <v>16532</v>
      </c>
      <c r="F6" s="31">
        <v>17415</v>
      </c>
      <c r="G6" s="31">
        <v>16981</v>
      </c>
      <c r="H6" s="31">
        <v>15776</v>
      </c>
      <c r="I6" s="31">
        <v>15864</v>
      </c>
      <c r="J6" s="31">
        <v>14644</v>
      </c>
      <c r="K6" s="31">
        <v>15242</v>
      </c>
      <c r="L6" s="31">
        <v>14650</v>
      </c>
      <c r="M6" s="31">
        <v>14764</v>
      </c>
      <c r="N6" s="289">
        <v>15351.800000000003</v>
      </c>
      <c r="O6" s="289">
        <v>16182.75</v>
      </c>
      <c r="P6" s="289">
        <v>15058.723333333332</v>
      </c>
      <c r="Q6" s="289">
        <v>15563.351666666667</v>
      </c>
      <c r="R6" s="289">
        <v>14437.666666666666</v>
      </c>
      <c r="S6" s="289">
        <v>14805.500199999999</v>
      </c>
      <c r="T6" s="289">
        <v>13883.75</v>
      </c>
      <c r="U6" s="289">
        <v>14376</v>
      </c>
      <c r="V6" s="289">
        <v>14045.175733333333</v>
      </c>
      <c r="W6" s="289">
        <v>12950.495999999997</v>
      </c>
      <c r="X6" s="289">
        <v>12734</v>
      </c>
      <c r="Y6" s="289">
        <v>12324.25</v>
      </c>
      <c r="Z6" s="289">
        <v>10827.1</v>
      </c>
      <c r="AA6" s="289">
        <v>10423.499999999998</v>
      </c>
      <c r="AB6" s="289">
        <v>10977</v>
      </c>
      <c r="AC6" s="289">
        <v>10951</v>
      </c>
      <c r="AD6" s="289">
        <v>11378</v>
      </c>
      <c r="AE6" s="289">
        <v>11026</v>
      </c>
      <c r="AF6" s="289">
        <v>12517</v>
      </c>
      <c r="AG6" s="289">
        <v>11938</v>
      </c>
      <c r="AH6" s="289">
        <v>13071.320629728072</v>
      </c>
      <c r="AI6" s="289">
        <v>12466.679370271928</v>
      </c>
    </row>
    <row r="7" spans="1:37" x14ac:dyDescent="0.25">
      <c r="A7" s="1" t="s">
        <v>85</v>
      </c>
      <c r="B7" s="31">
        <v>437</v>
      </c>
      <c r="C7" s="31">
        <v>306</v>
      </c>
      <c r="D7" s="31">
        <v>421</v>
      </c>
      <c r="E7" s="31">
        <v>303</v>
      </c>
      <c r="F7" s="31">
        <v>400</v>
      </c>
      <c r="G7" s="31">
        <v>372</v>
      </c>
      <c r="H7" s="31">
        <v>649</v>
      </c>
      <c r="I7" s="31">
        <v>672</v>
      </c>
      <c r="J7" s="31">
        <v>680</v>
      </c>
      <c r="K7" s="31">
        <v>466</v>
      </c>
      <c r="L7" s="31">
        <v>759</v>
      </c>
      <c r="M7" s="31">
        <v>691</v>
      </c>
      <c r="N7" s="289">
        <v>920.27272727272714</v>
      </c>
      <c r="O7" s="289">
        <v>630.0150000000001</v>
      </c>
      <c r="P7" s="289">
        <v>755.75</v>
      </c>
      <c r="Q7" s="289">
        <v>601</v>
      </c>
      <c r="R7" s="289">
        <v>646.04999999999995</v>
      </c>
      <c r="S7" s="289">
        <v>588.5</v>
      </c>
      <c r="T7" s="289">
        <v>599.25</v>
      </c>
      <c r="U7" s="289">
        <v>838.5</v>
      </c>
      <c r="V7" s="289">
        <v>1873.3766666666666</v>
      </c>
      <c r="W7" s="289">
        <v>741.00000000000011</v>
      </c>
      <c r="X7" s="289">
        <v>746.08624999999995</v>
      </c>
      <c r="Y7" s="289">
        <v>965.13333333333344</v>
      </c>
      <c r="Z7" s="289">
        <v>1057</v>
      </c>
      <c r="AA7" s="289">
        <v>774.625</v>
      </c>
      <c r="AB7" s="289">
        <v>1378</v>
      </c>
      <c r="AC7" s="289">
        <v>780</v>
      </c>
      <c r="AD7" s="289">
        <v>1141</v>
      </c>
      <c r="AE7" s="289">
        <v>935</v>
      </c>
      <c r="AF7" s="289">
        <v>1809</v>
      </c>
      <c r="AG7" s="289">
        <v>1386</v>
      </c>
      <c r="AH7" s="289">
        <v>1698.5915492957747</v>
      </c>
      <c r="AI7" s="289">
        <v>1301.4084507042253</v>
      </c>
    </row>
    <row r="8" spans="1:37" x14ac:dyDescent="0.25">
      <c r="A8" s="1" t="s">
        <v>87</v>
      </c>
      <c r="B8" s="31">
        <v>12361</v>
      </c>
      <c r="C8" s="31">
        <v>13000</v>
      </c>
      <c r="D8" s="31">
        <v>13145</v>
      </c>
      <c r="E8" s="31">
        <v>13202</v>
      </c>
      <c r="F8" s="31">
        <v>12685</v>
      </c>
      <c r="G8" s="31">
        <v>13251</v>
      </c>
      <c r="H8" s="31">
        <v>12405</v>
      </c>
      <c r="I8" s="31">
        <v>12438</v>
      </c>
      <c r="J8" s="31">
        <v>11446</v>
      </c>
      <c r="K8" s="31">
        <v>12043</v>
      </c>
      <c r="L8" s="31">
        <v>11194</v>
      </c>
      <c r="M8" s="31">
        <v>11256</v>
      </c>
      <c r="N8" s="289">
        <v>11083.5</v>
      </c>
      <c r="O8" s="289">
        <v>11658.75</v>
      </c>
      <c r="P8" s="289">
        <v>11859.749999999998</v>
      </c>
      <c r="Q8" s="289">
        <v>11705.750000000004</v>
      </c>
      <c r="R8" s="289">
        <v>12205.16666666667</v>
      </c>
      <c r="S8" s="289">
        <v>11696.666666666666</v>
      </c>
      <c r="T8" s="289">
        <v>10726</v>
      </c>
      <c r="U8" s="289">
        <v>10109.5</v>
      </c>
      <c r="V8" s="289">
        <v>9402</v>
      </c>
      <c r="W8" s="289">
        <v>8685.75</v>
      </c>
      <c r="X8" s="289">
        <v>8000.75</v>
      </c>
      <c r="Y8" s="289">
        <v>8058.9999999999991</v>
      </c>
      <c r="Z8" s="289">
        <v>8839</v>
      </c>
      <c r="AA8" s="289">
        <v>8909</v>
      </c>
      <c r="AB8" s="289">
        <v>9272</v>
      </c>
      <c r="AC8" s="289">
        <v>9060</v>
      </c>
      <c r="AD8" s="289">
        <v>9515</v>
      </c>
      <c r="AE8" s="289">
        <v>9157</v>
      </c>
      <c r="AF8" s="289">
        <v>10238</v>
      </c>
      <c r="AG8" s="289">
        <v>10435</v>
      </c>
      <c r="AH8" s="289">
        <v>11195.785130363276</v>
      </c>
      <c r="AI8" s="289">
        <v>11411.214869636726</v>
      </c>
    </row>
    <row r="9" spans="1:37" x14ac:dyDescent="0.25">
      <c r="A9" s="1" t="s">
        <v>447</v>
      </c>
      <c r="B9" s="31">
        <v>3629</v>
      </c>
      <c r="C9" s="31">
        <v>3338</v>
      </c>
      <c r="D9" s="31">
        <v>3952</v>
      </c>
      <c r="E9" s="31">
        <v>3273</v>
      </c>
      <c r="F9" s="31">
        <v>3769</v>
      </c>
      <c r="G9" s="31">
        <v>3560</v>
      </c>
      <c r="H9" s="31">
        <v>3660</v>
      </c>
      <c r="I9" s="31">
        <v>3684</v>
      </c>
      <c r="J9" s="31">
        <v>3739</v>
      </c>
      <c r="K9" s="31">
        <v>3481</v>
      </c>
      <c r="L9" s="31">
        <v>3730</v>
      </c>
      <c r="M9" s="31">
        <v>3559</v>
      </c>
      <c r="N9" s="289">
        <v>3794</v>
      </c>
      <c r="O9" s="289">
        <v>3220.4999999999995</v>
      </c>
      <c r="P9" s="289">
        <v>3530</v>
      </c>
      <c r="Q9" s="289">
        <v>3223.9641999999999</v>
      </c>
      <c r="R9" s="289">
        <v>3445.4999999999995</v>
      </c>
      <c r="S9" s="289">
        <v>3054.9934000000003</v>
      </c>
      <c r="T9" s="289">
        <v>3119.9999999999995</v>
      </c>
      <c r="U9" s="289">
        <v>3175.3333333333335</v>
      </c>
      <c r="V9" s="289">
        <v>3416.0000000000005</v>
      </c>
      <c r="W9" s="289">
        <v>3732.5942</v>
      </c>
      <c r="X9" s="289">
        <v>4064.5000000000005</v>
      </c>
      <c r="Y9" s="289">
        <v>3959.25</v>
      </c>
      <c r="Z9" s="289">
        <v>4375.0059999999994</v>
      </c>
      <c r="AA9" s="289">
        <v>4136.8000000000011</v>
      </c>
      <c r="AB9" s="289">
        <v>4505</v>
      </c>
      <c r="AC9" s="289">
        <v>4339</v>
      </c>
      <c r="AD9" s="289">
        <v>4429</v>
      </c>
      <c r="AE9" s="289">
        <v>4210</v>
      </c>
      <c r="AF9" s="289">
        <v>4279</v>
      </c>
      <c r="AG9" s="289">
        <v>4174</v>
      </c>
      <c r="AH9" s="289">
        <v>4370.6241571039864</v>
      </c>
      <c r="AI9" s="289">
        <v>4263.3758428960127</v>
      </c>
    </row>
    <row r="10" spans="1:37" x14ac:dyDescent="0.25">
      <c r="A10" s="1" t="s">
        <v>91</v>
      </c>
      <c r="B10" s="31">
        <v>19628</v>
      </c>
      <c r="C10" s="31">
        <v>18600</v>
      </c>
      <c r="D10" s="31">
        <v>20822</v>
      </c>
      <c r="E10" s="31">
        <v>20415</v>
      </c>
      <c r="F10" s="31">
        <v>23756</v>
      </c>
      <c r="G10" s="31">
        <v>23246</v>
      </c>
      <c r="H10" s="31">
        <v>22810</v>
      </c>
      <c r="I10" s="31">
        <v>21921</v>
      </c>
      <c r="J10" s="31">
        <v>22306</v>
      </c>
      <c r="K10" s="31">
        <v>20184</v>
      </c>
      <c r="L10" s="31">
        <v>20171</v>
      </c>
      <c r="M10" s="31">
        <v>18984</v>
      </c>
      <c r="N10" s="289">
        <v>22020.000000000218</v>
      </c>
      <c r="O10" s="289">
        <v>19777.000000000087</v>
      </c>
      <c r="P10" s="289">
        <v>20352.000000000058</v>
      </c>
      <c r="Q10" s="289">
        <v>17932.000000000047</v>
      </c>
      <c r="R10" s="289">
        <v>19546.999999999898</v>
      </c>
      <c r="S10" s="289">
        <v>16785.000000000011</v>
      </c>
      <c r="T10" s="289">
        <v>17249.999999999971</v>
      </c>
      <c r="U10" s="289">
        <v>16925.999999999989</v>
      </c>
      <c r="V10" s="289">
        <v>14910.000000000049</v>
      </c>
      <c r="W10" s="289">
        <v>16563.000000000095</v>
      </c>
      <c r="X10" s="289">
        <v>14063.000000000018</v>
      </c>
      <c r="Y10" s="289">
        <v>15544.999999999965</v>
      </c>
      <c r="Z10" s="289">
        <v>12090.000000000004</v>
      </c>
      <c r="AA10" s="291">
        <v>13248.000000000045</v>
      </c>
      <c r="AB10" s="291">
        <v>11840</v>
      </c>
      <c r="AC10" s="291">
        <v>10400</v>
      </c>
      <c r="AD10" s="291">
        <v>12684</v>
      </c>
      <c r="AE10" s="291">
        <v>10370</v>
      </c>
      <c r="AF10" s="291">
        <v>13412</v>
      </c>
      <c r="AG10" s="291">
        <v>11214</v>
      </c>
      <c r="AH10" s="291">
        <v>14568.789084707219</v>
      </c>
      <c r="AI10" s="291">
        <v>12181.210915292779</v>
      </c>
    </row>
    <row r="11" spans="1:37" x14ac:dyDescent="0.2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</row>
    <row r="12" spans="1:37" x14ac:dyDescent="0.25">
      <c r="A12" s="1" t="s">
        <v>2867</v>
      </c>
      <c r="B12" s="31">
        <v>886</v>
      </c>
      <c r="C12" s="31">
        <v>919</v>
      </c>
      <c r="D12" s="31">
        <v>686</v>
      </c>
      <c r="E12" s="31">
        <v>668</v>
      </c>
      <c r="F12" s="31">
        <v>935</v>
      </c>
      <c r="G12" s="31">
        <v>588</v>
      </c>
      <c r="H12" s="31">
        <v>533</v>
      </c>
      <c r="I12" s="31">
        <v>565</v>
      </c>
      <c r="J12" s="31">
        <v>377</v>
      </c>
      <c r="K12" s="31">
        <v>487</v>
      </c>
      <c r="L12" s="31">
        <v>631</v>
      </c>
      <c r="M12" s="31">
        <v>681</v>
      </c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</row>
    <row r="13" spans="1:37" x14ac:dyDescent="0.25">
      <c r="A13" s="1" t="s">
        <v>2813</v>
      </c>
      <c r="B13" s="31"/>
      <c r="C13" s="31"/>
      <c r="D13" s="31">
        <v>401</v>
      </c>
      <c r="E13" s="31">
        <v>481</v>
      </c>
      <c r="F13" s="31">
        <v>216</v>
      </c>
      <c r="G13" s="31">
        <v>250</v>
      </c>
      <c r="H13" s="31">
        <v>220</v>
      </c>
      <c r="I13" s="31">
        <v>513</v>
      </c>
      <c r="J13" s="31">
        <v>320</v>
      </c>
      <c r="K13" s="31">
        <v>433</v>
      </c>
      <c r="L13" s="31">
        <v>133</v>
      </c>
      <c r="M13" s="31">
        <v>275</v>
      </c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</row>
    <row r="14" spans="1:37" x14ac:dyDescent="0.25">
      <c r="A14" s="1" t="s">
        <v>144</v>
      </c>
      <c r="B14" s="31">
        <v>102</v>
      </c>
      <c r="C14" s="31">
        <v>192</v>
      </c>
      <c r="D14" s="31">
        <v>255</v>
      </c>
      <c r="E14" s="31">
        <v>178</v>
      </c>
      <c r="F14" s="31">
        <v>385</v>
      </c>
      <c r="G14" s="31">
        <v>437</v>
      </c>
      <c r="H14" s="31">
        <v>60</v>
      </c>
      <c r="I14" s="31">
        <v>175</v>
      </c>
      <c r="J14" s="31">
        <v>30</v>
      </c>
      <c r="K14" s="31">
        <v>3</v>
      </c>
      <c r="L14" s="31"/>
      <c r="M14" s="31">
        <v>3</v>
      </c>
      <c r="N14" s="289">
        <v>0</v>
      </c>
      <c r="O14" s="289">
        <v>203</v>
      </c>
      <c r="P14" s="289">
        <v>78.5</v>
      </c>
      <c r="Q14" s="289">
        <v>113.5</v>
      </c>
      <c r="R14" s="289">
        <v>63.5</v>
      </c>
      <c r="S14" s="289">
        <v>38</v>
      </c>
      <c r="T14" s="289">
        <v>426.25</v>
      </c>
      <c r="U14" s="289">
        <v>28</v>
      </c>
      <c r="V14" s="289">
        <v>317.25</v>
      </c>
      <c r="W14" s="289">
        <v>112.3</v>
      </c>
      <c r="X14" s="289">
        <v>352.68124999999998</v>
      </c>
      <c r="Y14" s="289">
        <v>154.57499999999999</v>
      </c>
      <c r="Z14" s="289">
        <v>337.70000000000005</v>
      </c>
      <c r="AA14" s="289">
        <v>195.5</v>
      </c>
      <c r="AB14" s="289"/>
      <c r="AC14" s="289"/>
      <c r="AD14" s="289"/>
      <c r="AE14" s="289"/>
      <c r="AF14" s="289"/>
      <c r="AG14" s="289"/>
      <c r="AH14" s="289"/>
      <c r="AI14" s="289"/>
    </row>
    <row r="15" spans="1:37" x14ac:dyDescent="0.25">
      <c r="A15" s="1" t="s">
        <v>147</v>
      </c>
      <c r="B15" s="31">
        <v>46</v>
      </c>
      <c r="C15" s="31">
        <v>33</v>
      </c>
      <c r="D15" s="31">
        <v>46</v>
      </c>
      <c r="E15" s="31">
        <v>41</v>
      </c>
      <c r="F15" s="31">
        <v>27</v>
      </c>
      <c r="G15" s="31">
        <v>31</v>
      </c>
      <c r="H15" s="31">
        <v>40</v>
      </c>
      <c r="I15" s="31">
        <v>33</v>
      </c>
      <c r="J15" s="31">
        <v>23</v>
      </c>
      <c r="K15" s="31">
        <v>46</v>
      </c>
      <c r="L15" s="31">
        <v>23</v>
      </c>
      <c r="M15" s="31">
        <v>27</v>
      </c>
      <c r="N15" s="289">
        <v>34.1</v>
      </c>
      <c r="O15" s="289">
        <v>28.1</v>
      </c>
      <c r="P15" s="289">
        <v>43.85</v>
      </c>
      <c r="Q15" s="289">
        <v>39.299999999999997</v>
      </c>
      <c r="R15" s="289">
        <v>50.4</v>
      </c>
      <c r="S15" s="289">
        <v>18</v>
      </c>
      <c r="T15" s="289">
        <v>56.3</v>
      </c>
      <c r="U15" s="289">
        <v>8</v>
      </c>
      <c r="V15" s="289">
        <v>60</v>
      </c>
      <c r="W15" s="289">
        <v>0</v>
      </c>
      <c r="X15" s="289">
        <v>57</v>
      </c>
      <c r="Y15" s="289">
        <v>0</v>
      </c>
      <c r="Z15" s="289">
        <v>36</v>
      </c>
      <c r="AA15" s="289">
        <v>0</v>
      </c>
      <c r="AB15" s="289"/>
      <c r="AC15" s="289"/>
      <c r="AD15" s="289">
        <v>57</v>
      </c>
      <c r="AE15" s="289"/>
      <c r="AF15" s="289">
        <v>8</v>
      </c>
      <c r="AG15" s="289">
        <v>18</v>
      </c>
      <c r="AH15" s="289">
        <v>8</v>
      </c>
      <c r="AI15" s="289">
        <v>17</v>
      </c>
    </row>
    <row r="16" spans="1:37" x14ac:dyDescent="0.25">
      <c r="A16" s="1" t="s">
        <v>2814</v>
      </c>
      <c r="B16" s="31">
        <v>1</v>
      </c>
      <c r="C16" s="31"/>
      <c r="D16" s="31">
        <v>24</v>
      </c>
      <c r="E16" s="31"/>
      <c r="F16" s="31"/>
      <c r="G16" s="31"/>
      <c r="H16" s="31"/>
      <c r="I16" s="31"/>
      <c r="J16" s="31"/>
      <c r="K16" s="31">
        <v>117</v>
      </c>
      <c r="L16" s="31"/>
      <c r="M16" s="31"/>
      <c r="N16" s="289">
        <v>0</v>
      </c>
      <c r="O16" s="289">
        <v>1217</v>
      </c>
      <c r="P16" s="289">
        <v>2570.35</v>
      </c>
      <c r="Q16" s="289">
        <v>744</v>
      </c>
      <c r="R16" s="289">
        <v>0</v>
      </c>
      <c r="S16" s="289">
        <v>708</v>
      </c>
      <c r="T16" s="289">
        <v>408</v>
      </c>
      <c r="U16" s="289">
        <v>648</v>
      </c>
      <c r="V16" s="289">
        <v>33</v>
      </c>
      <c r="W16" s="289">
        <v>49.997100000000003</v>
      </c>
      <c r="X16" s="289">
        <v>264</v>
      </c>
      <c r="Y16" s="289">
        <v>480</v>
      </c>
      <c r="Z16" s="289">
        <v>0</v>
      </c>
      <c r="AA16" s="289">
        <v>0</v>
      </c>
      <c r="AB16" s="289">
        <v>1</v>
      </c>
      <c r="AC16" s="289"/>
      <c r="AD16" s="289"/>
      <c r="AE16" s="289">
        <v>109</v>
      </c>
      <c r="AF16" s="289">
        <v>126</v>
      </c>
      <c r="AG16" s="289">
        <v>36</v>
      </c>
      <c r="AH16" s="289">
        <v>131</v>
      </c>
      <c r="AI16" s="289">
        <v>33</v>
      </c>
    </row>
    <row r="17" spans="1:35" x14ac:dyDescent="0.25">
      <c r="A17" s="1" t="s">
        <v>2815</v>
      </c>
      <c r="B17" s="31">
        <v>3210</v>
      </c>
      <c r="C17" s="31">
        <v>3142</v>
      </c>
      <c r="D17" s="31">
        <v>2296</v>
      </c>
      <c r="E17" s="31">
        <v>3150</v>
      </c>
      <c r="F17" s="31">
        <v>2152</v>
      </c>
      <c r="G17" s="31">
        <v>2661</v>
      </c>
      <c r="H17" s="31">
        <v>3026</v>
      </c>
      <c r="I17" s="31">
        <v>3015</v>
      </c>
      <c r="J17" s="31">
        <v>1890</v>
      </c>
      <c r="K17" s="31">
        <v>2486</v>
      </c>
      <c r="L17" s="31">
        <v>2383</v>
      </c>
      <c r="M17" s="31">
        <v>2868</v>
      </c>
      <c r="N17" s="289">
        <v>1214.8186999999998</v>
      </c>
      <c r="O17" s="289">
        <v>1542.98</v>
      </c>
      <c r="P17" s="289">
        <v>1255.5183</v>
      </c>
      <c r="Q17" s="289">
        <v>1858.3300000000002</v>
      </c>
      <c r="R17" s="289">
        <v>1542.7</v>
      </c>
      <c r="S17" s="289">
        <v>1947.54</v>
      </c>
      <c r="T17" s="289">
        <v>1590.5808000000002</v>
      </c>
      <c r="U17" s="289">
        <v>1238.0280000000002</v>
      </c>
      <c r="V17" s="289">
        <v>1099.5122000000001</v>
      </c>
      <c r="W17" s="289">
        <v>1551.7125000000001</v>
      </c>
      <c r="X17" s="289">
        <v>1188.9499999999998</v>
      </c>
      <c r="Y17" s="289">
        <v>1553.6075000000001</v>
      </c>
      <c r="Z17" s="289">
        <v>1181.0800000000004</v>
      </c>
      <c r="AA17" s="289">
        <v>929.33999999999992</v>
      </c>
      <c r="AB17" s="289">
        <v>1119</v>
      </c>
      <c r="AC17" s="289">
        <v>1240</v>
      </c>
      <c r="AD17" s="289">
        <v>1086</v>
      </c>
      <c r="AE17" s="289">
        <v>1522</v>
      </c>
      <c r="AF17" s="289">
        <v>2054</v>
      </c>
      <c r="AG17" s="289">
        <v>1297</v>
      </c>
      <c r="AH17" s="289">
        <v>2143</v>
      </c>
      <c r="AI17" s="289">
        <v>1197</v>
      </c>
    </row>
    <row r="18" spans="1:35" x14ac:dyDescent="0.25">
      <c r="A18" s="1" t="s">
        <v>2816</v>
      </c>
      <c r="B18" s="31">
        <v>2263</v>
      </c>
      <c r="C18" s="31">
        <v>2115</v>
      </c>
      <c r="D18" s="31">
        <v>2481</v>
      </c>
      <c r="E18" s="31">
        <v>2255</v>
      </c>
      <c r="F18" s="31">
        <v>2478</v>
      </c>
      <c r="G18" s="31">
        <v>2191</v>
      </c>
      <c r="H18" s="31">
        <v>2179</v>
      </c>
      <c r="I18" s="31">
        <v>1578</v>
      </c>
      <c r="J18" s="31">
        <v>2444</v>
      </c>
      <c r="K18" s="31">
        <v>1675</v>
      </c>
      <c r="L18" s="31">
        <v>2158</v>
      </c>
      <c r="M18" s="31">
        <v>1219</v>
      </c>
      <c r="N18" s="289">
        <v>968.66</v>
      </c>
      <c r="O18" s="289">
        <v>1379.05</v>
      </c>
      <c r="P18" s="289">
        <v>1073.45</v>
      </c>
      <c r="Q18" s="289">
        <v>735.98249999999996</v>
      </c>
      <c r="R18" s="289">
        <v>888.8</v>
      </c>
      <c r="S18" s="289">
        <v>1467.5</v>
      </c>
      <c r="T18" s="289">
        <v>804.73</v>
      </c>
      <c r="U18" s="289">
        <v>1122.5275000000001</v>
      </c>
      <c r="V18" s="289">
        <v>909.03549999999996</v>
      </c>
      <c r="W18" s="289">
        <v>907.0003999999999</v>
      </c>
      <c r="X18" s="289">
        <v>833.5</v>
      </c>
      <c r="Y18" s="289">
        <v>1019.5</v>
      </c>
      <c r="Z18" s="289">
        <v>1960</v>
      </c>
      <c r="AA18" s="289">
        <v>515</v>
      </c>
      <c r="AB18" s="289">
        <v>1457</v>
      </c>
      <c r="AC18" s="289">
        <v>926</v>
      </c>
      <c r="AD18" s="289">
        <v>886</v>
      </c>
      <c r="AE18" s="289">
        <v>818</v>
      </c>
      <c r="AF18" s="289">
        <v>1600</v>
      </c>
      <c r="AG18" s="289">
        <v>1334</v>
      </c>
      <c r="AH18" s="289">
        <v>1669</v>
      </c>
      <c r="AI18" s="289">
        <v>1231</v>
      </c>
    </row>
    <row r="19" spans="1:35" x14ac:dyDescent="0.25">
      <c r="A19" s="160" t="s">
        <v>2817</v>
      </c>
      <c r="B19" s="31">
        <v>5489</v>
      </c>
      <c r="C19" s="31">
        <v>6735</v>
      </c>
      <c r="D19" s="31">
        <v>879</v>
      </c>
      <c r="E19" s="31">
        <v>923</v>
      </c>
      <c r="F19" s="31">
        <v>1279</v>
      </c>
      <c r="G19" s="31">
        <v>1252</v>
      </c>
      <c r="H19" s="31">
        <v>1553</v>
      </c>
      <c r="I19" s="31">
        <v>2070</v>
      </c>
      <c r="J19" s="31">
        <v>2720</v>
      </c>
      <c r="K19" s="31">
        <v>1931</v>
      </c>
      <c r="L19" s="31">
        <v>3687</v>
      </c>
      <c r="M19" s="31">
        <v>3268</v>
      </c>
      <c r="N19" s="289">
        <v>6241.9774500000003</v>
      </c>
      <c r="O19" s="289">
        <v>3938.3365666666668</v>
      </c>
      <c r="P19" s="289">
        <v>4594.518133333333</v>
      </c>
      <c r="Q19" s="289">
        <v>4108.6718533333324</v>
      </c>
      <c r="R19" s="289">
        <v>4985.9344833333325</v>
      </c>
      <c r="S19" s="289">
        <v>2884.8147333333332</v>
      </c>
      <c r="T19" s="289">
        <v>3017.4882666666667</v>
      </c>
      <c r="U19" s="289">
        <v>3691.49</v>
      </c>
      <c r="V19" s="289">
        <v>4295.7974999999997</v>
      </c>
      <c r="W19" s="289">
        <v>4491.583857575758</v>
      </c>
      <c r="X19" s="289">
        <v>2720.3287999999998</v>
      </c>
      <c r="Y19" s="289">
        <v>2460.3755111915921</v>
      </c>
      <c r="Z19" s="289">
        <v>2701.4695990831688</v>
      </c>
      <c r="AA19" s="289">
        <v>2222.0173111180898</v>
      </c>
      <c r="AB19" s="289">
        <f>827+1331</f>
        <v>2158</v>
      </c>
      <c r="AC19" s="289">
        <f>690+1160</f>
        <v>1850</v>
      </c>
      <c r="AD19" s="289">
        <f>954+1071</f>
        <v>2025</v>
      </c>
      <c r="AE19" s="289">
        <f>1008+1396</f>
        <v>2404</v>
      </c>
      <c r="AF19" s="289">
        <f>749+863</f>
        <v>1612</v>
      </c>
      <c r="AG19" s="289">
        <f>490+1406</f>
        <v>1896</v>
      </c>
      <c r="AH19" s="289">
        <v>1682</v>
      </c>
      <c r="AI19" s="289">
        <v>1750</v>
      </c>
    </row>
    <row r="20" spans="1:35" x14ac:dyDescent="0.25">
      <c r="A20" s="1" t="s">
        <v>2818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>
        <v>1244</v>
      </c>
      <c r="AC20" s="289">
        <v>1061</v>
      </c>
      <c r="AD20" s="289">
        <v>1434</v>
      </c>
      <c r="AE20" s="289">
        <v>1086</v>
      </c>
      <c r="AF20" s="289">
        <v>1008</v>
      </c>
      <c r="AG20" s="289">
        <v>591</v>
      </c>
      <c r="AH20" s="289">
        <v>1052</v>
      </c>
      <c r="AI20" s="289">
        <v>546</v>
      </c>
    </row>
    <row r="21" spans="1:35" x14ac:dyDescent="0.25">
      <c r="A21" s="1" t="s">
        <v>2868</v>
      </c>
      <c r="N21" s="362">
        <f>('Net Tuition AY'!G61-SUM('State SCH'!N10:O10))/2</f>
        <v>-2.9103830456733704E-10</v>
      </c>
      <c r="O21" s="362">
        <f>+N21</f>
        <v>-2.9103830456733704E-10</v>
      </c>
      <c r="P21" s="362">
        <f>(+'Net Tuition AY'!H61-SUM('State SCH'!P10:Q10))/2</f>
        <v>-4.0017766878008842E-11</v>
      </c>
      <c r="Q21" s="362">
        <f>+P21</f>
        <v>-4.0017766878008842E-11</v>
      </c>
      <c r="R21" s="362">
        <f>(+'Net Tuition AY'!I61-SUM(R10:S10))/2</f>
        <v>-3.2741809263825417E-11</v>
      </c>
      <c r="S21" s="362">
        <f>+R21</f>
        <v>-3.2741809263825417E-11</v>
      </c>
      <c r="T21" s="362">
        <f>(+'Net Tuition AY'!J61-SUM(T10:U10))/2</f>
        <v>-1.0550138540565968E-10</v>
      </c>
      <c r="U21" s="362">
        <f>+T21</f>
        <v>-1.0550138540565968E-10</v>
      </c>
      <c r="V21" s="362">
        <f>(+'Net Tuition AY'!K61-SUM(V10:W10))/2</f>
        <v>1.4551915228366852E-11</v>
      </c>
      <c r="W21" s="362">
        <f>+V21</f>
        <v>1.4551915228366852E-11</v>
      </c>
      <c r="X21" s="362">
        <f>(+'Net Tuition AY'!L61-SUM('State SCH'!X10:Y10))/2</f>
        <v>8.3673512563109398E-11</v>
      </c>
      <c r="Y21" s="362">
        <f>+X21</f>
        <v>8.3673512563109398E-11</v>
      </c>
      <c r="Z21" s="362">
        <f>(+'Net Tuition AY'!M61-SUM('State SCH'!Z10:AA10))/2</f>
        <v>7.5000000000400178</v>
      </c>
      <c r="AA21" s="362">
        <f>+Z21</f>
        <v>7.5000000000400178</v>
      </c>
      <c r="AB21" s="362">
        <f>+('Net Tuition AY'!N61-SUM(AB10:AC10))/2</f>
        <v>1688.0000000000109</v>
      </c>
      <c r="AC21" s="362">
        <f>+AB21</f>
        <v>1688.0000000000109</v>
      </c>
      <c r="AD21" s="362">
        <f>(+'Net Tuition AY'!O61-SUM(AD10:AE10))/2</f>
        <v>2147</v>
      </c>
      <c r="AE21" s="362">
        <f>+AD21</f>
        <v>2147</v>
      </c>
      <c r="AF21" s="362">
        <f>(+'Net Tuition AY'!P61-SUM(AF10:AG10))/2</f>
        <v>1976</v>
      </c>
      <c r="AG21" s="362">
        <f>+AF21</f>
        <v>1976</v>
      </c>
      <c r="AH21" s="363"/>
      <c r="AI21" s="363"/>
    </row>
    <row r="22" spans="1:35" x14ac:dyDescent="0.25">
      <c r="A22" s="1" t="s">
        <v>2869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62">
        <f>(+'Net Tuition AY'!G60-SUM(N2:O9)-SUM(N11:O20))/2</f>
        <v>-429.94574999918768</v>
      </c>
      <c r="O22" s="362">
        <f>+N22</f>
        <v>-429.94574999918768</v>
      </c>
      <c r="P22" s="362">
        <f>(+'Net Tuition AY'!H60-SUM(P2:Q9)-SUM(P11:Q20))/2</f>
        <v>-1448.4409333330514</v>
      </c>
      <c r="Q22" s="362">
        <f>+P22</f>
        <v>-1448.4409333330514</v>
      </c>
      <c r="R22" s="362">
        <f>('Net Tuition AY'!I60-SUM('State SCH'!R2:S9)-SUM('State SCH'!R11:S20))/2</f>
        <v>512.87901666915423</v>
      </c>
      <c r="S22" s="362">
        <f>+R22</f>
        <v>512.87901666915423</v>
      </c>
      <c r="T22" s="362">
        <f>(+'Net Tuition AY'!J60-(SUM(T2:U9)+SUM(T11:U20)))/2</f>
        <v>-1544.4415999992343</v>
      </c>
      <c r="U22" s="362">
        <f>+T22</f>
        <v>-1544.4415999992343</v>
      </c>
      <c r="V22" s="362">
        <f>(+'Net Tuition AY'!K60-SUM(V2:W9)-SUM(V11:W20))/2</f>
        <v>603.19500454486843</v>
      </c>
      <c r="W22" s="362">
        <f>+V22</f>
        <v>603.19500454486843</v>
      </c>
      <c r="X22" s="362">
        <f>(+'Net Tuition AY'!L60-SUM('State SCH'!X2:Y9)-SUM('State SCH'!X11:Y20))/2</f>
        <v>1081.5597166704438</v>
      </c>
      <c r="Y22" s="362">
        <f>+X22</f>
        <v>1081.5597166704438</v>
      </c>
      <c r="Z22" s="362">
        <f>(+'Net Tuition AY'!M60-SUM(Z2:AA9)-SUM(Z11:AA20))/2</f>
        <v>1254.8850000012008</v>
      </c>
      <c r="AA22" s="362">
        <f>+Z22</f>
        <v>1254.8850000012008</v>
      </c>
      <c r="AB22" s="362">
        <f>(+'Net Tuition AY'!N60-SUM('State SCH'!AB2:AC9)-SUM('State SCH'!AB11:AC20))/2</f>
        <v>271.00000000053842</v>
      </c>
      <c r="AC22" s="362">
        <f>+AB22</f>
        <v>271.00000000053842</v>
      </c>
      <c r="AD22" s="362">
        <f>(+'Net Tuition AY'!O60-(SUM(AD2:AE9)+SUM(AD11:AE20)))/2</f>
        <v>868.49999999825377</v>
      </c>
      <c r="AE22" s="362">
        <f>+AD22</f>
        <v>868.49999999825377</v>
      </c>
      <c r="AF22" s="362">
        <f>(+'Net Tuition AY'!P60-SUM(AF2:AG9)-SUM(AF15:AG20))/2</f>
        <v>1081</v>
      </c>
      <c r="AG22" s="362">
        <f>+AF22</f>
        <v>1081</v>
      </c>
      <c r="AH22" s="363"/>
      <c r="AI22" s="363"/>
    </row>
    <row r="23" spans="1:35" x14ac:dyDescent="0.25">
      <c r="B23" s="32">
        <f t="shared" ref="B23:AC23" si="0">SUM(B2:B22)</f>
        <v>180960</v>
      </c>
      <c r="C23" s="32">
        <f t="shared" si="0"/>
        <v>176862</v>
      </c>
      <c r="D23" s="32">
        <f t="shared" si="0"/>
        <v>181836</v>
      </c>
      <c r="E23" s="32">
        <f t="shared" si="0"/>
        <v>179122</v>
      </c>
      <c r="F23" s="32">
        <f t="shared" si="0"/>
        <v>189405</v>
      </c>
      <c r="G23" s="32">
        <f t="shared" si="0"/>
        <v>184188</v>
      </c>
      <c r="H23" s="32">
        <f t="shared" si="0"/>
        <v>185531</v>
      </c>
      <c r="I23" s="32">
        <f t="shared" si="0"/>
        <v>179520</v>
      </c>
      <c r="J23" s="32">
        <f t="shared" si="0"/>
        <v>176079</v>
      </c>
      <c r="K23" s="32">
        <f t="shared" si="0"/>
        <v>166856</v>
      </c>
      <c r="L23" s="32">
        <f t="shared" si="0"/>
        <v>167442</v>
      </c>
      <c r="M23" s="32">
        <f t="shared" si="0"/>
        <v>157595</v>
      </c>
      <c r="N23" s="32">
        <f t="shared" si="0"/>
        <v>167734.43698333408</v>
      </c>
      <c r="O23" s="32">
        <f t="shared" si="0"/>
        <v>160965.56301666723</v>
      </c>
      <c r="P23" s="32">
        <f t="shared" si="0"/>
        <v>160631.95213333366</v>
      </c>
      <c r="Q23" s="32">
        <f t="shared" si="0"/>
        <v>150376.04786666698</v>
      </c>
      <c r="R23" s="32">
        <f t="shared" si="0"/>
        <v>152068.31115000238</v>
      </c>
      <c r="S23" s="32">
        <f t="shared" si="0"/>
        <v>141384.68885000248</v>
      </c>
      <c r="T23" s="32">
        <f>SUM(T2:T22)</f>
        <v>141895.25700000062</v>
      </c>
      <c r="U23" s="32">
        <f t="shared" si="0"/>
        <v>133118.74300000063</v>
      </c>
      <c r="V23" s="32">
        <f t="shared" si="0"/>
        <v>131937.29250454489</v>
      </c>
      <c r="W23" s="32">
        <f t="shared" si="0"/>
        <v>121262.70749545406</v>
      </c>
      <c r="X23" s="32">
        <f t="shared" si="0"/>
        <v>120611.24321667053</v>
      </c>
      <c r="Y23" s="32">
        <f t="shared" si="0"/>
        <v>115117.75678333716</v>
      </c>
      <c r="Z23" s="32">
        <f t="shared" si="0"/>
        <v>114502.72500000124</v>
      </c>
      <c r="AA23" s="32">
        <f t="shared" si="0"/>
        <v>105480.27500000129</v>
      </c>
      <c r="AB23" s="32">
        <f t="shared" si="0"/>
        <v>115860.00000000055</v>
      </c>
      <c r="AC23" s="32">
        <f t="shared" si="0"/>
        <v>105708.00000000055</v>
      </c>
      <c r="AD23" s="32">
        <f>SUM(AD2:AD22)</f>
        <v>116533.49999999825</v>
      </c>
      <c r="AE23" s="23">
        <f>SUM(AE2:AE22)</f>
        <v>107359.49999999825</v>
      </c>
      <c r="AF23" s="23">
        <f t="shared" ref="AF23:AH23" si="1">SUM(AF2:AF22)</f>
        <v>120710</v>
      </c>
      <c r="AG23" s="23">
        <f>SUM(AG2:AG22)</f>
        <v>110060</v>
      </c>
      <c r="AH23" s="23">
        <f t="shared" si="1"/>
        <v>122739.46303199261</v>
      </c>
      <c r="AI23" s="23">
        <f>SUM(AI2:AI22)</f>
        <v>110931.53696800739</v>
      </c>
    </row>
    <row r="25" spans="1:35" x14ac:dyDescent="0.25">
      <c r="A25" s="1" t="s">
        <v>2870</v>
      </c>
      <c r="O25" s="1">
        <f>+O23+N23</f>
        <v>328700.00000000128</v>
      </c>
      <c r="Q25" s="1">
        <f>+Q23+P23</f>
        <v>311008.00000000064</v>
      </c>
      <c r="S25" s="1">
        <f>+S23+R23</f>
        <v>293453.00000000489</v>
      </c>
      <c r="U25" s="1">
        <f>+U23+T23</f>
        <v>275014.00000000128</v>
      </c>
      <c r="W25" s="1">
        <f>+W23+V23</f>
        <v>253199.99999999895</v>
      </c>
      <c r="Y25" s="1">
        <f>+Y23+X23</f>
        <v>235729.00000000768</v>
      </c>
      <c r="AA25" s="1">
        <f>+AA23+Z23</f>
        <v>219983.00000000253</v>
      </c>
      <c r="AC25" s="1">
        <f>+AC23+AB23</f>
        <v>221568.00000000111</v>
      </c>
      <c r="AE25" s="14">
        <f>+AE23+AD23</f>
        <v>223892.99999999651</v>
      </c>
      <c r="AG25" s="14">
        <f>+AG23+AF23</f>
        <v>230770</v>
      </c>
      <c r="AI25" s="14">
        <f>+AI23+AH23</f>
        <v>233671</v>
      </c>
    </row>
    <row r="26" spans="1:35" s="100" customFormat="1" x14ac:dyDescent="0.25">
      <c r="A26" s="364" t="s">
        <v>243</v>
      </c>
      <c r="O26" s="100">
        <f>+O25-'Net Tuition AY'!G63</f>
        <v>0</v>
      </c>
      <c r="Q26" s="100">
        <f>+Q25-'Net Tuition AY'!H63</f>
        <v>0</v>
      </c>
      <c r="S26" s="100">
        <f>+S25-'Net Tuition AY'!I63</f>
        <v>0</v>
      </c>
      <c r="U26" s="100">
        <f>+U25-'Net Tuition AY'!J63</f>
        <v>0</v>
      </c>
      <c r="W26" s="100">
        <f>+W25-'Net Tuition AY'!K63</f>
        <v>0</v>
      </c>
      <c r="Y26" s="100">
        <f>+Y25-'Net Tuition AY'!L63</f>
        <v>0</v>
      </c>
      <c r="AA26" s="100">
        <f>+AA25-'Net Tuition AY'!M63</f>
        <v>0</v>
      </c>
      <c r="AC26" s="100">
        <f>+AC25-'Net Tuition AY'!N63</f>
        <v>0</v>
      </c>
      <c r="AE26" s="347">
        <f>+AE25-'Net Tuition AY'!O63</f>
        <v>0</v>
      </c>
      <c r="AF26" s="347"/>
      <c r="AG26" s="347">
        <f>+AG25-'Net Tuition AY'!P63</f>
        <v>0</v>
      </c>
      <c r="AH26" s="347"/>
      <c r="AI26" s="347">
        <f>+AI25-'Net Tuition AY'!Q63</f>
        <v>0</v>
      </c>
    </row>
    <row r="27" spans="1:35" s="100" customFormat="1" x14ac:dyDescent="0.25">
      <c r="A27" s="364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54"/>
      <c r="N27" s="30"/>
      <c r="O27" s="54"/>
      <c r="P27" s="30"/>
      <c r="AE27" s="347"/>
      <c r="AF27" s="347"/>
      <c r="AG27" s="347"/>
      <c r="AH27" s="347"/>
      <c r="AI27" s="347"/>
    </row>
    <row r="28" spans="1:35" s="100" customFormat="1" x14ac:dyDescent="0.25">
      <c r="B28" s="28" t="s">
        <v>2871</v>
      </c>
      <c r="C28" s="28" t="s">
        <v>2872</v>
      </c>
      <c r="D28" s="28" t="s">
        <v>2873</v>
      </c>
      <c r="E28" s="28" t="s">
        <v>2874</v>
      </c>
      <c r="F28" s="28" t="s">
        <v>2875</v>
      </c>
      <c r="G28" s="28" t="s">
        <v>2876</v>
      </c>
      <c r="H28" s="28" t="s">
        <v>2877</v>
      </c>
      <c r="I28" s="28" t="s">
        <v>2878</v>
      </c>
      <c r="J28" s="28" t="s">
        <v>2879</v>
      </c>
      <c r="K28" s="28" t="s">
        <v>2880</v>
      </c>
      <c r="L28" s="28" t="s">
        <v>2881</v>
      </c>
      <c r="M28" s="44" t="s">
        <v>2882</v>
      </c>
      <c r="N28" s="28" t="s">
        <v>2883</v>
      </c>
      <c r="O28" s="44" t="s">
        <v>2884</v>
      </c>
      <c r="P28" s="28" t="s">
        <v>2885</v>
      </c>
      <c r="AE28" s="347"/>
      <c r="AF28" s="347"/>
      <c r="AG28" s="347"/>
      <c r="AH28" s="347"/>
      <c r="AI28" s="347"/>
    </row>
    <row r="29" spans="1:35" x14ac:dyDescent="0.25">
      <c r="A29" s="1" t="s">
        <v>434</v>
      </c>
      <c r="B29" s="31">
        <v>950</v>
      </c>
      <c r="C29" s="31">
        <v>1060</v>
      </c>
      <c r="D29" s="31">
        <v>1061</v>
      </c>
      <c r="E29" s="31">
        <v>815</v>
      </c>
      <c r="F29" s="289">
        <v>291</v>
      </c>
      <c r="G29" s="289">
        <v>1833</v>
      </c>
      <c r="H29" s="289">
        <v>1668</v>
      </c>
      <c r="I29" s="289">
        <v>1998</v>
      </c>
      <c r="J29" s="289">
        <v>2020</v>
      </c>
      <c r="K29" s="289">
        <v>2545</v>
      </c>
      <c r="L29" s="289">
        <v>1884</v>
      </c>
      <c r="M29" s="289">
        <v>1680</v>
      </c>
      <c r="N29" s="289">
        <v>1345</v>
      </c>
      <c r="O29" s="289">
        <v>1192</v>
      </c>
      <c r="P29" s="289">
        <v>1174</v>
      </c>
      <c r="Q29" s="100"/>
      <c r="R29" s="100"/>
      <c r="AI29" s="118"/>
    </row>
    <row r="30" spans="1:35" x14ac:dyDescent="0.25">
      <c r="A30" s="1" t="s">
        <v>436</v>
      </c>
      <c r="B30" s="31">
        <v>409</v>
      </c>
      <c r="C30" s="31">
        <v>638</v>
      </c>
      <c r="D30" s="31">
        <v>520</v>
      </c>
      <c r="E30" s="31">
        <v>392</v>
      </c>
      <c r="F30" s="289">
        <v>208</v>
      </c>
      <c r="G30" s="289">
        <v>791</v>
      </c>
      <c r="H30" s="289">
        <v>798</v>
      </c>
      <c r="I30" s="289">
        <v>801</v>
      </c>
      <c r="J30" s="289">
        <v>820</v>
      </c>
      <c r="K30" s="289">
        <v>993</v>
      </c>
      <c r="L30" s="289">
        <v>1495</v>
      </c>
      <c r="M30" s="289">
        <v>1508</v>
      </c>
      <c r="N30" s="289">
        <v>1639</v>
      </c>
      <c r="O30" s="289">
        <v>1853</v>
      </c>
      <c r="P30" s="289">
        <v>1967</v>
      </c>
      <c r="Q30" s="100"/>
      <c r="R30" s="100"/>
    </row>
    <row r="31" spans="1:35" x14ac:dyDescent="0.25">
      <c r="A31" s="1" t="s">
        <v>437</v>
      </c>
      <c r="B31" s="31">
        <v>78</v>
      </c>
      <c r="C31" s="31">
        <v>98</v>
      </c>
      <c r="D31" s="31">
        <v>148</v>
      </c>
      <c r="E31" s="31">
        <v>174</v>
      </c>
      <c r="F31" s="289">
        <v>24</v>
      </c>
      <c r="G31" s="289">
        <v>28</v>
      </c>
      <c r="H31" s="289">
        <v>6</v>
      </c>
      <c r="I31" s="289">
        <f>12+1</f>
        <v>13</v>
      </c>
      <c r="J31" s="289">
        <v>13</v>
      </c>
      <c r="K31" s="289">
        <v>22</v>
      </c>
      <c r="L31" s="289">
        <v>36</v>
      </c>
      <c r="M31" s="289">
        <v>4</v>
      </c>
      <c r="N31" s="289">
        <v>23</v>
      </c>
      <c r="O31" s="289">
        <v>4</v>
      </c>
      <c r="P31" s="289">
        <v>8</v>
      </c>
      <c r="Q31" s="100"/>
      <c r="R31" s="100"/>
    </row>
    <row r="32" spans="1:35" x14ac:dyDescent="0.25">
      <c r="A32" s="1" t="s">
        <v>81</v>
      </c>
      <c r="B32" s="31">
        <v>1443</v>
      </c>
      <c r="C32" s="31">
        <v>1967</v>
      </c>
      <c r="D32" s="31">
        <v>1455</v>
      </c>
      <c r="E32" s="31">
        <v>1076</v>
      </c>
      <c r="F32" s="289">
        <v>428</v>
      </c>
      <c r="G32" s="289">
        <v>6125</v>
      </c>
      <c r="H32" s="289">
        <v>5779</v>
      </c>
      <c r="I32" s="289">
        <v>4573</v>
      </c>
      <c r="J32" s="289">
        <v>4017</v>
      </c>
      <c r="K32" s="289">
        <v>4260</v>
      </c>
      <c r="L32" s="289">
        <v>4648</v>
      </c>
      <c r="M32" s="289">
        <v>5580</v>
      </c>
      <c r="N32" s="289">
        <v>4495</v>
      </c>
      <c r="O32" s="289">
        <v>3847</v>
      </c>
      <c r="P32" s="289">
        <v>4043</v>
      </c>
      <c r="Q32" s="100"/>
      <c r="R32" s="100"/>
    </row>
    <row r="33" spans="1:18" x14ac:dyDescent="0.25">
      <c r="A33" s="1" t="s">
        <v>440</v>
      </c>
      <c r="B33" s="31">
        <v>194</v>
      </c>
      <c r="C33" s="31">
        <v>170</v>
      </c>
      <c r="D33" s="31">
        <v>102</v>
      </c>
      <c r="E33" s="31">
        <v>101</v>
      </c>
      <c r="F33" s="289">
        <v>39</v>
      </c>
      <c r="G33" s="289">
        <v>1410</v>
      </c>
      <c r="H33" s="289">
        <v>1438</v>
      </c>
      <c r="I33" s="289">
        <v>1158</v>
      </c>
      <c r="J33" s="289">
        <v>605</v>
      </c>
      <c r="K33" s="289">
        <v>1311</v>
      </c>
      <c r="L33" s="289">
        <v>1489</v>
      </c>
      <c r="M33" s="289">
        <v>1131</v>
      </c>
      <c r="N33" s="289">
        <v>924</v>
      </c>
      <c r="O33" s="289">
        <v>844</v>
      </c>
      <c r="P33" s="289">
        <v>1010</v>
      </c>
      <c r="Q33" s="100"/>
      <c r="R33" s="100"/>
    </row>
    <row r="34" spans="1:18" x14ac:dyDescent="0.25">
      <c r="A34" s="1" t="s">
        <v>85</v>
      </c>
      <c r="B34" s="31">
        <v>138</v>
      </c>
      <c r="C34" s="31">
        <v>149</v>
      </c>
      <c r="D34" s="31">
        <v>87</v>
      </c>
      <c r="E34" s="31">
        <v>108</v>
      </c>
      <c r="F34" s="289">
        <v>24</v>
      </c>
      <c r="G34" s="289">
        <v>27</v>
      </c>
      <c r="H34" s="289">
        <v>13</v>
      </c>
      <c r="I34" s="289">
        <v>0</v>
      </c>
      <c r="J34" s="289">
        <v>33</v>
      </c>
      <c r="K34" s="289">
        <v>48</v>
      </c>
      <c r="L34" s="289">
        <v>97</v>
      </c>
      <c r="M34" s="289">
        <v>19</v>
      </c>
      <c r="N34" s="289">
        <v>9</v>
      </c>
      <c r="O34" s="289">
        <v>3</v>
      </c>
      <c r="P34" s="289">
        <v>1</v>
      </c>
      <c r="Q34" s="100"/>
      <c r="R34" s="100"/>
    </row>
    <row r="35" spans="1:18" x14ac:dyDescent="0.25">
      <c r="A35" s="1" t="s">
        <v>87</v>
      </c>
      <c r="B35" s="31">
        <v>387</v>
      </c>
      <c r="C35" s="31">
        <v>233</v>
      </c>
      <c r="D35" s="31">
        <v>565</v>
      </c>
      <c r="E35" s="31">
        <v>353</v>
      </c>
      <c r="F35" s="289">
        <v>171</v>
      </c>
      <c r="G35" s="289">
        <v>1174</v>
      </c>
      <c r="H35" s="289">
        <v>1271</v>
      </c>
      <c r="I35" s="289">
        <v>1297</v>
      </c>
      <c r="J35" s="289">
        <v>1183</v>
      </c>
      <c r="K35" s="289">
        <v>1325</v>
      </c>
      <c r="L35" s="289">
        <v>1501</v>
      </c>
      <c r="M35" s="289">
        <v>1868</v>
      </c>
      <c r="N35" s="289">
        <v>1485</v>
      </c>
      <c r="O35" s="289">
        <v>1167</v>
      </c>
      <c r="P35" s="289">
        <v>1073</v>
      </c>
      <c r="Q35" s="100"/>
      <c r="R35" s="100"/>
    </row>
    <row r="36" spans="1:18" x14ac:dyDescent="0.25">
      <c r="A36" s="1" t="s">
        <v>447</v>
      </c>
      <c r="B36" s="31">
        <v>83</v>
      </c>
      <c r="C36" s="31">
        <v>15</v>
      </c>
      <c r="D36" s="31">
        <v>17</v>
      </c>
      <c r="E36" s="31">
        <v>22</v>
      </c>
      <c r="F36" s="289">
        <v>94</v>
      </c>
      <c r="G36" s="289">
        <v>172</v>
      </c>
      <c r="H36" s="289">
        <v>177</v>
      </c>
      <c r="I36" s="289">
        <v>120</v>
      </c>
      <c r="J36" s="289">
        <v>32</v>
      </c>
      <c r="K36" s="289">
        <v>14</v>
      </c>
      <c r="L36" s="289">
        <v>191</v>
      </c>
      <c r="M36" s="289">
        <v>216</v>
      </c>
      <c r="N36" s="289">
        <v>335</v>
      </c>
      <c r="O36" s="289">
        <v>317</v>
      </c>
      <c r="P36" s="289">
        <v>280</v>
      </c>
      <c r="Q36" s="100"/>
      <c r="R36" s="100"/>
    </row>
    <row r="37" spans="1:18" x14ac:dyDescent="0.25">
      <c r="A37" s="1" t="s">
        <v>91</v>
      </c>
      <c r="B37" s="31">
        <v>358</v>
      </c>
      <c r="C37" s="31">
        <v>242</v>
      </c>
      <c r="D37" s="31">
        <v>646</v>
      </c>
      <c r="E37" s="31">
        <v>704</v>
      </c>
      <c r="F37" s="289">
        <v>303</v>
      </c>
      <c r="G37" s="289">
        <v>1957</v>
      </c>
      <c r="H37" s="289">
        <v>1011</v>
      </c>
      <c r="I37" s="289">
        <v>1125</v>
      </c>
      <c r="J37" s="289">
        <v>862</v>
      </c>
      <c r="K37" s="289">
        <v>1412</v>
      </c>
      <c r="L37" s="289">
        <v>1333</v>
      </c>
      <c r="M37" s="289">
        <v>1264</v>
      </c>
      <c r="N37" s="289">
        <v>1461</v>
      </c>
      <c r="O37" s="289">
        <v>1450</v>
      </c>
      <c r="P37" s="289">
        <v>2176</v>
      </c>
      <c r="Q37" s="100"/>
      <c r="R37" s="100"/>
    </row>
    <row r="38" spans="1:18" x14ac:dyDescent="0.25">
      <c r="B38" s="31"/>
      <c r="C38" s="31"/>
      <c r="D38" s="31"/>
      <c r="E38" s="31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  <row r="39" spans="1:18" x14ac:dyDescent="0.25">
      <c r="A39" s="1" t="s">
        <v>2812</v>
      </c>
      <c r="B39" s="31">
        <v>0</v>
      </c>
      <c r="C39" s="31">
        <v>3</v>
      </c>
      <c r="D39" s="31">
        <v>12</v>
      </c>
      <c r="E39" s="31">
        <v>28</v>
      </c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</row>
    <row r="40" spans="1:18" x14ac:dyDescent="0.25">
      <c r="A40" s="1" t="s">
        <v>2813</v>
      </c>
      <c r="B40" s="31"/>
      <c r="C40" s="31"/>
      <c r="D40" s="31"/>
      <c r="E40" s="31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</row>
    <row r="41" spans="1:18" x14ac:dyDescent="0.25">
      <c r="A41" s="1" t="s">
        <v>144</v>
      </c>
      <c r="B41" s="31"/>
      <c r="C41" s="31">
        <v>29</v>
      </c>
      <c r="D41" s="31">
        <v>94</v>
      </c>
      <c r="E41" s="31">
        <v>4</v>
      </c>
      <c r="F41" s="289">
        <v>5</v>
      </c>
      <c r="G41" s="289"/>
      <c r="H41" s="289"/>
      <c r="I41" s="289"/>
      <c r="J41" s="289"/>
      <c r="K41" s="289"/>
      <c r="L41" s="289"/>
      <c r="M41" s="289"/>
      <c r="N41" s="289"/>
      <c r="O41" s="289"/>
      <c r="P41" s="289"/>
    </row>
    <row r="42" spans="1:18" x14ac:dyDescent="0.25">
      <c r="A42" s="1" t="s">
        <v>147</v>
      </c>
      <c r="B42" s="31"/>
      <c r="C42" s="31"/>
      <c r="D42" s="31">
        <v>24</v>
      </c>
      <c r="E42" s="31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</row>
    <row r="43" spans="1:18" x14ac:dyDescent="0.25">
      <c r="A43" s="1" t="s">
        <v>2814</v>
      </c>
      <c r="B43" s="31"/>
      <c r="C43" s="31"/>
      <c r="D43" s="31"/>
      <c r="E43" s="31"/>
      <c r="F43" s="289"/>
      <c r="G43" s="289">
        <v>19</v>
      </c>
      <c r="H43" s="289">
        <v>49</v>
      </c>
      <c r="I43" s="289">
        <v>0</v>
      </c>
      <c r="J43" s="289">
        <v>220</v>
      </c>
      <c r="K43" s="289">
        <v>3</v>
      </c>
      <c r="L43" s="289"/>
      <c r="M43" s="289">
        <v>3</v>
      </c>
      <c r="N43" s="289">
        <v>0</v>
      </c>
      <c r="O43" s="289"/>
      <c r="P43" s="289"/>
    </row>
    <row r="44" spans="1:18" x14ac:dyDescent="0.25">
      <c r="A44" s="1" t="s">
        <v>2815</v>
      </c>
      <c r="B44" s="31">
        <v>12143</v>
      </c>
      <c r="C44" s="31">
        <v>15603</v>
      </c>
      <c r="D44" s="31">
        <v>14893</v>
      </c>
      <c r="E44" s="31">
        <v>12836</v>
      </c>
      <c r="F44" s="289">
        <v>170</v>
      </c>
      <c r="G44" s="289">
        <v>229</v>
      </c>
      <c r="H44" s="289">
        <v>134</v>
      </c>
      <c r="I44" s="289">
        <v>72</v>
      </c>
      <c r="J44" s="289">
        <v>307</v>
      </c>
      <c r="K44" s="289">
        <v>542</v>
      </c>
      <c r="L44" s="289">
        <v>339</v>
      </c>
      <c r="M44" s="289">
        <v>463</v>
      </c>
      <c r="N44" s="289">
        <v>432</v>
      </c>
      <c r="O44" s="289">
        <v>170</v>
      </c>
      <c r="P44" s="289">
        <v>233</v>
      </c>
    </row>
    <row r="45" spans="1:18" x14ac:dyDescent="0.25">
      <c r="A45" s="1" t="s">
        <v>2816</v>
      </c>
      <c r="B45" s="31">
        <v>51</v>
      </c>
      <c r="C45" s="31">
        <v>34</v>
      </c>
      <c r="D45" s="31">
        <v>2</v>
      </c>
      <c r="E45" s="31">
        <v>10</v>
      </c>
      <c r="F45" s="289">
        <v>1</v>
      </c>
      <c r="G45" s="289">
        <v>21</v>
      </c>
      <c r="H45" s="289">
        <v>30</v>
      </c>
      <c r="I45" s="289">
        <v>50</v>
      </c>
      <c r="J45" s="289">
        <v>60</v>
      </c>
      <c r="K45" s="289">
        <v>208</v>
      </c>
      <c r="L45" s="289">
        <v>60</v>
      </c>
      <c r="M45" s="289">
        <v>25</v>
      </c>
      <c r="N45" s="289">
        <v>23</v>
      </c>
      <c r="O45" s="289">
        <v>166</v>
      </c>
      <c r="P45" s="289">
        <v>85</v>
      </c>
    </row>
    <row r="46" spans="1:18" x14ac:dyDescent="0.25">
      <c r="A46" s="160" t="s">
        <v>2817</v>
      </c>
      <c r="B46" s="31"/>
      <c r="C46" s="31"/>
      <c r="D46" s="31"/>
      <c r="E46" s="31"/>
      <c r="F46" s="289">
        <f>6+13695</f>
        <v>13701</v>
      </c>
      <c r="G46" s="289">
        <f>25+148</f>
        <v>173</v>
      </c>
      <c r="H46" s="289">
        <f>40+75</f>
        <v>115</v>
      </c>
      <c r="I46" s="289">
        <f>0+13</f>
        <v>13</v>
      </c>
      <c r="J46" s="289">
        <f>15+110</f>
        <v>125</v>
      </c>
      <c r="K46" s="289">
        <f>135+134</f>
        <v>269</v>
      </c>
      <c r="L46" s="289">
        <f>0+70</f>
        <v>70</v>
      </c>
      <c r="M46" s="289">
        <f>50+114</f>
        <v>164</v>
      </c>
      <c r="N46" s="289">
        <f>0+176</f>
        <v>176</v>
      </c>
      <c r="O46" s="289">
        <f>42+240</f>
        <v>282</v>
      </c>
      <c r="P46" s="289">
        <f>48+198</f>
        <v>246</v>
      </c>
    </row>
    <row r="47" spans="1:18" x14ac:dyDescent="0.25">
      <c r="A47" s="1" t="s">
        <v>2818</v>
      </c>
      <c r="B47" s="31"/>
      <c r="C47" s="31"/>
      <c r="D47" s="31"/>
      <c r="E47" s="31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</row>
    <row r="48" spans="1:18" x14ac:dyDescent="0.25">
      <c r="A48" s="1" t="s">
        <v>2868</v>
      </c>
      <c r="F48" s="349">
        <f>+'Net Tuition Summer'!D57-F37</f>
        <v>1620</v>
      </c>
      <c r="G48" s="349">
        <f>+'Net Tuition Summer'!E57-G37</f>
        <v>-363.99999999999659</v>
      </c>
      <c r="H48" s="349">
        <f>+'Net Tuition Summer'!F57-H37</f>
        <v>187.00000000000068</v>
      </c>
      <c r="I48" s="349">
        <f>+'Net Tuition Summer'!G57-I37</f>
        <v>25.000000000002501</v>
      </c>
      <c r="J48" s="349">
        <f>+'Net Tuition Summer'!H57-J37</f>
        <v>126.00000000000057</v>
      </c>
      <c r="K48" s="349">
        <f>+'Net Tuition Summer'!I57-K37</f>
        <v>9.0000000000029559</v>
      </c>
      <c r="L48" s="349">
        <f>+'Net Tuition Summer'!J57-L37</f>
        <v>271.99999999999909</v>
      </c>
      <c r="M48" s="349">
        <f>+'Net Tuition Summer'!K57-M37</f>
        <v>210.00000000000409</v>
      </c>
      <c r="N48" s="349">
        <f>+'Net Tuition Summer'!L57-N37</f>
        <v>79.000000000002046</v>
      </c>
      <c r="O48" s="349">
        <f>+'Net Tuition Summer'!M57-O37</f>
        <v>54</v>
      </c>
      <c r="P48" s="349">
        <f>+'Net Tuition Summer'!N57-P37</f>
        <v>-232.00000000000045</v>
      </c>
    </row>
    <row r="49" spans="1:16" x14ac:dyDescent="0.25">
      <c r="A49" s="1" t="s">
        <v>2869</v>
      </c>
      <c r="B49" s="31"/>
      <c r="C49" s="31"/>
      <c r="D49" s="31"/>
      <c r="E49" s="31"/>
      <c r="F49" s="348">
        <f>+'Net Tuition Summer'!D56-SUM(F29:F36)-SUM(F38:F47)</f>
        <v>-1528</v>
      </c>
      <c r="G49" s="348">
        <f>+'Net Tuition Summer'!E56-SUM(G29:G36)-SUM(G38:G47)</f>
        <v>545.0000000000291</v>
      </c>
      <c r="H49" s="348">
        <f>+'Net Tuition Summer'!F56-SUM(H29:H36)-SUM(H38:H47)</f>
        <v>23.00000000005457</v>
      </c>
      <c r="I49" s="348">
        <f>+'Net Tuition Summer'!G56-SUM(I29:I36)-SUM(I38:I47)</f>
        <v>556.99999999999272</v>
      </c>
      <c r="J49" s="348">
        <f>+'Net Tuition Summer'!H56-SUM(J29:J36)-SUM(J38:J47)</f>
        <v>191.00000000001091</v>
      </c>
      <c r="K49" s="348">
        <f>+'Net Tuition Summer'!I56-SUM(K29:K36)-SUM(K38:K47)</f>
        <v>619.99999999993634</v>
      </c>
      <c r="L49" s="348">
        <f>+'Net Tuition Summer'!J56-SUM(L29:L36)-SUM(L38:L47)</f>
        <v>-55.000000000112777</v>
      </c>
      <c r="M49" s="348">
        <f>+'Net Tuition Summer'!K56-SUM(M29:M36)-SUM(M38:M47)</f>
        <v>110.9999999999709</v>
      </c>
      <c r="N49" s="348">
        <f>+'Net Tuition Summer'!L56-SUM(N29:N36)-SUM(N38:N47)</f>
        <v>124.99999999990541</v>
      </c>
      <c r="O49" s="348">
        <f>+'Net Tuition Summer'!M56-SUM(O29:O36)-SUM(O38:O47)</f>
        <v>167</v>
      </c>
      <c r="P49" s="348">
        <f>+'Net Tuition Summer'!N56-SUM(P29:P36)-SUM(P38:P47)</f>
        <v>475.99999999993634</v>
      </c>
    </row>
    <row r="50" spans="1:16" x14ac:dyDescent="0.25">
      <c r="B50" s="32">
        <f t="shared" ref="B50:P50" si="2">SUM(B29:B49)</f>
        <v>16234</v>
      </c>
      <c r="C50" s="32">
        <f t="shared" si="2"/>
        <v>20241</v>
      </c>
      <c r="D50" s="32">
        <f t="shared" si="2"/>
        <v>19626</v>
      </c>
      <c r="E50" s="32">
        <f t="shared" si="2"/>
        <v>16623</v>
      </c>
      <c r="F50" s="32">
        <f t="shared" si="2"/>
        <v>15551</v>
      </c>
      <c r="G50" s="32">
        <f t="shared" si="2"/>
        <v>14140.000000000033</v>
      </c>
      <c r="H50" s="32">
        <f t="shared" si="2"/>
        <v>12699.000000000055</v>
      </c>
      <c r="I50" s="32">
        <f t="shared" si="2"/>
        <v>11801.999999999995</v>
      </c>
      <c r="J50" s="32">
        <f t="shared" si="2"/>
        <v>10614.000000000011</v>
      </c>
      <c r="K50" s="32">
        <f t="shared" si="2"/>
        <v>13580.99999999994</v>
      </c>
      <c r="L50" s="32">
        <f t="shared" si="2"/>
        <v>13359.999999999887</v>
      </c>
      <c r="M50" s="32">
        <f t="shared" si="2"/>
        <v>14245.999999999975</v>
      </c>
      <c r="N50" s="32">
        <f t="shared" si="2"/>
        <v>12550.999999999907</v>
      </c>
      <c r="O50" s="32">
        <f t="shared" si="2"/>
        <v>11516</v>
      </c>
      <c r="P50" s="32">
        <f t="shared" si="2"/>
        <v>12539.999999999936</v>
      </c>
    </row>
    <row r="51" spans="1:16" x14ac:dyDescent="0.25">
      <c r="F51" s="1">
        <f>+'Net Tuition Summer'!D59</f>
        <v>15551</v>
      </c>
      <c r="G51" s="1">
        <f>+'Net Tuition Summer'!E59</f>
        <v>14140.000000000033</v>
      </c>
      <c r="H51" s="1">
        <f>+'Net Tuition Summer'!F59</f>
        <v>12699.000000000055</v>
      </c>
      <c r="I51" s="1">
        <f>+'Net Tuition Summer'!G59</f>
        <v>11801.999999999995</v>
      </c>
      <c r="J51" s="1">
        <f>+'Net Tuition Summer'!H59</f>
        <v>10614.000000000011</v>
      </c>
      <c r="K51" s="1">
        <f>+'Net Tuition Summer'!I59</f>
        <v>13580.99999999994</v>
      </c>
      <c r="L51" s="1">
        <f>+'Net Tuition Summer'!J59</f>
        <v>13359.999999999887</v>
      </c>
      <c r="M51" s="1">
        <f>+'Net Tuition Summer'!K59</f>
        <v>14245.999999999975</v>
      </c>
      <c r="N51" s="1">
        <f>+'Net Tuition Summer'!L59</f>
        <v>12550.999999999907</v>
      </c>
      <c r="O51" s="1">
        <f>+'Net Tuition Summer'!M59</f>
        <v>11516</v>
      </c>
      <c r="P51" s="1">
        <f>+'Net Tuition Summer'!N59</f>
        <v>12539.999999999936</v>
      </c>
    </row>
    <row r="52" spans="1:16" x14ac:dyDescent="0.25">
      <c r="F52" s="1">
        <f>+F51-F50</f>
        <v>0</v>
      </c>
      <c r="G52" s="1">
        <f t="shared" ref="G52:P52" si="3">+G51-G50</f>
        <v>0</v>
      </c>
      <c r="H52" s="1">
        <f t="shared" si="3"/>
        <v>0</v>
      </c>
      <c r="I52" s="1">
        <f t="shared" si="3"/>
        <v>0</v>
      </c>
      <c r="J52" s="1">
        <f t="shared" si="3"/>
        <v>0</v>
      </c>
      <c r="K52" s="1">
        <f t="shared" si="3"/>
        <v>0</v>
      </c>
      <c r="L52" s="1">
        <f t="shared" si="3"/>
        <v>0</v>
      </c>
      <c r="M52" s="1">
        <f t="shared" si="3"/>
        <v>0</v>
      </c>
      <c r="N52" s="1">
        <f t="shared" si="3"/>
        <v>0</v>
      </c>
      <c r="O52" s="1">
        <f t="shared" si="3"/>
        <v>0</v>
      </c>
      <c r="P52" s="1">
        <f t="shared" si="3"/>
        <v>0</v>
      </c>
    </row>
    <row r="53" spans="1:16" x14ac:dyDescent="0.25">
      <c r="A53" s="1" t="s">
        <v>434</v>
      </c>
    </row>
    <row r="54" spans="1:16" x14ac:dyDescent="0.25">
      <c r="A54" s="1" t="s">
        <v>436</v>
      </c>
    </row>
    <row r="55" spans="1:16" x14ac:dyDescent="0.25">
      <c r="A55" s="1" t="s">
        <v>437</v>
      </c>
    </row>
    <row r="56" spans="1:16" x14ac:dyDescent="0.25">
      <c r="A56" s="1" t="s">
        <v>81</v>
      </c>
    </row>
    <row r="57" spans="1:16" x14ac:dyDescent="0.25">
      <c r="A57" s="1" t="s">
        <v>440</v>
      </c>
    </row>
    <row r="58" spans="1:16" x14ac:dyDescent="0.25">
      <c r="A58" s="1" t="s">
        <v>85</v>
      </c>
    </row>
    <row r="59" spans="1:16" x14ac:dyDescent="0.25">
      <c r="A59" s="1" t="s">
        <v>87</v>
      </c>
    </row>
    <row r="60" spans="1:16" x14ac:dyDescent="0.25">
      <c r="A60" s="1" t="s">
        <v>447</v>
      </c>
    </row>
    <row r="61" spans="1:16" x14ac:dyDescent="0.25">
      <c r="A61" s="1" t="s">
        <v>91</v>
      </c>
    </row>
  </sheetData>
  <pageMargins left="0.2" right="0.2" top="0.75" bottom="0.75" header="0.3" footer="0.3"/>
  <pageSetup paperSize="5" scale="3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06"/>
  <sheetViews>
    <sheetView topLeftCell="F1" workbookViewId="0">
      <selection activeCell="T3" sqref="T3"/>
    </sheetView>
  </sheetViews>
  <sheetFormatPr defaultRowHeight="15" x14ac:dyDescent="0.25"/>
  <cols>
    <col min="1" max="1" width="37" bestFit="1" customWidth="1"/>
    <col min="2" max="3" width="18.28515625" customWidth="1"/>
    <col min="4" max="4" width="12" customWidth="1"/>
    <col min="5" max="5" width="11.5703125" bestFit="1" customWidth="1"/>
    <col min="6" max="6" width="15" bestFit="1" customWidth="1"/>
    <col min="7" max="7" width="2.7109375" customWidth="1"/>
    <col min="8" max="8" width="10.5703125" bestFit="1" customWidth="1"/>
    <col min="9" max="9" width="9.85546875" style="14" bestFit="1" customWidth="1"/>
    <col min="10" max="10" width="10.5703125" bestFit="1" customWidth="1"/>
    <col min="11" max="11" width="2.5703125" customWidth="1"/>
    <col min="12" max="12" width="10.5703125" style="88" bestFit="1" customWidth="1"/>
    <col min="13" max="13" width="10.5703125" style="88" customWidth="1"/>
    <col min="14" max="14" width="10.5703125" style="88" bestFit="1" customWidth="1"/>
    <col min="15" max="15" width="12.5703125" style="88" customWidth="1"/>
    <col min="16" max="16" width="14.42578125" style="88" bestFit="1" customWidth="1"/>
    <col min="17" max="17" width="2.5703125" customWidth="1"/>
    <col min="18" max="18" width="10.85546875" bestFit="1" customWidth="1"/>
    <col min="19" max="19" width="9.28515625" customWidth="1"/>
    <col min="20" max="20" width="2.42578125" customWidth="1"/>
    <col min="21" max="21" width="10.5703125" bestFit="1" customWidth="1"/>
    <col min="22" max="22" width="7.7109375" bestFit="1" customWidth="1"/>
    <col min="25" max="25" width="13.42578125" style="1" bestFit="1" customWidth="1"/>
    <col min="26" max="26" width="10.5703125" style="1" bestFit="1" customWidth="1"/>
    <col min="27" max="27" width="9.140625" style="1"/>
    <col min="28" max="28" width="13.28515625" style="1" bestFit="1" customWidth="1"/>
    <col min="29" max="30" width="9.140625" style="1"/>
    <col min="31" max="31" width="10.5703125" style="1" bestFit="1" customWidth="1"/>
    <col min="32" max="32" width="11.5703125" bestFit="1" customWidth="1"/>
    <col min="33" max="33" width="6.140625" bestFit="1" customWidth="1"/>
    <col min="34" max="34" width="13.28515625" bestFit="1" customWidth="1"/>
    <col min="35" max="35" width="10.5703125" bestFit="1" customWidth="1"/>
  </cols>
  <sheetData>
    <row r="1" spans="1:22" x14ac:dyDescent="0.25">
      <c r="A1" s="64" t="s">
        <v>2886</v>
      </c>
      <c r="B1" s="64"/>
      <c r="C1" s="64"/>
      <c r="D1" s="64"/>
      <c r="E1" s="64"/>
      <c r="F1" s="64"/>
      <c r="G1" s="64"/>
      <c r="H1" s="64"/>
      <c r="I1" s="92"/>
      <c r="J1" s="64"/>
      <c r="K1" s="64"/>
      <c r="L1" s="87"/>
      <c r="M1" s="87"/>
      <c r="N1" s="87"/>
      <c r="O1" s="87"/>
      <c r="P1" s="87"/>
      <c r="Q1" s="64"/>
      <c r="R1" s="64"/>
      <c r="S1" s="64"/>
      <c r="T1" s="64"/>
    </row>
    <row r="2" spans="1:22" x14ac:dyDescent="0.25">
      <c r="A2" s="64" t="s">
        <v>2887</v>
      </c>
      <c r="B2" s="64"/>
      <c r="C2" s="64"/>
      <c r="D2" s="64"/>
      <c r="E2" s="64"/>
      <c r="F2" s="64"/>
      <c r="G2" s="64"/>
      <c r="H2" s="64"/>
      <c r="I2" s="92"/>
      <c r="J2" s="64"/>
      <c r="K2" s="64"/>
      <c r="L2" s="87"/>
      <c r="M2" s="87"/>
      <c r="N2" s="87"/>
      <c r="O2" s="87"/>
      <c r="P2" s="87"/>
      <c r="Q2" s="64"/>
      <c r="R2" s="64"/>
      <c r="S2" s="64"/>
      <c r="T2" s="64"/>
    </row>
    <row r="3" spans="1:22" x14ac:dyDescent="0.25">
      <c r="A3" s="64" t="s">
        <v>2888</v>
      </c>
      <c r="B3" s="64"/>
      <c r="C3" s="64"/>
      <c r="D3" s="64"/>
      <c r="E3" s="64"/>
      <c r="F3" s="64"/>
      <c r="G3" s="64"/>
      <c r="H3" s="64"/>
      <c r="I3" s="92"/>
      <c r="J3" s="64"/>
      <c r="K3" s="64"/>
      <c r="L3" s="87"/>
      <c r="M3" s="87"/>
      <c r="N3" s="87"/>
      <c r="O3" s="87"/>
      <c r="P3" s="87"/>
      <c r="Q3" s="64"/>
      <c r="R3" s="64"/>
      <c r="S3" s="64"/>
      <c r="T3" s="64"/>
    </row>
    <row r="4" spans="1:22" x14ac:dyDescent="0.25">
      <c r="A4" s="64" t="s">
        <v>2889</v>
      </c>
      <c r="B4" s="64"/>
      <c r="C4" s="64"/>
      <c r="D4" s="64"/>
      <c r="E4" s="64"/>
      <c r="F4" s="64"/>
      <c r="G4" s="64"/>
      <c r="H4" s="64"/>
      <c r="I4" s="92"/>
      <c r="J4" s="64"/>
      <c r="K4" s="64"/>
      <c r="L4" s="87"/>
      <c r="M4" s="87"/>
      <c r="N4" s="87"/>
      <c r="O4" s="87"/>
      <c r="P4" s="87"/>
      <c r="Q4" s="64"/>
      <c r="R4" s="64"/>
      <c r="S4" s="64"/>
      <c r="T4" s="64"/>
    </row>
    <row r="5" spans="1:22" x14ac:dyDescent="0.25">
      <c r="A5" s="64" t="s">
        <v>2890</v>
      </c>
      <c r="B5" s="64"/>
      <c r="C5" s="64"/>
      <c r="D5" s="64"/>
      <c r="E5" s="64"/>
      <c r="F5" s="64"/>
      <c r="G5" s="64"/>
      <c r="H5" s="64"/>
      <c r="I5" s="92"/>
      <c r="J5" s="64"/>
      <c r="K5" s="64"/>
      <c r="L5" s="87"/>
      <c r="M5" s="87"/>
      <c r="N5" s="87"/>
      <c r="O5" s="87"/>
      <c r="P5" s="87"/>
      <c r="Q5" s="64"/>
      <c r="R5" s="64"/>
      <c r="S5" s="64"/>
      <c r="T5" s="64"/>
    </row>
    <row r="6" spans="1:22" ht="9.75" customHeight="1" x14ac:dyDescent="0.7">
      <c r="A6" s="65"/>
      <c r="B6" s="6"/>
      <c r="C6" s="6"/>
      <c r="D6" s="6"/>
      <c r="E6" s="6"/>
      <c r="F6" s="6"/>
      <c r="G6" s="6"/>
    </row>
    <row r="7" spans="1:22" ht="15.75" thickBot="1" x14ac:dyDescent="0.3">
      <c r="B7" s="66" t="s">
        <v>57</v>
      </c>
      <c r="C7" s="66"/>
      <c r="D7" s="66"/>
      <c r="E7" s="66"/>
      <c r="F7" s="66"/>
      <c r="G7" s="64"/>
      <c r="H7" s="66" t="s">
        <v>2891</v>
      </c>
      <c r="I7" s="93"/>
      <c r="J7" s="66"/>
      <c r="K7" s="13"/>
      <c r="L7" s="89" t="s">
        <v>2892</v>
      </c>
      <c r="M7" s="89"/>
      <c r="N7" s="89"/>
      <c r="O7" s="89"/>
      <c r="P7" s="89"/>
      <c r="T7" s="59"/>
      <c r="U7" s="64"/>
    </row>
    <row r="8" spans="1:22" x14ac:dyDescent="0.25">
      <c r="A8" t="s">
        <v>434</v>
      </c>
      <c r="B8" s="8" t="s">
        <v>2893</v>
      </c>
      <c r="C8" s="8" t="s">
        <v>73</v>
      </c>
      <c r="D8" s="8" t="s">
        <v>50</v>
      </c>
      <c r="E8" s="8" t="s">
        <v>38</v>
      </c>
      <c r="F8" s="8" t="s">
        <v>2894</v>
      </c>
      <c r="G8" s="6"/>
      <c r="H8" s="8" t="s">
        <v>101</v>
      </c>
      <c r="I8" s="40" t="s">
        <v>31</v>
      </c>
      <c r="J8" s="8" t="s">
        <v>38</v>
      </c>
      <c r="K8" s="6"/>
      <c r="L8" s="90" t="s">
        <v>2893</v>
      </c>
      <c r="M8" s="90" t="s">
        <v>73</v>
      </c>
      <c r="N8" s="90" t="s">
        <v>50</v>
      </c>
      <c r="O8" s="90" t="s">
        <v>38</v>
      </c>
      <c r="P8" s="90" t="s">
        <v>2895</v>
      </c>
      <c r="Q8" s="6"/>
      <c r="R8" s="8" t="s">
        <v>2896</v>
      </c>
      <c r="S8" s="91" t="s">
        <v>2897</v>
      </c>
      <c r="T8" s="6"/>
      <c r="U8" s="8" t="s">
        <v>2893</v>
      </c>
      <c r="V8" s="91" t="s">
        <v>50</v>
      </c>
    </row>
    <row r="9" spans="1:22" x14ac:dyDescent="0.25">
      <c r="A9">
        <v>2010</v>
      </c>
      <c r="B9" s="85">
        <v>4598406</v>
      </c>
      <c r="C9" s="85">
        <v>0</v>
      </c>
      <c r="D9" s="86">
        <v>655767</v>
      </c>
      <c r="E9" s="72">
        <f t="shared" ref="E9:E13" si="0">SUM(B9:D9)</f>
        <v>5254173</v>
      </c>
      <c r="F9" s="72">
        <f>+E9-C9</f>
        <v>5254173</v>
      </c>
      <c r="G9" s="6"/>
      <c r="H9" s="1">
        <f>+'AY Credit Hour Allocation'!G2</f>
        <v>26417.988127809767</v>
      </c>
      <c r="J9" s="3">
        <f t="shared" ref="J9:J23" si="1">SUM(H9:I9)</f>
        <v>26417.988127809767</v>
      </c>
      <c r="K9" s="6"/>
      <c r="L9" s="88">
        <f t="shared" ref="L9:L19" si="2">B9/J9</f>
        <v>174.06344411061855</v>
      </c>
      <c r="M9" s="88">
        <f t="shared" ref="M9:M19" si="3">+C9/J9</f>
        <v>0</v>
      </c>
      <c r="N9" s="88">
        <f t="shared" ref="N9:N19" si="4">D9/J9</f>
        <v>24.822745654491577</v>
      </c>
      <c r="O9" s="88">
        <f t="shared" ref="O9:O19" si="5">+E9/J9</f>
        <v>198.88618976511015</v>
      </c>
      <c r="P9" s="88">
        <f t="shared" ref="P9" si="6">+L9+N9</f>
        <v>198.88618976511012</v>
      </c>
      <c r="R9" s="109">
        <v>1.1827000000000001</v>
      </c>
      <c r="S9" s="94">
        <f>+P9*R9</f>
        <v>235.22269663519575</v>
      </c>
      <c r="T9" s="94"/>
      <c r="U9" s="51">
        <f t="shared" ref="U9:U19" si="7">+L9/P9</f>
        <v>0.87519120516206839</v>
      </c>
      <c r="V9" s="51">
        <f t="shared" ref="V9:V19" si="8">+N9/P9</f>
        <v>0.12480879483793168</v>
      </c>
    </row>
    <row r="10" spans="1:22" x14ac:dyDescent="0.25">
      <c r="A10">
        <v>2011</v>
      </c>
      <c r="B10" s="76">
        <v>4634744</v>
      </c>
      <c r="C10" s="76">
        <v>0</v>
      </c>
      <c r="D10" s="76">
        <v>674449</v>
      </c>
      <c r="E10" s="72">
        <f t="shared" si="0"/>
        <v>5309193</v>
      </c>
      <c r="F10" s="72">
        <f t="shared" ref="F10:F19" si="9">+E10-C10</f>
        <v>5309193</v>
      </c>
      <c r="G10" s="5"/>
      <c r="H10" s="1">
        <f>+'AY Credit Hour Allocation'!M2</f>
        <v>26545.139864381672</v>
      </c>
      <c r="I10" s="39">
        <f>+'Summer Credit Hour Allocation'!D2</f>
        <v>4892.4394184168013</v>
      </c>
      <c r="J10" s="3">
        <f t="shared" si="1"/>
        <v>31437.579282798473</v>
      </c>
      <c r="L10" s="88">
        <f t="shared" si="2"/>
        <v>147.42687273431284</v>
      </c>
      <c r="M10" s="88">
        <f t="shared" si="3"/>
        <v>0</v>
      </c>
      <c r="N10" s="88">
        <f t="shared" si="4"/>
        <v>21.453592019059641</v>
      </c>
      <c r="O10" s="88">
        <f t="shared" si="5"/>
        <v>168.88046475337248</v>
      </c>
      <c r="P10" s="88">
        <f t="shared" ref="P10:P19" si="10">+L10+N10</f>
        <v>168.88046475337248</v>
      </c>
      <c r="R10" s="109">
        <v>1.1420999999999999</v>
      </c>
      <c r="S10" s="94">
        <f t="shared" ref="S10:S19" si="11">+P10*R10</f>
        <v>192.87837879482669</v>
      </c>
      <c r="T10" s="94"/>
      <c r="U10" s="51">
        <f t="shared" si="7"/>
        <v>0.87296581608542012</v>
      </c>
      <c r="V10" s="51">
        <f t="shared" si="8"/>
        <v>0.12703418391457985</v>
      </c>
    </row>
    <row r="11" spans="1:22" x14ac:dyDescent="0.25">
      <c r="A11">
        <v>2012</v>
      </c>
      <c r="B11" s="76">
        <v>4810935.0599999996</v>
      </c>
      <c r="C11" s="76">
        <v>0</v>
      </c>
      <c r="D11" s="76">
        <v>648405.94000000041</v>
      </c>
      <c r="E11" s="72">
        <f t="shared" si="0"/>
        <v>5459341</v>
      </c>
      <c r="F11" s="72">
        <f t="shared" si="9"/>
        <v>5459341</v>
      </c>
      <c r="G11" s="5"/>
      <c r="H11" s="1">
        <f>+'AY Credit Hour Allocation'!S2</f>
        <v>26654.322986483923</v>
      </c>
      <c r="I11" s="14">
        <f>+'Summer Credit Hour Allocation'!H2</f>
        <v>4632.3468616082682</v>
      </c>
      <c r="J11" s="3">
        <f t="shared" si="1"/>
        <v>31286.669848092191</v>
      </c>
      <c r="L11" s="88">
        <f t="shared" si="2"/>
        <v>153.76948340487451</v>
      </c>
      <c r="M11" s="88">
        <f t="shared" si="3"/>
        <v>0</v>
      </c>
      <c r="N11" s="88">
        <f t="shared" si="4"/>
        <v>20.724671022778704</v>
      </c>
      <c r="O11" s="88">
        <f t="shared" si="5"/>
        <v>174.4941544276532</v>
      </c>
      <c r="P11" s="88">
        <f t="shared" si="10"/>
        <v>174.4941544276532</v>
      </c>
      <c r="R11" s="109">
        <v>1.1234</v>
      </c>
      <c r="S11" s="94">
        <f t="shared" si="11"/>
        <v>196.02673308402561</v>
      </c>
      <c r="T11" s="94"/>
      <c r="U11" s="51">
        <f t="shared" si="7"/>
        <v>0.88122999827268522</v>
      </c>
      <c r="V11" s="51">
        <f t="shared" si="8"/>
        <v>0.11877000172731479</v>
      </c>
    </row>
    <row r="12" spans="1:22" x14ac:dyDescent="0.25">
      <c r="A12">
        <v>2013</v>
      </c>
      <c r="B12" s="76">
        <v>5079592</v>
      </c>
      <c r="C12" s="76">
        <v>70953</v>
      </c>
      <c r="D12" s="76">
        <v>670343</v>
      </c>
      <c r="E12" s="72">
        <f t="shared" si="0"/>
        <v>5820888</v>
      </c>
      <c r="F12" s="72">
        <f t="shared" si="9"/>
        <v>5749935</v>
      </c>
      <c r="G12" s="5"/>
      <c r="H12" s="1">
        <f>+'AY Credit Hour Allocation'!Y2</f>
        <v>26095.267341186824</v>
      </c>
      <c r="I12" s="14">
        <f>+'Summer Credit Hour Allocation'!L2</f>
        <v>3890.1710654936464</v>
      </c>
      <c r="J12" s="3">
        <f t="shared" si="1"/>
        <v>29985.438406680471</v>
      </c>
      <c r="L12" s="88">
        <f t="shared" si="2"/>
        <v>169.40195874769387</v>
      </c>
      <c r="M12" s="88">
        <f t="shared" si="3"/>
        <v>2.3662485449668247</v>
      </c>
      <c r="N12" s="88">
        <f t="shared" si="4"/>
        <v>22.355617780484209</v>
      </c>
      <c r="O12" s="88">
        <f t="shared" si="5"/>
        <v>194.1238250731449</v>
      </c>
      <c r="P12" s="88">
        <f t="shared" si="10"/>
        <v>191.75757652817808</v>
      </c>
      <c r="R12" s="109">
        <v>1.1104000000000001</v>
      </c>
      <c r="S12" s="94">
        <f t="shared" si="11"/>
        <v>212.92761297688895</v>
      </c>
      <c r="T12" s="94"/>
      <c r="U12" s="51">
        <f t="shared" si="7"/>
        <v>0.88341729080415687</v>
      </c>
      <c r="V12" s="51">
        <f t="shared" si="8"/>
        <v>0.11658270919584308</v>
      </c>
    </row>
    <row r="13" spans="1:22" x14ac:dyDescent="0.25">
      <c r="A13">
        <v>2014</v>
      </c>
      <c r="B13" s="76">
        <v>5027751</v>
      </c>
      <c r="C13" s="76">
        <v>67253</v>
      </c>
      <c r="D13" s="76">
        <v>674758</v>
      </c>
      <c r="E13" s="72">
        <f t="shared" si="0"/>
        <v>5769762</v>
      </c>
      <c r="F13" s="72">
        <f t="shared" si="9"/>
        <v>5702509</v>
      </c>
      <c r="G13" s="5"/>
      <c r="H13" s="1">
        <f>+'AY Credit Hour Allocation'!AE2</f>
        <v>25371.815122406777</v>
      </c>
      <c r="I13" s="14">
        <f>+'Summer Credit Hour Allocation'!P2</f>
        <v>3100.6630179827989</v>
      </c>
      <c r="J13" s="3">
        <f t="shared" si="1"/>
        <v>28472.478140389576</v>
      </c>
      <c r="L13" s="88">
        <f t="shared" si="2"/>
        <v>176.58283817831418</v>
      </c>
      <c r="M13" s="88">
        <f t="shared" si="3"/>
        <v>2.3620353545762636</v>
      </c>
      <c r="N13" s="88">
        <f t="shared" si="4"/>
        <v>23.698604549732657</v>
      </c>
      <c r="O13" s="88">
        <f t="shared" si="5"/>
        <v>202.64347808262309</v>
      </c>
      <c r="P13" s="88">
        <f t="shared" si="10"/>
        <v>200.28144272804684</v>
      </c>
      <c r="R13" s="109">
        <v>1.0815999999999999</v>
      </c>
      <c r="S13" s="94">
        <f t="shared" si="11"/>
        <v>216.62440845465545</v>
      </c>
      <c r="T13" s="94"/>
      <c r="U13" s="51">
        <f t="shared" si="7"/>
        <v>0.8816734879331185</v>
      </c>
      <c r="V13" s="51">
        <f t="shared" si="8"/>
        <v>0.11832651206688144</v>
      </c>
    </row>
    <row r="14" spans="1:22" x14ac:dyDescent="0.25">
      <c r="A14">
        <v>2015</v>
      </c>
      <c r="B14" s="76">
        <v>5949726</v>
      </c>
      <c r="C14" s="76">
        <v>72264</v>
      </c>
      <c r="D14" s="76">
        <v>657906</v>
      </c>
      <c r="E14" s="72">
        <f t="shared" ref="E14:E19" si="12">SUM(B14:D14)</f>
        <v>6679896</v>
      </c>
      <c r="F14" s="72">
        <f t="shared" si="9"/>
        <v>6607632</v>
      </c>
      <c r="G14" s="5"/>
      <c r="H14" s="1">
        <f>+'AY Credit Hour Allocation'!AK2</f>
        <v>27141.679552024383</v>
      </c>
      <c r="I14" s="14">
        <f>+'Summer Credit Hour Allocation'!T2</f>
        <v>1989.5026816609043</v>
      </c>
      <c r="J14" s="3">
        <f t="shared" si="1"/>
        <v>29131.182233685286</v>
      </c>
      <c r="L14" s="88">
        <f t="shared" si="2"/>
        <v>204.23908484977818</v>
      </c>
      <c r="M14" s="88">
        <f t="shared" si="3"/>
        <v>2.4806408274237119</v>
      </c>
      <c r="N14" s="88">
        <f t="shared" si="4"/>
        <v>22.584253351696898</v>
      </c>
      <c r="O14" s="88">
        <f t="shared" si="5"/>
        <v>229.30397902889879</v>
      </c>
      <c r="P14" s="88">
        <f t="shared" si="10"/>
        <v>226.82333820147508</v>
      </c>
      <c r="Q14" s="1"/>
      <c r="R14" s="109">
        <v>1.0803</v>
      </c>
      <c r="S14" s="94">
        <f t="shared" si="11"/>
        <v>245.03725225905353</v>
      </c>
      <c r="T14" s="95"/>
      <c r="U14" s="51">
        <f t="shared" si="7"/>
        <v>0.90043240906878586</v>
      </c>
      <c r="V14" s="51">
        <f t="shared" si="8"/>
        <v>9.9567590931214089E-2</v>
      </c>
    </row>
    <row r="15" spans="1:22" x14ac:dyDescent="0.25">
      <c r="A15">
        <v>2016</v>
      </c>
      <c r="B15" s="76">
        <v>6069821</v>
      </c>
      <c r="C15" s="76">
        <v>79830</v>
      </c>
      <c r="D15" s="76">
        <v>634720</v>
      </c>
      <c r="E15" s="72">
        <f t="shared" si="12"/>
        <v>6784371</v>
      </c>
      <c r="F15" s="72">
        <f t="shared" si="9"/>
        <v>6704541</v>
      </c>
      <c r="G15" s="5"/>
      <c r="H15" s="1">
        <f>+'AY Credit Hour Allocation'!AQ2</f>
        <v>28191.722802942517</v>
      </c>
      <c r="I15" s="14">
        <f>+'Summer Credit Hour Allocation'!X2</f>
        <v>1720.508340807183</v>
      </c>
      <c r="J15" s="3">
        <f t="shared" si="1"/>
        <v>29912.231143749701</v>
      </c>
      <c r="L15" s="88">
        <f t="shared" si="2"/>
        <v>202.92103824787131</v>
      </c>
      <c r="M15" s="88">
        <f t="shared" si="3"/>
        <v>2.668807940683517</v>
      </c>
      <c r="N15" s="88">
        <f t="shared" si="4"/>
        <v>21.219413454974845</v>
      </c>
      <c r="O15" s="88">
        <f t="shared" si="5"/>
        <v>226.80925964352966</v>
      </c>
      <c r="P15" s="88">
        <f t="shared" si="10"/>
        <v>224.14045170284615</v>
      </c>
      <c r="Q15" s="1"/>
      <c r="R15" s="109">
        <v>1.0696000000000001</v>
      </c>
      <c r="S15" s="94">
        <f t="shared" si="11"/>
        <v>239.74062714136426</v>
      </c>
      <c r="T15" s="95"/>
      <c r="U15" s="51">
        <f t="shared" si="7"/>
        <v>0.90532983540558554</v>
      </c>
      <c r="V15" s="51">
        <f t="shared" si="8"/>
        <v>9.4670164594414435E-2</v>
      </c>
    </row>
    <row r="16" spans="1:22" x14ac:dyDescent="0.25">
      <c r="A16">
        <v>2017</v>
      </c>
      <c r="B16" s="76">
        <v>5886916</v>
      </c>
      <c r="C16" s="76">
        <v>69025</v>
      </c>
      <c r="D16" s="76">
        <v>517116</v>
      </c>
      <c r="E16" s="72">
        <f t="shared" si="12"/>
        <v>6473057</v>
      </c>
      <c r="F16" s="72">
        <f t="shared" si="9"/>
        <v>6404032</v>
      </c>
      <c r="G16" s="5"/>
      <c r="H16" s="1">
        <f>+'AY Credit Hour Allocation'!AW2</f>
        <v>26967.338714453239</v>
      </c>
      <c r="I16" s="14">
        <f>+'Summer Credit Hour Allocation'!AB2</f>
        <v>2136.8168674698782</v>
      </c>
      <c r="J16" s="3">
        <f t="shared" si="1"/>
        <v>29104.155581923118</v>
      </c>
      <c r="L16" s="88">
        <f t="shared" si="2"/>
        <v>202.2706339453608</v>
      </c>
      <c r="M16" s="88">
        <f t="shared" si="3"/>
        <v>2.3716544465860441</v>
      </c>
      <c r="N16" s="88">
        <f t="shared" si="4"/>
        <v>17.76777197828017</v>
      </c>
      <c r="O16" s="88">
        <f t="shared" si="5"/>
        <v>222.410060370227</v>
      </c>
      <c r="P16" s="88">
        <f t="shared" si="10"/>
        <v>220.03840592364097</v>
      </c>
      <c r="Q16" s="1"/>
      <c r="R16" s="109">
        <v>1.0524</v>
      </c>
      <c r="S16" s="94">
        <f t="shared" si="11"/>
        <v>231.56841839403975</v>
      </c>
      <c r="T16" s="95"/>
      <c r="U16" s="51">
        <f t="shared" si="7"/>
        <v>0.91925149655716898</v>
      </c>
      <c r="V16" s="51">
        <f t="shared" si="8"/>
        <v>8.0748503442831007E-2</v>
      </c>
    </row>
    <row r="17" spans="1:22" x14ac:dyDescent="0.25">
      <c r="A17">
        <v>2018</v>
      </c>
      <c r="B17" s="76">
        <v>5543377</v>
      </c>
      <c r="C17" s="76">
        <v>79217</v>
      </c>
      <c r="D17" s="76">
        <v>312662</v>
      </c>
      <c r="E17" s="72">
        <f t="shared" si="12"/>
        <v>5935256</v>
      </c>
      <c r="F17" s="72">
        <f t="shared" si="9"/>
        <v>5856039</v>
      </c>
      <c r="G17" s="5"/>
      <c r="H17" s="1">
        <f>+'AY Credit Hour Allocation'!BC2</f>
        <v>25783.818794194554</v>
      </c>
      <c r="I17" s="14">
        <f>+'Summer Credit Hour Allocation'!AF2</f>
        <v>2229.1092514043357</v>
      </c>
      <c r="J17" s="3">
        <f t="shared" si="1"/>
        <v>28012.928045598892</v>
      </c>
      <c r="L17" s="88">
        <f t="shared" si="2"/>
        <v>197.88638270789116</v>
      </c>
      <c r="M17" s="88">
        <f t="shared" si="3"/>
        <v>2.8278728975083265</v>
      </c>
      <c r="N17" s="88">
        <f t="shared" si="4"/>
        <v>11.161346628637141</v>
      </c>
      <c r="O17" s="88">
        <f t="shared" si="5"/>
        <v>211.87560223403662</v>
      </c>
      <c r="P17" s="88">
        <f t="shared" si="10"/>
        <v>209.04772933652831</v>
      </c>
      <c r="Q17" s="1"/>
      <c r="R17" s="109">
        <v>1.0229999999999999</v>
      </c>
      <c r="S17" s="94">
        <f t="shared" si="11"/>
        <v>213.85582711126844</v>
      </c>
      <c r="T17" s="95"/>
      <c r="U17" s="51">
        <f t="shared" si="7"/>
        <v>0.94660862060515649</v>
      </c>
      <c r="V17" s="51">
        <f t="shared" si="8"/>
        <v>5.3391379394843508E-2</v>
      </c>
    </row>
    <row r="18" spans="1:22" x14ac:dyDescent="0.25">
      <c r="A18">
        <v>2019</v>
      </c>
      <c r="B18" s="76">
        <v>5930101</v>
      </c>
      <c r="C18" s="76">
        <v>71788</v>
      </c>
      <c r="D18" s="76">
        <v>549608</v>
      </c>
      <c r="E18" s="72">
        <f t="shared" si="12"/>
        <v>6551497</v>
      </c>
      <c r="F18" s="72">
        <f t="shared" si="9"/>
        <v>6479709</v>
      </c>
      <c r="G18" s="5"/>
      <c r="H18" s="1">
        <f>+'AY Credit Hour Allocation'!BI2</f>
        <v>24054.498706059869</v>
      </c>
      <c r="I18" s="14">
        <f>+'Summer Credit Hour Allocation'!AJ2</f>
        <v>2942.3084236546874</v>
      </c>
      <c r="J18" s="3">
        <f t="shared" si="1"/>
        <v>26996.807129714558</v>
      </c>
      <c r="L18" s="88">
        <f t="shared" si="2"/>
        <v>219.65934606662873</v>
      </c>
      <c r="M18" s="88">
        <f t="shared" si="3"/>
        <v>2.6591292686973027</v>
      </c>
      <c r="N18" s="88">
        <f t="shared" si="4"/>
        <v>20.358259306711251</v>
      </c>
      <c r="O18" s="88">
        <f t="shared" si="5"/>
        <v>242.67673464203727</v>
      </c>
      <c r="P18" s="88">
        <f t="shared" si="10"/>
        <v>240.01760537333999</v>
      </c>
      <c r="Q18" s="1"/>
      <c r="R18" s="109">
        <v>1.0065</v>
      </c>
      <c r="S18" s="94">
        <f t="shared" si="11"/>
        <v>241.57771980826669</v>
      </c>
      <c r="T18" s="95"/>
      <c r="U18" s="51">
        <f t="shared" si="7"/>
        <v>0.91518014157734551</v>
      </c>
      <c r="V18" s="51">
        <f t="shared" si="8"/>
        <v>8.4819858422654479E-2</v>
      </c>
    </row>
    <row r="19" spans="1:22" x14ac:dyDescent="0.25">
      <c r="A19" s="68" t="s">
        <v>12</v>
      </c>
      <c r="B19" s="76">
        <v>3266876</v>
      </c>
      <c r="C19" s="76">
        <v>45850</v>
      </c>
      <c r="D19" s="76">
        <v>623442</v>
      </c>
      <c r="E19" s="72">
        <f t="shared" si="12"/>
        <v>3936168</v>
      </c>
      <c r="F19" s="72">
        <f t="shared" si="9"/>
        <v>3890318</v>
      </c>
      <c r="G19" s="6"/>
      <c r="H19" s="1">
        <f>+'AY Credit Hour Allocation'!BO2</f>
        <v>13641.27298238091</v>
      </c>
      <c r="I19" s="14">
        <f>+'Summer Credit Hour Allocation'!AN2</f>
        <v>1952.7748875760328</v>
      </c>
      <c r="J19" s="3">
        <f t="shared" si="1"/>
        <v>15594.047869956943</v>
      </c>
      <c r="L19" s="88">
        <f t="shared" si="2"/>
        <v>209.49506037453381</v>
      </c>
      <c r="M19" s="88">
        <f t="shared" si="3"/>
        <v>2.9402243973056752</v>
      </c>
      <c r="N19" s="88">
        <f t="shared" si="4"/>
        <v>39.979484813632382</v>
      </c>
      <c r="O19" s="88">
        <f t="shared" si="5"/>
        <v>252.41476958547184</v>
      </c>
      <c r="P19" s="88">
        <f t="shared" si="10"/>
        <v>249.47454518816619</v>
      </c>
      <c r="Q19" s="1"/>
      <c r="R19" s="109">
        <v>1</v>
      </c>
      <c r="S19" s="94">
        <f t="shared" si="11"/>
        <v>249.47454518816619</v>
      </c>
      <c r="T19" s="95"/>
      <c r="U19" s="51">
        <f t="shared" si="7"/>
        <v>0.83974523419422265</v>
      </c>
      <c r="V19" s="51">
        <f t="shared" si="8"/>
        <v>0.1602547658057773</v>
      </c>
    </row>
    <row r="20" spans="1:22" x14ac:dyDescent="0.25">
      <c r="A20" s="345">
        <v>2021</v>
      </c>
      <c r="B20" s="76">
        <v>2955914</v>
      </c>
      <c r="C20" s="76">
        <v>-1048</v>
      </c>
      <c r="D20" s="76">
        <v>578829</v>
      </c>
      <c r="E20" s="72">
        <f t="shared" ref="E20:E23" si="13">SUM(B20:D20)</f>
        <v>3533695</v>
      </c>
      <c r="F20" s="72">
        <f t="shared" ref="F20:F23" si="14">+E20-C20</f>
        <v>3534743</v>
      </c>
      <c r="G20" s="6"/>
      <c r="H20" s="1">
        <f>+'AY Credit Hour Allocation'!BU2</f>
        <v>12456.18428036864</v>
      </c>
      <c r="I20" s="14">
        <f>+'Summer Credit Hour Allocation'!AR2</f>
        <v>1787.1864067965976</v>
      </c>
      <c r="J20" s="3">
        <f t="shared" si="1"/>
        <v>14243.370687165238</v>
      </c>
      <c r="L20" s="88">
        <f t="shared" ref="L20:L23" si="15">B20/J20</f>
        <v>207.52910704371311</v>
      </c>
      <c r="M20" s="88">
        <f t="shared" ref="M20:M23" si="16">+C20/J20</f>
        <v>-7.3578089275199252E-2</v>
      </c>
      <c r="N20" s="88">
        <f t="shared" ref="N20:N23" si="17">D20/J20</f>
        <v>40.638484577360984</v>
      </c>
      <c r="O20" s="88">
        <f t="shared" ref="O20:O23" si="18">+E20/J20</f>
        <v>248.09401353179888</v>
      </c>
      <c r="P20" s="88">
        <f t="shared" ref="P20:P23" si="19">+L20+N20</f>
        <v>248.16759162107411</v>
      </c>
      <c r="Q20" s="1"/>
      <c r="R20" s="109"/>
      <c r="S20" s="94"/>
      <c r="T20" s="95"/>
      <c r="U20" s="51">
        <f t="shared" ref="U20:U23" si="20">+L20/P20</f>
        <v>0.8362458034431357</v>
      </c>
      <c r="V20" s="51">
        <f t="shared" ref="V20:V23" si="21">+N20/P20</f>
        <v>0.16375419655686424</v>
      </c>
    </row>
    <row r="21" spans="1:22" x14ac:dyDescent="0.25">
      <c r="A21" s="345">
        <v>2022</v>
      </c>
      <c r="B21" s="76">
        <v>2347928</v>
      </c>
      <c r="C21" s="76">
        <v>-6576</v>
      </c>
      <c r="D21" s="76">
        <v>1097254</v>
      </c>
      <c r="E21" s="72">
        <f t="shared" si="13"/>
        <v>3438606</v>
      </c>
      <c r="F21" s="72">
        <f t="shared" si="14"/>
        <v>3445182</v>
      </c>
      <c r="G21" s="6"/>
      <c r="H21" s="1">
        <f>+'AY Credit Hour Allocation'!CA2</f>
        <v>10511.738123393037</v>
      </c>
      <c r="I21" s="14">
        <f>+'Summer Credit Hour Allocation'!AV2</f>
        <v>1444.1535836177477</v>
      </c>
      <c r="J21" s="3">
        <f t="shared" si="1"/>
        <v>11955.891707010785</v>
      </c>
      <c r="L21" s="88">
        <f t="shared" si="15"/>
        <v>196.38250810043758</v>
      </c>
      <c r="M21" s="88">
        <f t="shared" si="16"/>
        <v>-0.55002170989420351</v>
      </c>
      <c r="N21" s="88">
        <f t="shared" si="17"/>
        <v>91.775170509162777</v>
      </c>
      <c r="O21" s="88">
        <f t="shared" si="18"/>
        <v>287.60765689970617</v>
      </c>
      <c r="P21" s="88">
        <f t="shared" si="19"/>
        <v>288.15767860960034</v>
      </c>
      <c r="Q21" s="1"/>
      <c r="R21" s="109"/>
      <c r="S21" s="94"/>
      <c r="T21" s="95"/>
      <c r="U21" s="51">
        <f t="shared" si="20"/>
        <v>0.68151058492700822</v>
      </c>
      <c r="V21" s="51">
        <f t="shared" si="21"/>
        <v>0.31848941507299183</v>
      </c>
    </row>
    <row r="22" spans="1:22" x14ac:dyDescent="0.25">
      <c r="A22" s="345">
        <v>2023</v>
      </c>
      <c r="B22" s="76">
        <v>2607800</v>
      </c>
      <c r="C22" s="76">
        <v>6576</v>
      </c>
      <c r="D22" s="76">
        <v>1236620</v>
      </c>
      <c r="E22" s="72">
        <f t="shared" si="13"/>
        <v>3850996</v>
      </c>
      <c r="F22" s="72">
        <f t="shared" si="14"/>
        <v>3844420</v>
      </c>
      <c r="G22" s="6"/>
      <c r="H22" s="1">
        <f>+'AY Credit Hour Allocation'!CG2</f>
        <v>9174</v>
      </c>
      <c r="I22" s="14">
        <f>+'Summer Credit Hour Allocation'!AZ2</f>
        <v>1293.411076189444</v>
      </c>
      <c r="J22" s="3">
        <f t="shared" si="1"/>
        <v>10467.411076189444</v>
      </c>
      <c r="L22" s="88">
        <f t="shared" si="15"/>
        <v>249.13514726980068</v>
      </c>
      <c r="M22" s="88">
        <f t="shared" si="16"/>
        <v>0.62823557345126513</v>
      </c>
      <c r="N22" s="88">
        <f t="shared" si="17"/>
        <v>118.14000529825175</v>
      </c>
      <c r="O22" s="88">
        <f t="shared" si="18"/>
        <v>367.90338814150368</v>
      </c>
      <c r="P22" s="88">
        <f t="shared" si="19"/>
        <v>367.27515256805242</v>
      </c>
      <c r="Q22" s="1"/>
      <c r="R22" s="109"/>
      <c r="S22" s="94"/>
      <c r="T22" s="95"/>
      <c r="U22" s="51">
        <f t="shared" si="20"/>
        <v>0.67833379287382756</v>
      </c>
      <c r="V22" s="51">
        <f t="shared" si="21"/>
        <v>0.3216662071261725</v>
      </c>
    </row>
    <row r="23" spans="1:22" x14ac:dyDescent="0.25">
      <c r="A23" s="345" t="s">
        <v>2898</v>
      </c>
      <c r="B23" s="76">
        <v>2739689</v>
      </c>
      <c r="C23" s="76">
        <v>0</v>
      </c>
      <c r="D23" s="76">
        <v>1107144</v>
      </c>
      <c r="E23" s="72">
        <f t="shared" si="13"/>
        <v>3846833</v>
      </c>
      <c r="F23" s="72">
        <f t="shared" si="14"/>
        <v>3846833</v>
      </c>
      <c r="G23" s="6"/>
      <c r="H23" s="1">
        <f>+'AY Credit Hour Allocation'!CM2</f>
        <v>8848</v>
      </c>
      <c r="I23" s="14">
        <f>+'Summer Credit Hour Allocation'!BD2</f>
        <v>1301.7689409794893</v>
      </c>
      <c r="J23" s="3">
        <f t="shared" si="1"/>
        <v>10149.768940979489</v>
      </c>
      <c r="L23" s="88">
        <f t="shared" si="15"/>
        <v>269.92624324072642</v>
      </c>
      <c r="M23" s="88">
        <f t="shared" si="16"/>
        <v>0</v>
      </c>
      <c r="N23" s="88">
        <f t="shared" si="17"/>
        <v>109.08070976176889</v>
      </c>
      <c r="O23" s="88">
        <f t="shared" si="18"/>
        <v>379.00695300249532</v>
      </c>
      <c r="P23" s="88">
        <f t="shared" si="19"/>
        <v>379.00695300249532</v>
      </c>
      <c r="Q23" s="1"/>
      <c r="R23" s="109"/>
      <c r="S23" s="94"/>
      <c r="T23" s="95"/>
      <c r="U23" s="51">
        <f t="shared" si="20"/>
        <v>0.71219338089280193</v>
      </c>
      <c r="V23" s="51">
        <f t="shared" si="21"/>
        <v>0.28780661910719807</v>
      </c>
    </row>
    <row r="24" spans="1:22" x14ac:dyDescent="0.25">
      <c r="B24" s="76"/>
      <c r="C24" s="76"/>
      <c r="D24" s="76"/>
      <c r="E24" s="72"/>
      <c r="F24" s="72"/>
      <c r="G24" s="6"/>
      <c r="H24" s="1"/>
      <c r="J24" s="3"/>
      <c r="Q24" s="1"/>
      <c r="R24" s="1" t="s">
        <v>418</v>
      </c>
      <c r="S24" s="94">
        <f>AVERAGE(S9:S19)</f>
        <v>224.99401998615923</v>
      </c>
      <c r="T24" s="1"/>
      <c r="U24" s="51"/>
      <c r="V24" s="51"/>
    </row>
    <row r="25" spans="1:22" x14ac:dyDescent="0.25">
      <c r="A25" s="68"/>
      <c r="B25" s="6"/>
      <c r="C25" s="6"/>
      <c r="D25" s="6"/>
      <c r="E25" s="6"/>
      <c r="F25" s="6"/>
      <c r="G25" s="6"/>
      <c r="H25" s="1"/>
      <c r="Q25" s="1"/>
      <c r="R25" s="1"/>
      <c r="S25" s="1"/>
      <c r="T25" s="1"/>
      <c r="V25" s="51"/>
    </row>
    <row r="26" spans="1:22" ht="15.75" thickBot="1" x14ac:dyDescent="0.3">
      <c r="B26" s="66" t="s">
        <v>57</v>
      </c>
      <c r="C26" s="66"/>
      <c r="D26" s="66"/>
      <c r="E26" s="66"/>
      <c r="F26" s="66"/>
      <c r="G26" s="64"/>
      <c r="H26" s="66" t="s">
        <v>2891</v>
      </c>
      <c r="I26" s="93"/>
      <c r="J26" s="66"/>
      <c r="K26" s="13"/>
      <c r="L26" s="89" t="s">
        <v>2892</v>
      </c>
      <c r="M26" s="89"/>
      <c r="N26" s="89"/>
      <c r="O26" s="89"/>
      <c r="P26" s="89"/>
      <c r="U26" s="64"/>
    </row>
    <row r="27" spans="1:22" x14ac:dyDescent="0.25">
      <c r="A27" t="s">
        <v>2899</v>
      </c>
      <c r="B27" s="8" t="s">
        <v>2893</v>
      </c>
      <c r="C27" s="8" t="s">
        <v>73</v>
      </c>
      <c r="D27" s="8" t="s">
        <v>50</v>
      </c>
      <c r="E27" s="8" t="s">
        <v>38</v>
      </c>
      <c r="F27" s="8" t="s">
        <v>2894</v>
      </c>
      <c r="G27" s="6"/>
      <c r="H27" s="8" t="s">
        <v>101</v>
      </c>
      <c r="I27" s="40" t="s">
        <v>31</v>
      </c>
      <c r="J27" s="8" t="s">
        <v>38</v>
      </c>
      <c r="K27" s="6"/>
      <c r="L27" s="90" t="s">
        <v>2893</v>
      </c>
      <c r="M27" s="90" t="s">
        <v>73</v>
      </c>
      <c r="N27" s="90" t="s">
        <v>50</v>
      </c>
      <c r="O27" s="90" t="s">
        <v>38</v>
      </c>
      <c r="P27" s="96"/>
      <c r="Q27" s="15"/>
      <c r="R27" s="15"/>
      <c r="S27" s="15"/>
      <c r="T27" s="15"/>
      <c r="U27" s="8" t="s">
        <v>2893</v>
      </c>
      <c r="V27" s="91" t="s">
        <v>50</v>
      </c>
    </row>
    <row r="28" spans="1:22" x14ac:dyDescent="0.25">
      <c r="A28">
        <v>2010</v>
      </c>
      <c r="B28" s="85">
        <v>6784631</v>
      </c>
      <c r="C28" s="85">
        <v>21287</v>
      </c>
      <c r="D28" s="86">
        <v>669104</v>
      </c>
      <c r="E28" s="72">
        <f t="shared" ref="E28:E42" si="22">SUM(B28:D28)</f>
        <v>7475022</v>
      </c>
      <c r="F28" s="72">
        <f t="shared" ref="F28:F42" si="23">+E28-C28</f>
        <v>7453735</v>
      </c>
      <c r="G28" s="6"/>
      <c r="H28" s="1">
        <f>+'AY Credit Hour Allocation'!G3</f>
        <v>20976.781684188009</v>
      </c>
      <c r="J28" s="3">
        <f t="shared" ref="J28:J42" si="24">SUM(H28:I28)</f>
        <v>20976.781684188009</v>
      </c>
      <c r="K28" s="6"/>
      <c r="L28" s="88">
        <f t="shared" ref="L28:L42" si="25">B28/J28</f>
        <v>323.43526772336844</v>
      </c>
      <c r="M28" s="88">
        <f t="shared" ref="M28:M42" si="26">+C28/J28</f>
        <v>1.0147886515902405</v>
      </c>
      <c r="N28" s="88">
        <f t="shared" ref="N28:N42" si="27">D28/J28</f>
        <v>31.897362048839017</v>
      </c>
      <c r="O28" s="88">
        <f t="shared" ref="O28:O42" si="28">+E28/J28</f>
        <v>356.34741842379771</v>
      </c>
      <c r="P28" s="88">
        <f t="shared" ref="P28:P42" si="29">+L28+N28</f>
        <v>355.33262977220744</v>
      </c>
      <c r="Q28" s="1"/>
      <c r="R28" s="109">
        <f t="shared" ref="R28:R38" si="30">+R9</f>
        <v>1.1827000000000001</v>
      </c>
      <c r="S28" s="94">
        <f>+P28*R28</f>
        <v>420.25190123158978</v>
      </c>
      <c r="T28" s="1"/>
      <c r="U28" s="51">
        <f t="shared" ref="U28:U38" si="31">+L28/P28</f>
        <v>0.91023238685035091</v>
      </c>
      <c r="V28" s="51">
        <f t="shared" ref="V28:V38" si="32">+N28/P28</f>
        <v>8.9767613149649136E-2</v>
      </c>
    </row>
    <row r="29" spans="1:22" x14ac:dyDescent="0.25">
      <c r="A29">
        <v>2011</v>
      </c>
      <c r="B29" s="76">
        <v>6957170</v>
      </c>
      <c r="C29" s="76">
        <v>0</v>
      </c>
      <c r="D29" s="76">
        <v>676325</v>
      </c>
      <c r="E29" s="72">
        <f t="shared" si="22"/>
        <v>7633495</v>
      </c>
      <c r="F29" s="72">
        <f t="shared" si="23"/>
        <v>7633495</v>
      </c>
      <c r="G29" s="5"/>
      <c r="H29" s="1">
        <f>+'AY Credit Hour Allocation'!M3</f>
        <v>20021.918657736118</v>
      </c>
      <c r="I29" s="39">
        <f>+'Summer Credit Hour Allocation'!D3</f>
        <v>2944.6946688206785</v>
      </c>
      <c r="J29" s="3">
        <f t="shared" si="24"/>
        <v>22966.613326556795</v>
      </c>
      <c r="L29" s="88">
        <f t="shared" si="25"/>
        <v>302.92537698430584</v>
      </c>
      <c r="M29" s="88">
        <f t="shared" si="26"/>
        <v>0</v>
      </c>
      <c r="N29" s="88">
        <f t="shared" si="27"/>
        <v>29.448181600982966</v>
      </c>
      <c r="O29" s="88">
        <f t="shared" si="28"/>
        <v>332.37355858528883</v>
      </c>
      <c r="P29" s="88">
        <f t="shared" si="29"/>
        <v>332.37355858528883</v>
      </c>
      <c r="Q29" s="1"/>
      <c r="R29" s="109">
        <f t="shared" si="30"/>
        <v>1.1420999999999999</v>
      </c>
      <c r="S29" s="94">
        <f t="shared" ref="S29:S38" si="33">+P29*R29</f>
        <v>379.60384126025832</v>
      </c>
      <c r="T29" s="1"/>
      <c r="U29" s="51">
        <f t="shared" si="31"/>
        <v>0.91140034807123071</v>
      </c>
      <c r="V29" s="51">
        <f t="shared" si="32"/>
        <v>8.8599651928769188E-2</v>
      </c>
    </row>
    <row r="30" spans="1:22" x14ac:dyDescent="0.25">
      <c r="A30">
        <v>2012</v>
      </c>
      <c r="B30" s="76">
        <v>7226274</v>
      </c>
      <c r="C30" s="76">
        <v>90029</v>
      </c>
      <c r="D30" s="76">
        <v>749092</v>
      </c>
      <c r="E30" s="72">
        <f t="shared" si="22"/>
        <v>8065395</v>
      </c>
      <c r="F30" s="72">
        <f t="shared" si="23"/>
        <v>7975366</v>
      </c>
      <c r="G30" s="5"/>
      <c r="H30" s="1">
        <f>+'AY Credit Hour Allocation'!S3</f>
        <v>20396.281150076178</v>
      </c>
      <c r="I30" s="14">
        <f>+'Summer Credit Hour Allocation'!H3</f>
        <v>2270.3302243508952</v>
      </c>
      <c r="J30" s="3">
        <f t="shared" si="24"/>
        <v>22666.611374427073</v>
      </c>
      <c r="L30" s="88">
        <f t="shared" si="25"/>
        <v>318.80698356847586</v>
      </c>
      <c r="M30" s="88">
        <f t="shared" si="26"/>
        <v>3.971877335911469</v>
      </c>
      <c r="N30" s="88">
        <f t="shared" si="27"/>
        <v>33.048257087300691</v>
      </c>
      <c r="O30" s="88">
        <f t="shared" si="28"/>
        <v>355.827117991688</v>
      </c>
      <c r="P30" s="88">
        <f t="shared" si="29"/>
        <v>351.85524065577653</v>
      </c>
      <c r="Q30" s="1"/>
      <c r="R30" s="109">
        <f t="shared" si="30"/>
        <v>1.1234</v>
      </c>
      <c r="S30" s="94">
        <f t="shared" si="33"/>
        <v>395.27417735269933</v>
      </c>
      <c r="T30" s="1"/>
      <c r="U30" s="51">
        <f t="shared" si="31"/>
        <v>0.9060742792243015</v>
      </c>
      <c r="V30" s="51">
        <f t="shared" si="32"/>
        <v>9.3925720775698579E-2</v>
      </c>
    </row>
    <row r="31" spans="1:22" x14ac:dyDescent="0.25">
      <c r="A31">
        <v>2013</v>
      </c>
      <c r="B31" s="76">
        <v>7644032</v>
      </c>
      <c r="C31" s="76">
        <v>139369</v>
      </c>
      <c r="D31" s="76">
        <v>715542</v>
      </c>
      <c r="E31" s="72">
        <f t="shared" si="22"/>
        <v>8498943</v>
      </c>
      <c r="F31" s="72">
        <f t="shared" si="23"/>
        <v>8359574</v>
      </c>
      <c r="G31" s="5"/>
      <c r="H31" s="1">
        <f>+'AY Credit Hour Allocation'!Y3</f>
        <v>19825.478858088827</v>
      </c>
      <c r="I31" s="14">
        <f>+'Summer Credit Hour Allocation'!L3</f>
        <v>1871.1006842619747</v>
      </c>
      <c r="J31" s="3">
        <f t="shared" si="24"/>
        <v>21696.579542350803</v>
      </c>
      <c r="L31" s="88">
        <f t="shared" si="25"/>
        <v>352.31507275509369</v>
      </c>
      <c r="M31" s="88">
        <f t="shared" si="26"/>
        <v>6.423547072383351</v>
      </c>
      <c r="N31" s="88">
        <f t="shared" si="27"/>
        <v>32.979484098094467</v>
      </c>
      <c r="O31" s="88">
        <f t="shared" si="28"/>
        <v>391.71810392557148</v>
      </c>
      <c r="P31" s="88">
        <f t="shared" si="29"/>
        <v>385.29455685318817</v>
      </c>
      <c r="Q31" s="1"/>
      <c r="R31" s="109">
        <f t="shared" si="30"/>
        <v>1.1104000000000001</v>
      </c>
      <c r="S31" s="94">
        <f t="shared" si="33"/>
        <v>427.83107592978018</v>
      </c>
      <c r="T31" s="1"/>
      <c r="U31" s="51">
        <f t="shared" si="31"/>
        <v>0.9144044899895617</v>
      </c>
      <c r="V31" s="51">
        <f t="shared" si="32"/>
        <v>8.559551001043833E-2</v>
      </c>
    </row>
    <row r="32" spans="1:22" x14ac:dyDescent="0.25">
      <c r="A32">
        <v>2014</v>
      </c>
      <c r="B32" s="76">
        <v>7780386</v>
      </c>
      <c r="C32" s="76">
        <v>137801</v>
      </c>
      <c r="D32" s="76">
        <v>672210</v>
      </c>
      <c r="E32" s="72">
        <f t="shared" si="22"/>
        <v>8590397</v>
      </c>
      <c r="F32" s="72">
        <f t="shared" si="23"/>
        <v>8452596</v>
      </c>
      <c r="G32" s="5"/>
      <c r="H32" s="1">
        <f>+'AY Credit Hour Allocation'!AE3</f>
        <v>19794.485213350232</v>
      </c>
      <c r="I32" s="14">
        <f>+'Summer Credit Hour Allocation'!P3</f>
        <v>2216.2814698983584</v>
      </c>
      <c r="J32" s="3">
        <f t="shared" si="24"/>
        <v>22010.766683248592</v>
      </c>
      <c r="L32" s="88">
        <f t="shared" si="25"/>
        <v>353.48091740581225</v>
      </c>
      <c r="M32" s="88">
        <f t="shared" si="26"/>
        <v>6.2606179050034712</v>
      </c>
      <c r="N32" s="88">
        <f t="shared" si="27"/>
        <v>30.540053859713524</v>
      </c>
      <c r="O32" s="88">
        <f t="shared" si="28"/>
        <v>390.28158917052929</v>
      </c>
      <c r="P32" s="88">
        <f t="shared" si="29"/>
        <v>384.02097126552576</v>
      </c>
      <c r="Q32" s="1"/>
      <c r="R32" s="109">
        <f t="shared" si="30"/>
        <v>1.0815999999999999</v>
      </c>
      <c r="S32" s="94">
        <f t="shared" si="33"/>
        <v>415.35708252079263</v>
      </c>
      <c r="T32" s="1"/>
      <c r="U32" s="51">
        <f t="shared" si="31"/>
        <v>0.92047295292475828</v>
      </c>
      <c r="V32" s="51">
        <f t="shared" si="32"/>
        <v>7.9527047075241747E-2</v>
      </c>
    </row>
    <row r="33" spans="1:22" x14ac:dyDescent="0.25">
      <c r="A33">
        <v>2015</v>
      </c>
      <c r="B33" s="76">
        <v>8246383</v>
      </c>
      <c r="C33" s="76">
        <v>136636</v>
      </c>
      <c r="D33" s="76">
        <v>573752</v>
      </c>
      <c r="E33" s="72">
        <f t="shared" si="22"/>
        <v>8956771</v>
      </c>
      <c r="F33" s="72">
        <f t="shared" si="23"/>
        <v>8820135</v>
      </c>
      <c r="G33" s="5"/>
      <c r="H33" s="1">
        <f>+'AY Credit Hour Allocation'!AK3</f>
        <v>21215.15735832564</v>
      </c>
      <c r="I33" s="14">
        <f>+'Summer Credit Hour Allocation'!T3</f>
        <v>858.53607266436188</v>
      </c>
      <c r="J33" s="3">
        <f t="shared" si="24"/>
        <v>22073.693430990003</v>
      </c>
      <c r="L33" s="88">
        <f t="shared" si="25"/>
        <v>373.58419540350349</v>
      </c>
      <c r="M33" s="88">
        <f t="shared" si="26"/>
        <v>6.1899926456427137</v>
      </c>
      <c r="N33" s="88">
        <f t="shared" si="27"/>
        <v>25.992569018580742</v>
      </c>
      <c r="O33" s="88">
        <f t="shared" si="28"/>
        <v>405.76675706772693</v>
      </c>
      <c r="P33" s="88">
        <f t="shared" si="29"/>
        <v>399.57676442208424</v>
      </c>
      <c r="Q33" s="1"/>
      <c r="R33" s="109">
        <f t="shared" si="30"/>
        <v>1.0803</v>
      </c>
      <c r="S33" s="94">
        <f t="shared" si="33"/>
        <v>431.66277860517761</v>
      </c>
      <c r="T33" s="1"/>
      <c r="U33" s="51">
        <f t="shared" si="31"/>
        <v>0.93494974850158186</v>
      </c>
      <c r="V33" s="51">
        <f t="shared" si="32"/>
        <v>6.5050251498418102E-2</v>
      </c>
    </row>
    <row r="34" spans="1:22" x14ac:dyDescent="0.25">
      <c r="A34">
        <v>2016</v>
      </c>
      <c r="B34" s="76">
        <v>8166513</v>
      </c>
      <c r="C34" s="76">
        <v>128723</v>
      </c>
      <c r="D34" s="76">
        <v>568550</v>
      </c>
      <c r="E34" s="72">
        <f t="shared" si="22"/>
        <v>8863786</v>
      </c>
      <c r="F34" s="72">
        <f t="shared" si="23"/>
        <v>8735063</v>
      </c>
      <c r="G34" s="5"/>
      <c r="H34" s="1">
        <f>+'AY Credit Hour Allocation'!AQ3</f>
        <v>20574.204784528451</v>
      </c>
      <c r="I34" s="14">
        <f>+'Summer Credit Hour Allocation'!X3</f>
        <v>823.12089686099046</v>
      </c>
      <c r="J34" s="3">
        <f t="shared" si="24"/>
        <v>21397.32568138944</v>
      </c>
      <c r="L34" s="88">
        <f t="shared" si="25"/>
        <v>381.66045241358898</v>
      </c>
      <c r="M34" s="88">
        <f t="shared" si="26"/>
        <v>6.0158452470515158</v>
      </c>
      <c r="N34" s="88">
        <f t="shared" si="27"/>
        <v>26.571077547999497</v>
      </c>
      <c r="O34" s="88">
        <f t="shared" si="28"/>
        <v>414.24737520863999</v>
      </c>
      <c r="P34" s="88">
        <f t="shared" si="29"/>
        <v>408.23152996158848</v>
      </c>
      <c r="Q34" s="1"/>
      <c r="R34" s="109">
        <f t="shared" si="30"/>
        <v>1.0696000000000001</v>
      </c>
      <c r="S34" s="94">
        <f t="shared" si="33"/>
        <v>436.64444444691509</v>
      </c>
      <c r="T34" s="1"/>
      <c r="U34" s="51">
        <f t="shared" si="31"/>
        <v>0.93491174591413939</v>
      </c>
      <c r="V34" s="51">
        <f t="shared" si="32"/>
        <v>6.5088254085860636E-2</v>
      </c>
    </row>
    <row r="35" spans="1:22" x14ac:dyDescent="0.25">
      <c r="A35">
        <v>2017</v>
      </c>
      <c r="B35" s="76">
        <v>7870487</v>
      </c>
      <c r="C35" s="76">
        <v>101167</v>
      </c>
      <c r="D35" s="76">
        <v>502129</v>
      </c>
      <c r="E35" s="72">
        <f t="shared" si="22"/>
        <v>8473783</v>
      </c>
      <c r="F35" s="72">
        <f t="shared" si="23"/>
        <v>8372616</v>
      </c>
      <c r="G35" s="5"/>
      <c r="H35" s="1">
        <f>+'AY Credit Hour Allocation'!AW3</f>
        <v>20344.392184004624</v>
      </c>
      <c r="I35" s="14">
        <f>+'Summer Credit Hour Allocation'!AB3</f>
        <v>856.65180722891512</v>
      </c>
      <c r="J35" s="3">
        <f t="shared" si="24"/>
        <v>21201.043991233539</v>
      </c>
      <c r="L35" s="88">
        <f t="shared" si="25"/>
        <v>371.2311055651025</v>
      </c>
      <c r="M35" s="88">
        <f t="shared" si="26"/>
        <v>4.7717933155476562</v>
      </c>
      <c r="N35" s="88">
        <f t="shared" si="27"/>
        <v>23.684163865120336</v>
      </c>
      <c r="O35" s="88">
        <f t="shared" si="28"/>
        <v>399.6870627457705</v>
      </c>
      <c r="P35" s="88">
        <f t="shared" si="29"/>
        <v>394.91526943022285</v>
      </c>
      <c r="Q35" s="1"/>
      <c r="R35" s="109">
        <f t="shared" si="30"/>
        <v>1.0524</v>
      </c>
      <c r="S35" s="94">
        <f t="shared" si="33"/>
        <v>415.60882954836654</v>
      </c>
      <c r="T35" s="1"/>
      <c r="U35" s="51">
        <f t="shared" si="31"/>
        <v>0.94002722685478468</v>
      </c>
      <c r="V35" s="51">
        <f t="shared" si="32"/>
        <v>5.9972773145215305E-2</v>
      </c>
    </row>
    <row r="36" spans="1:22" x14ac:dyDescent="0.25">
      <c r="A36">
        <v>2018</v>
      </c>
      <c r="B36" s="76">
        <v>7277633</v>
      </c>
      <c r="C36" s="76">
        <v>87339</v>
      </c>
      <c r="D36" s="76">
        <v>572632</v>
      </c>
      <c r="E36" s="72">
        <f t="shared" si="22"/>
        <v>7937604</v>
      </c>
      <c r="F36" s="72">
        <f t="shared" si="23"/>
        <v>7850265</v>
      </c>
      <c r="G36" s="5"/>
      <c r="H36" s="1">
        <f>+'AY Credit Hour Allocation'!BC3</f>
        <v>20011.481903608812</v>
      </c>
      <c r="I36" s="14">
        <f>+'Summer Credit Hour Allocation'!AF3</f>
        <v>904.88593373839376</v>
      </c>
      <c r="J36" s="3">
        <f t="shared" si="24"/>
        <v>20916.367837347207</v>
      </c>
      <c r="L36" s="88">
        <f t="shared" si="25"/>
        <v>347.93961631356603</v>
      </c>
      <c r="M36" s="88">
        <f t="shared" si="26"/>
        <v>4.1756293769156185</v>
      </c>
      <c r="N36" s="88">
        <f t="shared" si="27"/>
        <v>27.377219814309122</v>
      </c>
      <c r="O36" s="88">
        <f t="shared" si="28"/>
        <v>379.4924655047908</v>
      </c>
      <c r="P36" s="88">
        <f t="shared" si="29"/>
        <v>375.31683612787515</v>
      </c>
      <c r="Q36" s="1"/>
      <c r="R36" s="109">
        <f t="shared" si="30"/>
        <v>1.0229999999999999</v>
      </c>
      <c r="S36" s="94">
        <f t="shared" si="33"/>
        <v>383.94912335881622</v>
      </c>
      <c r="T36" s="1"/>
      <c r="U36" s="51">
        <f t="shared" si="31"/>
        <v>0.92705571085816851</v>
      </c>
      <c r="V36" s="51">
        <f t="shared" si="32"/>
        <v>7.2944289141831514E-2</v>
      </c>
    </row>
    <row r="37" spans="1:22" x14ac:dyDescent="0.25">
      <c r="A37">
        <v>2019</v>
      </c>
      <c r="B37" s="76">
        <v>7737488</v>
      </c>
      <c r="C37" s="76">
        <v>89978</v>
      </c>
      <c r="D37" s="76">
        <v>594454</v>
      </c>
      <c r="E37" s="72">
        <f t="shared" si="22"/>
        <v>8421920</v>
      </c>
      <c r="F37" s="72">
        <f t="shared" si="23"/>
        <v>8331942</v>
      </c>
      <c r="G37" s="5"/>
      <c r="H37" s="1">
        <f>+'AY Credit Hour Allocation'!BI3</f>
        <v>20528.289382321644</v>
      </c>
      <c r="I37" s="14">
        <f>+'Summer Credit Hour Allocation'!AJ3</f>
        <v>1148.0205362236165</v>
      </c>
      <c r="J37" s="3">
        <f t="shared" si="24"/>
        <v>21676.309918545259</v>
      </c>
      <c r="L37" s="88">
        <f t="shared" si="25"/>
        <v>356.95595925117124</v>
      </c>
      <c r="M37" s="88">
        <f t="shared" si="26"/>
        <v>4.1509832779710782</v>
      </c>
      <c r="N37" s="88">
        <f t="shared" si="27"/>
        <v>27.424132716030801</v>
      </c>
      <c r="O37" s="88">
        <f t="shared" si="28"/>
        <v>388.5310752451731</v>
      </c>
      <c r="P37" s="88">
        <f t="shared" si="29"/>
        <v>384.38009196720202</v>
      </c>
      <c r="Q37" s="1"/>
      <c r="R37" s="109">
        <f t="shared" si="30"/>
        <v>1.0065</v>
      </c>
      <c r="S37" s="94">
        <f t="shared" si="33"/>
        <v>386.87856256498884</v>
      </c>
      <c r="T37" s="1"/>
      <c r="U37" s="51">
        <f t="shared" si="31"/>
        <v>0.92865360800639285</v>
      </c>
      <c r="V37" s="51">
        <f t="shared" si="32"/>
        <v>7.1346391993607247E-2</v>
      </c>
    </row>
    <row r="38" spans="1:22" x14ac:dyDescent="0.25">
      <c r="A38" s="68">
        <v>2020</v>
      </c>
      <c r="B38" s="76">
        <v>9514154</v>
      </c>
      <c r="C38" s="76">
        <v>133261</v>
      </c>
      <c r="D38" s="76">
        <v>732298</v>
      </c>
      <c r="E38" s="72">
        <f t="shared" si="22"/>
        <v>10379713</v>
      </c>
      <c r="F38" s="72">
        <f t="shared" si="23"/>
        <v>10246452</v>
      </c>
      <c r="G38" s="5"/>
      <c r="H38" s="1">
        <f>+'AY Credit Hour Allocation'!BO3</f>
        <v>28237.976288745031</v>
      </c>
      <c r="I38" s="14">
        <f>+'Summer Credit Hour Allocation'!AN3</f>
        <v>1549.5745525085822</v>
      </c>
      <c r="J38" s="3">
        <f t="shared" si="24"/>
        <v>29787.550841253615</v>
      </c>
      <c r="L38" s="88">
        <f t="shared" si="25"/>
        <v>319.400344482957</v>
      </c>
      <c r="M38" s="88">
        <f t="shared" si="26"/>
        <v>4.4737145631806392</v>
      </c>
      <c r="N38" s="88">
        <f t="shared" si="27"/>
        <v>24.584028539393039</v>
      </c>
      <c r="O38" s="88">
        <f t="shared" si="28"/>
        <v>348.45808758553068</v>
      </c>
      <c r="P38" s="88">
        <f t="shared" si="29"/>
        <v>343.98437302235004</v>
      </c>
      <c r="Q38" s="1"/>
      <c r="R38" s="109">
        <f t="shared" si="30"/>
        <v>1</v>
      </c>
      <c r="S38" s="94">
        <f t="shared" si="33"/>
        <v>343.98437302235004</v>
      </c>
      <c r="T38" s="1"/>
      <c r="U38" s="51">
        <f t="shared" si="31"/>
        <v>0.92853155414186295</v>
      </c>
      <c r="V38" s="51">
        <f t="shared" si="32"/>
        <v>7.1468445858137039E-2</v>
      </c>
    </row>
    <row r="39" spans="1:22" x14ac:dyDescent="0.25">
      <c r="A39" s="345">
        <v>2021</v>
      </c>
      <c r="B39" s="76">
        <v>10621152</v>
      </c>
      <c r="C39" s="76">
        <v>6288</v>
      </c>
      <c r="D39" s="76">
        <v>586677</v>
      </c>
      <c r="E39" s="72">
        <f t="shared" si="22"/>
        <v>11214117</v>
      </c>
      <c r="F39" s="72">
        <f t="shared" si="23"/>
        <v>11207829</v>
      </c>
      <c r="G39" s="6"/>
      <c r="H39" s="1">
        <f>+'AY Credit Hour Allocation'!BU3</f>
        <v>29042.777227597529</v>
      </c>
      <c r="I39" s="14">
        <f>+'Summer Credit Hour Allocation'!AR3</f>
        <v>1604.2125603864697</v>
      </c>
      <c r="J39" s="3">
        <f t="shared" si="24"/>
        <v>30646.989787983999</v>
      </c>
      <c r="L39" s="88">
        <f t="shared" si="25"/>
        <v>346.56428163017551</v>
      </c>
      <c r="M39" s="88">
        <f t="shared" si="26"/>
        <v>0.20517512628484591</v>
      </c>
      <c r="N39" s="88">
        <f t="shared" si="27"/>
        <v>19.143054637947607</v>
      </c>
      <c r="O39" s="88">
        <f t="shared" si="28"/>
        <v>365.912511394408</v>
      </c>
      <c r="P39" s="88">
        <f t="shared" si="29"/>
        <v>365.70733626812313</v>
      </c>
      <c r="Q39" s="1"/>
      <c r="R39" s="109"/>
      <c r="S39" s="94"/>
      <c r="T39" s="95"/>
      <c r="U39" s="51">
        <f t="shared" ref="U39:U42" si="34">+L39/P39</f>
        <v>0.94765471528875034</v>
      </c>
      <c r="V39" s="51">
        <f t="shared" ref="V39:V42" si="35">+N39/P39</f>
        <v>5.2345284711249614E-2</v>
      </c>
    </row>
    <row r="40" spans="1:22" x14ac:dyDescent="0.25">
      <c r="A40" s="345">
        <v>2022</v>
      </c>
      <c r="B40" s="76">
        <v>9767436</v>
      </c>
      <c r="C40" s="76">
        <v>67100</v>
      </c>
      <c r="D40" s="76">
        <v>1367520</v>
      </c>
      <c r="E40" s="72">
        <f t="shared" si="22"/>
        <v>11202056</v>
      </c>
      <c r="F40" s="72">
        <f t="shared" si="23"/>
        <v>11134956</v>
      </c>
      <c r="G40" s="6"/>
      <c r="H40" s="1">
        <f>+'AY Credit Hour Allocation'!CA3</f>
        <v>27185.091020536576</v>
      </c>
      <c r="I40" s="14">
        <f>+'Summer Credit Hour Allocation'!AV3</f>
        <v>1759.8273037542665</v>
      </c>
      <c r="J40" s="3">
        <f t="shared" si="24"/>
        <v>28944.918324290844</v>
      </c>
      <c r="L40" s="88">
        <f t="shared" si="25"/>
        <v>337.44907795449114</v>
      </c>
      <c r="M40" s="88">
        <f t="shared" si="26"/>
        <v>2.3181962114465202</v>
      </c>
      <c r="N40" s="88">
        <f t="shared" si="27"/>
        <v>47.24559885361171</v>
      </c>
      <c r="O40" s="88">
        <f t="shared" si="28"/>
        <v>387.01287301954937</v>
      </c>
      <c r="P40" s="88">
        <f t="shared" si="29"/>
        <v>384.69467680810283</v>
      </c>
      <c r="Q40" s="1"/>
      <c r="R40" s="109"/>
      <c r="S40" s="94"/>
      <c r="T40" s="95"/>
      <c r="U40" s="51">
        <f t="shared" si="34"/>
        <v>0.87718676212101787</v>
      </c>
      <c r="V40" s="51">
        <f t="shared" si="35"/>
        <v>0.1228132378789822</v>
      </c>
    </row>
    <row r="41" spans="1:22" x14ac:dyDescent="0.25">
      <c r="A41" s="345">
        <v>2023</v>
      </c>
      <c r="B41" s="76">
        <v>9043112</v>
      </c>
      <c r="C41" s="76">
        <v>432020</v>
      </c>
      <c r="D41" s="76">
        <v>1771267</v>
      </c>
      <c r="E41" s="72">
        <f t="shared" si="22"/>
        <v>11246399</v>
      </c>
      <c r="F41" s="72">
        <f t="shared" si="23"/>
        <v>10814379</v>
      </c>
      <c r="G41" s="6"/>
      <c r="H41" s="1">
        <f>+'AY Credit Hour Allocation'!CG3</f>
        <v>24229</v>
      </c>
      <c r="I41" s="14">
        <f>+'Summer Credit Hour Allocation'!AZ3</f>
        <v>2010.6465806871138</v>
      </c>
      <c r="J41" s="3">
        <f t="shared" si="24"/>
        <v>26239.646580687113</v>
      </c>
      <c r="L41" s="88">
        <f t="shared" si="25"/>
        <v>344.63543448241052</v>
      </c>
      <c r="M41" s="88">
        <f t="shared" si="26"/>
        <v>16.464398583705584</v>
      </c>
      <c r="N41" s="88">
        <f t="shared" si="27"/>
        <v>67.503462539151982</v>
      </c>
      <c r="O41" s="88">
        <f t="shared" si="28"/>
        <v>428.60329560526804</v>
      </c>
      <c r="P41" s="88">
        <f t="shared" si="29"/>
        <v>412.13889702156251</v>
      </c>
      <c r="Q41" s="1"/>
      <c r="R41" s="109"/>
      <c r="S41" s="94"/>
      <c r="T41" s="95"/>
      <c r="U41" s="51">
        <f t="shared" si="34"/>
        <v>0.83621186200335684</v>
      </c>
      <c r="V41" s="51">
        <f t="shared" si="35"/>
        <v>0.16378813799664316</v>
      </c>
    </row>
    <row r="42" spans="1:22" x14ac:dyDescent="0.25">
      <c r="A42" s="345" t="s">
        <v>2898</v>
      </c>
      <c r="B42" s="76">
        <v>9750554</v>
      </c>
      <c r="C42" s="76">
        <v>452600</v>
      </c>
      <c r="D42" s="76">
        <v>2068516</v>
      </c>
      <c r="E42" s="72">
        <f t="shared" si="22"/>
        <v>12271670</v>
      </c>
      <c r="F42" s="72">
        <f t="shared" si="23"/>
        <v>11819070</v>
      </c>
      <c r="G42" s="6"/>
      <c r="H42" s="1">
        <f>+'AY Credit Hour Allocation'!CM3</f>
        <v>23080</v>
      </c>
      <c r="I42" s="14">
        <f>+'Summer Credit Hour Allocation'!BD3</f>
        <v>2181.0728338216827</v>
      </c>
      <c r="J42" s="3">
        <f t="shared" si="24"/>
        <v>25261.072833821683</v>
      </c>
      <c r="L42" s="88">
        <f t="shared" si="25"/>
        <v>385.99128644073761</v>
      </c>
      <c r="M42" s="88">
        <f t="shared" si="26"/>
        <v>17.916895413642941</v>
      </c>
      <c r="N42" s="88">
        <f t="shared" si="27"/>
        <v>81.88551664482334</v>
      </c>
      <c r="O42" s="88">
        <f t="shared" si="28"/>
        <v>485.79369849920386</v>
      </c>
      <c r="P42" s="88">
        <f t="shared" si="29"/>
        <v>467.87680308556094</v>
      </c>
      <c r="Q42" s="1"/>
      <c r="R42" s="109"/>
      <c r="S42" s="94"/>
      <c r="T42" s="95"/>
      <c r="U42" s="51">
        <f t="shared" si="34"/>
        <v>0.82498487613661653</v>
      </c>
      <c r="V42" s="51">
        <f t="shared" si="35"/>
        <v>0.1750151238633835</v>
      </c>
    </row>
    <row r="43" spans="1:22" x14ac:dyDescent="0.25">
      <c r="A43" s="68"/>
      <c r="B43" s="76"/>
      <c r="C43" s="76"/>
      <c r="D43" s="76"/>
      <c r="E43" s="72"/>
      <c r="F43" s="72"/>
      <c r="G43" s="5"/>
      <c r="H43" s="1"/>
      <c r="J43" s="3"/>
      <c r="Q43" s="1"/>
      <c r="R43" s="1" t="s">
        <v>418</v>
      </c>
      <c r="S43" s="94">
        <f>AVERAGE(S28:S31)</f>
        <v>405.74024894358189</v>
      </c>
      <c r="T43" s="1"/>
      <c r="U43" s="51"/>
      <c r="V43" s="51"/>
    </row>
    <row r="44" spans="1:22" x14ac:dyDescent="0.25">
      <c r="B44" s="6"/>
      <c r="C44" s="6"/>
      <c r="D44" s="6"/>
      <c r="E44" s="6"/>
      <c r="F44" s="6"/>
      <c r="G44" s="6"/>
      <c r="Q44" s="1"/>
      <c r="R44" s="1"/>
      <c r="S44" s="1"/>
      <c r="T44" s="1"/>
      <c r="V44" s="51"/>
    </row>
    <row r="45" spans="1:22" ht="15.75" thickBot="1" x14ac:dyDescent="0.3">
      <c r="B45" s="66" t="s">
        <v>57</v>
      </c>
      <c r="C45" s="66"/>
      <c r="D45" s="66"/>
      <c r="E45" s="66"/>
      <c r="F45" s="66"/>
      <c r="G45" s="64"/>
      <c r="H45" s="66" t="s">
        <v>2891</v>
      </c>
      <c r="I45" s="93"/>
      <c r="J45" s="66"/>
      <c r="K45" s="13"/>
      <c r="L45" s="89" t="s">
        <v>2892</v>
      </c>
      <c r="M45" s="89"/>
      <c r="N45" s="89"/>
      <c r="O45" s="89"/>
      <c r="P45" s="89"/>
      <c r="U45" s="64"/>
    </row>
    <row r="46" spans="1:22" x14ac:dyDescent="0.25">
      <c r="A46" t="s">
        <v>437</v>
      </c>
      <c r="B46" s="8" t="s">
        <v>2893</v>
      </c>
      <c r="C46" s="8" t="s">
        <v>73</v>
      </c>
      <c r="D46" s="8" t="s">
        <v>50</v>
      </c>
      <c r="E46" s="8" t="s">
        <v>38</v>
      </c>
      <c r="F46" s="8" t="s">
        <v>2894</v>
      </c>
      <c r="G46" s="6"/>
      <c r="H46" s="8" t="s">
        <v>101</v>
      </c>
      <c r="I46" s="40" t="s">
        <v>31</v>
      </c>
      <c r="J46" s="8" t="s">
        <v>38</v>
      </c>
      <c r="K46" s="6"/>
      <c r="L46" s="90" t="s">
        <v>2893</v>
      </c>
      <c r="M46" s="90" t="s">
        <v>73</v>
      </c>
      <c r="N46" s="90" t="s">
        <v>50</v>
      </c>
      <c r="O46" s="90" t="s">
        <v>38</v>
      </c>
      <c r="P46" s="8" t="s">
        <v>2894</v>
      </c>
      <c r="Q46" s="15"/>
      <c r="R46" s="15"/>
      <c r="S46" s="15"/>
      <c r="T46" s="15"/>
      <c r="U46" s="8" t="s">
        <v>2893</v>
      </c>
      <c r="V46" s="91" t="s">
        <v>50</v>
      </c>
    </row>
    <row r="47" spans="1:22" x14ac:dyDescent="0.25">
      <c r="A47">
        <v>2010</v>
      </c>
      <c r="B47" s="76">
        <v>2336454</v>
      </c>
      <c r="C47" s="76">
        <v>185221</v>
      </c>
      <c r="D47" s="76">
        <v>451909</v>
      </c>
      <c r="E47" s="72">
        <f t="shared" ref="E47:E61" si="36">SUM(B47:D47)</f>
        <v>2973584</v>
      </c>
      <c r="F47" s="72">
        <f t="shared" ref="F47:F61" si="37">+E47-C47</f>
        <v>2788363</v>
      </c>
      <c r="G47" s="6"/>
      <c r="H47" s="1">
        <f>+'AY Credit Hour Allocation'!G4</f>
        <v>10491.035285350041</v>
      </c>
      <c r="J47" s="3">
        <f t="shared" ref="J47:J61" si="38">SUM(H47:I47)</f>
        <v>10491.035285350041</v>
      </c>
      <c r="K47" s="6"/>
      <c r="L47" s="88">
        <f t="shared" ref="L47:L61" si="39">B47/J47</f>
        <v>222.70957407441821</v>
      </c>
      <c r="M47" s="88">
        <f t="shared" ref="M47:M61" si="40">+C47/J47</f>
        <v>17.655168909654464</v>
      </c>
      <c r="N47" s="88">
        <f t="shared" ref="N47:N61" si="41">D47/J47</f>
        <v>43.075729678562581</v>
      </c>
      <c r="O47" s="88">
        <f t="shared" ref="O47:O61" si="42">+E47/J47</f>
        <v>283.44047266263527</v>
      </c>
      <c r="P47" s="88">
        <f t="shared" ref="P47:P61" si="43">+L47+N47</f>
        <v>265.78530375298078</v>
      </c>
      <c r="Q47" s="1"/>
      <c r="R47" s="109">
        <f t="shared" ref="R47:R57" si="44">+R28</f>
        <v>1.1827000000000001</v>
      </c>
      <c r="S47" s="94">
        <f>+P47*R47</f>
        <v>314.34427874865037</v>
      </c>
      <c r="T47" s="1"/>
      <c r="U47" s="51">
        <f t="shared" ref="U47:U56" si="45">+L47/O47</f>
        <v>0.78573667332081421</v>
      </c>
      <c r="V47" s="51">
        <f t="shared" ref="V47:V56" si="46">+N47/P47</f>
        <v>0.16206964444729757</v>
      </c>
    </row>
    <row r="48" spans="1:22" x14ac:dyDescent="0.25">
      <c r="A48">
        <v>2011</v>
      </c>
      <c r="B48" s="76">
        <v>2386502</v>
      </c>
      <c r="C48" s="76">
        <v>0</v>
      </c>
      <c r="D48" s="76">
        <v>576614</v>
      </c>
      <c r="E48" s="72">
        <f t="shared" si="36"/>
        <v>2963116</v>
      </c>
      <c r="F48" s="72">
        <f t="shared" si="37"/>
        <v>2963116</v>
      </c>
      <c r="G48" s="5"/>
      <c r="H48" s="1">
        <f>+'AY Credit Hour Allocation'!M4</f>
        <v>12557.682484548195</v>
      </c>
      <c r="I48" s="39">
        <f>+'Summer Credit Hour Allocation'!D4</f>
        <v>466.16639741518577</v>
      </c>
      <c r="J48" s="3">
        <f t="shared" si="38"/>
        <v>13023.84888196338</v>
      </c>
      <c r="L48" s="88">
        <f t="shared" si="39"/>
        <v>183.2409160785831</v>
      </c>
      <c r="M48" s="88">
        <f t="shared" si="40"/>
        <v>0</v>
      </c>
      <c r="N48" s="88">
        <f t="shared" si="41"/>
        <v>44.273701670367807</v>
      </c>
      <c r="O48" s="88">
        <f t="shared" si="42"/>
        <v>227.51461774895091</v>
      </c>
      <c r="P48" s="88">
        <f t="shared" si="43"/>
        <v>227.51461774895091</v>
      </c>
      <c r="Q48" s="1"/>
      <c r="R48" s="109">
        <f t="shared" si="44"/>
        <v>1.1420999999999999</v>
      </c>
      <c r="S48" s="94">
        <f t="shared" ref="S48:S57" si="47">+P48*R48</f>
        <v>259.84444493107679</v>
      </c>
      <c r="T48" s="1"/>
      <c r="U48" s="51">
        <f t="shared" si="45"/>
        <v>0.80540282594404</v>
      </c>
      <c r="V48" s="51">
        <f t="shared" si="46"/>
        <v>0.19459717405596</v>
      </c>
    </row>
    <row r="49" spans="1:22" x14ac:dyDescent="0.25">
      <c r="A49">
        <v>2012</v>
      </c>
      <c r="B49" s="76">
        <v>2635583</v>
      </c>
      <c r="C49" s="76">
        <v>93988</v>
      </c>
      <c r="D49" s="76">
        <v>679844</v>
      </c>
      <c r="E49" s="72">
        <f t="shared" si="36"/>
        <v>3409415</v>
      </c>
      <c r="F49" s="72">
        <f t="shared" si="37"/>
        <v>3315427</v>
      </c>
      <c r="G49" s="5"/>
      <c r="H49" s="1">
        <f>+'AY Credit Hour Allocation'!S4</f>
        <v>12202.57478960825</v>
      </c>
      <c r="I49" s="14">
        <f>+'Summer Credit Hour Allocation'!H4</f>
        <v>698.56314595412152</v>
      </c>
      <c r="J49" s="3">
        <f t="shared" si="38"/>
        <v>12901.137935562372</v>
      </c>
      <c r="L49" s="88">
        <f t="shared" si="39"/>
        <v>204.29073878319963</v>
      </c>
      <c r="M49" s="88">
        <f t="shared" si="40"/>
        <v>7.2852488260682238</v>
      </c>
      <c r="N49" s="88">
        <f t="shared" si="41"/>
        <v>52.69643681011965</v>
      </c>
      <c r="O49" s="88">
        <f t="shared" si="42"/>
        <v>264.27242441938751</v>
      </c>
      <c r="P49" s="88">
        <f t="shared" si="43"/>
        <v>256.98717559331931</v>
      </c>
      <c r="Q49" s="1"/>
      <c r="R49" s="109">
        <f t="shared" si="44"/>
        <v>1.1234</v>
      </c>
      <c r="S49" s="94">
        <f t="shared" si="47"/>
        <v>288.69939306153492</v>
      </c>
      <c r="T49" s="1"/>
      <c r="U49" s="51">
        <f t="shared" si="45"/>
        <v>0.77303085719984221</v>
      </c>
      <c r="V49" s="51">
        <f t="shared" si="46"/>
        <v>0.20505473352301226</v>
      </c>
    </row>
    <row r="50" spans="1:22" x14ac:dyDescent="0.25">
      <c r="A50">
        <v>2013</v>
      </c>
      <c r="B50" s="76">
        <v>2592821</v>
      </c>
      <c r="C50" s="76">
        <v>172033</v>
      </c>
      <c r="D50" s="76">
        <v>656273</v>
      </c>
      <c r="E50" s="72">
        <f t="shared" si="36"/>
        <v>3421127</v>
      </c>
      <c r="F50" s="72">
        <f t="shared" si="37"/>
        <v>3249094</v>
      </c>
      <c r="G50" s="5"/>
      <c r="H50" s="1">
        <f>+'AY Credit Hour Allocation'!Y4</f>
        <v>12049.957803490415</v>
      </c>
      <c r="I50" s="14">
        <f>+'Summer Credit Hour Allocation'!L4</f>
        <v>964.18963831867063</v>
      </c>
      <c r="J50" s="3">
        <f t="shared" si="38"/>
        <v>13014.147441809086</v>
      </c>
      <c r="L50" s="88">
        <f t="shared" si="39"/>
        <v>199.23095320638032</v>
      </c>
      <c r="M50" s="88">
        <f t="shared" si="40"/>
        <v>13.21892200539614</v>
      </c>
      <c r="N50" s="88">
        <f t="shared" si="41"/>
        <v>50.427659816705756</v>
      </c>
      <c r="O50" s="88">
        <f t="shared" si="42"/>
        <v>262.87753502848221</v>
      </c>
      <c r="P50" s="88">
        <f t="shared" si="43"/>
        <v>249.65861302308608</v>
      </c>
      <c r="Q50" s="1"/>
      <c r="R50" s="109">
        <f t="shared" si="44"/>
        <v>1.1104000000000001</v>
      </c>
      <c r="S50" s="94">
        <f t="shared" si="47"/>
        <v>277.2209239008348</v>
      </c>
      <c r="T50" s="1"/>
      <c r="U50" s="51">
        <f t="shared" si="45"/>
        <v>0.75788504782196042</v>
      </c>
      <c r="V50" s="51">
        <f t="shared" si="46"/>
        <v>0.20198646145663993</v>
      </c>
    </row>
    <row r="51" spans="1:22" x14ac:dyDescent="0.25">
      <c r="A51">
        <v>2014</v>
      </c>
      <c r="B51" s="76">
        <v>2664602</v>
      </c>
      <c r="C51" s="76">
        <v>174909</v>
      </c>
      <c r="D51" s="76">
        <v>670271</v>
      </c>
      <c r="E51" s="72">
        <f t="shared" si="36"/>
        <v>3509782</v>
      </c>
      <c r="F51" s="72">
        <f t="shared" si="37"/>
        <v>3334873</v>
      </c>
      <c r="G51" s="5"/>
      <c r="H51" s="1">
        <f>+'AY Credit Hour Allocation'!AE4</f>
        <v>11509.275602398477</v>
      </c>
      <c r="I51" s="14">
        <f>+'Summer Credit Hour Allocation'!P4</f>
        <v>255.72478498827209</v>
      </c>
      <c r="J51" s="3">
        <f t="shared" si="38"/>
        <v>11765.000387386748</v>
      </c>
      <c r="L51" s="88">
        <f t="shared" si="39"/>
        <v>226.48550040480396</v>
      </c>
      <c r="M51" s="88">
        <f t="shared" si="40"/>
        <v>14.866892838143878</v>
      </c>
      <c r="N51" s="88">
        <f t="shared" si="41"/>
        <v>56.971608833825222</v>
      </c>
      <c r="O51" s="88">
        <f t="shared" si="42"/>
        <v>298.32400207677307</v>
      </c>
      <c r="P51" s="88">
        <f t="shared" si="43"/>
        <v>283.45710923862919</v>
      </c>
      <c r="Q51" s="1"/>
      <c r="R51" s="109">
        <f t="shared" si="44"/>
        <v>1.0815999999999999</v>
      </c>
      <c r="S51" s="94">
        <f t="shared" si="47"/>
        <v>306.5872093525013</v>
      </c>
      <c r="T51" s="1"/>
      <c r="U51" s="51">
        <f t="shared" si="45"/>
        <v>0.75919302110501452</v>
      </c>
      <c r="V51" s="51">
        <f t="shared" si="46"/>
        <v>0.20098846342874227</v>
      </c>
    </row>
    <row r="52" spans="1:22" x14ac:dyDescent="0.25">
      <c r="A52">
        <v>2015</v>
      </c>
      <c r="B52" s="76">
        <v>2795733</v>
      </c>
      <c r="C52" s="76">
        <v>162064</v>
      </c>
      <c r="D52" s="76">
        <v>676807</v>
      </c>
      <c r="E52" s="72">
        <f t="shared" si="36"/>
        <v>3634604</v>
      </c>
      <c r="F52" s="72">
        <f t="shared" si="37"/>
        <v>3472540</v>
      </c>
      <c r="G52" s="5"/>
      <c r="H52" s="1">
        <f>+'AY Credit Hour Allocation'!AK4</f>
        <v>11298.687002641682</v>
      </c>
      <c r="I52" s="14">
        <f>+'Summer Credit Hour Allocation'!T4</f>
        <v>30.390657439446436</v>
      </c>
      <c r="J52" s="3">
        <f t="shared" si="38"/>
        <v>11329.077660081128</v>
      </c>
      <c r="L52" s="88">
        <f t="shared" si="39"/>
        <v>246.77498768068111</v>
      </c>
      <c r="M52" s="88">
        <f t="shared" si="40"/>
        <v>14.305136292872712</v>
      </c>
      <c r="N52" s="88">
        <f t="shared" si="41"/>
        <v>59.740697372459657</v>
      </c>
      <c r="O52" s="88">
        <f t="shared" si="42"/>
        <v>320.82082134601347</v>
      </c>
      <c r="P52" s="88">
        <f t="shared" si="43"/>
        <v>306.51568505314077</v>
      </c>
      <c r="Q52" s="1"/>
      <c r="R52" s="109">
        <f t="shared" si="44"/>
        <v>1.0803</v>
      </c>
      <c r="S52" s="94">
        <f t="shared" si="47"/>
        <v>331.12889456290799</v>
      </c>
      <c r="T52" s="1"/>
      <c r="U52" s="51">
        <f t="shared" si="45"/>
        <v>0.76919879029462357</v>
      </c>
      <c r="V52" s="51">
        <f t="shared" si="46"/>
        <v>0.19490257851601422</v>
      </c>
    </row>
    <row r="53" spans="1:22" x14ac:dyDescent="0.25">
      <c r="A53">
        <v>2016</v>
      </c>
      <c r="B53" s="76">
        <v>3034066</v>
      </c>
      <c r="C53" s="76">
        <v>179322</v>
      </c>
      <c r="D53" s="76">
        <v>275415</v>
      </c>
      <c r="E53" s="72">
        <f t="shared" si="36"/>
        <v>3488803</v>
      </c>
      <c r="F53" s="72">
        <f t="shared" si="37"/>
        <v>3309481</v>
      </c>
      <c r="G53" s="5"/>
      <c r="H53" s="1">
        <f>+'AY Credit Hour Allocation'!AQ4</f>
        <v>10799.990085926922</v>
      </c>
      <c r="I53" s="14">
        <f>+'Summer Credit Hour Allocation'!X4</f>
        <v>6.1888789237668451</v>
      </c>
      <c r="J53" s="3">
        <f t="shared" si="38"/>
        <v>10806.178964850689</v>
      </c>
      <c r="L53" s="88">
        <f t="shared" si="39"/>
        <v>280.77140031355407</v>
      </c>
      <c r="M53" s="88">
        <f t="shared" si="40"/>
        <v>16.594394797946762</v>
      </c>
      <c r="N53" s="88">
        <f t="shared" si="41"/>
        <v>25.48680721426544</v>
      </c>
      <c r="O53" s="88">
        <f t="shared" si="42"/>
        <v>322.85260232576627</v>
      </c>
      <c r="P53" s="88">
        <f t="shared" si="43"/>
        <v>306.25820752781954</v>
      </c>
      <c r="Q53" s="1"/>
      <c r="R53" s="109">
        <f t="shared" si="44"/>
        <v>1.0696000000000001</v>
      </c>
      <c r="S53" s="94">
        <f t="shared" si="47"/>
        <v>327.57377877175583</v>
      </c>
      <c r="T53" s="1"/>
      <c r="U53" s="51">
        <f t="shared" si="45"/>
        <v>0.86965816069293678</v>
      </c>
      <c r="V53" s="51">
        <f t="shared" si="46"/>
        <v>8.3219997334929546E-2</v>
      </c>
    </row>
    <row r="54" spans="1:22" x14ac:dyDescent="0.25">
      <c r="A54">
        <v>2017</v>
      </c>
      <c r="B54" s="76">
        <v>3236544</v>
      </c>
      <c r="C54" s="76">
        <v>107914</v>
      </c>
      <c r="D54" s="76">
        <v>266218</v>
      </c>
      <c r="E54" s="72">
        <f t="shared" si="36"/>
        <v>3610676</v>
      </c>
      <c r="F54" s="72">
        <f t="shared" si="37"/>
        <v>3502762</v>
      </c>
      <c r="G54" s="5"/>
      <c r="H54" s="1">
        <f>+'AY Credit Hour Allocation'!AW4</f>
        <v>10643.861627916925</v>
      </c>
      <c r="I54" s="14">
        <f>+'Summer Credit Hour Allocation'!AB4</f>
        <v>13.903212851405613</v>
      </c>
      <c r="J54" s="3">
        <f t="shared" si="38"/>
        <v>10657.764840768332</v>
      </c>
      <c r="L54" s="88">
        <f t="shared" si="39"/>
        <v>303.67943451139922</v>
      </c>
      <c r="M54" s="88">
        <f t="shared" si="40"/>
        <v>10.125387603524976</v>
      </c>
      <c r="N54" s="88">
        <f t="shared" si="41"/>
        <v>24.978783448257055</v>
      </c>
      <c r="O54" s="88">
        <f t="shared" si="42"/>
        <v>338.78360556318125</v>
      </c>
      <c r="P54" s="88">
        <f t="shared" si="43"/>
        <v>328.65821795965627</v>
      </c>
      <c r="Q54" s="1"/>
      <c r="R54" s="109">
        <f t="shared" si="44"/>
        <v>1.0524</v>
      </c>
      <c r="S54" s="94">
        <f t="shared" si="47"/>
        <v>345.87990858074227</v>
      </c>
      <c r="T54" s="1"/>
      <c r="U54" s="51">
        <f t="shared" si="45"/>
        <v>0.89638173018016565</v>
      </c>
      <c r="V54" s="51">
        <f t="shared" si="46"/>
        <v>7.6002309034984394E-2</v>
      </c>
    </row>
    <row r="55" spans="1:22" x14ac:dyDescent="0.25">
      <c r="A55">
        <v>2018</v>
      </c>
      <c r="B55" s="76">
        <v>3324935</v>
      </c>
      <c r="C55" s="76">
        <v>90333</v>
      </c>
      <c r="D55" s="76">
        <v>420344</v>
      </c>
      <c r="E55" s="72">
        <f t="shared" si="36"/>
        <v>3835612</v>
      </c>
      <c r="F55" s="72">
        <f t="shared" si="37"/>
        <v>3745279</v>
      </c>
      <c r="G55" s="5"/>
      <c r="H55" s="1">
        <f>+'AY Credit Hour Allocation'!BC4</f>
        <v>10119.011820904881</v>
      </c>
      <c r="I55" s="14">
        <f>+'Summer Credit Hour Allocation'!AF4</f>
        <v>14.345752608047706</v>
      </c>
      <c r="J55" s="3">
        <f t="shared" si="38"/>
        <v>10133.357573512929</v>
      </c>
      <c r="L55" s="88">
        <f t="shared" si="39"/>
        <v>328.11780062818264</v>
      </c>
      <c r="M55" s="88">
        <f t="shared" si="40"/>
        <v>8.914419465085972</v>
      </c>
      <c r="N55" s="88">
        <f t="shared" si="41"/>
        <v>41.481216561302041</v>
      </c>
      <c r="O55" s="88">
        <f t="shared" si="42"/>
        <v>378.51343665457068</v>
      </c>
      <c r="P55" s="88">
        <f t="shared" si="43"/>
        <v>369.5990171894847</v>
      </c>
      <c r="Q55" s="1"/>
      <c r="R55" s="109">
        <f t="shared" si="44"/>
        <v>1.0229999999999999</v>
      </c>
      <c r="S55" s="94">
        <f t="shared" si="47"/>
        <v>378.09979458484281</v>
      </c>
      <c r="T55" s="1"/>
      <c r="U55" s="51">
        <f t="shared" si="45"/>
        <v>0.866859056651194</v>
      </c>
      <c r="V55" s="51">
        <f t="shared" si="46"/>
        <v>0.11223302723241713</v>
      </c>
    </row>
    <row r="56" spans="1:22" x14ac:dyDescent="0.25">
      <c r="A56">
        <v>2019</v>
      </c>
      <c r="B56" s="76">
        <v>2995336</v>
      </c>
      <c r="C56" s="76">
        <v>102442</v>
      </c>
      <c r="D56" s="76">
        <v>531425</v>
      </c>
      <c r="E56" s="72">
        <f t="shared" si="36"/>
        <v>3629203</v>
      </c>
      <c r="F56" s="72">
        <f t="shared" si="37"/>
        <v>3526761</v>
      </c>
      <c r="G56" s="5"/>
      <c r="H56" s="1">
        <f>+'AY Credit Hour Allocation'!BI4</f>
        <v>11256.782151384978</v>
      </c>
      <c r="I56" s="14">
        <f>+'Summer Credit Hour Allocation'!AJ4</f>
        <v>25.434493249667238</v>
      </c>
      <c r="J56" s="3">
        <f t="shared" si="38"/>
        <v>11282.216644634645</v>
      </c>
      <c r="L56" s="88">
        <f t="shared" si="39"/>
        <v>265.49179955912808</v>
      </c>
      <c r="M56" s="88">
        <f t="shared" si="40"/>
        <v>9.0799532775074976</v>
      </c>
      <c r="N56" s="88">
        <f t="shared" si="41"/>
        <v>47.102889151904712</v>
      </c>
      <c r="O56" s="88">
        <f t="shared" si="42"/>
        <v>321.67464198854032</v>
      </c>
      <c r="P56" s="88">
        <f t="shared" si="43"/>
        <v>312.5946887110328</v>
      </c>
      <c r="Q56" s="1"/>
      <c r="R56" s="109">
        <f t="shared" si="44"/>
        <v>1.0065</v>
      </c>
      <c r="S56" s="94">
        <f t="shared" si="47"/>
        <v>314.62655418765451</v>
      </c>
      <c r="T56" s="1"/>
      <c r="U56" s="51">
        <f t="shared" si="45"/>
        <v>0.82534264410119795</v>
      </c>
      <c r="V56" s="51">
        <f t="shared" si="46"/>
        <v>0.15068358757511496</v>
      </c>
    </row>
    <row r="57" spans="1:22" x14ac:dyDescent="0.25">
      <c r="A57" s="68">
        <v>2020</v>
      </c>
      <c r="B57" s="76">
        <v>3707264</v>
      </c>
      <c r="C57" s="76">
        <v>123140</v>
      </c>
      <c r="D57" s="76">
        <v>594733</v>
      </c>
      <c r="E57" s="72">
        <f t="shared" si="36"/>
        <v>4425137</v>
      </c>
      <c r="F57" s="72">
        <f t="shared" si="37"/>
        <v>4301997</v>
      </c>
      <c r="G57" s="6"/>
      <c r="H57" s="1">
        <f>+'AY Credit Hour Allocation'!BO4</f>
        <v>12875.489819886101</v>
      </c>
      <c r="I57" s="14">
        <f>+'Summer Credit Hour Allocation'!AN4</f>
        <v>37.314169826293622</v>
      </c>
      <c r="J57" s="3">
        <f t="shared" si="38"/>
        <v>12912.803989712394</v>
      </c>
      <c r="L57" s="88">
        <f t="shared" si="39"/>
        <v>287.09984314433717</v>
      </c>
      <c r="M57" s="88">
        <f t="shared" si="40"/>
        <v>9.5362711381745893</v>
      </c>
      <c r="N57" s="88">
        <f t="shared" si="41"/>
        <v>46.057618505928119</v>
      </c>
      <c r="O57" s="88">
        <f t="shared" si="42"/>
        <v>342.69373278843989</v>
      </c>
      <c r="P57" s="88">
        <f t="shared" si="43"/>
        <v>333.1574616502653</v>
      </c>
      <c r="Q57" s="1"/>
      <c r="R57" s="109">
        <f t="shared" si="44"/>
        <v>1</v>
      </c>
      <c r="S57" s="94">
        <f t="shared" si="47"/>
        <v>333.1574616502653</v>
      </c>
      <c r="T57" s="1"/>
      <c r="U57" s="51">
        <f t="shared" ref="U57:U60" si="48">+L57/O57</f>
        <v>0.83777383615467715</v>
      </c>
      <c r="V57" s="51">
        <f t="shared" ref="V57:V60" si="49">+N57/P57</f>
        <v>0.1382457960802855</v>
      </c>
    </row>
    <row r="58" spans="1:22" x14ac:dyDescent="0.25">
      <c r="A58" s="345">
        <v>2021</v>
      </c>
      <c r="B58" s="76">
        <v>3815047</v>
      </c>
      <c r="C58" s="76">
        <v>0</v>
      </c>
      <c r="D58" s="76">
        <v>551448</v>
      </c>
      <c r="E58" s="72">
        <f t="shared" si="36"/>
        <v>4366495</v>
      </c>
      <c r="F58" s="72">
        <f t="shared" si="37"/>
        <v>4366495</v>
      </c>
      <c r="G58" s="6"/>
      <c r="H58" s="1">
        <f>+'AY Credit Hour Allocation'!BU4</f>
        <v>12678.166938967468</v>
      </c>
      <c r="I58" s="14">
        <f>+'Summer Credit Hour Allocation'!AR4</f>
        <v>4.2552057304680897</v>
      </c>
      <c r="J58" s="3">
        <f t="shared" si="38"/>
        <v>12682.422144697935</v>
      </c>
      <c r="L58" s="88">
        <f t="shared" si="39"/>
        <v>300.81375280469859</v>
      </c>
      <c r="M58" s="88">
        <f t="shared" si="40"/>
        <v>0</v>
      </c>
      <c r="N58" s="88">
        <f t="shared" si="41"/>
        <v>43.481284072423072</v>
      </c>
      <c r="O58" s="88">
        <f t="shared" si="42"/>
        <v>344.29503687712167</v>
      </c>
      <c r="P58" s="88">
        <f t="shared" si="43"/>
        <v>344.29503687712167</v>
      </c>
      <c r="Q58" s="1"/>
      <c r="R58" s="109"/>
      <c r="S58" s="94"/>
      <c r="T58" s="95"/>
      <c r="U58" s="51">
        <f t="shared" si="48"/>
        <v>0.87370923360727537</v>
      </c>
      <c r="V58" s="51">
        <f t="shared" si="49"/>
        <v>0.1262907663927246</v>
      </c>
    </row>
    <row r="59" spans="1:22" x14ac:dyDescent="0.25">
      <c r="A59" s="345">
        <v>2022</v>
      </c>
      <c r="B59" s="76">
        <v>3408896</v>
      </c>
      <c r="C59" s="76">
        <v>0</v>
      </c>
      <c r="D59" s="76">
        <v>1196443</v>
      </c>
      <c r="E59" s="72">
        <f t="shared" si="36"/>
        <v>4605339</v>
      </c>
      <c r="F59" s="72">
        <f t="shared" si="37"/>
        <v>4605339</v>
      </c>
      <c r="G59" s="6"/>
      <c r="H59" s="1">
        <f>+'AY Credit Hour Allocation'!CA4</f>
        <v>12663.480423532985</v>
      </c>
      <c r="I59" s="14">
        <f>+'Summer Credit Hour Allocation'!AV4</f>
        <v>24.695563139931746</v>
      </c>
      <c r="J59" s="3">
        <f t="shared" si="38"/>
        <v>12688.175986672917</v>
      </c>
      <c r="L59" s="88">
        <f t="shared" si="39"/>
        <v>268.66714361312052</v>
      </c>
      <c r="M59" s="88">
        <f t="shared" si="40"/>
        <v>0</v>
      </c>
      <c r="N59" s="88">
        <f t="shared" si="41"/>
        <v>94.295902047440805</v>
      </c>
      <c r="O59" s="88">
        <f t="shared" si="42"/>
        <v>362.96304566056136</v>
      </c>
      <c r="P59" s="88">
        <f t="shared" si="43"/>
        <v>362.96304566056131</v>
      </c>
      <c r="Q59" s="1"/>
      <c r="R59" s="109"/>
      <c r="S59" s="94"/>
      <c r="T59" s="95"/>
      <c r="U59" s="51">
        <f t="shared" si="48"/>
        <v>0.74020522702020408</v>
      </c>
      <c r="V59" s="51">
        <f t="shared" si="49"/>
        <v>0.25979477297979586</v>
      </c>
    </row>
    <row r="60" spans="1:22" x14ac:dyDescent="0.25">
      <c r="A60" s="345">
        <v>2023</v>
      </c>
      <c r="B60" s="76">
        <v>3419075</v>
      </c>
      <c r="C60" s="76">
        <v>0</v>
      </c>
      <c r="D60" s="76">
        <v>1424976</v>
      </c>
      <c r="E60" s="72">
        <f t="shared" si="36"/>
        <v>4844051</v>
      </c>
      <c r="F60" s="72">
        <f t="shared" si="37"/>
        <v>4844051</v>
      </c>
      <c r="G60" s="6"/>
      <c r="H60" s="1">
        <f>+'AY Credit Hour Allocation'!CG4</f>
        <v>11771</v>
      </c>
      <c r="I60" s="14">
        <f>+'Summer Credit Hour Allocation'!AZ4</f>
        <v>4.3403056247967919</v>
      </c>
      <c r="J60" s="3">
        <f t="shared" si="38"/>
        <v>11775.340305624797</v>
      </c>
      <c r="L60" s="88">
        <f t="shared" si="39"/>
        <v>290.35891203643519</v>
      </c>
      <c r="M60" s="88">
        <f t="shared" si="40"/>
        <v>0</v>
      </c>
      <c r="N60" s="88">
        <f t="shared" si="41"/>
        <v>121.01357268794374</v>
      </c>
      <c r="O60" s="88">
        <f t="shared" si="42"/>
        <v>411.37248472437892</v>
      </c>
      <c r="P60" s="88">
        <f t="shared" si="43"/>
        <v>411.37248472437892</v>
      </c>
      <c r="Q60" s="1"/>
      <c r="R60" s="109"/>
      <c r="S60" s="94"/>
      <c r="T60" s="95"/>
      <c r="U60" s="51">
        <f t="shared" si="48"/>
        <v>0.70582968676423929</v>
      </c>
      <c r="V60" s="51">
        <f t="shared" si="49"/>
        <v>0.29417031323576071</v>
      </c>
    </row>
    <row r="61" spans="1:22" x14ac:dyDescent="0.25">
      <c r="A61" s="345" t="s">
        <v>2898</v>
      </c>
      <c r="B61" s="76">
        <v>2910152</v>
      </c>
      <c r="C61" s="76">
        <v>0</v>
      </c>
      <c r="D61" s="76">
        <v>2065898</v>
      </c>
      <c r="E61" s="72">
        <f t="shared" si="36"/>
        <v>4976050</v>
      </c>
      <c r="F61" s="72">
        <f t="shared" si="37"/>
        <v>4976050</v>
      </c>
      <c r="G61" s="6"/>
      <c r="H61" s="1">
        <f>+'AY Credit Hour Allocation'!CM4</f>
        <v>12462</v>
      </c>
      <c r="I61" s="14">
        <f>+'Summer Credit Hour Allocation'!BD4</f>
        <v>8.8706571787358719</v>
      </c>
      <c r="J61" s="3">
        <f t="shared" si="38"/>
        <v>12470.870657178735</v>
      </c>
      <c r="L61" s="88">
        <f t="shared" si="39"/>
        <v>233.35596046173404</v>
      </c>
      <c r="M61" s="88">
        <f t="shared" si="40"/>
        <v>0</v>
      </c>
      <c r="N61" s="88">
        <f t="shared" si="41"/>
        <v>165.6578804151726</v>
      </c>
      <c r="O61" s="88">
        <f t="shared" si="42"/>
        <v>399.01384087690661</v>
      </c>
      <c r="P61" s="88">
        <f t="shared" si="43"/>
        <v>399.01384087690667</v>
      </c>
      <c r="Q61" s="1"/>
      <c r="R61" s="109"/>
      <c r="S61" s="94"/>
      <c r="T61" s="95"/>
      <c r="U61" s="51"/>
      <c r="V61" s="51"/>
    </row>
    <row r="62" spans="1:22" x14ac:dyDescent="0.25">
      <c r="A62" s="68"/>
      <c r="B62" s="76"/>
      <c r="C62" s="76"/>
      <c r="D62" s="76"/>
      <c r="E62" s="72"/>
      <c r="F62" s="72"/>
      <c r="G62" s="6"/>
      <c r="H62" s="1"/>
      <c r="J62" s="3"/>
      <c r="Q62" s="1"/>
      <c r="R62" s="1" t="s">
        <v>418</v>
      </c>
      <c r="S62" s="94">
        <f>AVERAGE(S47:S50)</f>
        <v>285.02726016052424</v>
      </c>
      <c r="T62" s="1"/>
      <c r="U62" s="51"/>
      <c r="V62" s="51"/>
    </row>
    <row r="63" spans="1:22" x14ac:dyDescent="0.25">
      <c r="B63" s="6"/>
      <c r="C63" s="6"/>
      <c r="D63" s="6"/>
      <c r="E63" s="6"/>
      <c r="F63" s="6"/>
      <c r="G63" s="6"/>
      <c r="Q63" s="1"/>
      <c r="R63" s="1"/>
      <c r="S63" s="1"/>
      <c r="T63" s="1"/>
      <c r="V63" s="51"/>
    </row>
    <row r="64" spans="1:22" ht="15.75" thickBot="1" x14ac:dyDescent="0.3">
      <c r="B64" s="66" t="s">
        <v>57</v>
      </c>
      <c r="C64" s="66"/>
      <c r="D64" s="66"/>
      <c r="E64" s="66"/>
      <c r="F64" s="66"/>
      <c r="G64" s="64"/>
      <c r="H64" s="66" t="s">
        <v>2891</v>
      </c>
      <c r="I64" s="93"/>
      <c r="J64" s="66"/>
      <c r="K64" s="13"/>
      <c r="L64" s="89" t="s">
        <v>2892</v>
      </c>
      <c r="M64" s="89"/>
      <c r="N64" s="89"/>
      <c r="O64" s="89"/>
      <c r="P64" s="89"/>
      <c r="U64" s="64"/>
    </row>
    <row r="65" spans="1:22" x14ac:dyDescent="0.25">
      <c r="A65" t="s">
        <v>81</v>
      </c>
      <c r="B65" s="8" t="s">
        <v>2893</v>
      </c>
      <c r="C65" s="8" t="s">
        <v>73</v>
      </c>
      <c r="D65" s="8" t="s">
        <v>50</v>
      </c>
      <c r="E65" s="8" t="s">
        <v>38</v>
      </c>
      <c r="F65" s="8" t="s">
        <v>2894</v>
      </c>
      <c r="G65" s="6"/>
      <c r="H65" s="8" t="s">
        <v>101</v>
      </c>
      <c r="I65" s="40" t="s">
        <v>31</v>
      </c>
      <c r="J65" s="8" t="s">
        <v>38</v>
      </c>
      <c r="K65" s="6"/>
      <c r="L65" s="90" t="s">
        <v>2893</v>
      </c>
      <c r="M65" s="90" t="s">
        <v>73</v>
      </c>
      <c r="N65" s="90" t="s">
        <v>50</v>
      </c>
      <c r="O65" s="90" t="s">
        <v>38</v>
      </c>
      <c r="P65" s="8" t="s">
        <v>2894</v>
      </c>
      <c r="Q65" s="15"/>
      <c r="R65" s="15"/>
      <c r="S65" s="15"/>
      <c r="T65" s="15"/>
      <c r="U65" s="8" t="s">
        <v>2893</v>
      </c>
      <c r="V65" s="91" t="s">
        <v>50</v>
      </c>
    </row>
    <row r="66" spans="1:22" x14ac:dyDescent="0.25">
      <c r="A66">
        <v>2010</v>
      </c>
      <c r="B66" s="76">
        <v>30540007</v>
      </c>
      <c r="C66" s="76">
        <v>629876</v>
      </c>
      <c r="D66" s="76">
        <v>1295357</v>
      </c>
      <c r="E66" s="72">
        <f t="shared" ref="E66:E80" si="50">SUM(B66:D66)</f>
        <v>32465240</v>
      </c>
      <c r="F66" s="72">
        <f t="shared" ref="F66:F80" si="51">+E66-C66</f>
        <v>31835364</v>
      </c>
      <c r="G66" s="6"/>
      <c r="H66" s="1">
        <f>+'AY Credit Hour Allocation'!G5</f>
        <v>179955.42135062121</v>
      </c>
      <c r="J66" s="3">
        <f t="shared" ref="J66:J80" si="52">SUM(H66:I66)</f>
        <v>179955.42135062121</v>
      </c>
      <c r="K66" s="6"/>
      <c r="L66" s="88">
        <f t="shared" ref="L66:L80" si="53">B66/J66</f>
        <v>169.70873547897463</v>
      </c>
      <c r="M66" s="88">
        <f t="shared" ref="M66:M80" si="54">+C66/J66</f>
        <v>3.5001779622563487</v>
      </c>
      <c r="N66" s="88">
        <f t="shared" ref="N66:N80" si="55">D66/J66</f>
        <v>7.198210480562043</v>
      </c>
      <c r="O66" s="88">
        <f t="shared" ref="O66:O80" si="56">+E66/J66</f>
        <v>180.40712392179304</v>
      </c>
      <c r="P66" s="88">
        <f t="shared" ref="P66:P80" si="57">+L66+N66</f>
        <v>176.90694595953667</v>
      </c>
      <c r="Q66" s="1"/>
      <c r="R66" s="109">
        <f t="shared" ref="R66:R76" si="58">+R47</f>
        <v>1.1827000000000001</v>
      </c>
      <c r="S66" s="94">
        <f>+P66*R66</f>
        <v>209.22784498634402</v>
      </c>
      <c r="T66" s="1"/>
      <c r="U66" s="51">
        <f t="shared" ref="U66:U76" si="59">+L66/O66</f>
        <v>0.94069863644932228</v>
      </c>
      <c r="V66" s="51">
        <f t="shared" ref="V66:V76" si="60">+N66/P66</f>
        <v>4.0689247341415671E-2</v>
      </c>
    </row>
    <row r="67" spans="1:22" x14ac:dyDescent="0.25">
      <c r="A67">
        <v>2011</v>
      </c>
      <c r="B67" s="76">
        <v>30837172</v>
      </c>
      <c r="C67" s="76">
        <v>0</v>
      </c>
      <c r="D67" s="76">
        <v>1160832</v>
      </c>
      <c r="E67" s="72">
        <f t="shared" si="50"/>
        <v>31998004</v>
      </c>
      <c r="F67" s="72">
        <f t="shared" si="51"/>
        <v>31998004</v>
      </c>
      <c r="G67" s="5"/>
      <c r="H67" s="1">
        <f>+'AY Credit Hour Allocation'!M5</f>
        <v>189107.50338407315</v>
      </c>
      <c r="I67" s="39">
        <f>+'Summer Credit Hour Allocation'!D5</f>
        <v>9078.7059773828769</v>
      </c>
      <c r="J67" s="3">
        <f t="shared" si="52"/>
        <v>198186.20936145601</v>
      </c>
      <c r="L67" s="88">
        <f t="shared" si="53"/>
        <v>155.59696156132912</v>
      </c>
      <c r="M67" s="88">
        <f t="shared" si="54"/>
        <v>0</v>
      </c>
      <c r="N67" s="88">
        <f t="shared" si="55"/>
        <v>5.8572793926486133</v>
      </c>
      <c r="O67" s="88">
        <f t="shared" si="56"/>
        <v>161.45424095397775</v>
      </c>
      <c r="P67" s="88">
        <f t="shared" si="57"/>
        <v>161.45424095397775</v>
      </c>
      <c r="Q67" s="1"/>
      <c r="R67" s="109">
        <f t="shared" si="58"/>
        <v>1.1420999999999999</v>
      </c>
      <c r="S67" s="94">
        <f t="shared" ref="S67:S76" si="61">+P67*R67</f>
        <v>184.39688859353797</v>
      </c>
      <c r="T67" s="1"/>
      <c r="U67" s="51">
        <f t="shared" si="59"/>
        <v>0.9637217371433543</v>
      </c>
      <c r="V67" s="51">
        <f t="shared" si="60"/>
        <v>3.6278262856645684E-2</v>
      </c>
    </row>
    <row r="68" spans="1:22" x14ac:dyDescent="0.25">
      <c r="A68">
        <v>2012</v>
      </c>
      <c r="B68" s="76">
        <v>31837114</v>
      </c>
      <c r="C68" s="76">
        <v>350049</v>
      </c>
      <c r="D68" s="76">
        <v>1230173</v>
      </c>
      <c r="E68" s="72">
        <f t="shared" si="50"/>
        <v>33417336</v>
      </c>
      <c r="F68" s="72">
        <f t="shared" si="51"/>
        <v>33067287</v>
      </c>
      <c r="G68" s="5"/>
      <c r="H68" s="1">
        <f>+'AY Credit Hour Allocation'!S5</f>
        <v>184181.41228936304</v>
      </c>
      <c r="I68" s="14">
        <f>+'Summer Credit Hour Allocation'!H5</f>
        <v>6352.5586085202922</v>
      </c>
      <c r="J68" s="3">
        <f t="shared" si="52"/>
        <v>190533.97089788332</v>
      </c>
      <c r="L68" s="88">
        <f t="shared" si="53"/>
        <v>167.0941609518184</v>
      </c>
      <c r="M68" s="88">
        <f t="shared" si="54"/>
        <v>1.8371999405166901</v>
      </c>
      <c r="N68" s="88">
        <f t="shared" si="55"/>
        <v>6.4564497039706961</v>
      </c>
      <c r="O68" s="88">
        <f t="shared" si="56"/>
        <v>175.3878105963058</v>
      </c>
      <c r="P68" s="88">
        <f t="shared" si="57"/>
        <v>173.55061065578909</v>
      </c>
      <c r="Q68" s="1"/>
      <c r="R68" s="109">
        <f t="shared" si="58"/>
        <v>1.1234</v>
      </c>
      <c r="S68" s="94">
        <f t="shared" si="61"/>
        <v>194.96675601071345</v>
      </c>
      <c r="T68" s="1"/>
      <c r="U68" s="51">
        <f t="shared" si="59"/>
        <v>0.95271250826217857</v>
      </c>
      <c r="V68" s="51">
        <f t="shared" si="60"/>
        <v>3.7202114585330209E-2</v>
      </c>
    </row>
    <row r="69" spans="1:22" x14ac:dyDescent="0.25">
      <c r="A69">
        <v>2013</v>
      </c>
      <c r="B69" s="76">
        <v>33097759</v>
      </c>
      <c r="C69" s="76">
        <v>921742</v>
      </c>
      <c r="D69" s="76">
        <v>1230068</v>
      </c>
      <c r="E69" s="72">
        <f t="shared" si="50"/>
        <v>35249569</v>
      </c>
      <c r="F69" s="72">
        <f t="shared" si="51"/>
        <v>34327827</v>
      </c>
      <c r="G69" s="5"/>
      <c r="H69" s="1">
        <f>+'AY Credit Hour Allocation'!Y5</f>
        <v>172074.50368634463</v>
      </c>
      <c r="I69" s="14">
        <f>+'Summer Credit Hour Allocation'!L5</f>
        <v>5135.980449657869</v>
      </c>
      <c r="J69" s="3">
        <f t="shared" si="52"/>
        <v>177210.48413600249</v>
      </c>
      <c r="L69" s="88">
        <f t="shared" si="53"/>
        <v>186.77088526319184</v>
      </c>
      <c r="M69" s="88">
        <f t="shared" si="54"/>
        <v>5.2013965454357489</v>
      </c>
      <c r="N69" s="88">
        <f t="shared" si="55"/>
        <v>6.9412823174500691</v>
      </c>
      <c r="O69" s="88">
        <f t="shared" si="56"/>
        <v>198.91356412607766</v>
      </c>
      <c r="P69" s="88">
        <f t="shared" si="57"/>
        <v>193.7121675806419</v>
      </c>
      <c r="Q69" s="1"/>
      <c r="R69" s="109">
        <f t="shared" si="58"/>
        <v>1.1104000000000001</v>
      </c>
      <c r="S69" s="94">
        <f t="shared" si="61"/>
        <v>215.09799088154477</v>
      </c>
      <c r="T69" s="1"/>
      <c r="U69" s="51">
        <f t="shared" si="59"/>
        <v>0.93895499828664575</v>
      </c>
      <c r="V69" s="51">
        <f t="shared" si="60"/>
        <v>3.5832970144017567E-2</v>
      </c>
    </row>
    <row r="70" spans="1:22" x14ac:dyDescent="0.25">
      <c r="A70">
        <v>2014</v>
      </c>
      <c r="B70" s="76">
        <v>33325629</v>
      </c>
      <c r="C70" s="76">
        <v>914556</v>
      </c>
      <c r="D70" s="76">
        <v>1142357</v>
      </c>
      <c r="E70" s="72">
        <f t="shared" si="50"/>
        <v>35382542</v>
      </c>
      <c r="F70" s="72">
        <f t="shared" si="51"/>
        <v>34467986</v>
      </c>
      <c r="G70" s="5"/>
      <c r="H70" s="1">
        <f>+'AY Credit Hour Allocation'!AE5</f>
        <v>162845.23360312483</v>
      </c>
      <c r="I70" s="14">
        <f>+'Summer Credit Hour Allocation'!P5</f>
        <v>4560.4253322908526</v>
      </c>
      <c r="J70" s="3">
        <f t="shared" si="52"/>
        <v>167405.65893541567</v>
      </c>
      <c r="L70" s="88">
        <f t="shared" si="53"/>
        <v>199.07110196828455</v>
      </c>
      <c r="M70" s="88">
        <f t="shared" si="54"/>
        <v>5.4631128112152494</v>
      </c>
      <c r="N70" s="88">
        <f t="shared" si="55"/>
        <v>6.8238852095239864</v>
      </c>
      <c r="O70" s="88">
        <f t="shared" si="56"/>
        <v>211.3580999890238</v>
      </c>
      <c r="P70" s="88">
        <f t="shared" si="57"/>
        <v>205.89498717780853</v>
      </c>
      <c r="Q70" s="1"/>
      <c r="R70" s="109">
        <f t="shared" si="58"/>
        <v>1.0815999999999999</v>
      </c>
      <c r="S70" s="94">
        <f t="shared" si="61"/>
        <v>222.69601813151769</v>
      </c>
      <c r="T70" s="1"/>
      <c r="U70" s="51">
        <f t="shared" si="59"/>
        <v>0.94186644362635108</v>
      </c>
      <c r="V70" s="51">
        <f t="shared" si="60"/>
        <v>3.3142551467904159E-2</v>
      </c>
    </row>
    <row r="71" spans="1:22" x14ac:dyDescent="0.25">
      <c r="A71">
        <v>2015</v>
      </c>
      <c r="B71" s="76">
        <v>35844156</v>
      </c>
      <c r="C71" s="76">
        <v>888076</v>
      </c>
      <c r="D71" s="76">
        <v>335544.8200000003</v>
      </c>
      <c r="E71" s="72">
        <f t="shared" si="50"/>
        <v>37067776.82</v>
      </c>
      <c r="F71" s="72">
        <f t="shared" si="51"/>
        <v>36179700.82</v>
      </c>
      <c r="G71" s="5"/>
      <c r="H71" s="1">
        <f>+'AY Credit Hour Allocation'!AK5</f>
        <v>166093.58879991653</v>
      </c>
      <c r="I71" s="14">
        <f>+'Summer Credit Hour Allocation'!T5</f>
        <v>6647.9563148789084</v>
      </c>
      <c r="J71" s="3">
        <f t="shared" si="52"/>
        <v>172741.54511479544</v>
      </c>
      <c r="L71" s="88">
        <f t="shared" si="53"/>
        <v>207.5016521137388</v>
      </c>
      <c r="M71" s="88">
        <f t="shared" si="54"/>
        <v>5.1410678271392607</v>
      </c>
      <c r="N71" s="88">
        <f t="shared" si="55"/>
        <v>1.9424673999356314</v>
      </c>
      <c r="O71" s="88">
        <f t="shared" si="56"/>
        <v>214.58518734081369</v>
      </c>
      <c r="P71" s="88">
        <f t="shared" si="57"/>
        <v>209.44411951367442</v>
      </c>
      <c r="Q71" s="1"/>
      <c r="R71" s="109">
        <f t="shared" si="58"/>
        <v>1.0803</v>
      </c>
      <c r="S71" s="94">
        <f t="shared" si="61"/>
        <v>226.26248231062249</v>
      </c>
      <c r="T71" s="1"/>
      <c r="U71" s="51">
        <f t="shared" si="59"/>
        <v>0.96698963560879669</v>
      </c>
      <c r="V71" s="51">
        <f t="shared" si="60"/>
        <v>9.2743945470801798E-3</v>
      </c>
    </row>
    <row r="72" spans="1:22" x14ac:dyDescent="0.25">
      <c r="A72">
        <v>2016</v>
      </c>
      <c r="B72" s="76">
        <v>35035678</v>
      </c>
      <c r="C72" s="76">
        <v>909736</v>
      </c>
      <c r="D72" s="76">
        <v>517193.6099999994</v>
      </c>
      <c r="E72" s="72">
        <f t="shared" si="50"/>
        <v>36462607.609999999</v>
      </c>
      <c r="F72" s="72">
        <f t="shared" si="51"/>
        <v>35552871.609999999</v>
      </c>
      <c r="G72" s="5"/>
      <c r="H72" s="1">
        <f>+'AY Credit Hour Allocation'!AQ5</f>
        <v>151684.01470991509</v>
      </c>
      <c r="I72" s="14">
        <f>+'Summer Credit Hour Allocation'!X5</f>
        <v>5960.9218834081003</v>
      </c>
      <c r="J72" s="3">
        <f t="shared" si="52"/>
        <v>157644.93659332319</v>
      </c>
      <c r="L72" s="88">
        <f t="shared" si="53"/>
        <v>222.24423287619808</v>
      </c>
      <c r="M72" s="88">
        <f t="shared" si="54"/>
        <v>5.7707911186950893</v>
      </c>
      <c r="N72" s="88">
        <f t="shared" si="55"/>
        <v>3.2807499002280314</v>
      </c>
      <c r="O72" s="88">
        <f t="shared" si="56"/>
        <v>231.29577389512121</v>
      </c>
      <c r="P72" s="88">
        <f t="shared" si="57"/>
        <v>225.52498277642613</v>
      </c>
      <c r="Q72" s="1"/>
      <c r="R72" s="109">
        <f t="shared" si="58"/>
        <v>1.0696000000000001</v>
      </c>
      <c r="S72" s="94">
        <f t="shared" si="61"/>
        <v>241.22152157766541</v>
      </c>
      <c r="T72" s="1"/>
      <c r="U72" s="51">
        <f t="shared" si="59"/>
        <v>0.96086594723936691</v>
      </c>
      <c r="V72" s="51">
        <f t="shared" si="60"/>
        <v>1.4547168388348346E-2</v>
      </c>
    </row>
    <row r="73" spans="1:22" x14ac:dyDescent="0.25">
      <c r="A73">
        <v>2017</v>
      </c>
      <c r="B73" s="76">
        <v>34332443</v>
      </c>
      <c r="C73" s="76">
        <v>714820</v>
      </c>
      <c r="D73" s="76">
        <v>533729.00999999791</v>
      </c>
      <c r="E73" s="72">
        <f t="shared" si="50"/>
        <v>35580992.009999998</v>
      </c>
      <c r="F73" s="72">
        <f t="shared" si="51"/>
        <v>34866172.009999998</v>
      </c>
      <c r="G73" s="5"/>
      <c r="H73" s="1">
        <f>+'AY Credit Hour Allocation'!AW5</f>
        <v>138810.41282298331</v>
      </c>
      <c r="I73" s="14">
        <f>+'Summer Credit Hour Allocation'!AB5</f>
        <v>4890.7224899598359</v>
      </c>
      <c r="J73" s="3">
        <f t="shared" si="52"/>
        <v>143701.13531294314</v>
      </c>
      <c r="L73" s="88">
        <f t="shared" si="53"/>
        <v>238.91560025070785</v>
      </c>
      <c r="M73" s="88">
        <f t="shared" si="54"/>
        <v>4.9743517923035938</v>
      </c>
      <c r="N73" s="88">
        <f t="shared" si="55"/>
        <v>3.7141600088104871</v>
      </c>
      <c r="O73" s="88">
        <f t="shared" si="56"/>
        <v>247.60411205182194</v>
      </c>
      <c r="P73" s="88">
        <f t="shared" si="57"/>
        <v>242.62976025951835</v>
      </c>
      <c r="Q73" s="1"/>
      <c r="R73" s="109">
        <f t="shared" si="58"/>
        <v>1.0524</v>
      </c>
      <c r="S73" s="94">
        <f t="shared" si="61"/>
        <v>255.34355969711712</v>
      </c>
      <c r="T73" s="1"/>
      <c r="U73" s="51">
        <f t="shared" si="59"/>
        <v>0.96490966273090151</v>
      </c>
      <c r="V73" s="51">
        <f t="shared" si="60"/>
        <v>1.5307932567042879E-2</v>
      </c>
    </row>
    <row r="74" spans="1:22" x14ac:dyDescent="0.25">
      <c r="A74">
        <v>2018</v>
      </c>
      <c r="B74" s="76">
        <v>32185443</v>
      </c>
      <c r="C74" s="76">
        <v>963474</v>
      </c>
      <c r="D74" s="76">
        <v>185412.12000000104</v>
      </c>
      <c r="E74" s="72">
        <f t="shared" si="50"/>
        <v>33334329.120000001</v>
      </c>
      <c r="F74" s="72">
        <f t="shared" si="51"/>
        <v>32370855.120000001</v>
      </c>
      <c r="G74" s="5"/>
      <c r="H74" s="1">
        <f>+'AY Credit Hour Allocation'!BC5</f>
        <v>129842.18743847488</v>
      </c>
      <c r="I74" s="14">
        <f>+'Summer Credit Hour Allocation'!AF5</f>
        <v>4432.837555886741</v>
      </c>
      <c r="J74" s="3">
        <f t="shared" si="52"/>
        <v>134275.02499436162</v>
      </c>
      <c r="L74" s="88">
        <f t="shared" si="53"/>
        <v>239.69791106984718</v>
      </c>
      <c r="M74" s="88">
        <f t="shared" si="54"/>
        <v>7.1753775509664397</v>
      </c>
      <c r="N74" s="88">
        <f t="shared" si="55"/>
        <v>1.3808384694606217</v>
      </c>
      <c r="O74" s="88">
        <f t="shared" si="56"/>
        <v>248.25412709027424</v>
      </c>
      <c r="P74" s="88">
        <f t="shared" si="57"/>
        <v>241.07874953930781</v>
      </c>
      <c r="Q74" s="1"/>
      <c r="R74" s="109">
        <f t="shared" si="58"/>
        <v>1.0229999999999999</v>
      </c>
      <c r="S74" s="94">
        <f t="shared" si="61"/>
        <v>246.62356077871186</v>
      </c>
      <c r="T74" s="1"/>
      <c r="U74" s="51">
        <f t="shared" si="59"/>
        <v>0.96553444601017369</v>
      </c>
      <c r="V74" s="51">
        <f t="shared" si="60"/>
        <v>5.727748597084358E-3</v>
      </c>
    </row>
    <row r="75" spans="1:22" x14ac:dyDescent="0.25">
      <c r="A75">
        <v>2019</v>
      </c>
      <c r="B75" s="76">
        <v>29334333</v>
      </c>
      <c r="C75" s="76">
        <v>944395</v>
      </c>
      <c r="D75" s="76">
        <v>991973.96999999881</v>
      </c>
      <c r="E75" s="72">
        <f t="shared" si="50"/>
        <v>31270701.969999999</v>
      </c>
      <c r="F75" s="72">
        <f t="shared" si="51"/>
        <v>30326306.969999999</v>
      </c>
      <c r="G75" s="5"/>
      <c r="H75" s="1">
        <f>+'AY Credit Hour Allocation'!BI5</f>
        <v>112548.20977941163</v>
      </c>
      <c r="I75" s="14">
        <f>+'Summer Credit Hour Allocation'!AJ5</f>
        <v>4925.0427837992011</v>
      </c>
      <c r="J75" s="3">
        <f t="shared" si="52"/>
        <v>117473.25256321083</v>
      </c>
      <c r="L75" s="88">
        <f t="shared" si="53"/>
        <v>249.71074146615271</v>
      </c>
      <c r="M75" s="88">
        <f t="shared" si="54"/>
        <v>8.0392342886039803</v>
      </c>
      <c r="N75" s="88">
        <f t="shared" si="55"/>
        <v>8.4442538906142097</v>
      </c>
      <c r="O75" s="88">
        <f t="shared" si="56"/>
        <v>266.19422964537091</v>
      </c>
      <c r="P75" s="88">
        <f t="shared" si="57"/>
        <v>258.1549953567669</v>
      </c>
      <c r="Q75" s="1"/>
      <c r="R75" s="109">
        <f t="shared" si="58"/>
        <v>1.0065</v>
      </c>
      <c r="S75" s="94">
        <f t="shared" si="61"/>
        <v>259.83300282658587</v>
      </c>
      <c r="T75" s="1"/>
      <c r="U75" s="51">
        <f t="shared" si="59"/>
        <v>0.93807721451671655</v>
      </c>
      <c r="V75" s="51">
        <f t="shared" si="60"/>
        <v>3.2710015465493354E-2</v>
      </c>
    </row>
    <row r="76" spans="1:22" x14ac:dyDescent="0.25">
      <c r="A76" s="68">
        <v>2020</v>
      </c>
      <c r="B76" s="76">
        <v>28779687</v>
      </c>
      <c r="C76" s="76">
        <v>910188</v>
      </c>
      <c r="D76" s="76">
        <v>1934144</v>
      </c>
      <c r="E76" s="72">
        <f t="shared" si="50"/>
        <v>31624019</v>
      </c>
      <c r="F76" s="72">
        <f t="shared" si="51"/>
        <v>30713831</v>
      </c>
      <c r="G76" s="5"/>
      <c r="H76" s="1">
        <f>+'AY Credit Hour Allocation'!BO5</f>
        <v>103543.56976730116</v>
      </c>
      <c r="I76" s="14">
        <f>+'Summer Credit Hour Allocation'!AN5</f>
        <v>4817.6739264614653</v>
      </c>
      <c r="J76" s="3">
        <f t="shared" si="52"/>
        <v>108361.24369376262</v>
      </c>
      <c r="L76" s="88">
        <f t="shared" si="53"/>
        <v>265.59022413339636</v>
      </c>
      <c r="M76" s="88">
        <f t="shared" si="54"/>
        <v>8.3995713686367672</v>
      </c>
      <c r="N76" s="88">
        <f t="shared" si="55"/>
        <v>17.849038402198879</v>
      </c>
      <c r="O76" s="88">
        <f t="shared" si="56"/>
        <v>291.83883390423205</v>
      </c>
      <c r="P76" s="88">
        <f t="shared" si="57"/>
        <v>283.43926253559522</v>
      </c>
      <c r="Q76" s="1"/>
      <c r="R76" s="109">
        <f t="shared" si="58"/>
        <v>1</v>
      </c>
      <c r="S76" s="94">
        <f t="shared" si="61"/>
        <v>283.43926253559522</v>
      </c>
      <c r="T76" s="1"/>
      <c r="U76" s="51">
        <f t="shared" si="59"/>
        <v>0.91005785823743646</v>
      </c>
      <c r="V76" s="51">
        <f t="shared" si="60"/>
        <v>6.2973062526781518E-2</v>
      </c>
    </row>
    <row r="77" spans="1:22" x14ac:dyDescent="0.25">
      <c r="A77" s="345">
        <v>2021</v>
      </c>
      <c r="B77" s="76">
        <v>27255460</v>
      </c>
      <c r="C77" s="76">
        <v>8122</v>
      </c>
      <c r="D77" s="76">
        <v>1932854</v>
      </c>
      <c r="E77" s="72">
        <f t="shared" si="50"/>
        <v>29196436</v>
      </c>
      <c r="F77" s="72">
        <f t="shared" si="51"/>
        <v>29188314</v>
      </c>
      <c r="G77" s="6"/>
      <c r="H77" s="1">
        <f>+'AY Credit Hour Allocation'!BU5</f>
        <v>93836.150361462292</v>
      </c>
      <c r="I77" s="14">
        <f>+'Summer Credit Hour Allocation'!AR5</f>
        <v>5936.0119940029854</v>
      </c>
      <c r="J77" s="3">
        <f t="shared" si="52"/>
        <v>99772.162355465276</v>
      </c>
      <c r="L77" s="88">
        <f t="shared" si="53"/>
        <v>273.17700004230699</v>
      </c>
      <c r="M77" s="88">
        <f t="shared" si="54"/>
        <v>8.1405472310634913E-2</v>
      </c>
      <c r="N77" s="88">
        <f t="shared" si="55"/>
        <v>19.372678253816787</v>
      </c>
      <c r="O77" s="88">
        <f t="shared" si="56"/>
        <v>292.63108376843445</v>
      </c>
      <c r="P77" s="88">
        <f t="shared" si="57"/>
        <v>292.54967829612377</v>
      </c>
      <c r="Q77" s="1"/>
      <c r="R77" s="109"/>
      <c r="S77" s="94"/>
      <c r="T77" s="95"/>
      <c r="U77" s="51">
        <f t="shared" ref="U77:U80" si="62">+L77/O77</f>
        <v>0.93352010498815663</v>
      </c>
      <c r="V77" s="51">
        <f t="shared" ref="V77:V80" si="63">+N77/P77</f>
        <v>6.622013179658133E-2</v>
      </c>
    </row>
    <row r="78" spans="1:22" x14ac:dyDescent="0.25">
      <c r="A78" s="345">
        <v>2022</v>
      </c>
      <c r="B78" s="76">
        <v>28121997</v>
      </c>
      <c r="C78" s="76">
        <v>0</v>
      </c>
      <c r="D78" s="76">
        <v>2691284</v>
      </c>
      <c r="E78" s="72">
        <f t="shared" si="50"/>
        <v>30813281</v>
      </c>
      <c r="F78" s="72">
        <f t="shared" si="51"/>
        <v>30813281</v>
      </c>
      <c r="G78" s="6"/>
      <c r="H78" s="1">
        <f>+'AY Credit Hour Allocation'!CA5</f>
        <v>90713.427481909806</v>
      </c>
      <c r="I78" s="14">
        <f>+'Summer Credit Hour Allocation'!AV5</f>
        <v>4826.3720136518778</v>
      </c>
      <c r="J78" s="3">
        <f t="shared" si="52"/>
        <v>95539.799495561689</v>
      </c>
      <c r="L78" s="88">
        <f t="shared" si="53"/>
        <v>294.34850343501518</v>
      </c>
      <c r="M78" s="88">
        <f t="shared" si="54"/>
        <v>0</v>
      </c>
      <c r="N78" s="88">
        <f t="shared" si="55"/>
        <v>28.169244798603788</v>
      </c>
      <c r="O78" s="88">
        <f t="shared" si="56"/>
        <v>322.51774823361893</v>
      </c>
      <c r="P78" s="88">
        <f t="shared" si="57"/>
        <v>322.51774823361899</v>
      </c>
      <c r="Q78" s="1"/>
      <c r="R78" s="109"/>
      <c r="S78" s="94"/>
      <c r="T78" s="95"/>
      <c r="U78" s="51">
        <f t="shared" si="62"/>
        <v>0.91265831120029062</v>
      </c>
      <c r="V78" s="51">
        <f t="shared" si="63"/>
        <v>8.7341688799709438E-2</v>
      </c>
    </row>
    <row r="79" spans="1:22" x14ac:dyDescent="0.25">
      <c r="A79" s="345">
        <v>2023</v>
      </c>
      <c r="B79" s="76">
        <v>23915094</v>
      </c>
      <c r="C79" s="76">
        <v>274</v>
      </c>
      <c r="D79" s="76">
        <v>3777917</v>
      </c>
      <c r="E79" s="72">
        <f t="shared" si="50"/>
        <v>27693285</v>
      </c>
      <c r="F79" s="72">
        <f t="shared" si="51"/>
        <v>27693011</v>
      </c>
      <c r="G79" s="6"/>
      <c r="H79" s="1">
        <f>+'AY Credit Hour Allocation'!CG5</f>
        <v>86416</v>
      </c>
      <c r="I79" s="14">
        <f>+'Summer Credit Hour Allocation'!AZ5</f>
        <v>4174.2889346483144</v>
      </c>
      <c r="J79" s="3">
        <f t="shared" si="52"/>
        <v>90590.288934648313</v>
      </c>
      <c r="L79" s="88">
        <f t="shared" si="53"/>
        <v>263.99180619958406</v>
      </c>
      <c r="M79" s="88">
        <f t="shared" si="54"/>
        <v>3.0246067566653103E-3</v>
      </c>
      <c r="N79" s="88">
        <f t="shared" si="55"/>
        <v>41.703333154455258</v>
      </c>
      <c r="O79" s="88">
        <f t="shared" si="56"/>
        <v>305.69816396079597</v>
      </c>
      <c r="P79" s="88">
        <f t="shared" si="57"/>
        <v>305.69513935403933</v>
      </c>
      <c r="Q79" s="1"/>
      <c r="R79" s="109"/>
      <c r="S79" s="94"/>
      <c r="T79" s="95"/>
      <c r="U79" s="51">
        <f t="shared" si="62"/>
        <v>0.86357013983714825</v>
      </c>
      <c r="V79" s="51">
        <f t="shared" si="63"/>
        <v>0.13642131583308148</v>
      </c>
    </row>
    <row r="80" spans="1:22" x14ac:dyDescent="0.25">
      <c r="A80" s="345" t="s">
        <v>2898</v>
      </c>
      <c r="B80" s="76">
        <v>21448069</v>
      </c>
      <c r="C80" s="76">
        <v>261</v>
      </c>
      <c r="D80" s="76">
        <v>3906724</v>
      </c>
      <c r="E80" s="72">
        <f t="shared" si="50"/>
        <v>25355054</v>
      </c>
      <c r="F80" s="72">
        <f t="shared" si="51"/>
        <v>25354793</v>
      </c>
      <c r="G80" s="6"/>
      <c r="H80" s="1">
        <f>+'AY Credit Hour Allocation'!CM5</f>
        <v>87284</v>
      </c>
      <c r="I80" s="14">
        <f>+'Summer Credit Hour Allocation'!BD5</f>
        <v>4483.0083717036414</v>
      </c>
      <c r="J80" s="3">
        <f t="shared" si="52"/>
        <v>91767.008371703647</v>
      </c>
      <c r="L80" s="88">
        <f t="shared" si="53"/>
        <v>233.72309265138375</v>
      </c>
      <c r="M80" s="88">
        <f t="shared" si="54"/>
        <v>2.844159405772667E-3</v>
      </c>
      <c r="N80" s="88">
        <f t="shared" si="55"/>
        <v>42.572206169953319</v>
      </c>
      <c r="O80" s="88">
        <f t="shared" si="56"/>
        <v>276.29814298074285</v>
      </c>
      <c r="P80" s="88">
        <f t="shared" si="57"/>
        <v>276.29529882133704</v>
      </c>
      <c r="Q80" s="1"/>
      <c r="R80" s="109"/>
      <c r="S80" s="94"/>
      <c r="T80" s="95"/>
      <c r="U80" s="51">
        <f t="shared" si="62"/>
        <v>0.84590902468596596</v>
      </c>
      <c r="V80" s="51">
        <f t="shared" si="63"/>
        <v>0.15408226760123817</v>
      </c>
    </row>
    <row r="81" spans="1:22" x14ac:dyDescent="0.25">
      <c r="A81" s="68"/>
      <c r="B81" s="76"/>
      <c r="C81" s="76"/>
      <c r="D81" s="76"/>
      <c r="E81" s="107"/>
      <c r="F81" s="76"/>
      <c r="G81" s="5"/>
      <c r="H81" s="67"/>
      <c r="J81" s="3"/>
      <c r="Q81" s="1"/>
      <c r="R81" s="1" t="s">
        <v>418</v>
      </c>
      <c r="S81" s="94">
        <f>AVERAGE(S66:S69)</f>
        <v>200.92237011803505</v>
      </c>
      <c r="T81" s="1"/>
      <c r="U81" s="51"/>
      <c r="V81" s="51"/>
    </row>
    <row r="82" spans="1:22" x14ac:dyDescent="0.25">
      <c r="B82" s="7"/>
      <c r="C82" s="6"/>
      <c r="D82" s="6"/>
      <c r="E82" s="6"/>
      <c r="F82" s="7"/>
      <c r="G82" s="6"/>
      <c r="J82" s="4"/>
      <c r="Q82" s="1"/>
      <c r="R82" s="1"/>
      <c r="S82" s="1"/>
      <c r="T82" s="1"/>
      <c r="V82" s="51"/>
    </row>
    <row r="83" spans="1:22" ht="15.75" thickBot="1" x14ac:dyDescent="0.3">
      <c r="B83" s="66" t="s">
        <v>57</v>
      </c>
      <c r="C83" s="66"/>
      <c r="D83" s="66"/>
      <c r="E83" s="66"/>
      <c r="F83" s="66"/>
      <c r="G83" s="64"/>
      <c r="H83" s="66" t="s">
        <v>2891</v>
      </c>
      <c r="I83" s="93"/>
      <c r="J83" s="66"/>
      <c r="K83" s="13"/>
      <c r="L83" s="89" t="s">
        <v>2892</v>
      </c>
      <c r="M83" s="89"/>
      <c r="N83" s="89"/>
      <c r="O83" s="89"/>
      <c r="P83" s="89"/>
      <c r="U83" s="64"/>
    </row>
    <row r="84" spans="1:22" x14ac:dyDescent="0.25">
      <c r="A84" t="s">
        <v>2900</v>
      </c>
      <c r="B84" s="8" t="s">
        <v>2893</v>
      </c>
      <c r="C84" s="8" t="s">
        <v>73</v>
      </c>
      <c r="D84" s="8" t="s">
        <v>50</v>
      </c>
      <c r="E84" s="8" t="s">
        <v>38</v>
      </c>
      <c r="F84" s="8" t="s">
        <v>2894</v>
      </c>
      <c r="G84" s="6"/>
      <c r="H84" s="8" t="s">
        <v>101</v>
      </c>
      <c r="I84" s="40" t="s">
        <v>31</v>
      </c>
      <c r="J84" s="8" t="s">
        <v>38</v>
      </c>
      <c r="K84" s="6"/>
      <c r="L84" s="90" t="s">
        <v>2893</v>
      </c>
      <c r="M84" s="90" t="s">
        <v>73</v>
      </c>
      <c r="N84" s="90" t="s">
        <v>50</v>
      </c>
      <c r="O84" s="90" t="s">
        <v>38</v>
      </c>
      <c r="P84" s="8" t="s">
        <v>2894</v>
      </c>
      <c r="Q84" s="15"/>
      <c r="R84" s="15"/>
      <c r="S84" s="15"/>
      <c r="T84" s="15"/>
      <c r="U84" s="8" t="s">
        <v>2893</v>
      </c>
      <c r="V84" s="91" t="s">
        <v>50</v>
      </c>
    </row>
    <row r="85" spans="1:22" x14ac:dyDescent="0.25">
      <c r="A85">
        <v>2010</v>
      </c>
      <c r="B85" s="76">
        <v>6393862</v>
      </c>
      <c r="C85" s="76">
        <v>71028</v>
      </c>
      <c r="D85" s="76">
        <v>864556</v>
      </c>
      <c r="E85" s="72">
        <f t="shared" ref="E85:E99" si="64">SUM(B85:D85)</f>
        <v>7329446</v>
      </c>
      <c r="F85" s="72">
        <f t="shared" ref="F85:F99" si="65">+E85-C85</f>
        <v>7258418</v>
      </c>
      <c r="G85" s="6"/>
      <c r="H85" s="1">
        <f>+'AY Credit Hour Allocation'!G6</f>
        <v>33795.984812153038</v>
      </c>
      <c r="J85" s="3">
        <f t="shared" ref="J85:J99" si="66">SUM(H85:I85)</f>
        <v>33795.984812153038</v>
      </c>
      <c r="K85" s="6"/>
      <c r="L85" s="88">
        <f t="shared" ref="L85:L99" si="67">B85/J85</f>
        <v>189.18998915222517</v>
      </c>
      <c r="M85" s="88">
        <f t="shared" ref="M85:M99" si="68">+C85/J85</f>
        <v>2.1016697810344125</v>
      </c>
      <c r="N85" s="88">
        <f t="shared" ref="N85:N99" si="69">D85/J85</f>
        <v>25.581618787126025</v>
      </c>
      <c r="O85" s="88">
        <f t="shared" ref="O85:O99" si="70">+E85/J85</f>
        <v>216.8732777203856</v>
      </c>
      <c r="P85" s="88">
        <f t="shared" ref="P85:P99" si="71">+L85+N85</f>
        <v>214.77160793935118</v>
      </c>
      <c r="Q85" s="1"/>
      <c r="R85" s="109">
        <f t="shared" ref="R85:R95" si="72">+R66</f>
        <v>1.1827000000000001</v>
      </c>
      <c r="S85" s="94">
        <f>+P85*R85</f>
        <v>254.01038070987067</v>
      </c>
      <c r="T85" s="1"/>
      <c r="U85" s="51">
        <f t="shared" ref="U85:U95" si="73">+L85/O85</f>
        <v>0.87235269896251366</v>
      </c>
      <c r="V85" s="51">
        <f t="shared" ref="V85:V95" si="74">+N85/P85</f>
        <v>0.11911080348362413</v>
      </c>
    </row>
    <row r="86" spans="1:22" x14ac:dyDescent="0.25">
      <c r="A86">
        <v>2011</v>
      </c>
      <c r="B86" s="76">
        <v>6588831</v>
      </c>
      <c r="C86" s="76">
        <v>0</v>
      </c>
      <c r="D86" s="76">
        <v>869298</v>
      </c>
      <c r="E86" s="72">
        <f t="shared" si="64"/>
        <v>7458129</v>
      </c>
      <c r="F86" s="72">
        <f t="shared" si="65"/>
        <v>7458129</v>
      </c>
      <c r="G86" s="5"/>
      <c r="H86" s="1">
        <f>+'AY Credit Hour Allocation'!M6</f>
        <v>34878.395246973487</v>
      </c>
      <c r="I86" s="39">
        <f>+'Summer Credit Hour Allocation'!D6</f>
        <v>784.63651050080773</v>
      </c>
      <c r="J86" s="3">
        <f t="shared" si="66"/>
        <v>35663.031757474295</v>
      </c>
      <c r="L86" s="88">
        <f t="shared" si="67"/>
        <v>184.7524081745828</v>
      </c>
      <c r="M86" s="88">
        <f t="shared" si="68"/>
        <v>0</v>
      </c>
      <c r="N86" s="88">
        <f t="shared" si="69"/>
        <v>24.375325292354361</v>
      </c>
      <c r="O86" s="88">
        <f t="shared" si="70"/>
        <v>209.12773346693717</v>
      </c>
      <c r="P86" s="88">
        <f t="shared" si="71"/>
        <v>209.12773346693717</v>
      </c>
      <c r="Q86" s="1"/>
      <c r="R86" s="109">
        <f t="shared" si="72"/>
        <v>1.1420999999999999</v>
      </c>
      <c r="S86" s="94">
        <f t="shared" ref="S86:S95" si="75">+P86*R86</f>
        <v>238.84478439258893</v>
      </c>
      <c r="T86" s="1"/>
      <c r="U86" s="51">
        <f t="shared" si="73"/>
        <v>0.88344288493803202</v>
      </c>
      <c r="V86" s="51">
        <f t="shared" si="74"/>
        <v>0.11655711506196795</v>
      </c>
    </row>
    <row r="87" spans="1:22" x14ac:dyDescent="0.25">
      <c r="A87">
        <v>2012</v>
      </c>
      <c r="B87" s="76">
        <v>6689882</v>
      </c>
      <c r="C87" s="76">
        <v>77642</v>
      </c>
      <c r="D87" s="76">
        <v>880913</v>
      </c>
      <c r="E87" s="72">
        <f t="shared" si="64"/>
        <v>7648437</v>
      </c>
      <c r="F87" s="72">
        <f t="shared" si="65"/>
        <v>7570795</v>
      </c>
      <c r="G87" s="5"/>
      <c r="H87" s="1">
        <f>+'AY Credit Hour Allocation'!S6</f>
        <v>31998.132466700234</v>
      </c>
      <c r="I87" s="14">
        <f>+'Summer Credit Hour Allocation'!H6</f>
        <v>445.33400554575246</v>
      </c>
      <c r="J87" s="3">
        <f t="shared" si="66"/>
        <v>32443.466472245986</v>
      </c>
      <c r="L87" s="88">
        <f t="shared" si="67"/>
        <v>206.20120866932982</v>
      </c>
      <c r="M87" s="88">
        <f t="shared" si="68"/>
        <v>2.3931474790592877</v>
      </c>
      <c r="N87" s="88">
        <f t="shared" si="69"/>
        <v>27.152246531781177</v>
      </c>
      <c r="O87" s="88">
        <f t="shared" si="70"/>
        <v>235.74660268017027</v>
      </c>
      <c r="P87" s="88">
        <f t="shared" si="71"/>
        <v>233.35345520111099</v>
      </c>
      <c r="Q87" s="1"/>
      <c r="R87" s="109">
        <f t="shared" si="72"/>
        <v>1.1234</v>
      </c>
      <c r="S87" s="94">
        <f t="shared" si="75"/>
        <v>262.14927157292806</v>
      </c>
      <c r="T87" s="1"/>
      <c r="U87" s="51">
        <f t="shared" si="73"/>
        <v>0.87467308680191791</v>
      </c>
      <c r="V87" s="51">
        <f t="shared" si="74"/>
        <v>0.11635673664390596</v>
      </c>
    </row>
    <row r="88" spans="1:22" x14ac:dyDescent="0.25">
      <c r="A88">
        <v>2013</v>
      </c>
      <c r="B88" s="76">
        <v>6773257</v>
      </c>
      <c r="C88" s="76">
        <v>152683</v>
      </c>
      <c r="D88" s="76">
        <v>856140</v>
      </c>
      <c r="E88" s="72">
        <f t="shared" si="64"/>
        <v>7782080</v>
      </c>
      <c r="F88" s="72">
        <f t="shared" si="65"/>
        <v>7629397</v>
      </c>
      <c r="G88" s="5"/>
      <c r="H88" s="1">
        <f>+'AY Credit Hour Allocation'!Y6</f>
        <v>30612.465055688077</v>
      </c>
      <c r="I88" s="14">
        <f>+'Summer Credit Hour Allocation'!L6</f>
        <v>482.09481915933532</v>
      </c>
      <c r="J88" s="3">
        <f t="shared" si="66"/>
        <v>31094.559874847411</v>
      </c>
      <c r="L88" s="88">
        <f t="shared" si="67"/>
        <v>217.82771736476423</v>
      </c>
      <c r="M88" s="88">
        <f t="shared" si="68"/>
        <v>4.9102801459333811</v>
      </c>
      <c r="N88" s="88">
        <f t="shared" si="69"/>
        <v>27.533433611727599</v>
      </c>
      <c r="O88" s="88">
        <f t="shared" si="70"/>
        <v>250.27143112242518</v>
      </c>
      <c r="P88" s="88">
        <f t="shared" si="71"/>
        <v>245.36115097649181</v>
      </c>
      <c r="Q88" s="1"/>
      <c r="R88" s="109">
        <f t="shared" si="72"/>
        <v>1.1104000000000001</v>
      </c>
      <c r="S88" s="94">
        <f t="shared" si="75"/>
        <v>272.4490220442965</v>
      </c>
      <c r="T88" s="1"/>
      <c r="U88" s="51">
        <f t="shared" si="73"/>
        <v>0.87036589189522606</v>
      </c>
      <c r="V88" s="51">
        <f t="shared" si="74"/>
        <v>0.11221594576871541</v>
      </c>
    </row>
    <row r="89" spans="1:22" x14ac:dyDescent="0.25">
      <c r="A89">
        <v>2014</v>
      </c>
      <c r="B89" s="76">
        <v>6967414</v>
      </c>
      <c r="C89" s="76">
        <v>159230</v>
      </c>
      <c r="D89" s="76">
        <v>958286</v>
      </c>
      <c r="E89" s="72">
        <f t="shared" si="64"/>
        <v>8084930</v>
      </c>
      <c r="F89" s="72">
        <f t="shared" si="65"/>
        <v>7925700</v>
      </c>
      <c r="G89" s="5"/>
      <c r="H89" s="1">
        <f>+'AY Credit Hour Allocation'!AE6</f>
        <v>30859.966505829423</v>
      </c>
      <c r="I89" s="14">
        <f>+'Summer Credit Hour Allocation'!P6</f>
        <v>415.55277560594214</v>
      </c>
      <c r="J89" s="3">
        <f t="shared" si="66"/>
        <v>31275.519281435365</v>
      </c>
      <c r="L89" s="88">
        <f t="shared" si="67"/>
        <v>222.77532588038412</v>
      </c>
      <c r="M89" s="88">
        <f t="shared" si="68"/>
        <v>5.0912024375088896</v>
      </c>
      <c r="N89" s="88">
        <f t="shared" si="69"/>
        <v>30.640130748167078</v>
      </c>
      <c r="O89" s="88">
        <f t="shared" si="70"/>
        <v>258.50665906606008</v>
      </c>
      <c r="P89" s="88">
        <f t="shared" si="71"/>
        <v>253.4154566285512</v>
      </c>
      <c r="Q89" s="1"/>
      <c r="R89" s="109">
        <f t="shared" si="72"/>
        <v>1.0815999999999999</v>
      </c>
      <c r="S89" s="94">
        <f t="shared" si="75"/>
        <v>274.09415788944096</v>
      </c>
      <c r="T89" s="1"/>
      <c r="U89" s="51">
        <f t="shared" si="73"/>
        <v>0.86177790036524748</v>
      </c>
      <c r="V89" s="51">
        <f t="shared" si="74"/>
        <v>0.1209086894532975</v>
      </c>
    </row>
    <row r="90" spans="1:22" x14ac:dyDescent="0.25">
      <c r="A90">
        <v>2015</v>
      </c>
      <c r="B90" s="76">
        <v>7738305</v>
      </c>
      <c r="C90" s="76">
        <v>197009</v>
      </c>
      <c r="D90" s="76">
        <v>986434</v>
      </c>
      <c r="E90" s="72">
        <f t="shared" si="64"/>
        <v>8921748</v>
      </c>
      <c r="F90" s="72">
        <f t="shared" si="65"/>
        <v>8724739</v>
      </c>
      <c r="G90" s="5"/>
      <c r="H90" s="1">
        <f>+'AY Credit Hour Allocation'!AK6</f>
        <v>34200.261683040946</v>
      </c>
      <c r="I90" s="14">
        <f>+'Summer Credit Hour Allocation'!T6</f>
        <v>1530.3866782006955</v>
      </c>
      <c r="J90" s="3">
        <f t="shared" si="66"/>
        <v>35730.648361241641</v>
      </c>
      <c r="L90" s="88">
        <f t="shared" si="67"/>
        <v>216.57331604410589</v>
      </c>
      <c r="M90" s="88">
        <f t="shared" si="68"/>
        <v>5.5137258638078048</v>
      </c>
      <c r="N90" s="88">
        <f t="shared" si="69"/>
        <v>27.607503508669087</v>
      </c>
      <c r="O90" s="88">
        <f t="shared" si="70"/>
        <v>249.69454541658277</v>
      </c>
      <c r="P90" s="88">
        <f t="shared" si="71"/>
        <v>244.18081955277498</v>
      </c>
      <c r="Q90" s="1"/>
      <c r="R90" s="109">
        <f t="shared" si="72"/>
        <v>1.0803</v>
      </c>
      <c r="S90" s="94">
        <f t="shared" si="75"/>
        <v>263.78853936286282</v>
      </c>
      <c r="T90" s="1"/>
      <c r="U90" s="51">
        <f t="shared" si="73"/>
        <v>0.86735301198823378</v>
      </c>
      <c r="V90" s="51">
        <f t="shared" si="74"/>
        <v>0.11306172024171725</v>
      </c>
    </row>
    <row r="91" spans="1:22" x14ac:dyDescent="0.25">
      <c r="A91">
        <v>2016</v>
      </c>
      <c r="B91" s="76">
        <v>7846123</v>
      </c>
      <c r="C91" s="76">
        <v>216072</v>
      </c>
      <c r="D91" s="76">
        <v>949447</v>
      </c>
      <c r="E91" s="72">
        <f t="shared" si="64"/>
        <v>9011642</v>
      </c>
      <c r="F91" s="72">
        <f t="shared" si="65"/>
        <v>8795570</v>
      </c>
      <c r="G91" s="5"/>
      <c r="H91" s="1">
        <f>+'AY Credit Hour Allocation'!AQ6</f>
        <v>32986.704942299926</v>
      </c>
      <c r="I91" s="14">
        <f>+'Summer Credit Hour Allocation'!X6</f>
        <v>1483.2679820627873</v>
      </c>
      <c r="J91" s="3">
        <f t="shared" si="66"/>
        <v>34469.972924362715</v>
      </c>
      <c r="L91" s="88">
        <f t="shared" si="67"/>
        <v>227.62196585465</v>
      </c>
      <c r="M91" s="88">
        <f t="shared" si="68"/>
        <v>6.2684122344431685</v>
      </c>
      <c r="N91" s="88">
        <f t="shared" si="69"/>
        <v>27.544175972617289</v>
      </c>
      <c r="O91" s="88">
        <f t="shared" si="70"/>
        <v>261.43455406171046</v>
      </c>
      <c r="P91" s="88">
        <f t="shared" si="71"/>
        <v>255.1661418272673</v>
      </c>
      <c r="Q91" s="1"/>
      <c r="R91" s="109">
        <f t="shared" si="72"/>
        <v>1.0696000000000001</v>
      </c>
      <c r="S91" s="94">
        <f t="shared" si="75"/>
        <v>272.92570529844511</v>
      </c>
      <c r="T91" s="1"/>
      <c r="U91" s="51">
        <f t="shared" si="73"/>
        <v>0.87066519065005021</v>
      </c>
      <c r="V91" s="51">
        <f t="shared" si="74"/>
        <v>0.10794604556612021</v>
      </c>
    </row>
    <row r="92" spans="1:22" x14ac:dyDescent="0.25">
      <c r="A92">
        <v>2017</v>
      </c>
      <c r="B92" s="76">
        <v>7815008</v>
      </c>
      <c r="C92" s="76">
        <v>215700</v>
      </c>
      <c r="D92" s="76">
        <v>922688</v>
      </c>
      <c r="E92" s="72">
        <f t="shared" si="64"/>
        <v>8953396</v>
      </c>
      <c r="F92" s="72">
        <f t="shared" si="65"/>
        <v>8737696</v>
      </c>
      <c r="G92" s="5"/>
      <c r="H92" s="1">
        <f>+'AY Credit Hour Allocation'!AW6</f>
        <v>31857.274037341638</v>
      </c>
      <c r="I92" s="14">
        <f>+'Summer Credit Hour Allocation'!AB6</f>
        <v>1238.4554216867461</v>
      </c>
      <c r="J92" s="3">
        <f t="shared" si="66"/>
        <v>33095.729459028385</v>
      </c>
      <c r="L92" s="88">
        <f t="shared" si="67"/>
        <v>236.13342650974857</v>
      </c>
      <c r="M92" s="88">
        <f t="shared" si="68"/>
        <v>6.5174571923858258</v>
      </c>
      <c r="N92" s="88">
        <f t="shared" si="69"/>
        <v>27.879367371015729</v>
      </c>
      <c r="O92" s="88">
        <f t="shared" si="70"/>
        <v>270.53025107315011</v>
      </c>
      <c r="P92" s="88">
        <f t="shared" si="71"/>
        <v>264.01279388076432</v>
      </c>
      <c r="Q92" s="1"/>
      <c r="R92" s="109">
        <f t="shared" si="72"/>
        <v>1.0524</v>
      </c>
      <c r="S92" s="94">
        <f t="shared" si="75"/>
        <v>277.8470642801164</v>
      </c>
      <c r="T92" s="1"/>
      <c r="U92" s="51">
        <f t="shared" si="73"/>
        <v>0.87285405448390763</v>
      </c>
      <c r="V92" s="51">
        <f t="shared" si="74"/>
        <v>0.10559854680226914</v>
      </c>
    </row>
    <row r="93" spans="1:22" x14ac:dyDescent="0.25">
      <c r="A93">
        <v>2018</v>
      </c>
      <c r="B93" s="76">
        <v>7245906</v>
      </c>
      <c r="C93" s="76">
        <v>217308</v>
      </c>
      <c r="D93" s="76">
        <v>1059863</v>
      </c>
      <c r="E93" s="72">
        <f t="shared" si="64"/>
        <v>8523077</v>
      </c>
      <c r="F93" s="72">
        <f t="shared" si="65"/>
        <v>8305769</v>
      </c>
      <c r="G93" s="5"/>
      <c r="H93" s="1">
        <f>+'AY Credit Hour Allocation'!BC6</f>
        <v>30158.89764957974</v>
      </c>
      <c r="I93" s="14">
        <f>+'Summer Credit Hour Allocation'!AF6</f>
        <v>667.62925598991251</v>
      </c>
      <c r="J93" s="3">
        <f t="shared" si="66"/>
        <v>30826.526905569652</v>
      </c>
      <c r="L93" s="88">
        <f t="shared" si="67"/>
        <v>235.05424474824082</v>
      </c>
      <c r="M93" s="88">
        <f t="shared" si="68"/>
        <v>7.0493831713730097</v>
      </c>
      <c r="N93" s="88">
        <f t="shared" si="69"/>
        <v>34.381524822652239</v>
      </c>
      <c r="O93" s="88">
        <f t="shared" si="70"/>
        <v>276.48515274226605</v>
      </c>
      <c r="P93" s="88">
        <f t="shared" si="71"/>
        <v>269.43576957089306</v>
      </c>
      <c r="Q93" s="1"/>
      <c r="R93" s="109">
        <f t="shared" si="72"/>
        <v>1.0229999999999999</v>
      </c>
      <c r="S93" s="94">
        <f t="shared" si="75"/>
        <v>275.63279227102356</v>
      </c>
      <c r="T93" s="1"/>
      <c r="U93" s="51">
        <f t="shared" si="73"/>
        <v>0.85015141831993313</v>
      </c>
      <c r="V93" s="51">
        <f t="shared" si="74"/>
        <v>0.1276056437399114</v>
      </c>
    </row>
    <row r="94" spans="1:22" x14ac:dyDescent="0.25">
      <c r="A94">
        <v>2019</v>
      </c>
      <c r="B94" s="76">
        <v>7241954</v>
      </c>
      <c r="C94" s="76">
        <v>212211</v>
      </c>
      <c r="D94" s="76">
        <v>1126865</v>
      </c>
      <c r="E94" s="72">
        <f t="shared" si="64"/>
        <v>8581030</v>
      </c>
      <c r="F94" s="72">
        <f t="shared" si="65"/>
        <v>8368819</v>
      </c>
      <c r="G94" s="5"/>
      <c r="H94" s="1">
        <f>+'AY Credit Hour Allocation'!BI6</f>
        <v>29936.320013610697</v>
      </c>
      <c r="I94" s="14">
        <f>+'Summer Credit Hour Allocation'!AJ6</f>
        <v>1515.6645750142613</v>
      </c>
      <c r="J94" s="3">
        <f t="shared" si="66"/>
        <v>31451.984588624957</v>
      </c>
      <c r="L94" s="88">
        <f t="shared" si="67"/>
        <v>230.25427790077043</v>
      </c>
      <c r="M94" s="88">
        <f t="shared" si="68"/>
        <v>6.7471418028339309</v>
      </c>
      <c r="N94" s="88">
        <f t="shared" si="69"/>
        <v>35.828104799706225</v>
      </c>
      <c r="O94" s="88">
        <f t="shared" si="70"/>
        <v>272.82952450331061</v>
      </c>
      <c r="P94" s="88">
        <f t="shared" si="71"/>
        <v>266.08238270047667</v>
      </c>
      <c r="Q94" s="1"/>
      <c r="R94" s="109">
        <f t="shared" si="72"/>
        <v>1.0065</v>
      </c>
      <c r="S94" s="94">
        <f t="shared" si="75"/>
        <v>267.81191818802978</v>
      </c>
      <c r="T94" s="1"/>
      <c r="U94" s="51">
        <f t="shared" si="73"/>
        <v>0.84394926949328919</v>
      </c>
      <c r="V94" s="51">
        <f t="shared" si="74"/>
        <v>0.13465042080608985</v>
      </c>
    </row>
    <row r="95" spans="1:22" x14ac:dyDescent="0.25">
      <c r="A95" s="68">
        <v>2020</v>
      </c>
      <c r="B95" s="76">
        <v>7497493</v>
      </c>
      <c r="C95" s="76">
        <v>246532</v>
      </c>
      <c r="D95" s="76">
        <v>892881</v>
      </c>
      <c r="E95" s="72">
        <f t="shared" si="64"/>
        <v>8636906</v>
      </c>
      <c r="F95" s="72">
        <f t="shared" si="65"/>
        <v>8390374</v>
      </c>
      <c r="G95" s="5"/>
      <c r="H95" s="1">
        <f>+'AY Credit Hour Allocation'!BO6</f>
        <v>27930.34518728191</v>
      </c>
      <c r="I95" s="14">
        <f>+'Summer Credit Hour Allocation'!AN6</f>
        <v>1543.3555242042</v>
      </c>
      <c r="J95" s="3">
        <f t="shared" si="66"/>
        <v>29473.700711486108</v>
      </c>
      <c r="L95" s="88">
        <f t="shared" si="67"/>
        <v>254.37908437056817</v>
      </c>
      <c r="M95" s="88">
        <f t="shared" si="68"/>
        <v>8.3644738885444667</v>
      </c>
      <c r="N95" s="88">
        <f t="shared" si="69"/>
        <v>30.294159825407945</v>
      </c>
      <c r="O95" s="88">
        <f t="shared" si="70"/>
        <v>293.03771808452058</v>
      </c>
      <c r="P95" s="88">
        <f t="shared" si="71"/>
        <v>284.67324419597611</v>
      </c>
      <c r="Q95" s="1"/>
      <c r="R95" s="109">
        <f t="shared" si="72"/>
        <v>1</v>
      </c>
      <c r="S95" s="94">
        <f t="shared" si="75"/>
        <v>284.67324419597611</v>
      </c>
      <c r="T95" s="1"/>
      <c r="U95" s="51">
        <f t="shared" si="73"/>
        <v>0.8680762532323496</v>
      </c>
      <c r="V95" s="51">
        <f t="shared" si="74"/>
        <v>0.1064173063083958</v>
      </c>
    </row>
    <row r="96" spans="1:22" x14ac:dyDescent="0.25">
      <c r="A96" s="345">
        <v>2021</v>
      </c>
      <c r="B96" s="76">
        <v>6979937</v>
      </c>
      <c r="C96" s="76">
        <v>112376</v>
      </c>
      <c r="D96" s="76">
        <v>988134</v>
      </c>
      <c r="E96" s="72">
        <f t="shared" si="64"/>
        <v>8080447</v>
      </c>
      <c r="F96" s="72">
        <f t="shared" si="65"/>
        <v>7968071</v>
      </c>
      <c r="G96" s="6"/>
      <c r="H96" s="1">
        <f>+'AY Credit Hour Allocation'!BU6</f>
        <v>23702.854558060233</v>
      </c>
      <c r="I96" s="14">
        <f>+'Summer Credit Hour Allocation'!AR6</f>
        <v>1203.1594202898523</v>
      </c>
      <c r="J96" s="3">
        <f t="shared" si="66"/>
        <v>24906.013978350085</v>
      </c>
      <c r="L96" s="88">
        <f t="shared" si="67"/>
        <v>280.25106731520395</v>
      </c>
      <c r="M96" s="88">
        <f t="shared" si="68"/>
        <v>4.5120026069881947</v>
      </c>
      <c r="N96" s="88">
        <f t="shared" si="69"/>
        <v>39.674513989229666</v>
      </c>
      <c r="O96" s="88">
        <f t="shared" si="70"/>
        <v>324.43758391142177</v>
      </c>
      <c r="P96" s="88">
        <f t="shared" si="71"/>
        <v>319.92558130443365</v>
      </c>
      <c r="Q96" s="1"/>
      <c r="R96" s="109"/>
      <c r="S96" s="94"/>
      <c r="T96" s="95"/>
      <c r="U96" s="51">
        <f t="shared" ref="U96:U99" si="76">+L96/O96</f>
        <v>0.86380580183249778</v>
      </c>
      <c r="V96" s="51">
        <f t="shared" ref="V96:V99" si="77">+N96/P96</f>
        <v>0.12401169618092006</v>
      </c>
    </row>
    <row r="97" spans="1:22" x14ac:dyDescent="0.25">
      <c r="A97" s="345">
        <v>2022</v>
      </c>
      <c r="B97" s="76">
        <v>6418419</v>
      </c>
      <c r="C97" s="76">
        <v>142475</v>
      </c>
      <c r="D97" s="76">
        <v>1467010</v>
      </c>
      <c r="E97" s="72">
        <f t="shared" si="64"/>
        <v>8027904</v>
      </c>
      <c r="F97" s="72">
        <f t="shared" si="65"/>
        <v>7885429</v>
      </c>
      <c r="G97" s="6"/>
      <c r="H97" s="1">
        <f>+'AY Credit Hour Allocation'!CA6</f>
        <v>23243.056727817133</v>
      </c>
      <c r="I97" s="14">
        <f>+'Summer Credit Hour Allocation'!AV6</f>
        <v>992.11740614334485</v>
      </c>
      <c r="J97" s="3">
        <f t="shared" si="66"/>
        <v>24235.174133960478</v>
      </c>
      <c r="L97" s="88">
        <f t="shared" si="67"/>
        <v>264.83898834487604</v>
      </c>
      <c r="M97" s="88">
        <f t="shared" si="68"/>
        <v>5.8788519204552108</v>
      </c>
      <c r="N97" s="88">
        <f t="shared" si="69"/>
        <v>60.532265701540609</v>
      </c>
      <c r="O97" s="88">
        <f t="shared" si="70"/>
        <v>331.25010596687184</v>
      </c>
      <c r="P97" s="88">
        <f t="shared" si="71"/>
        <v>325.37125404641665</v>
      </c>
      <c r="Q97" s="1"/>
      <c r="R97" s="109"/>
      <c r="S97" s="94"/>
      <c r="T97" s="95"/>
      <c r="U97" s="51">
        <f t="shared" si="76"/>
        <v>0.79951367131445528</v>
      </c>
      <c r="V97" s="51">
        <f t="shared" si="77"/>
        <v>0.18604060730240549</v>
      </c>
    </row>
    <row r="98" spans="1:22" x14ac:dyDescent="0.25">
      <c r="A98" s="345">
        <v>2023</v>
      </c>
      <c r="B98" s="76">
        <v>6417776</v>
      </c>
      <c r="C98" s="76">
        <v>140373</v>
      </c>
      <c r="D98" s="76">
        <v>1523848</v>
      </c>
      <c r="E98" s="72">
        <f t="shared" si="64"/>
        <v>8081997</v>
      </c>
      <c r="F98" s="72">
        <f t="shared" si="65"/>
        <v>7941624</v>
      </c>
      <c r="G98" s="6"/>
      <c r="H98" s="1">
        <f>+'AY Credit Hour Allocation'!CG6</f>
        <v>22404</v>
      </c>
      <c r="I98" s="14">
        <f>+'Summer Credit Hour Allocation'!AZ6</f>
        <v>915.80448683212308</v>
      </c>
      <c r="J98" s="3">
        <f t="shared" si="66"/>
        <v>23319.804486832123</v>
      </c>
      <c r="L98" s="88">
        <f t="shared" si="67"/>
        <v>275.20711006063078</v>
      </c>
      <c r="M98" s="88">
        <f t="shared" si="68"/>
        <v>6.0194758527784273</v>
      </c>
      <c r="N98" s="88">
        <f t="shared" si="69"/>
        <v>65.345659345491669</v>
      </c>
      <c r="O98" s="88">
        <f t="shared" si="70"/>
        <v>346.57224525890086</v>
      </c>
      <c r="P98" s="88">
        <f t="shared" si="71"/>
        <v>340.55276940612248</v>
      </c>
      <c r="Q98" s="1"/>
      <c r="R98" s="109"/>
      <c r="S98" s="94"/>
      <c r="T98" s="95"/>
      <c r="U98" s="51">
        <f t="shared" si="76"/>
        <v>0.79408294756852793</v>
      </c>
      <c r="V98" s="51">
        <f t="shared" si="77"/>
        <v>0.1918811568011782</v>
      </c>
    </row>
    <row r="99" spans="1:22" x14ac:dyDescent="0.25">
      <c r="A99" s="345" t="s">
        <v>2898</v>
      </c>
      <c r="B99" s="76">
        <v>6052906</v>
      </c>
      <c r="C99" s="76">
        <v>158373</v>
      </c>
      <c r="D99" s="76">
        <v>1362071</v>
      </c>
      <c r="E99" s="72">
        <f t="shared" si="64"/>
        <v>7573350</v>
      </c>
      <c r="F99" s="72">
        <f t="shared" si="65"/>
        <v>7414977</v>
      </c>
      <c r="G99" s="6"/>
      <c r="H99" s="1">
        <f>+'AY Credit Hour Allocation'!CM6</f>
        <v>24455</v>
      </c>
      <c r="I99" s="14">
        <f>+'Summer Credit Hour Allocation'!BD6</f>
        <v>1119.9204688154039</v>
      </c>
      <c r="J99" s="3">
        <f t="shared" si="66"/>
        <v>25574.920468815402</v>
      </c>
      <c r="L99" s="88">
        <f t="shared" si="67"/>
        <v>236.67350236261998</v>
      </c>
      <c r="M99" s="88">
        <f t="shared" si="68"/>
        <v>6.1925119256230339</v>
      </c>
      <c r="N99" s="88">
        <f t="shared" si="69"/>
        <v>53.2580737312881</v>
      </c>
      <c r="O99" s="88">
        <f t="shared" si="70"/>
        <v>296.12408801953109</v>
      </c>
      <c r="P99" s="88">
        <f t="shared" si="71"/>
        <v>289.93157609390806</v>
      </c>
      <c r="Q99" s="1"/>
      <c r="R99" s="109"/>
      <c r="S99" s="94"/>
      <c r="T99" s="95"/>
      <c r="U99" s="51">
        <f t="shared" si="76"/>
        <v>0.79923758970600867</v>
      </c>
      <c r="V99" s="51">
        <f t="shared" si="77"/>
        <v>0.18369187119528488</v>
      </c>
    </row>
    <row r="100" spans="1:22" x14ac:dyDescent="0.25">
      <c r="A100" s="68"/>
      <c r="B100" s="76"/>
      <c r="C100" s="76"/>
      <c r="D100" s="76"/>
      <c r="E100" s="72"/>
      <c r="F100" s="72"/>
      <c r="G100" s="5"/>
      <c r="H100" s="67"/>
      <c r="J100" s="3"/>
      <c r="Q100" s="1"/>
      <c r="R100" s="1" t="s">
        <v>418</v>
      </c>
      <c r="S100" s="94">
        <f>AVERAGE(S85:S88)</f>
        <v>256.86336467992106</v>
      </c>
      <c r="T100" s="1"/>
      <c r="U100" s="51"/>
      <c r="V100" s="51"/>
    </row>
    <row r="101" spans="1:22" x14ac:dyDescent="0.25">
      <c r="B101" s="6"/>
      <c r="C101" s="6"/>
      <c r="D101" s="6"/>
      <c r="E101" s="6"/>
      <c r="F101" s="6"/>
      <c r="G101" s="6"/>
      <c r="Q101" s="1"/>
      <c r="R101" s="1"/>
      <c r="S101" s="1"/>
      <c r="T101" s="1"/>
      <c r="V101" s="51"/>
    </row>
    <row r="102" spans="1:22" ht="15.75" thickBot="1" x14ac:dyDescent="0.3">
      <c r="B102" s="66" t="s">
        <v>57</v>
      </c>
      <c r="C102" s="66"/>
      <c r="D102" s="66"/>
      <c r="E102" s="66"/>
      <c r="F102" s="66"/>
      <c r="G102" s="64"/>
      <c r="H102" s="66" t="s">
        <v>2891</v>
      </c>
      <c r="I102" s="93"/>
      <c r="J102" s="66"/>
      <c r="K102" s="13"/>
      <c r="L102" s="89" t="s">
        <v>2892</v>
      </c>
      <c r="M102" s="89"/>
      <c r="N102" s="89"/>
      <c r="O102" s="89"/>
      <c r="P102" s="89"/>
      <c r="U102" s="64"/>
    </row>
    <row r="103" spans="1:22" x14ac:dyDescent="0.25">
      <c r="A103" t="s">
        <v>85</v>
      </c>
      <c r="B103" s="8" t="s">
        <v>2893</v>
      </c>
      <c r="C103" s="8" t="s">
        <v>73</v>
      </c>
      <c r="D103" s="8" t="s">
        <v>50</v>
      </c>
      <c r="E103" s="8" t="s">
        <v>38</v>
      </c>
      <c r="F103" s="8" t="s">
        <v>2894</v>
      </c>
      <c r="G103" s="6"/>
      <c r="H103" s="8" t="s">
        <v>101</v>
      </c>
      <c r="I103" s="40" t="s">
        <v>31</v>
      </c>
      <c r="J103" s="8" t="s">
        <v>38</v>
      </c>
      <c r="K103" s="6"/>
      <c r="L103" s="90" t="s">
        <v>2893</v>
      </c>
      <c r="M103" s="90" t="s">
        <v>73</v>
      </c>
      <c r="N103" s="90" t="s">
        <v>50</v>
      </c>
      <c r="O103" s="90" t="s">
        <v>38</v>
      </c>
      <c r="P103" s="8" t="s">
        <v>2894</v>
      </c>
      <c r="Q103" s="15"/>
      <c r="R103" s="15"/>
      <c r="S103" s="15"/>
      <c r="T103" s="15"/>
      <c r="U103" s="8" t="s">
        <v>2893</v>
      </c>
      <c r="V103" s="91" t="s">
        <v>50</v>
      </c>
    </row>
    <row r="104" spans="1:22" x14ac:dyDescent="0.25">
      <c r="A104">
        <v>2010</v>
      </c>
      <c r="B104" s="76">
        <v>0</v>
      </c>
      <c r="C104" s="76">
        <v>9999</v>
      </c>
      <c r="D104" s="76">
        <v>509317</v>
      </c>
      <c r="E104" s="72">
        <f t="shared" ref="E104:E118" si="78">SUM(B104:D104)</f>
        <v>519316</v>
      </c>
      <c r="F104" s="72">
        <f t="shared" ref="F104:F118" si="79">+E104-C104</f>
        <v>509317</v>
      </c>
      <c r="G104" s="6"/>
      <c r="H104" s="1">
        <f>+'AY Credit Hour Allocation'!G7</f>
        <v>685.43969196479406</v>
      </c>
      <c r="J104" s="3">
        <f t="shared" ref="J104:J118" si="80">SUM(H104:I104)</f>
        <v>685.43969196479406</v>
      </c>
      <c r="K104" s="6"/>
      <c r="L104" s="88">
        <f t="shared" ref="L104:L118" si="81">B104/J104</f>
        <v>0</v>
      </c>
      <c r="M104" s="88">
        <f t="shared" ref="M104:M118" si="82">+C104/J104</f>
        <v>14.587716639720908</v>
      </c>
      <c r="N104" s="88">
        <f t="shared" ref="N104:N118" si="83">D104/J104</f>
        <v>743.05151273054639</v>
      </c>
      <c r="O104" s="88">
        <f t="shared" ref="O104:O118" si="84">+E104/J104</f>
        <v>757.63922937026734</v>
      </c>
      <c r="P104" s="88">
        <f t="shared" ref="P104:P118" si="85">+L104+N104</f>
        <v>743.05151273054639</v>
      </c>
      <c r="Q104" s="1"/>
      <c r="R104" s="109">
        <f t="shared" ref="R104:R114" si="86">+R85</f>
        <v>1.1827000000000001</v>
      </c>
      <c r="S104" s="94">
        <f>+P104*R104</f>
        <v>878.80702410641732</v>
      </c>
      <c r="T104" s="1"/>
      <c r="U104" s="51">
        <f t="shared" ref="U104:U114" si="87">+L104/O104</f>
        <v>0</v>
      </c>
      <c r="V104" s="51">
        <f t="shared" ref="V104:V114" si="88">+N104/P104</f>
        <v>1</v>
      </c>
    </row>
    <row r="105" spans="1:22" x14ac:dyDescent="0.25">
      <c r="A105">
        <v>2011</v>
      </c>
      <c r="B105" s="76">
        <v>0</v>
      </c>
      <c r="C105" s="76">
        <v>0</v>
      </c>
      <c r="D105" s="76">
        <v>515409</v>
      </c>
      <c r="E105" s="72">
        <f t="shared" si="78"/>
        <v>515409</v>
      </c>
      <c r="F105" s="72">
        <f t="shared" si="79"/>
        <v>515409</v>
      </c>
      <c r="G105" s="5"/>
      <c r="H105" s="1">
        <f>+'AY Credit Hour Allocation'!M7</f>
        <v>782.82710578740364</v>
      </c>
      <c r="I105" s="39">
        <f>+'Summer Credit Hour Allocation'!D7</f>
        <v>687.71082390953154</v>
      </c>
      <c r="J105" s="3">
        <f t="shared" si="80"/>
        <v>1470.5379296969352</v>
      </c>
      <c r="L105" s="88">
        <f t="shared" si="81"/>
        <v>0</v>
      </c>
      <c r="M105" s="88">
        <f t="shared" si="82"/>
        <v>0</v>
      </c>
      <c r="N105" s="88">
        <f t="shared" si="83"/>
        <v>350.49010949770008</v>
      </c>
      <c r="O105" s="88">
        <f t="shared" si="84"/>
        <v>350.49010949770008</v>
      </c>
      <c r="P105" s="88">
        <f t="shared" si="85"/>
        <v>350.49010949770008</v>
      </c>
      <c r="Q105" s="1"/>
      <c r="R105" s="109">
        <f t="shared" si="86"/>
        <v>1.1420999999999999</v>
      </c>
      <c r="S105" s="94">
        <f t="shared" ref="S105:S114" si="89">+P105*R105</f>
        <v>400.29475405732325</v>
      </c>
      <c r="T105" s="1"/>
      <c r="U105" s="51">
        <f t="shared" si="87"/>
        <v>0</v>
      </c>
      <c r="V105" s="51">
        <f t="shared" si="88"/>
        <v>1</v>
      </c>
    </row>
    <row r="106" spans="1:22" x14ac:dyDescent="0.25">
      <c r="A106">
        <v>2012</v>
      </c>
      <c r="B106" s="76">
        <v>57295</v>
      </c>
      <c r="C106" s="76">
        <v>10000</v>
      </c>
      <c r="D106" s="76">
        <v>494749</v>
      </c>
      <c r="E106" s="72">
        <f t="shared" si="78"/>
        <v>562044</v>
      </c>
      <c r="F106" s="72">
        <f t="shared" si="79"/>
        <v>552044</v>
      </c>
      <c r="G106" s="5"/>
      <c r="H106" s="1">
        <f>+'AY Credit Hour Allocation'!S7</f>
        <v>1335.9523700540774</v>
      </c>
      <c r="I106" s="14">
        <f>+'Summer Credit Hour Allocation'!H7</f>
        <v>379.84371061255359</v>
      </c>
      <c r="J106" s="3">
        <f t="shared" si="80"/>
        <v>1715.796080666631</v>
      </c>
      <c r="L106" s="88">
        <f t="shared" si="81"/>
        <v>33.392662826073952</v>
      </c>
      <c r="M106" s="88">
        <f t="shared" si="82"/>
        <v>5.8281984162795979</v>
      </c>
      <c r="N106" s="88">
        <f t="shared" si="83"/>
        <v>288.34953382559149</v>
      </c>
      <c r="O106" s="88">
        <f t="shared" si="84"/>
        <v>327.57039506794501</v>
      </c>
      <c r="P106" s="88">
        <f t="shared" si="85"/>
        <v>321.74219665166544</v>
      </c>
      <c r="Q106" s="1"/>
      <c r="R106" s="109">
        <f t="shared" si="86"/>
        <v>1.1234</v>
      </c>
      <c r="S106" s="94">
        <f t="shared" si="89"/>
        <v>361.44518371848096</v>
      </c>
      <c r="T106" s="1"/>
      <c r="U106" s="51">
        <f t="shared" si="87"/>
        <v>0.10194041747621183</v>
      </c>
      <c r="V106" s="51">
        <f t="shared" si="88"/>
        <v>0.89621298302309238</v>
      </c>
    </row>
    <row r="107" spans="1:22" x14ac:dyDescent="0.25">
      <c r="A107">
        <v>2013</v>
      </c>
      <c r="B107" s="76">
        <v>90832</v>
      </c>
      <c r="C107" s="76">
        <v>3000</v>
      </c>
      <c r="D107" s="76">
        <v>491705</v>
      </c>
      <c r="E107" s="72">
        <f t="shared" si="78"/>
        <v>585537</v>
      </c>
      <c r="F107" s="72">
        <f t="shared" si="79"/>
        <v>582537</v>
      </c>
      <c r="G107" s="5"/>
      <c r="H107" s="1">
        <f>+'AY Credit Hour Allocation'!Y7</f>
        <v>1173.8568210472642</v>
      </c>
      <c r="I107" s="14">
        <f>+'Summer Credit Hour Allocation'!L7</f>
        <v>515.50733137829911</v>
      </c>
      <c r="J107" s="3">
        <f t="shared" si="80"/>
        <v>1689.3641524255634</v>
      </c>
      <c r="L107" s="88">
        <f t="shared" si="81"/>
        <v>53.766974911587177</v>
      </c>
      <c r="M107" s="88">
        <f t="shared" si="82"/>
        <v>1.7758160641047376</v>
      </c>
      <c r="N107" s="88">
        <f t="shared" si="83"/>
        <v>291.05921260020665</v>
      </c>
      <c r="O107" s="88">
        <f t="shared" si="84"/>
        <v>346.60200357589861</v>
      </c>
      <c r="P107" s="88">
        <f t="shared" si="85"/>
        <v>344.82618751179382</v>
      </c>
      <c r="Q107" s="1"/>
      <c r="R107" s="109">
        <f t="shared" si="86"/>
        <v>1.1104000000000001</v>
      </c>
      <c r="S107" s="94">
        <f t="shared" si="89"/>
        <v>382.89499861309588</v>
      </c>
      <c r="T107" s="1"/>
      <c r="U107" s="51">
        <f t="shared" si="87"/>
        <v>0.15512597837540582</v>
      </c>
      <c r="V107" s="51">
        <f t="shared" si="88"/>
        <v>0.84407514029151798</v>
      </c>
    </row>
    <row r="108" spans="1:22" x14ac:dyDescent="0.25">
      <c r="A108">
        <v>2014</v>
      </c>
      <c r="B108" s="76">
        <v>100253</v>
      </c>
      <c r="C108" s="76">
        <v>10000</v>
      </c>
      <c r="D108" s="76">
        <v>508804</v>
      </c>
      <c r="E108" s="72">
        <f t="shared" si="78"/>
        <v>619057</v>
      </c>
      <c r="F108" s="72">
        <f t="shared" si="79"/>
        <v>609057</v>
      </c>
      <c r="G108" s="5"/>
      <c r="H108" s="1">
        <f>+'AY Credit Hour Allocation'!AE7</f>
        <v>1521.2807314018041</v>
      </c>
      <c r="I108" s="14">
        <f>+'Summer Credit Hour Allocation'!P7</f>
        <v>255.72478498827209</v>
      </c>
      <c r="J108" s="3">
        <f t="shared" si="80"/>
        <v>1777.0055163900763</v>
      </c>
      <c r="L108" s="88">
        <f t="shared" si="81"/>
        <v>56.416819798995569</v>
      </c>
      <c r="M108" s="88">
        <f t="shared" si="82"/>
        <v>5.6274445452002002</v>
      </c>
      <c r="N108" s="88">
        <f t="shared" si="83"/>
        <v>286.32662943760425</v>
      </c>
      <c r="O108" s="88">
        <f t="shared" si="84"/>
        <v>348.37089378180002</v>
      </c>
      <c r="P108" s="88">
        <f t="shared" si="85"/>
        <v>342.74344923659982</v>
      </c>
      <c r="Q108" s="1"/>
      <c r="R108" s="109">
        <f t="shared" si="86"/>
        <v>1.0815999999999999</v>
      </c>
      <c r="S108" s="94">
        <f t="shared" si="89"/>
        <v>370.71131469430634</v>
      </c>
      <c r="T108" s="1"/>
      <c r="U108" s="51">
        <f t="shared" si="87"/>
        <v>0.16194469976108825</v>
      </c>
      <c r="V108" s="51">
        <f t="shared" si="88"/>
        <v>0.83539635863310002</v>
      </c>
    </row>
    <row r="109" spans="1:22" x14ac:dyDescent="0.25">
      <c r="A109">
        <v>2015</v>
      </c>
      <c r="B109" s="76">
        <v>100740</v>
      </c>
      <c r="C109" s="76">
        <v>0</v>
      </c>
      <c r="D109" s="76">
        <v>528177</v>
      </c>
      <c r="E109" s="72">
        <f t="shared" si="78"/>
        <v>628917</v>
      </c>
      <c r="F109" s="72">
        <f t="shared" si="79"/>
        <v>628917</v>
      </c>
      <c r="G109" s="5"/>
      <c r="H109" s="1">
        <f>+'AY Credit Hour Allocation'!AK7</f>
        <v>1681.3382768022402</v>
      </c>
      <c r="I109" s="14">
        <f>+'Summer Credit Hour Allocation'!T7</f>
        <v>29.305276816609066</v>
      </c>
      <c r="J109" s="3">
        <f t="shared" si="80"/>
        <v>1710.6435536188492</v>
      </c>
      <c r="L109" s="88">
        <f t="shared" si="81"/>
        <v>58.890117574105687</v>
      </c>
      <c r="M109" s="88">
        <f t="shared" si="82"/>
        <v>0</v>
      </c>
      <c r="N109" s="88">
        <f t="shared" si="83"/>
        <v>308.75923793863831</v>
      </c>
      <c r="O109" s="88">
        <f t="shared" si="84"/>
        <v>367.64935551274397</v>
      </c>
      <c r="P109" s="88">
        <f t="shared" si="85"/>
        <v>367.64935551274402</v>
      </c>
      <c r="Q109" s="1"/>
      <c r="R109" s="109">
        <f t="shared" si="86"/>
        <v>1.0803</v>
      </c>
      <c r="S109" s="94">
        <f t="shared" si="89"/>
        <v>397.1715987604174</v>
      </c>
      <c r="T109" s="1"/>
      <c r="U109" s="51">
        <f t="shared" si="87"/>
        <v>0.16018011915721789</v>
      </c>
      <c r="V109" s="51">
        <f t="shared" si="88"/>
        <v>0.83981988084278203</v>
      </c>
    </row>
    <row r="110" spans="1:22" x14ac:dyDescent="0.25">
      <c r="A110">
        <v>2016</v>
      </c>
      <c r="B110" s="76">
        <v>130227</v>
      </c>
      <c r="C110" s="76">
        <v>0</v>
      </c>
      <c r="D110" s="76">
        <v>492723</v>
      </c>
      <c r="E110" s="72">
        <f t="shared" si="78"/>
        <v>622950</v>
      </c>
      <c r="F110" s="72">
        <f t="shared" si="79"/>
        <v>622950</v>
      </c>
      <c r="G110" s="5"/>
      <c r="H110" s="1">
        <f>+'AY Credit Hour Allocation'!AQ7</f>
        <v>1461.5179386264786</v>
      </c>
      <c r="I110" s="14">
        <f>+'Summer Credit Hour Allocation'!X7</f>
        <v>13.409237668161499</v>
      </c>
      <c r="J110" s="3">
        <f t="shared" si="80"/>
        <v>1474.92717629464</v>
      </c>
      <c r="L110" s="88">
        <f t="shared" si="81"/>
        <v>88.293850769744779</v>
      </c>
      <c r="M110" s="88">
        <f t="shared" si="82"/>
        <v>0</v>
      </c>
      <c r="N110" s="88">
        <f t="shared" si="83"/>
        <v>334.06598503245073</v>
      </c>
      <c r="O110" s="88">
        <f t="shared" si="84"/>
        <v>422.35983580219551</v>
      </c>
      <c r="P110" s="88">
        <f t="shared" si="85"/>
        <v>422.35983580219551</v>
      </c>
      <c r="Q110" s="1"/>
      <c r="R110" s="109">
        <f t="shared" si="86"/>
        <v>1.0696000000000001</v>
      </c>
      <c r="S110" s="94">
        <f t="shared" si="89"/>
        <v>451.75608037402833</v>
      </c>
      <c r="T110" s="1"/>
      <c r="U110" s="51">
        <f t="shared" si="87"/>
        <v>0.2090488803274741</v>
      </c>
      <c r="V110" s="51">
        <f t="shared" si="88"/>
        <v>0.79095111967252585</v>
      </c>
    </row>
    <row r="111" spans="1:22" x14ac:dyDescent="0.25">
      <c r="A111">
        <v>2017</v>
      </c>
      <c r="B111" s="76">
        <v>193690</v>
      </c>
      <c r="C111" s="76">
        <v>0</v>
      </c>
      <c r="D111" s="76">
        <v>339396</v>
      </c>
      <c r="E111" s="72">
        <f t="shared" si="78"/>
        <v>533086</v>
      </c>
      <c r="F111" s="72">
        <f t="shared" si="79"/>
        <v>533086</v>
      </c>
      <c r="G111" s="5"/>
      <c r="H111" s="1">
        <f>+'AY Credit Hour Allocation'!AW7</f>
        <v>1344.9089779544506</v>
      </c>
      <c r="I111" s="14">
        <f>+'Summer Credit Hour Allocation'!AB7</f>
        <v>0</v>
      </c>
      <c r="J111" s="3">
        <f t="shared" si="80"/>
        <v>1344.9089779544506</v>
      </c>
      <c r="L111" s="88">
        <f t="shared" si="81"/>
        <v>144.01718121816262</v>
      </c>
      <c r="M111" s="88">
        <f t="shared" si="82"/>
        <v>0</v>
      </c>
      <c r="N111" s="88">
        <f t="shared" si="83"/>
        <v>252.35611150146897</v>
      </c>
      <c r="O111" s="88">
        <f t="shared" si="84"/>
        <v>396.37329271963159</v>
      </c>
      <c r="P111" s="88">
        <f t="shared" si="85"/>
        <v>396.37329271963159</v>
      </c>
      <c r="Q111" s="1"/>
      <c r="R111" s="109">
        <f t="shared" si="86"/>
        <v>1.0524</v>
      </c>
      <c r="S111" s="94">
        <f t="shared" si="89"/>
        <v>417.14325325814031</v>
      </c>
      <c r="T111" s="1"/>
      <c r="U111" s="51">
        <f t="shared" si="87"/>
        <v>0.36333724764859704</v>
      </c>
      <c r="V111" s="51">
        <f t="shared" si="88"/>
        <v>0.63666275235140302</v>
      </c>
    </row>
    <row r="112" spans="1:22" x14ac:dyDescent="0.25">
      <c r="A112">
        <v>2018</v>
      </c>
      <c r="B112" s="76">
        <v>227833</v>
      </c>
      <c r="C112" s="76">
        <v>0</v>
      </c>
      <c r="D112" s="76">
        <v>350330</v>
      </c>
      <c r="E112" s="72">
        <f t="shared" si="78"/>
        <v>578163</v>
      </c>
      <c r="F112" s="72">
        <f t="shared" si="79"/>
        <v>578163</v>
      </c>
      <c r="G112" s="5"/>
      <c r="H112" s="1">
        <f>+'AY Credit Hour Allocation'!BC7</f>
        <v>1534.3715034875847</v>
      </c>
      <c r="I112" s="14">
        <f>+'Summer Credit Hour Allocation'!AF7</f>
        <v>36.416141235813406</v>
      </c>
      <c r="J112" s="3">
        <f t="shared" si="80"/>
        <v>1570.7876447233982</v>
      </c>
      <c r="L112" s="88">
        <f t="shared" si="81"/>
        <v>145.04379428074719</v>
      </c>
      <c r="M112" s="88">
        <f t="shared" si="82"/>
        <v>0</v>
      </c>
      <c r="N112" s="88">
        <f t="shared" si="83"/>
        <v>223.02823757038783</v>
      </c>
      <c r="O112" s="88">
        <f t="shared" si="84"/>
        <v>368.07203185113502</v>
      </c>
      <c r="P112" s="88">
        <f t="shared" si="85"/>
        <v>368.07203185113502</v>
      </c>
      <c r="Q112" s="1"/>
      <c r="R112" s="109">
        <f t="shared" si="86"/>
        <v>1.0229999999999999</v>
      </c>
      <c r="S112" s="94">
        <f t="shared" si="89"/>
        <v>376.53768858371109</v>
      </c>
      <c r="T112" s="1"/>
      <c r="U112" s="51">
        <f t="shared" si="87"/>
        <v>0.39406361181881233</v>
      </c>
      <c r="V112" s="51">
        <f t="shared" si="88"/>
        <v>0.60593638818118767</v>
      </c>
    </row>
    <row r="113" spans="1:37" x14ac:dyDescent="0.25">
      <c r="A113">
        <v>2019</v>
      </c>
      <c r="B113" s="76">
        <v>192371</v>
      </c>
      <c r="C113" s="76">
        <v>0</v>
      </c>
      <c r="D113" s="76">
        <v>272767</v>
      </c>
      <c r="E113" s="72">
        <f t="shared" si="78"/>
        <v>465138</v>
      </c>
      <c r="F113" s="72">
        <f t="shared" si="79"/>
        <v>465138</v>
      </c>
      <c r="G113" s="5"/>
      <c r="H113" s="1">
        <f>+'AY Credit Hour Allocation'!BI7</f>
        <v>2899.1616620086338</v>
      </c>
      <c r="I113" s="14">
        <f>+'Summer Credit Hour Allocation'!AJ7</f>
        <v>55.493439817455787</v>
      </c>
      <c r="J113" s="3">
        <f t="shared" si="80"/>
        <v>2954.6551018260898</v>
      </c>
      <c r="L113" s="88">
        <f t="shared" si="81"/>
        <v>65.107768375776715</v>
      </c>
      <c r="M113" s="88">
        <f t="shared" si="82"/>
        <v>0</v>
      </c>
      <c r="N113" s="88">
        <f t="shared" si="83"/>
        <v>92.317712423158824</v>
      </c>
      <c r="O113" s="88">
        <f t="shared" si="84"/>
        <v>157.42548079893552</v>
      </c>
      <c r="P113" s="88">
        <f t="shared" si="85"/>
        <v>157.42548079893555</v>
      </c>
      <c r="Q113" s="1"/>
      <c r="R113" s="109">
        <f t="shared" si="86"/>
        <v>1.0065</v>
      </c>
      <c r="S113" s="94">
        <f t="shared" si="89"/>
        <v>158.44874642412861</v>
      </c>
      <c r="T113" s="1"/>
      <c r="U113" s="51">
        <f t="shared" si="87"/>
        <v>0.41357833589171389</v>
      </c>
      <c r="V113" s="51">
        <f t="shared" si="88"/>
        <v>0.58642166410828611</v>
      </c>
    </row>
    <row r="114" spans="1:37" x14ac:dyDescent="0.25">
      <c r="A114" s="68">
        <v>2020</v>
      </c>
      <c r="B114" s="76">
        <v>149646</v>
      </c>
      <c r="C114" s="76">
        <v>10000</v>
      </c>
      <c r="D114" s="76">
        <v>416039</v>
      </c>
      <c r="E114" s="72">
        <f t="shared" si="78"/>
        <v>575685</v>
      </c>
      <c r="F114" s="72">
        <f t="shared" si="79"/>
        <v>565685</v>
      </c>
      <c r="G114" s="5"/>
      <c r="H114" s="1">
        <f>+'AY Credit Hour Allocation'!BO7</f>
        <v>1907.3540113031329</v>
      </c>
      <c r="I114" s="14">
        <f>+'Summer Credit Hour Allocation'!AN7</f>
        <v>100.54095758751336</v>
      </c>
      <c r="J114" s="3">
        <f t="shared" si="80"/>
        <v>2007.8949688906462</v>
      </c>
      <c r="L114" s="88">
        <f t="shared" si="81"/>
        <v>74.528798726299314</v>
      </c>
      <c r="M114" s="88">
        <f t="shared" si="82"/>
        <v>4.9803401845889175</v>
      </c>
      <c r="N114" s="88">
        <f t="shared" si="83"/>
        <v>207.20157500561888</v>
      </c>
      <c r="O114" s="88">
        <f t="shared" si="84"/>
        <v>286.71071391650713</v>
      </c>
      <c r="P114" s="88">
        <f t="shared" si="85"/>
        <v>281.73037373191818</v>
      </c>
      <c r="Q114" s="1"/>
      <c r="R114" s="109">
        <f t="shared" si="86"/>
        <v>1</v>
      </c>
      <c r="S114" s="94">
        <f t="shared" si="89"/>
        <v>281.73037373191818</v>
      </c>
      <c r="T114" s="1"/>
      <c r="U114" s="51">
        <f t="shared" si="87"/>
        <v>0.25994424033976909</v>
      </c>
      <c r="V114" s="51">
        <f t="shared" si="88"/>
        <v>0.73546054783139037</v>
      </c>
    </row>
    <row r="115" spans="1:37" x14ac:dyDescent="0.25">
      <c r="A115" s="345">
        <v>2021</v>
      </c>
      <c r="B115" s="76">
        <v>165443</v>
      </c>
      <c r="C115" s="76">
        <v>169855</v>
      </c>
      <c r="D115" s="76">
        <v>440191</v>
      </c>
      <c r="E115" s="72">
        <f t="shared" si="78"/>
        <v>775489</v>
      </c>
      <c r="F115" s="72">
        <f t="shared" si="79"/>
        <v>605634</v>
      </c>
      <c r="G115" s="6"/>
      <c r="H115" s="1">
        <f>+'AY Credit Hour Allocation'!BU7</f>
        <v>2042.9889499546873</v>
      </c>
      <c r="I115" s="14">
        <f>+'Summer Credit Hour Allocation'!AR7</f>
        <v>20.212227219723424</v>
      </c>
      <c r="J115" s="3">
        <f t="shared" si="80"/>
        <v>2063.2011771744105</v>
      </c>
      <c r="L115" s="88">
        <f t="shared" si="81"/>
        <v>80.18752695099613</v>
      </c>
      <c r="M115" s="88">
        <f t="shared" si="82"/>
        <v>82.325951477315144</v>
      </c>
      <c r="N115" s="88">
        <f t="shared" si="83"/>
        <v>213.35340676901373</v>
      </c>
      <c r="O115" s="88">
        <f t="shared" si="84"/>
        <v>375.86688519732502</v>
      </c>
      <c r="P115" s="88">
        <f t="shared" si="85"/>
        <v>293.54093372000989</v>
      </c>
      <c r="Q115" s="1"/>
      <c r="R115" s="109"/>
      <c r="S115" s="94"/>
      <c r="T115" s="95"/>
      <c r="U115" s="51">
        <f t="shared" ref="U115:U118" si="90">+L115/O115</f>
        <v>0.2133402279078104</v>
      </c>
      <c r="V115" s="51">
        <f t="shared" ref="V115:V118" si="91">+N115/P115</f>
        <v>0.7268267633587282</v>
      </c>
    </row>
    <row r="116" spans="1:37" x14ac:dyDescent="0.25">
      <c r="A116" s="345">
        <v>2022</v>
      </c>
      <c r="B116" s="76">
        <v>176888</v>
      </c>
      <c r="C116" s="76">
        <v>296862</v>
      </c>
      <c r="D116" s="76">
        <v>395111</v>
      </c>
      <c r="E116" s="72">
        <f t="shared" si="78"/>
        <v>868861</v>
      </c>
      <c r="F116" s="72">
        <f t="shared" si="79"/>
        <v>571999</v>
      </c>
      <c r="G116" s="6"/>
      <c r="H116" s="1">
        <f>+'AY Credit Hour Allocation'!CA7</f>
        <v>2287.4186619221714</v>
      </c>
      <c r="I116" s="14">
        <f>+'Summer Credit Hour Allocation'!AV7</f>
        <v>9.6634812286689442</v>
      </c>
      <c r="J116" s="3">
        <f t="shared" si="80"/>
        <v>2297.0821431508402</v>
      </c>
      <c r="L116" s="88">
        <f t="shared" si="81"/>
        <v>77.005517859874146</v>
      </c>
      <c r="M116" s="88">
        <f t="shared" si="82"/>
        <v>129.2343858425555</v>
      </c>
      <c r="N116" s="88">
        <f t="shared" si="83"/>
        <v>172.00560335993811</v>
      </c>
      <c r="O116" s="88">
        <f t="shared" si="84"/>
        <v>378.24550706236778</v>
      </c>
      <c r="P116" s="88">
        <f t="shared" si="85"/>
        <v>249.01112121981225</v>
      </c>
      <c r="Q116" s="1"/>
      <c r="R116" s="109"/>
      <c r="S116" s="94"/>
      <c r="T116" s="95"/>
      <c r="U116" s="51">
        <f t="shared" si="90"/>
        <v>0.20358607418217645</v>
      </c>
      <c r="V116" s="51">
        <f t="shared" si="91"/>
        <v>0.69075470411661555</v>
      </c>
    </row>
    <row r="117" spans="1:37" x14ac:dyDescent="0.25">
      <c r="A117" s="345">
        <v>2023</v>
      </c>
      <c r="B117" s="76">
        <v>221406</v>
      </c>
      <c r="C117" s="76">
        <v>365600</v>
      </c>
      <c r="D117" s="76">
        <v>472521</v>
      </c>
      <c r="E117" s="72">
        <f t="shared" si="78"/>
        <v>1059527</v>
      </c>
      <c r="F117" s="72">
        <f t="shared" si="79"/>
        <v>693927</v>
      </c>
      <c r="G117" s="6"/>
      <c r="H117" s="1">
        <f>+'AY Credit Hour Allocation'!CG7</f>
        <v>2076</v>
      </c>
      <c r="I117" s="14">
        <f>+'Summer Credit Hour Allocation'!AZ7</f>
        <v>3.2552292185975942</v>
      </c>
      <c r="J117" s="3">
        <f t="shared" si="80"/>
        <v>2079.2552292185974</v>
      </c>
      <c r="L117" s="88">
        <f t="shared" si="81"/>
        <v>106.48332003147412</v>
      </c>
      <c r="M117" s="88">
        <f t="shared" si="82"/>
        <v>175.83218974872833</v>
      </c>
      <c r="N117" s="88">
        <f t="shared" si="83"/>
        <v>227.25492924578461</v>
      </c>
      <c r="O117" s="88">
        <f t="shared" si="84"/>
        <v>509.57043902598707</v>
      </c>
      <c r="P117" s="88">
        <f t="shared" si="85"/>
        <v>333.73824927725872</v>
      </c>
      <c r="Q117" s="1"/>
      <c r="R117" s="109"/>
      <c r="S117" s="94"/>
      <c r="T117" s="95"/>
      <c r="U117" s="51">
        <f t="shared" si="90"/>
        <v>0.20896683142572109</v>
      </c>
      <c r="V117" s="51">
        <f t="shared" si="91"/>
        <v>0.68093762023959292</v>
      </c>
    </row>
    <row r="118" spans="1:37" x14ac:dyDescent="0.25">
      <c r="A118" s="345" t="s">
        <v>2898</v>
      </c>
      <c r="B118" s="76">
        <v>237116</v>
      </c>
      <c r="C118" s="76">
        <v>406619</v>
      </c>
      <c r="D118" s="76">
        <v>477568</v>
      </c>
      <c r="E118" s="72">
        <f t="shared" si="78"/>
        <v>1121303</v>
      </c>
      <c r="F118" s="72">
        <f t="shared" si="79"/>
        <v>714684</v>
      </c>
      <c r="G118" s="6"/>
      <c r="H118" s="1">
        <f>+'AY Credit Hour Allocation'!CM7</f>
        <v>3195</v>
      </c>
      <c r="I118" s="14">
        <f>+'Summer Credit Hour Allocation'!BD7</f>
        <v>1.108832147341984</v>
      </c>
      <c r="J118" s="3">
        <f t="shared" si="80"/>
        <v>3196.1088321473421</v>
      </c>
      <c r="L118" s="88">
        <f t="shared" si="81"/>
        <v>74.18896303374342</v>
      </c>
      <c r="M118" s="88">
        <f t="shared" si="82"/>
        <v>127.22313955961518</v>
      </c>
      <c r="N118" s="88">
        <f t="shared" si="83"/>
        <v>149.42169528036393</v>
      </c>
      <c r="O118" s="88">
        <f t="shared" si="84"/>
        <v>350.83379787372252</v>
      </c>
      <c r="P118" s="88">
        <f t="shared" si="85"/>
        <v>223.61065831410735</v>
      </c>
      <c r="Q118" s="1"/>
      <c r="R118" s="109"/>
      <c r="S118" s="94"/>
      <c r="T118" s="95"/>
      <c r="U118" s="51">
        <f t="shared" si="90"/>
        <v>0.21146469776679455</v>
      </c>
      <c r="V118" s="51">
        <f t="shared" si="91"/>
        <v>0.6682225990787537</v>
      </c>
    </row>
    <row r="119" spans="1:37" x14ac:dyDescent="0.25">
      <c r="A119" s="68"/>
      <c r="B119" s="76"/>
      <c r="C119" s="76"/>
      <c r="D119" s="76"/>
      <c r="E119" s="72"/>
      <c r="F119" s="72"/>
      <c r="G119" s="5"/>
      <c r="H119" s="67"/>
      <c r="J119" s="3"/>
      <c r="Q119" s="1"/>
      <c r="R119" s="1" t="s">
        <v>418</v>
      </c>
      <c r="S119" s="94">
        <f>AVERAGE(S104:S107)</f>
        <v>505.86049012382938</v>
      </c>
      <c r="T119" s="1"/>
      <c r="U119" s="51"/>
      <c r="V119" s="51"/>
    </row>
    <row r="120" spans="1:37" x14ac:dyDescent="0.25">
      <c r="B120" s="6"/>
      <c r="C120" s="6"/>
      <c r="D120" s="6"/>
      <c r="E120" s="6"/>
      <c r="F120" s="6"/>
      <c r="G120" s="6"/>
      <c r="Q120" s="1"/>
      <c r="R120" s="1"/>
      <c r="S120" s="1"/>
      <c r="T120" s="1"/>
      <c r="V120" s="51"/>
      <c r="AE120" s="1" t="s">
        <v>38</v>
      </c>
    </row>
    <row r="121" spans="1:37" ht="15.75" thickBot="1" x14ac:dyDescent="0.3">
      <c r="B121" s="66" t="s">
        <v>57</v>
      </c>
      <c r="C121" s="66"/>
      <c r="D121" s="66"/>
      <c r="E121" s="66"/>
      <c r="F121" s="66"/>
      <c r="G121" s="64"/>
      <c r="H121" s="66" t="s">
        <v>2891</v>
      </c>
      <c r="I121" s="93"/>
      <c r="J121" s="66"/>
      <c r="K121" s="13"/>
      <c r="L121" s="89" t="s">
        <v>2892</v>
      </c>
      <c r="M121" s="89"/>
      <c r="N121" s="89"/>
      <c r="O121" s="89"/>
      <c r="P121" s="89"/>
      <c r="U121" s="64"/>
      <c r="AC121" s="1" t="s">
        <v>31</v>
      </c>
      <c r="AD121" s="1" t="s">
        <v>31</v>
      </c>
      <c r="AE121" s="1" t="s">
        <v>205</v>
      </c>
    </row>
    <row r="122" spans="1:37" x14ac:dyDescent="0.25">
      <c r="A122" t="s">
        <v>91</v>
      </c>
      <c r="B122" s="8" t="s">
        <v>2893</v>
      </c>
      <c r="C122" s="8" t="s">
        <v>73</v>
      </c>
      <c r="D122" s="8" t="s">
        <v>50</v>
      </c>
      <c r="E122" s="8" t="s">
        <v>38</v>
      </c>
      <c r="F122" s="8" t="s">
        <v>2894</v>
      </c>
      <c r="G122" s="6"/>
      <c r="H122" s="8" t="s">
        <v>101</v>
      </c>
      <c r="I122" s="40" t="s">
        <v>31</v>
      </c>
      <c r="J122" s="8" t="s">
        <v>38</v>
      </c>
      <c r="K122" s="6"/>
      <c r="L122" s="90" t="s">
        <v>2893</v>
      </c>
      <c r="M122" s="90" t="s">
        <v>73</v>
      </c>
      <c r="N122" s="90" t="s">
        <v>50</v>
      </c>
      <c r="O122" s="90" t="s">
        <v>38</v>
      </c>
      <c r="P122" s="8" t="s">
        <v>2894</v>
      </c>
      <c r="Q122" s="15"/>
      <c r="R122" s="15"/>
      <c r="S122" s="15"/>
      <c r="T122" s="15"/>
      <c r="U122" s="8" t="s">
        <v>2893</v>
      </c>
      <c r="V122" s="91" t="s">
        <v>50</v>
      </c>
      <c r="Y122" s="1" t="s">
        <v>101</v>
      </c>
      <c r="Z122" s="1" t="s">
        <v>2901</v>
      </c>
      <c r="AA122" s="1" t="s">
        <v>2902</v>
      </c>
      <c r="AB122" s="1" t="s">
        <v>31</v>
      </c>
      <c r="AC122" s="1" t="s">
        <v>2901</v>
      </c>
      <c r="AD122" s="1" t="s">
        <v>2902</v>
      </c>
      <c r="AE122" s="1" t="s">
        <v>53</v>
      </c>
    </row>
    <row r="123" spans="1:37" x14ac:dyDescent="0.25">
      <c r="A123">
        <v>2010</v>
      </c>
      <c r="B123" s="76">
        <v>4145653</v>
      </c>
      <c r="C123" s="76">
        <v>0</v>
      </c>
      <c r="D123" s="76">
        <v>797386</v>
      </c>
      <c r="E123" s="72">
        <f t="shared" ref="E123:E137" si="92">SUM(B123:D123)</f>
        <v>4943039</v>
      </c>
      <c r="F123" s="72">
        <f t="shared" ref="F123:F137" si="93">+E123-C123</f>
        <v>4943039</v>
      </c>
      <c r="G123" s="6"/>
      <c r="H123" s="1">
        <f>+'AY Credit Hour Allocation'!G13</f>
        <v>41668</v>
      </c>
      <c r="J123" s="3">
        <f t="shared" ref="J123:J137" si="94">SUM(H123:I123)</f>
        <v>41668</v>
      </c>
      <c r="K123" s="6"/>
      <c r="L123" s="88">
        <f t="shared" ref="L123:L137" si="95">B123/J123</f>
        <v>99.492488240376304</v>
      </c>
      <c r="M123" s="88">
        <f t="shared" ref="M123:M137" si="96">+C123/J123</f>
        <v>0</v>
      </c>
      <c r="N123" s="88">
        <f t="shared" ref="N123:N137" si="97">D123/J123</f>
        <v>19.136651627147931</v>
      </c>
      <c r="O123" s="88">
        <f t="shared" ref="O123:O137" si="98">+E123/J123</f>
        <v>118.62913986752424</v>
      </c>
      <c r="P123" s="88">
        <f t="shared" ref="P123:P137" si="99">+L123+N123</f>
        <v>118.62913986752423</v>
      </c>
      <c r="Q123" s="1"/>
      <c r="R123" s="109">
        <f t="shared" ref="R123:R133" si="100">+R104</f>
        <v>1.1827000000000001</v>
      </c>
      <c r="S123" s="94">
        <f>+P123*R123</f>
        <v>140.3026837213209</v>
      </c>
      <c r="T123" s="1"/>
      <c r="U123" s="51">
        <f t="shared" ref="U123:U133" si="101">+L123/O123</f>
        <v>0.83868506803203446</v>
      </c>
      <c r="V123" s="51">
        <f t="shared" ref="V123:V133" si="102">+N123/P123</f>
        <v>0.16131493196796545</v>
      </c>
      <c r="AJ123">
        <v>5500</v>
      </c>
      <c r="AK123">
        <v>5500</v>
      </c>
    </row>
    <row r="124" spans="1:37" x14ac:dyDescent="0.25">
      <c r="A124">
        <v>2011</v>
      </c>
      <c r="B124" s="76">
        <v>4865738</v>
      </c>
      <c r="C124" s="76">
        <v>0</v>
      </c>
      <c r="D124" s="76">
        <v>786849</v>
      </c>
      <c r="E124" s="72">
        <f t="shared" si="92"/>
        <v>5652587</v>
      </c>
      <c r="F124" s="72">
        <f t="shared" si="93"/>
        <v>5652587</v>
      </c>
      <c r="G124" s="5"/>
      <c r="H124" s="1">
        <f>+'AY Credit Hour Allocation'!M13</f>
        <v>56746</v>
      </c>
      <c r="I124" s="39">
        <f>+'Summer Credit Hour Allocation'!D12</f>
        <v>242</v>
      </c>
      <c r="J124" s="3">
        <f t="shared" si="94"/>
        <v>56988</v>
      </c>
      <c r="L124" s="88">
        <f t="shared" si="95"/>
        <v>85.381799677125002</v>
      </c>
      <c r="M124" s="88">
        <f t="shared" si="96"/>
        <v>0</v>
      </c>
      <c r="N124" s="88">
        <f t="shared" si="97"/>
        <v>13.807275215834913</v>
      </c>
      <c r="O124" s="88">
        <f t="shared" si="98"/>
        <v>99.189074892959923</v>
      </c>
      <c r="P124" s="88">
        <f t="shared" si="99"/>
        <v>99.189074892959923</v>
      </c>
      <c r="Q124" s="1"/>
      <c r="R124" s="109">
        <f t="shared" si="100"/>
        <v>1.1420999999999999</v>
      </c>
      <c r="S124" s="94">
        <f t="shared" ref="S124:S133" si="103">+P124*R124</f>
        <v>113.28384243524951</v>
      </c>
      <c r="T124" s="1"/>
      <c r="U124" s="51">
        <f t="shared" si="101"/>
        <v>0.86079842733955259</v>
      </c>
      <c r="V124" s="51">
        <f t="shared" si="102"/>
        <v>0.13920157266044733</v>
      </c>
      <c r="X124" s="80">
        <v>7.3031824889478736E-2</v>
      </c>
      <c r="Y124" s="1">
        <v>5365062</v>
      </c>
      <c r="Z124" s="1">
        <v>0</v>
      </c>
      <c r="AA124" s="1">
        <v>0</v>
      </c>
      <c r="AB124" s="1">
        <v>330461</v>
      </c>
      <c r="AE124" s="1">
        <f>SUM(Y124:AD124)</f>
        <v>5695523</v>
      </c>
      <c r="AF124" s="51"/>
      <c r="AG124" s="80">
        <v>7.3031824889478736E-2</v>
      </c>
    </row>
    <row r="125" spans="1:37" x14ac:dyDescent="0.25">
      <c r="A125">
        <v>2012</v>
      </c>
      <c r="B125" s="76">
        <v>4941543</v>
      </c>
      <c r="C125" s="76">
        <v>0</v>
      </c>
      <c r="D125" s="76">
        <v>811460</v>
      </c>
      <c r="E125" s="72">
        <f t="shared" si="92"/>
        <v>5753003</v>
      </c>
      <c r="F125" s="72">
        <f t="shared" si="93"/>
        <v>5753003</v>
      </c>
      <c r="G125" s="5"/>
      <c r="H125" s="1">
        <f>+'AY Credit Hour Allocation'!S13</f>
        <v>57168</v>
      </c>
      <c r="I125" s="14">
        <f>+'Summer Credit Hour Allocation'!H12</f>
        <v>3399</v>
      </c>
      <c r="J125" s="3">
        <f t="shared" si="94"/>
        <v>60567</v>
      </c>
      <c r="L125" s="88">
        <f t="shared" si="95"/>
        <v>81.58804299370945</v>
      </c>
      <c r="M125" s="88">
        <f t="shared" si="96"/>
        <v>0</v>
      </c>
      <c r="N125" s="88">
        <f t="shared" si="97"/>
        <v>13.397724833655291</v>
      </c>
      <c r="O125" s="88">
        <f t="shared" si="98"/>
        <v>94.985767827364739</v>
      </c>
      <c r="P125" s="88">
        <f t="shared" si="99"/>
        <v>94.985767827364739</v>
      </c>
      <c r="Q125" s="1"/>
      <c r="R125" s="109">
        <f t="shared" si="100"/>
        <v>1.1234</v>
      </c>
      <c r="S125" s="94">
        <f t="shared" si="103"/>
        <v>106.70701157726154</v>
      </c>
      <c r="T125" s="1"/>
      <c r="U125" s="51">
        <f t="shared" si="101"/>
        <v>0.85895018653736144</v>
      </c>
      <c r="V125" s="51">
        <f t="shared" si="102"/>
        <v>0.14104981346263856</v>
      </c>
      <c r="X125" s="80">
        <v>7.2594346805099685E-2</v>
      </c>
      <c r="Y125" s="1">
        <v>5467885</v>
      </c>
      <c r="Z125" s="1">
        <v>0</v>
      </c>
      <c r="AA125" s="1">
        <v>5205</v>
      </c>
      <c r="AB125" s="1">
        <v>249648</v>
      </c>
      <c r="AE125" s="1">
        <f t="shared" ref="AE125:AE127" si="104">SUM(Y125:AD125)</f>
        <v>5722738</v>
      </c>
      <c r="AF125" s="51"/>
      <c r="AG125" s="80">
        <v>7.2594346805099685E-2</v>
      </c>
    </row>
    <row r="126" spans="1:37" x14ac:dyDescent="0.25">
      <c r="A126">
        <v>2013</v>
      </c>
      <c r="B126" s="76">
        <v>4976864</v>
      </c>
      <c r="C126" s="76">
        <v>0</v>
      </c>
      <c r="D126" s="76">
        <v>961770</v>
      </c>
      <c r="E126" s="72">
        <f t="shared" si="92"/>
        <v>5938634</v>
      </c>
      <c r="F126" s="72">
        <f t="shared" si="93"/>
        <v>5938634</v>
      </c>
      <c r="G126" s="5"/>
      <c r="H126" s="1">
        <f>+'AY Credit Hour Allocation'!Y13</f>
        <v>49772</v>
      </c>
      <c r="I126" s="14">
        <f>+'Summer Credit Hour Allocation'!L12</f>
        <v>2393</v>
      </c>
      <c r="J126" s="3">
        <f t="shared" si="94"/>
        <v>52165</v>
      </c>
      <c r="L126" s="88">
        <f t="shared" si="95"/>
        <v>95.40619189111473</v>
      </c>
      <c r="M126" s="88">
        <f t="shared" si="96"/>
        <v>0</v>
      </c>
      <c r="N126" s="88">
        <f t="shared" si="97"/>
        <v>18.437074666922268</v>
      </c>
      <c r="O126" s="88">
        <f t="shared" si="98"/>
        <v>113.843266558037</v>
      </c>
      <c r="P126" s="88">
        <f t="shared" si="99"/>
        <v>113.843266558037</v>
      </c>
      <c r="Q126" s="1"/>
      <c r="R126" s="109">
        <f t="shared" si="100"/>
        <v>1.1104000000000001</v>
      </c>
      <c r="S126" s="94">
        <f t="shared" si="103"/>
        <v>126.41156318604429</v>
      </c>
      <c r="T126" s="1"/>
      <c r="U126" s="51">
        <f t="shared" si="101"/>
        <v>0.83804861522026775</v>
      </c>
      <c r="V126" s="51">
        <f t="shared" si="102"/>
        <v>0.16195138477973217</v>
      </c>
      <c r="X126" s="80">
        <v>6.4747124058377084E-2</v>
      </c>
      <c r="Y126" s="1">
        <v>4757811</v>
      </c>
      <c r="Z126" s="1">
        <v>0</v>
      </c>
      <c r="AA126" s="1">
        <v>3500</v>
      </c>
      <c r="AB126" s="1">
        <v>203941</v>
      </c>
      <c r="AE126" s="1">
        <f t="shared" si="104"/>
        <v>4965252</v>
      </c>
      <c r="AF126" s="51"/>
      <c r="AG126" s="80">
        <v>6.4747124058377084E-2</v>
      </c>
    </row>
    <row r="127" spans="1:37" x14ac:dyDescent="0.25">
      <c r="A127">
        <v>2014</v>
      </c>
      <c r="B127" s="76">
        <v>4935946</v>
      </c>
      <c r="C127" s="76">
        <v>0</v>
      </c>
      <c r="D127" s="76">
        <v>928325</v>
      </c>
      <c r="E127" s="72">
        <f t="shared" si="92"/>
        <v>5864271</v>
      </c>
      <c r="F127" s="72">
        <f t="shared" si="93"/>
        <v>5864271</v>
      </c>
      <c r="G127" s="5"/>
      <c r="H127" s="1">
        <f>+'AY Credit Hour Allocation'!AE13</f>
        <v>41797</v>
      </c>
      <c r="I127" s="14">
        <f>+'Summer Credit Hour Allocation'!P12</f>
        <v>1923</v>
      </c>
      <c r="J127" s="3">
        <f t="shared" si="94"/>
        <v>43720</v>
      </c>
      <c r="L127" s="88">
        <f t="shared" si="95"/>
        <v>112.89903934126258</v>
      </c>
      <c r="M127" s="88">
        <f t="shared" si="96"/>
        <v>0</v>
      </c>
      <c r="N127" s="88">
        <f t="shared" si="97"/>
        <v>21.233417200365967</v>
      </c>
      <c r="O127" s="88">
        <f t="shared" si="98"/>
        <v>134.13245654162856</v>
      </c>
      <c r="P127" s="88">
        <f t="shared" si="99"/>
        <v>134.13245654162856</v>
      </c>
      <c r="Q127" s="1"/>
      <c r="R127" s="109">
        <f t="shared" si="100"/>
        <v>1.0815999999999999</v>
      </c>
      <c r="S127" s="94">
        <f t="shared" si="103"/>
        <v>145.07766499542544</v>
      </c>
      <c r="T127" s="1"/>
      <c r="U127" s="51">
        <f t="shared" si="101"/>
        <v>0.84169814116707764</v>
      </c>
      <c r="V127" s="51">
        <f t="shared" si="102"/>
        <v>0.15830185883292228</v>
      </c>
      <c r="X127" s="80">
        <v>6.34340807619026E-2</v>
      </c>
      <c r="Y127" s="1">
        <v>4446974</v>
      </c>
      <c r="Z127" s="1">
        <v>0</v>
      </c>
      <c r="AA127" s="1">
        <v>3950</v>
      </c>
      <c r="AB127" s="1">
        <v>181036</v>
      </c>
      <c r="AE127" s="1">
        <f t="shared" si="104"/>
        <v>4631960</v>
      </c>
      <c r="AF127" s="1">
        <v>55936677</v>
      </c>
      <c r="AG127" s="80">
        <v>6.34340807619026E-2</v>
      </c>
      <c r="AH127" s="1">
        <f>+AF127*AG127</f>
        <v>3548291.6863704599</v>
      </c>
      <c r="AI127" s="3">
        <f>+AH127+AE127</f>
        <v>8180251.6863704603</v>
      </c>
      <c r="AJ127" s="80">
        <f>+F127/AI127</f>
        <v>0.71688148786066874</v>
      </c>
    </row>
    <row r="128" spans="1:37" x14ac:dyDescent="0.25">
      <c r="A128">
        <v>2015</v>
      </c>
      <c r="B128" s="76">
        <v>5317172</v>
      </c>
      <c r="C128" s="76">
        <v>0</v>
      </c>
      <c r="D128" s="76">
        <v>1093290.79</v>
      </c>
      <c r="E128" s="72">
        <f t="shared" si="92"/>
        <v>6410462.79</v>
      </c>
      <c r="F128" s="72">
        <f t="shared" si="93"/>
        <v>6410462.79</v>
      </c>
      <c r="G128" s="5"/>
      <c r="H128" s="1">
        <f>+'AY Credit Hour Allocation'!AK13</f>
        <v>41796.999999999724</v>
      </c>
      <c r="I128" s="14">
        <f>+'Summer Credit Hour Allocation'!T12</f>
        <v>1593.0000000000034</v>
      </c>
      <c r="J128" s="3">
        <f t="shared" si="94"/>
        <v>43389.999999999724</v>
      </c>
      <c r="L128" s="88">
        <f t="shared" si="95"/>
        <v>122.54371975109551</v>
      </c>
      <c r="M128" s="88">
        <f t="shared" si="96"/>
        <v>0</v>
      </c>
      <c r="N128" s="88">
        <f t="shared" si="97"/>
        <v>25.196837750633946</v>
      </c>
      <c r="O128" s="88">
        <f t="shared" si="98"/>
        <v>147.74055750172946</v>
      </c>
      <c r="P128" s="88">
        <f t="shared" si="99"/>
        <v>147.74055750172946</v>
      </c>
      <c r="Q128" s="1"/>
      <c r="R128" s="109">
        <f t="shared" si="100"/>
        <v>1.0803</v>
      </c>
      <c r="S128" s="94">
        <f t="shared" si="103"/>
        <v>159.60412426911833</v>
      </c>
      <c r="T128" s="1"/>
      <c r="U128" s="51">
        <f t="shared" si="101"/>
        <v>0.82945212758968379</v>
      </c>
      <c r="V128" s="51">
        <f t="shared" si="102"/>
        <v>0.17054787241031624</v>
      </c>
      <c r="X128" s="80">
        <v>5.8876368342092159E-2</v>
      </c>
      <c r="Y128" s="1">
        <v>4094422</v>
      </c>
      <c r="Z128" s="1">
        <v>0</v>
      </c>
      <c r="AA128" s="1">
        <v>3955</v>
      </c>
      <c r="AB128" s="1">
        <v>138737</v>
      </c>
      <c r="AE128" s="1">
        <f t="shared" ref="AE128:AE133" si="105">SUM(Y128:AD128)</f>
        <v>4237114</v>
      </c>
      <c r="AF128" s="1">
        <v>59661192.979999997</v>
      </c>
      <c r="AG128" s="80">
        <v>5.8876368342092159E-2</v>
      </c>
      <c r="AH128" s="1">
        <f t="shared" ref="AH128:AH133" si="106">+AF128*AG128</f>
        <v>3512634.3736191229</v>
      </c>
      <c r="AI128" s="3">
        <f t="shared" ref="AI128:AI133" si="107">+AH128+AE128</f>
        <v>7749748.3736191224</v>
      </c>
      <c r="AJ128" s="80">
        <f t="shared" ref="AJ128:AJ133" si="108">+F128/AI128</f>
        <v>0.8271833459550535</v>
      </c>
    </row>
    <row r="129" spans="1:36" x14ac:dyDescent="0.25">
      <c r="A129">
        <v>2016</v>
      </c>
      <c r="B129" s="76">
        <v>5210087</v>
      </c>
      <c r="C129" s="76">
        <v>0</v>
      </c>
      <c r="D129" s="76">
        <v>908720.4299999997</v>
      </c>
      <c r="E129" s="72">
        <f t="shared" si="92"/>
        <v>6118807.4299999997</v>
      </c>
      <c r="F129" s="72">
        <f t="shared" si="93"/>
        <v>6118807.4299999997</v>
      </c>
      <c r="G129" s="5"/>
      <c r="H129" s="1">
        <f>+'AY Credit Hour Allocation'!AQ13</f>
        <v>38284.000000000022</v>
      </c>
      <c r="I129" s="14">
        <f>+'Summer Credit Hour Allocation'!X12</f>
        <v>1198.0000000000007</v>
      </c>
      <c r="J129" s="3">
        <f t="shared" si="94"/>
        <v>39482.000000000022</v>
      </c>
      <c r="L129" s="88">
        <f t="shared" si="95"/>
        <v>131.96107086773713</v>
      </c>
      <c r="M129" s="88">
        <f t="shared" si="96"/>
        <v>0</v>
      </c>
      <c r="N129" s="88">
        <f t="shared" si="97"/>
        <v>23.016068841497372</v>
      </c>
      <c r="O129" s="88">
        <f t="shared" si="98"/>
        <v>154.97713970923451</v>
      </c>
      <c r="P129" s="88">
        <f t="shared" si="99"/>
        <v>154.97713970923451</v>
      </c>
      <c r="Q129" s="1"/>
      <c r="R129" s="109">
        <f t="shared" si="100"/>
        <v>1.0696000000000001</v>
      </c>
      <c r="S129" s="94">
        <f t="shared" si="103"/>
        <v>165.76354863299724</v>
      </c>
      <c r="T129" s="1"/>
      <c r="U129" s="51">
        <f t="shared" si="101"/>
        <v>0.85148732977857422</v>
      </c>
      <c r="V129" s="51">
        <f t="shared" si="102"/>
        <v>0.14851267022142575</v>
      </c>
      <c r="X129" s="80">
        <v>6.1115699073482993E-2</v>
      </c>
      <c r="Y129" s="1">
        <v>3913119</v>
      </c>
      <c r="Z129" s="1">
        <v>0</v>
      </c>
      <c r="AA129" s="1">
        <v>3850</v>
      </c>
      <c r="AB129" s="1">
        <v>143631</v>
      </c>
      <c r="AE129" s="1">
        <f t="shared" si="105"/>
        <v>4060600</v>
      </c>
      <c r="AF129" s="1">
        <v>60322026</v>
      </c>
      <c r="AG129" s="80">
        <v>6.1115699073482993E-2</v>
      </c>
      <c r="AH129" s="1">
        <f t="shared" si="106"/>
        <v>3686622.7885188172</v>
      </c>
      <c r="AI129" s="3">
        <f t="shared" si="107"/>
        <v>7747222.7885188172</v>
      </c>
      <c r="AJ129" s="80">
        <f t="shared" si="108"/>
        <v>0.78980656643409208</v>
      </c>
    </row>
    <row r="130" spans="1:36" x14ac:dyDescent="0.25">
      <c r="A130">
        <v>2017</v>
      </c>
      <c r="B130" s="76">
        <v>4850288</v>
      </c>
      <c r="C130" s="76">
        <v>0</v>
      </c>
      <c r="D130" s="76">
        <v>683289.38999999966</v>
      </c>
      <c r="E130" s="72">
        <f t="shared" si="92"/>
        <v>5533577.3899999997</v>
      </c>
      <c r="F130" s="72">
        <f t="shared" si="93"/>
        <v>5533577.3899999997</v>
      </c>
      <c r="G130" s="5"/>
      <c r="H130" s="1">
        <f>+'AY Credit Hour Allocation'!AW13</f>
        <v>36331.999999999847</v>
      </c>
      <c r="I130" s="14">
        <f>+'Summer Credit Hour Allocation'!AB12</f>
        <v>1150.0000000000025</v>
      </c>
      <c r="J130" s="3">
        <f t="shared" si="94"/>
        <v>37481.999999999847</v>
      </c>
      <c r="L130" s="88">
        <f t="shared" si="95"/>
        <v>129.40312683421428</v>
      </c>
      <c r="M130" s="88">
        <f t="shared" si="96"/>
        <v>0</v>
      </c>
      <c r="N130" s="88">
        <f t="shared" si="97"/>
        <v>18.229800704338146</v>
      </c>
      <c r="O130" s="88">
        <f t="shared" si="98"/>
        <v>147.63292753855242</v>
      </c>
      <c r="P130" s="88">
        <f t="shared" si="99"/>
        <v>147.63292753855242</v>
      </c>
      <c r="Q130" s="1"/>
      <c r="R130" s="109">
        <f t="shared" si="100"/>
        <v>1.0524</v>
      </c>
      <c r="S130" s="94">
        <f t="shared" si="103"/>
        <v>155.36889294157257</v>
      </c>
      <c r="T130" s="1"/>
      <c r="U130" s="51">
        <f t="shared" si="101"/>
        <v>0.87651941197482741</v>
      </c>
      <c r="V130" s="51">
        <f t="shared" si="102"/>
        <v>0.12348058802517257</v>
      </c>
      <c r="X130" s="80">
        <v>6.0516028045614532E-2</v>
      </c>
      <c r="Y130" s="1">
        <v>3830810</v>
      </c>
      <c r="Z130" s="1">
        <v>0</v>
      </c>
      <c r="AA130" s="1">
        <v>4350</v>
      </c>
      <c r="AB130" s="1">
        <v>112474</v>
      </c>
      <c r="AD130" s="1">
        <v>50</v>
      </c>
      <c r="AE130" s="1">
        <f t="shared" si="105"/>
        <v>3947684</v>
      </c>
      <c r="AF130" s="1">
        <v>61695465</v>
      </c>
      <c r="AG130" s="80">
        <v>6.0516028045614532E-2</v>
      </c>
      <c r="AH130" s="1">
        <f t="shared" si="106"/>
        <v>3733564.4902272299</v>
      </c>
      <c r="AI130" s="3">
        <f t="shared" si="107"/>
        <v>7681248.4902272299</v>
      </c>
      <c r="AJ130" s="80">
        <f t="shared" si="108"/>
        <v>0.72040077821207205</v>
      </c>
    </row>
    <row r="131" spans="1:36" x14ac:dyDescent="0.25">
      <c r="A131">
        <v>2018</v>
      </c>
      <c r="B131" s="76">
        <v>4708939</v>
      </c>
      <c r="C131" s="76">
        <v>0</v>
      </c>
      <c r="D131" s="76">
        <v>830130.50999999978</v>
      </c>
      <c r="E131" s="72">
        <f t="shared" si="92"/>
        <v>5539069.5099999998</v>
      </c>
      <c r="F131" s="72">
        <f t="shared" si="93"/>
        <v>5539069.5099999998</v>
      </c>
      <c r="G131" s="5"/>
      <c r="H131" s="1">
        <f>+'AY Credit Hour Allocation'!BC13</f>
        <v>34175.999999999745</v>
      </c>
      <c r="I131" s="14">
        <f>+'Summer Credit Hour Allocation'!AF12</f>
        <v>988.00000000000057</v>
      </c>
      <c r="J131" s="3">
        <f t="shared" si="94"/>
        <v>35163.999999999745</v>
      </c>
      <c r="L131" s="88">
        <f t="shared" si="95"/>
        <v>133.91363326129093</v>
      </c>
      <c r="M131" s="88">
        <f t="shared" si="96"/>
        <v>0</v>
      </c>
      <c r="N131" s="88">
        <f t="shared" si="97"/>
        <v>23.607397053805194</v>
      </c>
      <c r="O131" s="88">
        <f t="shared" si="98"/>
        <v>157.52103031509611</v>
      </c>
      <c r="P131" s="88">
        <f t="shared" si="99"/>
        <v>157.52103031509611</v>
      </c>
      <c r="Q131" s="1"/>
      <c r="R131" s="109">
        <f t="shared" si="100"/>
        <v>1.0229999999999999</v>
      </c>
      <c r="S131" s="94">
        <f t="shared" si="103"/>
        <v>161.14401401234332</v>
      </c>
      <c r="T131" s="1"/>
      <c r="U131" s="51">
        <f t="shared" si="101"/>
        <v>0.85013177601376599</v>
      </c>
      <c r="V131" s="51">
        <f t="shared" si="102"/>
        <v>0.14986822398623409</v>
      </c>
      <c r="X131" s="80">
        <v>6.2840604947394296E-2</v>
      </c>
      <c r="Y131" s="1">
        <v>3900147</v>
      </c>
      <c r="Z131" s="1">
        <v>33375</v>
      </c>
      <c r="AA131" s="1">
        <v>4600</v>
      </c>
      <c r="AB131" s="1">
        <v>177285</v>
      </c>
      <c r="AC131" s="1">
        <v>5500</v>
      </c>
      <c r="AD131" s="1">
        <v>50</v>
      </c>
      <c r="AE131" s="1">
        <f t="shared" si="105"/>
        <v>4120957</v>
      </c>
      <c r="AF131" s="1">
        <v>58802605</v>
      </c>
      <c r="AG131" s="80">
        <v>6.2840604947394296E-2</v>
      </c>
      <c r="AH131" s="1">
        <f t="shared" si="106"/>
        <v>3695191.2706826725</v>
      </c>
      <c r="AI131" s="3">
        <f t="shared" si="107"/>
        <v>7816148.270682672</v>
      </c>
      <c r="AJ131" s="80">
        <f t="shared" si="108"/>
        <v>0.70866996353898626</v>
      </c>
    </row>
    <row r="132" spans="1:36" x14ac:dyDescent="0.25">
      <c r="A132">
        <v>2019</v>
      </c>
      <c r="B132" s="76">
        <v>4818582</v>
      </c>
      <c r="C132" s="76">
        <v>6026</v>
      </c>
      <c r="D132" s="76">
        <v>638728</v>
      </c>
      <c r="E132" s="72">
        <f t="shared" si="92"/>
        <v>5463336</v>
      </c>
      <c r="F132" s="72">
        <f t="shared" si="93"/>
        <v>5457310</v>
      </c>
      <c r="G132" s="5"/>
      <c r="H132" s="1">
        <f>+'AY Credit Hour Allocation'!BI13</f>
        <v>31473.000000000175</v>
      </c>
      <c r="I132" s="14">
        <f>+'Summer Credit Hour Allocation'!AJ12</f>
        <v>1421.000000000003</v>
      </c>
      <c r="J132" s="3">
        <f t="shared" si="94"/>
        <v>32894.000000000175</v>
      </c>
      <c r="L132" s="88">
        <f t="shared" si="95"/>
        <v>146.48817413509985</v>
      </c>
      <c r="M132" s="88">
        <f t="shared" si="96"/>
        <v>0.18319450355687869</v>
      </c>
      <c r="N132" s="88">
        <f t="shared" si="97"/>
        <v>19.417766157961836</v>
      </c>
      <c r="O132" s="88">
        <f t="shared" si="98"/>
        <v>166.08913479661857</v>
      </c>
      <c r="P132" s="88">
        <f t="shared" si="99"/>
        <v>165.90594029306169</v>
      </c>
      <c r="Q132" s="1"/>
      <c r="R132" s="109">
        <f t="shared" si="100"/>
        <v>1.0065</v>
      </c>
      <c r="S132" s="94">
        <f t="shared" si="103"/>
        <v>166.98432890496659</v>
      </c>
      <c r="T132" s="1"/>
      <c r="U132" s="51">
        <f t="shared" si="101"/>
        <v>0.88198529250260282</v>
      </c>
      <c r="V132" s="51">
        <f t="shared" si="102"/>
        <v>0.11704081314786956</v>
      </c>
      <c r="X132" s="80">
        <v>6.4837914296937763E-2</v>
      </c>
      <c r="Y132" s="1">
        <v>3671592</v>
      </c>
      <c r="Z132" s="1">
        <v>40000</v>
      </c>
      <c r="AA132" s="1">
        <v>2750</v>
      </c>
      <c r="AB132" s="1">
        <v>199258</v>
      </c>
      <c r="AC132" s="1">
        <v>5500</v>
      </c>
      <c r="AD132" s="1">
        <v>100</v>
      </c>
      <c r="AE132" s="1">
        <f t="shared" si="105"/>
        <v>3919200</v>
      </c>
      <c r="AF132" s="1">
        <v>59910116</v>
      </c>
      <c r="AG132" s="80">
        <v>6.4837914296937763E-2</v>
      </c>
      <c r="AH132" s="1">
        <f t="shared" si="106"/>
        <v>3884446.9667276</v>
      </c>
      <c r="AI132" s="3">
        <f t="shared" si="107"/>
        <v>7803646.9667275995</v>
      </c>
      <c r="AJ132" s="80">
        <f t="shared" si="108"/>
        <v>0.69932815044918439</v>
      </c>
    </row>
    <row r="133" spans="1:36" x14ac:dyDescent="0.25">
      <c r="A133" s="68">
        <v>2020</v>
      </c>
      <c r="B133" s="76">
        <v>4886124</v>
      </c>
      <c r="C133" s="76">
        <v>550</v>
      </c>
      <c r="D133" s="76">
        <v>686166</v>
      </c>
      <c r="E133" s="72">
        <f t="shared" si="92"/>
        <v>5572840</v>
      </c>
      <c r="F133" s="72">
        <f t="shared" si="93"/>
        <v>5572290</v>
      </c>
      <c r="G133" s="5"/>
      <c r="H133" s="1">
        <f>+'AY Credit Hour Allocation'!BO13</f>
        <v>29608.000000000153</v>
      </c>
      <c r="I133" s="14">
        <f>+'Summer Credit Hour Allocation'!AN12</f>
        <v>1604.9999999999991</v>
      </c>
      <c r="J133" s="3">
        <f t="shared" si="94"/>
        <v>31213.000000000153</v>
      </c>
      <c r="L133" s="88">
        <f t="shared" si="95"/>
        <v>156.54131291448999</v>
      </c>
      <c r="M133" s="88">
        <f t="shared" si="96"/>
        <v>1.762086310191258E-2</v>
      </c>
      <c r="N133" s="88">
        <f t="shared" si="97"/>
        <v>21.983340274885357</v>
      </c>
      <c r="O133" s="88">
        <f t="shared" si="98"/>
        <v>178.54227405247727</v>
      </c>
      <c r="P133" s="88">
        <f t="shared" si="99"/>
        <v>178.52465318937536</v>
      </c>
      <c r="Q133" s="1"/>
      <c r="R133" s="109">
        <f t="shared" si="100"/>
        <v>1</v>
      </c>
      <c r="S133" s="94">
        <f t="shared" si="103"/>
        <v>178.52465318937536</v>
      </c>
      <c r="T133" s="1"/>
      <c r="U133" s="51">
        <f t="shared" si="101"/>
        <v>0.87677449917815686</v>
      </c>
      <c r="V133" s="51">
        <f t="shared" si="102"/>
        <v>0.12313896082221133</v>
      </c>
      <c r="X133" s="80">
        <v>6.1490469096487588E-2</v>
      </c>
      <c r="Y133" s="1">
        <v>3512200</v>
      </c>
      <c r="Z133" s="1">
        <v>34250</v>
      </c>
      <c r="AA133" s="1">
        <v>2413</v>
      </c>
      <c r="AB133" s="1">
        <v>125742</v>
      </c>
      <c r="AE133" s="1">
        <f t="shared" si="105"/>
        <v>3674605</v>
      </c>
      <c r="AF133" s="1">
        <v>60147648</v>
      </c>
      <c r="AG133" s="80">
        <v>6.1490469096487588E-2</v>
      </c>
      <c r="AH133" s="1">
        <f t="shared" si="106"/>
        <v>3698507.0905704135</v>
      </c>
      <c r="AI133" s="3">
        <f t="shared" si="107"/>
        <v>7373112.0905704135</v>
      </c>
      <c r="AJ133" s="80">
        <f t="shared" si="108"/>
        <v>0.75575821058335557</v>
      </c>
    </row>
    <row r="134" spans="1:36" x14ac:dyDescent="0.25">
      <c r="A134" s="345">
        <v>2021</v>
      </c>
      <c r="B134" s="76">
        <v>4491999</v>
      </c>
      <c r="C134" s="76">
        <v>0</v>
      </c>
      <c r="D134" s="76">
        <v>707677</v>
      </c>
      <c r="E134" s="72">
        <f t="shared" si="92"/>
        <v>5199676</v>
      </c>
      <c r="F134" s="72">
        <f t="shared" si="93"/>
        <v>5199676</v>
      </c>
      <c r="G134" s="6"/>
      <c r="H134" s="1">
        <f>+'AY Credit Hour Allocation'!BU13</f>
        <v>25353.000000000131</v>
      </c>
      <c r="I134" s="14">
        <f>+'Summer Credit Hour Allocation'!AR12</f>
        <v>1474.0000000000041</v>
      </c>
      <c r="J134" s="3">
        <f t="shared" si="94"/>
        <v>26827.000000000135</v>
      </c>
      <c r="L134" s="88">
        <f t="shared" si="95"/>
        <v>167.44321019867959</v>
      </c>
      <c r="M134" s="88">
        <f t="shared" si="96"/>
        <v>0</v>
      </c>
      <c r="N134" s="88">
        <f t="shared" si="97"/>
        <v>26.379282066574586</v>
      </c>
      <c r="O134" s="88">
        <f t="shared" si="98"/>
        <v>193.82249226525417</v>
      </c>
      <c r="P134" s="88">
        <f t="shared" si="99"/>
        <v>193.82249226525417</v>
      </c>
      <c r="Q134" s="1"/>
      <c r="R134" s="109"/>
      <c r="S134" s="94"/>
      <c r="T134" s="95"/>
      <c r="U134" s="51">
        <f t="shared" ref="U134:U137" si="109">+L134/O134</f>
        <v>0.86389978914070809</v>
      </c>
      <c r="V134" s="51">
        <f t="shared" ref="V134:V137" si="110">+N134/P134</f>
        <v>0.136100210859292</v>
      </c>
    </row>
    <row r="135" spans="1:36" x14ac:dyDescent="0.25">
      <c r="A135" s="345">
        <v>2022</v>
      </c>
      <c r="B135" s="76">
        <v>4294926</v>
      </c>
      <c r="C135" s="76">
        <v>0</v>
      </c>
      <c r="D135" s="76">
        <v>789078</v>
      </c>
      <c r="E135" s="72">
        <f t="shared" si="92"/>
        <v>5084004</v>
      </c>
      <c r="F135" s="72">
        <f t="shared" si="93"/>
        <v>5084004</v>
      </c>
      <c r="G135" s="6"/>
      <c r="H135" s="1">
        <f>+'AY Credit Hour Allocation'!CA13</f>
        <v>25616.000000000022</v>
      </c>
      <c r="I135" s="14">
        <f>+'Summer Credit Hour Allocation'!AV12</f>
        <v>1540.000000000002</v>
      </c>
      <c r="J135" s="3">
        <f t="shared" si="94"/>
        <v>27156.000000000025</v>
      </c>
      <c r="L135" s="88">
        <f t="shared" si="95"/>
        <v>158.15753424657518</v>
      </c>
      <c r="M135" s="88">
        <f t="shared" si="96"/>
        <v>0</v>
      </c>
      <c r="N135" s="88">
        <f t="shared" si="97"/>
        <v>29.057224922668997</v>
      </c>
      <c r="O135" s="88">
        <f t="shared" si="98"/>
        <v>187.21475916924419</v>
      </c>
      <c r="P135" s="88">
        <f t="shared" si="99"/>
        <v>187.21475916924419</v>
      </c>
      <c r="Q135" s="1"/>
      <c r="R135" s="109"/>
      <c r="S135" s="94"/>
      <c r="T135" s="95"/>
      <c r="U135" s="51">
        <f t="shared" si="109"/>
        <v>0.84479201825962369</v>
      </c>
      <c r="V135" s="51">
        <f t="shared" si="110"/>
        <v>0.15520798174037628</v>
      </c>
    </row>
    <row r="136" spans="1:36" x14ac:dyDescent="0.25">
      <c r="A136" s="345">
        <v>2023</v>
      </c>
      <c r="B136" s="76">
        <v>4547991</v>
      </c>
      <c r="C136" s="76">
        <v>12632</v>
      </c>
      <c r="D136" s="76">
        <v>1199102</v>
      </c>
      <c r="E136" s="72">
        <f t="shared" si="92"/>
        <v>5759725</v>
      </c>
      <c r="F136" s="72">
        <f t="shared" si="93"/>
        <v>5747093</v>
      </c>
      <c r="G136" s="6"/>
      <c r="H136" s="1">
        <f>+'AY Credit Hour Allocation'!CG13</f>
        <v>27348</v>
      </c>
      <c r="I136" s="14">
        <f>+'Summer Credit Hour Allocation'!AZ12</f>
        <v>1504</v>
      </c>
      <c r="J136" s="3">
        <f t="shared" si="94"/>
        <v>28852</v>
      </c>
      <c r="L136" s="88">
        <f t="shared" si="95"/>
        <v>157.63174130042978</v>
      </c>
      <c r="M136" s="88">
        <f t="shared" si="96"/>
        <v>0.43782060169139053</v>
      </c>
      <c r="N136" s="88">
        <f t="shared" si="97"/>
        <v>41.560446416192988</v>
      </c>
      <c r="O136" s="88">
        <f t="shared" si="98"/>
        <v>199.63000831831417</v>
      </c>
      <c r="P136" s="88">
        <f t="shared" si="99"/>
        <v>199.19218771662275</v>
      </c>
      <c r="Q136" s="1"/>
      <c r="R136" s="109"/>
      <c r="S136" s="94"/>
      <c r="T136" s="95"/>
      <c r="U136" s="51">
        <f t="shared" si="109"/>
        <v>0.789619469679542</v>
      </c>
      <c r="V136" s="51">
        <f t="shared" si="110"/>
        <v>0.20864496189638834</v>
      </c>
    </row>
    <row r="137" spans="1:36" x14ac:dyDescent="0.25">
      <c r="A137" s="345" t="s">
        <v>2898</v>
      </c>
      <c r="B137" s="76">
        <v>4274325</v>
      </c>
      <c r="C137" s="76">
        <v>13263</v>
      </c>
      <c r="D137" s="76">
        <v>1318405</v>
      </c>
      <c r="E137" s="72">
        <f t="shared" si="92"/>
        <v>5605993</v>
      </c>
      <c r="F137" s="72">
        <f t="shared" si="93"/>
        <v>5592730</v>
      </c>
      <c r="G137" s="6"/>
      <c r="H137" s="1">
        <f>+'AY Credit Hour Allocation'!CM13</f>
        <v>28578</v>
      </c>
      <c r="I137" s="14">
        <f>+'Summer Credit Hour Allocation'!BD12</f>
        <v>1943.9999999999995</v>
      </c>
      <c r="J137" s="3">
        <f t="shared" si="94"/>
        <v>30522</v>
      </c>
      <c r="L137" s="88">
        <f t="shared" si="95"/>
        <v>140.040790249656</v>
      </c>
      <c r="M137" s="88">
        <f t="shared" si="96"/>
        <v>0.43453902103400827</v>
      </c>
      <c r="N137" s="88">
        <f t="shared" si="97"/>
        <v>43.195236223052227</v>
      </c>
      <c r="O137" s="88">
        <f t="shared" si="98"/>
        <v>183.67056549374223</v>
      </c>
      <c r="P137" s="88">
        <f t="shared" si="99"/>
        <v>183.23602647270823</v>
      </c>
      <c r="Q137" s="1"/>
      <c r="R137" s="109"/>
      <c r="S137" s="94"/>
      <c r="T137" s="95"/>
      <c r="U137" s="51">
        <f t="shared" si="109"/>
        <v>0.76245635697368874</v>
      </c>
      <c r="V137" s="51">
        <f t="shared" si="110"/>
        <v>0.23573549947878764</v>
      </c>
    </row>
    <row r="138" spans="1:36" x14ac:dyDescent="0.25">
      <c r="A138" s="68"/>
      <c r="B138" s="76"/>
      <c r="C138" s="76"/>
      <c r="D138" s="76"/>
      <c r="E138" s="72"/>
      <c r="F138" s="72"/>
      <c r="G138" s="5"/>
      <c r="H138" s="67"/>
      <c r="J138" s="3"/>
      <c r="Q138" s="1"/>
      <c r="R138" s="1" t="s">
        <v>418</v>
      </c>
      <c r="S138" s="94">
        <f>AVERAGE(S123:S126)</f>
        <v>121.67627522996906</v>
      </c>
      <c r="T138" s="1"/>
      <c r="U138" s="51"/>
      <c r="V138" s="51"/>
    </row>
    <row r="139" spans="1:36" x14ac:dyDescent="0.25">
      <c r="B139" s="6"/>
      <c r="C139" s="6"/>
      <c r="D139" s="6"/>
      <c r="E139" s="6"/>
      <c r="F139" s="6"/>
      <c r="G139" s="6"/>
      <c r="Q139" s="1"/>
      <c r="R139" s="1"/>
      <c r="S139" s="1"/>
      <c r="T139" s="1"/>
      <c r="V139" s="51"/>
      <c r="AJ139" s="115">
        <f>MEDIAN(AJ127:AJ133)</f>
        <v>0.72040077821207205</v>
      </c>
    </row>
    <row r="140" spans="1:36" ht="15.75" thickBot="1" x14ac:dyDescent="0.3">
      <c r="B140" s="66" t="s">
        <v>57</v>
      </c>
      <c r="C140" s="66"/>
      <c r="D140" s="66"/>
      <c r="E140" s="66"/>
      <c r="F140" s="66"/>
      <c r="G140" s="64"/>
      <c r="H140" s="66" t="s">
        <v>2891</v>
      </c>
      <c r="I140" s="93"/>
      <c r="J140" s="66"/>
      <c r="K140" s="13"/>
      <c r="L140" s="89" t="s">
        <v>2892</v>
      </c>
      <c r="M140" s="89"/>
      <c r="N140" s="89"/>
      <c r="O140" s="89"/>
      <c r="P140" s="89"/>
      <c r="U140" s="64"/>
    </row>
    <row r="141" spans="1:36" x14ac:dyDescent="0.25">
      <c r="A141" t="s">
        <v>87</v>
      </c>
      <c r="B141" s="8" t="s">
        <v>2893</v>
      </c>
      <c r="C141" s="8" t="s">
        <v>73</v>
      </c>
      <c r="D141" s="8" t="s">
        <v>50</v>
      </c>
      <c r="E141" s="8" t="s">
        <v>38</v>
      </c>
      <c r="F141" s="8" t="s">
        <v>2894</v>
      </c>
      <c r="G141" s="6"/>
      <c r="H141" s="8" t="s">
        <v>101</v>
      </c>
      <c r="I141" s="40" t="s">
        <v>31</v>
      </c>
      <c r="J141" s="8" t="s">
        <v>38</v>
      </c>
      <c r="K141" s="6"/>
      <c r="L141" s="90" t="s">
        <v>2893</v>
      </c>
      <c r="M141" s="90" t="s">
        <v>73</v>
      </c>
      <c r="N141" s="90" t="s">
        <v>50</v>
      </c>
      <c r="O141" s="90" t="s">
        <v>38</v>
      </c>
      <c r="P141" s="90" t="s">
        <v>2894</v>
      </c>
      <c r="Q141" s="15"/>
      <c r="R141" s="15"/>
      <c r="S141" s="15"/>
      <c r="T141" s="15"/>
      <c r="U141" s="8" t="s">
        <v>2893</v>
      </c>
      <c r="V141" s="91" t="s">
        <v>50</v>
      </c>
    </row>
    <row r="142" spans="1:36" x14ac:dyDescent="0.25">
      <c r="A142">
        <v>2010</v>
      </c>
      <c r="B142" s="76">
        <v>5026637</v>
      </c>
      <c r="C142" s="76">
        <v>0</v>
      </c>
      <c r="D142" s="76">
        <v>794899</v>
      </c>
      <c r="E142" s="72">
        <f t="shared" ref="E142:E156" si="111">SUM(B142:D142)</f>
        <v>5821536</v>
      </c>
      <c r="F142" s="72">
        <f t="shared" ref="F142:F156" si="112">+E142-C142</f>
        <v>5821536</v>
      </c>
      <c r="G142" s="6"/>
      <c r="H142" s="1">
        <f>+'AY Credit Hour Allocation'!G8</f>
        <v>26627.428033687902</v>
      </c>
      <c r="J142" s="3">
        <f t="shared" ref="J142:J156" si="113">SUM(H142:I142)</f>
        <v>26627.428033687902</v>
      </c>
      <c r="K142" s="6"/>
      <c r="L142" s="88">
        <f t="shared" ref="L142:L156" si="114">B142/J142</f>
        <v>188.7766626818223</v>
      </c>
      <c r="M142" s="88">
        <f t="shared" ref="M142:M156" si="115">+C142/J142</f>
        <v>0</v>
      </c>
      <c r="N142" s="88">
        <f t="shared" ref="N142:N156" si="116">D142/J142</f>
        <v>29.85263912813236</v>
      </c>
      <c r="O142" s="88">
        <f t="shared" ref="O142:O156" si="117">+E142/J142</f>
        <v>218.62930180995465</v>
      </c>
      <c r="P142" s="88">
        <f t="shared" ref="P142:P156" si="118">+L142+N142</f>
        <v>218.62930180995465</v>
      </c>
      <c r="Q142" s="1"/>
      <c r="R142" s="109">
        <f t="shared" ref="R142:R152" si="119">+R123</f>
        <v>1.1827000000000001</v>
      </c>
      <c r="S142" s="94">
        <f>+P142*R142</f>
        <v>258.57287525063339</v>
      </c>
      <c r="T142" s="1"/>
      <c r="U142" s="51">
        <f t="shared" ref="U142:U152" si="120">+L142/O142</f>
        <v>0.86345545230674514</v>
      </c>
      <c r="V142" s="51">
        <f t="shared" ref="V142:V152" si="121">+N142/P142</f>
        <v>0.13654454769325483</v>
      </c>
    </row>
    <row r="143" spans="1:36" x14ac:dyDescent="0.25">
      <c r="A143">
        <v>2011</v>
      </c>
      <c r="B143" s="76">
        <v>5120692</v>
      </c>
      <c r="C143" s="76">
        <v>0</v>
      </c>
      <c r="D143" s="76">
        <v>766001</v>
      </c>
      <c r="E143" s="72">
        <f t="shared" si="111"/>
        <v>5886693</v>
      </c>
      <c r="F143" s="72">
        <f t="shared" si="112"/>
        <v>5886693</v>
      </c>
      <c r="G143" s="5"/>
      <c r="H143" s="1">
        <f>+'AY Credit Hour Allocation'!M8</f>
        <v>26299.745875261786</v>
      </c>
      <c r="I143" s="39">
        <f>+'Summer Credit Hour Allocation'!D8</f>
        <v>1075.4135702746366</v>
      </c>
      <c r="J143" s="3">
        <f t="shared" si="113"/>
        <v>27375.159445536421</v>
      </c>
      <c r="L143" s="88">
        <f t="shared" si="114"/>
        <v>187.05615250160452</v>
      </c>
      <c r="M143" s="88">
        <f t="shared" si="115"/>
        <v>0</v>
      </c>
      <c r="N143" s="88">
        <f t="shared" si="116"/>
        <v>27.981608710772207</v>
      </c>
      <c r="O143" s="88">
        <f t="shared" si="117"/>
        <v>215.03776121237672</v>
      </c>
      <c r="P143" s="88">
        <f t="shared" si="118"/>
        <v>215.03776121237672</v>
      </c>
      <c r="Q143" s="1"/>
      <c r="R143" s="109">
        <f t="shared" si="119"/>
        <v>1.1420999999999999</v>
      </c>
      <c r="S143" s="94">
        <f t="shared" ref="S143:S152" si="122">+P143*R143</f>
        <v>245.59462708065544</v>
      </c>
      <c r="T143" s="1"/>
      <c r="U143" s="51">
        <f t="shared" si="120"/>
        <v>0.86987583690877035</v>
      </c>
      <c r="V143" s="51">
        <f t="shared" si="121"/>
        <v>0.13012416309122965</v>
      </c>
    </row>
    <row r="144" spans="1:36" x14ac:dyDescent="0.25">
      <c r="A144">
        <v>2012</v>
      </c>
      <c r="B144" s="76">
        <v>5374010</v>
      </c>
      <c r="C144" s="76">
        <v>0</v>
      </c>
      <c r="D144" s="76">
        <v>660277</v>
      </c>
      <c r="E144" s="72">
        <f t="shared" si="111"/>
        <v>6034287</v>
      </c>
      <c r="F144" s="72">
        <f t="shared" si="112"/>
        <v>6034287</v>
      </c>
      <c r="G144" s="5"/>
      <c r="H144" s="1">
        <f>+'AY Credit Hour Allocation'!S8</f>
        <v>25124.197372636976</v>
      </c>
      <c r="I144" s="14">
        <f>+'Summer Credit Hour Allocation'!H8</f>
        <v>2466.8011091504914</v>
      </c>
      <c r="J144" s="3">
        <f t="shared" si="113"/>
        <v>27590.998481787468</v>
      </c>
      <c r="L144" s="88">
        <f t="shared" si="114"/>
        <v>194.77403123150214</v>
      </c>
      <c r="M144" s="88">
        <f t="shared" si="115"/>
        <v>0</v>
      </c>
      <c r="N144" s="88">
        <f t="shared" si="116"/>
        <v>23.930884575846068</v>
      </c>
      <c r="O144" s="88">
        <f t="shared" si="117"/>
        <v>218.70491580734819</v>
      </c>
      <c r="P144" s="88">
        <f t="shared" si="118"/>
        <v>218.70491580734821</v>
      </c>
      <c r="Q144" s="1"/>
      <c r="R144" s="109">
        <f t="shared" si="119"/>
        <v>1.1234</v>
      </c>
      <c r="S144" s="94">
        <f t="shared" si="122"/>
        <v>245.69310241797498</v>
      </c>
      <c r="T144" s="1"/>
      <c r="U144" s="51">
        <f t="shared" si="120"/>
        <v>0.89057911895804764</v>
      </c>
      <c r="V144" s="51">
        <f t="shared" si="121"/>
        <v>0.10942088104195243</v>
      </c>
    </row>
    <row r="145" spans="1:22" x14ac:dyDescent="0.25">
      <c r="A145">
        <v>2013</v>
      </c>
      <c r="B145" s="76">
        <v>5355616</v>
      </c>
      <c r="C145" s="76">
        <v>37100</v>
      </c>
      <c r="D145" s="76">
        <v>666897</v>
      </c>
      <c r="E145" s="72">
        <f t="shared" si="111"/>
        <v>6059613</v>
      </c>
      <c r="F145" s="72">
        <f t="shared" si="112"/>
        <v>6022513</v>
      </c>
      <c r="G145" s="5"/>
      <c r="H145" s="1">
        <f>+'AY Credit Hour Allocation'!Y8</f>
        <v>24059.967599981839</v>
      </c>
      <c r="I145" s="14">
        <f>+'Summer Credit Hour Allocation'!L8</f>
        <v>1684.9452590420333</v>
      </c>
      <c r="J145" s="3">
        <f t="shared" si="113"/>
        <v>25744.912859023872</v>
      </c>
      <c r="L145" s="88">
        <f t="shared" si="114"/>
        <v>208.02618479723455</v>
      </c>
      <c r="M145" s="88">
        <f t="shared" si="115"/>
        <v>1.441061393493746</v>
      </c>
      <c r="N145" s="88">
        <f t="shared" si="116"/>
        <v>25.904030192366541</v>
      </c>
      <c r="O145" s="88">
        <f t="shared" si="117"/>
        <v>235.37127638309482</v>
      </c>
      <c r="P145" s="88">
        <f t="shared" si="118"/>
        <v>233.9302149896011</v>
      </c>
      <c r="Q145" s="1"/>
      <c r="R145" s="109">
        <f t="shared" si="119"/>
        <v>1.1104000000000001</v>
      </c>
      <c r="S145" s="94">
        <f t="shared" si="122"/>
        <v>259.75611072445309</v>
      </c>
      <c r="T145" s="1"/>
      <c r="U145" s="51">
        <f t="shared" si="120"/>
        <v>0.8838214585650932</v>
      </c>
      <c r="V145" s="51">
        <f t="shared" si="121"/>
        <v>0.11073400754801192</v>
      </c>
    </row>
    <row r="146" spans="1:22" x14ac:dyDescent="0.25">
      <c r="A146">
        <v>2014</v>
      </c>
      <c r="B146" s="76">
        <v>5268289</v>
      </c>
      <c r="C146" s="76">
        <v>36238</v>
      </c>
      <c r="D146" s="76">
        <v>754141</v>
      </c>
      <c r="E146" s="72">
        <f t="shared" si="111"/>
        <v>6058668</v>
      </c>
      <c r="F146" s="72">
        <f t="shared" si="112"/>
        <v>6022430</v>
      </c>
      <c r="G146" s="5"/>
      <c r="H146" s="1">
        <f>+'AY Credit Hour Allocation'!AE8</f>
        <v>23553.622358600347</v>
      </c>
      <c r="I146" s="14">
        <f>+'Summer Credit Hour Allocation'!P8</f>
        <v>1822.0390930414387</v>
      </c>
      <c r="J146" s="3">
        <f t="shared" si="113"/>
        <v>25375.661451641787</v>
      </c>
      <c r="L146" s="88">
        <f t="shared" si="114"/>
        <v>207.61188866109913</v>
      </c>
      <c r="M146" s="88">
        <f t="shared" si="115"/>
        <v>1.4280612968083017</v>
      </c>
      <c r="N146" s="88">
        <f t="shared" si="116"/>
        <v>29.719067675818462</v>
      </c>
      <c r="O146" s="88">
        <f t="shared" si="117"/>
        <v>238.7590176337259</v>
      </c>
      <c r="P146" s="88">
        <f t="shared" si="118"/>
        <v>237.33095633691758</v>
      </c>
      <c r="Q146" s="1"/>
      <c r="R146" s="109">
        <f t="shared" si="119"/>
        <v>1.0815999999999999</v>
      </c>
      <c r="S146" s="94">
        <f t="shared" si="122"/>
        <v>256.69716237401002</v>
      </c>
      <c r="T146" s="1"/>
      <c r="U146" s="51">
        <f t="shared" si="120"/>
        <v>0.8695457483394039</v>
      </c>
      <c r="V146" s="51">
        <f t="shared" si="121"/>
        <v>0.12522204492206634</v>
      </c>
    </row>
    <row r="147" spans="1:22" x14ac:dyDescent="0.25">
      <c r="A147">
        <v>2015</v>
      </c>
      <c r="B147" s="76">
        <v>5462129</v>
      </c>
      <c r="C147" s="76">
        <v>41199</v>
      </c>
      <c r="D147" s="76">
        <v>710893.88999999966</v>
      </c>
      <c r="E147" s="72">
        <f t="shared" si="111"/>
        <v>6214221.8899999997</v>
      </c>
      <c r="F147" s="72">
        <f t="shared" si="112"/>
        <v>6173022.8899999997</v>
      </c>
      <c r="G147" s="5"/>
      <c r="H147" s="1">
        <f>+'AY Credit Hour Allocation'!AK8</f>
        <v>24664.721749989709</v>
      </c>
      <c r="I147" s="14">
        <f>+'Summer Credit Hour Allocation'!T8</f>
        <v>1274.2368512110756</v>
      </c>
      <c r="J147" s="3">
        <f t="shared" si="113"/>
        <v>25938.958601200786</v>
      </c>
      <c r="L147" s="88">
        <f t="shared" si="114"/>
        <v>210.57626422007331</v>
      </c>
      <c r="M147" s="88">
        <f t="shared" si="115"/>
        <v>1.5883058619821686</v>
      </c>
      <c r="N147" s="88">
        <f t="shared" si="116"/>
        <v>27.406415998793815</v>
      </c>
      <c r="O147" s="88">
        <f t="shared" si="117"/>
        <v>239.57098608084931</v>
      </c>
      <c r="P147" s="88">
        <f t="shared" si="118"/>
        <v>237.98268021886713</v>
      </c>
      <c r="Q147" s="1"/>
      <c r="R147" s="109">
        <f t="shared" si="119"/>
        <v>1.0803</v>
      </c>
      <c r="S147" s="94">
        <f t="shared" si="122"/>
        <v>257.09268944044214</v>
      </c>
      <c r="T147" s="1"/>
      <c r="U147" s="51">
        <f t="shared" si="120"/>
        <v>0.87897231490715244</v>
      </c>
      <c r="V147" s="51">
        <f t="shared" si="121"/>
        <v>0.11516138894472813</v>
      </c>
    </row>
    <row r="148" spans="1:22" x14ac:dyDescent="0.25">
      <c r="A148">
        <v>2016</v>
      </c>
      <c r="B148" s="76">
        <v>5467283</v>
      </c>
      <c r="C148" s="76">
        <v>41846</v>
      </c>
      <c r="D148" s="76">
        <v>680800.25999999978</v>
      </c>
      <c r="E148" s="72">
        <f t="shared" si="111"/>
        <v>6189929.2599999998</v>
      </c>
      <c r="F148" s="72">
        <f t="shared" si="112"/>
        <v>6148083.2599999998</v>
      </c>
      <c r="G148" s="5"/>
      <c r="H148" s="1">
        <f>+'AY Credit Hour Allocation'!AQ8</f>
        <v>25385.222762264442</v>
      </c>
      <c r="I148" s="14">
        <f>+'Summer Credit Hour Allocation'!X8</f>
        <v>1311.0108520179435</v>
      </c>
      <c r="J148" s="3">
        <f t="shared" si="113"/>
        <v>26696.233614282384</v>
      </c>
      <c r="L148" s="88">
        <f t="shared" si="114"/>
        <v>204.79604272997611</v>
      </c>
      <c r="M148" s="88">
        <f t="shared" si="115"/>
        <v>1.5674870322386056</v>
      </c>
      <c r="N148" s="88">
        <f t="shared" si="116"/>
        <v>25.501734433271299</v>
      </c>
      <c r="O148" s="88">
        <f t="shared" si="117"/>
        <v>231.86526419548602</v>
      </c>
      <c r="P148" s="88">
        <f t="shared" si="118"/>
        <v>230.29777716324742</v>
      </c>
      <c r="Q148" s="1"/>
      <c r="R148" s="109">
        <f t="shared" si="119"/>
        <v>1.0696000000000001</v>
      </c>
      <c r="S148" s="94">
        <f t="shared" si="122"/>
        <v>246.32650245380947</v>
      </c>
      <c r="T148" s="1"/>
      <c r="U148" s="51">
        <f t="shared" si="120"/>
        <v>0.88325452042403474</v>
      </c>
      <c r="V148" s="51">
        <f t="shared" si="121"/>
        <v>0.11073374110421527</v>
      </c>
    </row>
    <row r="149" spans="1:22" x14ac:dyDescent="0.25">
      <c r="A149">
        <v>2017</v>
      </c>
      <c r="B149" s="76">
        <v>5467165</v>
      </c>
      <c r="C149" s="76">
        <v>38826</v>
      </c>
      <c r="D149" s="76">
        <v>577908.04999999981</v>
      </c>
      <c r="E149" s="72">
        <f t="shared" si="111"/>
        <v>6083899.0499999998</v>
      </c>
      <c r="F149" s="72">
        <f t="shared" si="112"/>
        <v>6045073.0499999998</v>
      </c>
      <c r="G149" s="5"/>
      <c r="H149" s="1">
        <f>+'AY Credit Hour Allocation'!AW8</f>
        <v>26038.467651833427</v>
      </c>
      <c r="I149" s="14">
        <f>+'Summer Credit Hour Allocation'!AB8</f>
        <v>1387.1128514056215</v>
      </c>
      <c r="J149" s="3">
        <f t="shared" si="113"/>
        <v>27425.580503239049</v>
      </c>
      <c r="L149" s="88">
        <f t="shared" si="114"/>
        <v>199.34546141527653</v>
      </c>
      <c r="M149" s="88">
        <f t="shared" si="115"/>
        <v>1.4156856222392276</v>
      </c>
      <c r="N149" s="88">
        <f t="shared" si="116"/>
        <v>21.071862086264574</v>
      </c>
      <c r="O149" s="88">
        <f t="shared" si="117"/>
        <v>221.83300912378033</v>
      </c>
      <c r="P149" s="88">
        <f t="shared" si="118"/>
        <v>220.41732350154109</v>
      </c>
      <c r="Q149" s="1"/>
      <c r="R149" s="109">
        <f t="shared" si="119"/>
        <v>1.0524</v>
      </c>
      <c r="S149" s="94">
        <f t="shared" si="122"/>
        <v>231.96719125302184</v>
      </c>
      <c r="T149" s="1"/>
      <c r="U149" s="51">
        <f t="shared" si="120"/>
        <v>0.89862848726919631</v>
      </c>
      <c r="V149" s="51">
        <f t="shared" si="121"/>
        <v>9.5599845563487412E-2</v>
      </c>
    </row>
    <row r="150" spans="1:22" x14ac:dyDescent="0.25">
      <c r="A150">
        <v>2018</v>
      </c>
      <c r="B150" s="76">
        <v>5022022</v>
      </c>
      <c r="C150" s="76">
        <v>36982</v>
      </c>
      <c r="D150" s="76">
        <v>571334.75999999978</v>
      </c>
      <c r="E150" s="72">
        <f t="shared" si="111"/>
        <v>5630338.7599999998</v>
      </c>
      <c r="F150" s="72">
        <f t="shared" si="112"/>
        <v>5593356.7599999998</v>
      </c>
      <c r="G150" s="5"/>
      <c r="H150" s="1">
        <f>+'AY Credit Hour Allocation'!BC8</f>
        <v>22235.71376172184</v>
      </c>
      <c r="I150" s="14">
        <f>+'Summer Credit Hour Allocation'!AF8</f>
        <v>1305.4634873323412</v>
      </c>
      <c r="J150" s="3">
        <f t="shared" si="113"/>
        <v>23541.177249054181</v>
      </c>
      <c r="L150" s="88">
        <f t="shared" si="114"/>
        <v>213.32926331038823</v>
      </c>
      <c r="M150" s="88">
        <f t="shared" si="115"/>
        <v>1.5709494732888023</v>
      </c>
      <c r="N150" s="88">
        <f t="shared" si="116"/>
        <v>24.269591701194742</v>
      </c>
      <c r="O150" s="88">
        <f t="shared" si="117"/>
        <v>239.16980448487178</v>
      </c>
      <c r="P150" s="88">
        <f t="shared" si="118"/>
        <v>237.59885501158297</v>
      </c>
      <c r="Q150" s="1"/>
      <c r="R150" s="109">
        <f t="shared" si="119"/>
        <v>1.0229999999999999</v>
      </c>
      <c r="S150" s="94">
        <f t="shared" si="122"/>
        <v>243.06362867684936</v>
      </c>
      <c r="T150" s="1"/>
      <c r="U150" s="51">
        <f t="shared" si="120"/>
        <v>0.89195734290062512</v>
      </c>
      <c r="V150" s="51">
        <f t="shared" si="121"/>
        <v>0.10214523845248158</v>
      </c>
    </row>
    <row r="151" spans="1:22" x14ac:dyDescent="0.25">
      <c r="A151">
        <v>2019</v>
      </c>
      <c r="B151" s="76">
        <v>4937543</v>
      </c>
      <c r="C151" s="76">
        <v>41396</v>
      </c>
      <c r="D151" s="76">
        <v>812268.03000000026</v>
      </c>
      <c r="E151" s="72">
        <f t="shared" si="111"/>
        <v>5791207.0300000003</v>
      </c>
      <c r="F151" s="72">
        <f t="shared" si="112"/>
        <v>5749811.0300000003</v>
      </c>
      <c r="G151" s="5"/>
      <c r="H151" s="1">
        <f>+'AY Credit Hour Allocation'!BI8</f>
        <v>20058.055145839735</v>
      </c>
      <c r="I151" s="14">
        <f>+'Summer Credit Hour Allocation'!AJ8</f>
        <v>1531.8501616276858</v>
      </c>
      <c r="J151" s="3">
        <f t="shared" si="113"/>
        <v>21589.905307467419</v>
      </c>
      <c r="L151" s="88">
        <f t="shared" si="114"/>
        <v>228.69683445495357</v>
      </c>
      <c r="M151" s="88">
        <f t="shared" si="115"/>
        <v>1.9173775618961209</v>
      </c>
      <c r="N151" s="88">
        <f t="shared" si="116"/>
        <v>37.622584186094443</v>
      </c>
      <c r="O151" s="88">
        <f t="shared" si="117"/>
        <v>268.23679620294416</v>
      </c>
      <c r="P151" s="88">
        <f t="shared" si="118"/>
        <v>266.319418641048</v>
      </c>
      <c r="Q151" s="1"/>
      <c r="R151" s="109">
        <f t="shared" si="119"/>
        <v>1.0065</v>
      </c>
      <c r="S151" s="94">
        <f t="shared" si="122"/>
        <v>268.0504948622148</v>
      </c>
      <c r="T151" s="1"/>
      <c r="U151" s="51">
        <f t="shared" si="120"/>
        <v>0.85259307333034495</v>
      </c>
      <c r="V151" s="51">
        <f t="shared" si="121"/>
        <v>0.14126864791937349</v>
      </c>
    </row>
    <row r="152" spans="1:22" x14ac:dyDescent="0.25">
      <c r="A152" s="68">
        <v>2020</v>
      </c>
      <c r="B152" s="76">
        <v>4926843</v>
      </c>
      <c r="C152" s="76">
        <v>51352</v>
      </c>
      <c r="D152" s="76">
        <v>1047671</v>
      </c>
      <c r="E152" s="72">
        <f t="shared" si="111"/>
        <v>6025866</v>
      </c>
      <c r="F152" s="72">
        <f t="shared" si="112"/>
        <v>5974514</v>
      </c>
      <c r="G152" s="5"/>
      <c r="H152" s="1">
        <f>+'AY Credit Hour Allocation'!BO8</f>
        <v>17900.46635824332</v>
      </c>
      <c r="I152" s="14">
        <f>+'Summer Credit Hour Allocation'!AN8</f>
        <v>1555.7935808129646</v>
      </c>
      <c r="J152" s="3">
        <f t="shared" si="113"/>
        <v>19456.259939056286</v>
      </c>
      <c r="L152" s="88">
        <f t="shared" si="114"/>
        <v>253.22662297032269</v>
      </c>
      <c r="M152" s="88">
        <f t="shared" si="115"/>
        <v>2.6393561846342601</v>
      </c>
      <c r="N152" s="88">
        <f t="shared" si="116"/>
        <v>53.847502206573452</v>
      </c>
      <c r="O152" s="88">
        <f t="shared" si="117"/>
        <v>309.7134813615304</v>
      </c>
      <c r="P152" s="88">
        <f t="shared" si="118"/>
        <v>307.07412517689613</v>
      </c>
      <c r="Q152" s="1"/>
      <c r="R152" s="109">
        <f t="shared" si="119"/>
        <v>1</v>
      </c>
      <c r="S152" s="94">
        <f t="shared" si="122"/>
        <v>307.07412517689613</v>
      </c>
      <c r="T152" s="1"/>
      <c r="U152" s="51">
        <f t="shared" si="120"/>
        <v>0.81761575846525625</v>
      </c>
      <c r="V152" s="51">
        <f t="shared" si="121"/>
        <v>0.17535669010065089</v>
      </c>
    </row>
    <row r="153" spans="1:22" x14ac:dyDescent="0.25">
      <c r="A153" s="345">
        <v>2021</v>
      </c>
      <c r="B153" s="76">
        <v>4958710</v>
      </c>
      <c r="C153" s="76">
        <v>0</v>
      </c>
      <c r="D153" s="76">
        <v>1138902</v>
      </c>
      <c r="E153" s="72">
        <f t="shared" si="111"/>
        <v>6097612</v>
      </c>
      <c r="F153" s="72">
        <f t="shared" si="112"/>
        <v>6097612</v>
      </c>
      <c r="G153" s="6"/>
      <c r="H153" s="1">
        <f>+'AY Credit Hour Allocation'!BU8</f>
        <v>19796.0651791692</v>
      </c>
      <c r="I153" s="14">
        <f>+'Summer Credit Hour Allocation'!AR8</f>
        <v>1987.1810761285979</v>
      </c>
      <c r="J153" s="3">
        <f t="shared" si="113"/>
        <v>21783.246255297796</v>
      </c>
      <c r="L153" s="88">
        <f t="shared" si="114"/>
        <v>227.63870645744623</v>
      </c>
      <c r="M153" s="88">
        <f t="shared" si="115"/>
        <v>0</v>
      </c>
      <c r="N153" s="88">
        <f t="shared" si="116"/>
        <v>52.283391862359046</v>
      </c>
      <c r="O153" s="88">
        <f t="shared" si="117"/>
        <v>279.92209831980529</v>
      </c>
      <c r="P153" s="88">
        <f t="shared" si="118"/>
        <v>279.92209831980529</v>
      </c>
      <c r="Q153" s="1"/>
      <c r="R153" s="109"/>
      <c r="S153" s="94"/>
      <c r="T153" s="95"/>
      <c r="U153" s="51">
        <f t="shared" ref="U153:U156" si="123">+L153/O153</f>
        <v>0.81322163496135857</v>
      </c>
      <c r="V153" s="51">
        <f t="shared" ref="V153:V156" si="124">+N153/P153</f>
        <v>0.18677836503864134</v>
      </c>
    </row>
    <row r="154" spans="1:22" x14ac:dyDescent="0.25">
      <c r="A154" s="345">
        <v>2022</v>
      </c>
      <c r="B154" s="76">
        <v>4762734</v>
      </c>
      <c r="C154" s="76">
        <v>0</v>
      </c>
      <c r="D154" s="76">
        <v>1272325</v>
      </c>
      <c r="E154" s="72">
        <f t="shared" si="111"/>
        <v>6035059</v>
      </c>
      <c r="F154" s="72">
        <f t="shared" si="112"/>
        <v>6035059</v>
      </c>
      <c r="G154" s="6"/>
      <c r="H154" s="1">
        <f>+'AY Credit Hour Allocation'!CA8</f>
        <v>19431.398938997798</v>
      </c>
      <c r="I154" s="14">
        <f>+'Summer Credit Hour Allocation'!AV8</f>
        <v>1594.4744027303757</v>
      </c>
      <c r="J154" s="3">
        <f t="shared" si="113"/>
        <v>21025.873341728173</v>
      </c>
      <c r="L154" s="88">
        <f t="shared" si="114"/>
        <v>226.5177727741671</v>
      </c>
      <c r="M154" s="88">
        <f t="shared" si="115"/>
        <v>0</v>
      </c>
      <c r="N154" s="88">
        <f t="shared" si="116"/>
        <v>60.51234968085393</v>
      </c>
      <c r="O154" s="88">
        <f t="shared" si="117"/>
        <v>287.03012245502106</v>
      </c>
      <c r="P154" s="88">
        <f t="shared" si="118"/>
        <v>287.030122455021</v>
      </c>
      <c r="Q154" s="1"/>
      <c r="R154" s="109"/>
      <c r="S154" s="94"/>
      <c r="T154" s="95"/>
      <c r="U154" s="51">
        <f t="shared" si="123"/>
        <v>0.78917770315087221</v>
      </c>
      <c r="V154" s="51">
        <f t="shared" si="124"/>
        <v>0.21082229684912776</v>
      </c>
    </row>
    <row r="155" spans="1:22" x14ac:dyDescent="0.25">
      <c r="A155" s="345">
        <v>2023</v>
      </c>
      <c r="B155" s="76">
        <v>4833534</v>
      </c>
      <c r="C155" s="76">
        <v>0</v>
      </c>
      <c r="D155" s="76">
        <v>1456147</v>
      </c>
      <c r="E155" s="72">
        <f t="shared" si="111"/>
        <v>6289681</v>
      </c>
      <c r="F155" s="72">
        <f t="shared" si="112"/>
        <v>6289681</v>
      </c>
      <c r="G155" s="6"/>
      <c r="H155" s="1">
        <f>+'AY Credit Hour Allocation'!CG8</f>
        <v>18672</v>
      </c>
      <c r="I155" s="14">
        <f>+'Summer Credit Hour Allocation'!AZ8</f>
        <v>1266.2841660344641</v>
      </c>
      <c r="J155" s="3">
        <f t="shared" si="113"/>
        <v>19938.284166034464</v>
      </c>
      <c r="L155" s="88">
        <f t="shared" si="114"/>
        <v>242.42477234997421</v>
      </c>
      <c r="M155" s="88">
        <f t="shared" si="115"/>
        <v>0</v>
      </c>
      <c r="N155" s="88">
        <f t="shared" si="116"/>
        <v>73.032713741766969</v>
      </c>
      <c r="O155" s="88">
        <f t="shared" si="117"/>
        <v>315.45748609174115</v>
      </c>
      <c r="P155" s="88">
        <f t="shared" si="118"/>
        <v>315.4574860917412</v>
      </c>
      <c r="Q155" s="1"/>
      <c r="R155" s="109"/>
      <c r="S155" s="94"/>
      <c r="T155" s="95"/>
      <c r="U155" s="51">
        <f t="shared" si="123"/>
        <v>0.7684863508976052</v>
      </c>
      <c r="V155" s="51">
        <f t="shared" si="124"/>
        <v>0.23151364910239483</v>
      </c>
    </row>
    <row r="156" spans="1:22" x14ac:dyDescent="0.25">
      <c r="A156" s="345" t="s">
        <v>2898</v>
      </c>
      <c r="B156" s="76">
        <v>4815638</v>
      </c>
      <c r="C156" s="76">
        <v>0</v>
      </c>
      <c r="D156" s="76">
        <v>1733291</v>
      </c>
      <c r="E156" s="72">
        <f t="shared" si="111"/>
        <v>6548929</v>
      </c>
      <c r="F156" s="72">
        <f t="shared" si="112"/>
        <v>6548929</v>
      </c>
      <c r="G156" s="6"/>
      <c r="H156" s="1">
        <f>+'AY Credit Hour Allocation'!CM8</f>
        <v>20673</v>
      </c>
      <c r="I156" s="14">
        <f>+'Summer Credit Hour Allocation'!BD8</f>
        <v>1189.776894097949</v>
      </c>
      <c r="J156" s="3">
        <f t="shared" si="113"/>
        <v>21862.776894097948</v>
      </c>
      <c r="L156" s="88">
        <f t="shared" si="114"/>
        <v>220.26652987983536</v>
      </c>
      <c r="M156" s="88">
        <f t="shared" si="115"/>
        <v>0</v>
      </c>
      <c r="N156" s="88">
        <f t="shared" si="116"/>
        <v>79.28045958644519</v>
      </c>
      <c r="O156" s="88">
        <f t="shared" si="117"/>
        <v>299.54698946628054</v>
      </c>
      <c r="P156" s="88">
        <f t="shared" si="118"/>
        <v>299.54698946628054</v>
      </c>
      <c r="Q156" s="1"/>
      <c r="R156" s="109"/>
      <c r="S156" s="94"/>
      <c r="T156" s="95"/>
      <c r="U156" s="51">
        <f t="shared" si="123"/>
        <v>0.73533214362226251</v>
      </c>
      <c r="V156" s="51">
        <f t="shared" si="124"/>
        <v>0.26466785637773754</v>
      </c>
    </row>
    <row r="157" spans="1:22" x14ac:dyDescent="0.25">
      <c r="A157" s="68"/>
      <c r="B157" s="76"/>
      <c r="C157" s="76"/>
      <c r="D157" s="76"/>
      <c r="E157" s="72"/>
      <c r="F157" s="72"/>
      <c r="G157" s="5"/>
      <c r="H157" s="67"/>
      <c r="J157" s="3"/>
      <c r="Q157" s="1"/>
      <c r="R157" s="1" t="s">
        <v>418</v>
      </c>
      <c r="S157" s="94">
        <f>AVERAGE(S142:S145)</f>
        <v>252.4041788684292</v>
      </c>
      <c r="T157" s="1"/>
      <c r="U157" s="51"/>
      <c r="V157" s="51"/>
    </row>
    <row r="158" spans="1:22" x14ac:dyDescent="0.25">
      <c r="B158" s="6"/>
      <c r="C158" s="6"/>
      <c r="D158" s="6"/>
      <c r="E158" s="6"/>
      <c r="F158" s="6"/>
      <c r="G158" s="6"/>
      <c r="Q158" s="1"/>
      <c r="R158" s="1"/>
      <c r="S158" s="1"/>
      <c r="T158" s="1"/>
      <c r="V158" s="51"/>
    </row>
    <row r="159" spans="1:22" ht="15.75" thickBot="1" x14ac:dyDescent="0.3">
      <c r="B159" s="66" t="s">
        <v>57</v>
      </c>
      <c r="C159" s="66"/>
      <c r="D159" s="66"/>
      <c r="E159" s="66"/>
      <c r="F159" s="66"/>
      <c r="G159" s="64"/>
      <c r="H159" s="66" t="s">
        <v>2891</v>
      </c>
      <c r="I159" s="93"/>
      <c r="J159" s="66"/>
      <c r="K159" s="13"/>
      <c r="L159" s="89" t="s">
        <v>2892</v>
      </c>
      <c r="M159" s="89"/>
      <c r="N159" s="89"/>
      <c r="O159" s="89"/>
      <c r="P159" s="89"/>
      <c r="U159" s="64"/>
    </row>
    <row r="160" spans="1:22" x14ac:dyDescent="0.25">
      <c r="A160" t="s">
        <v>2903</v>
      </c>
      <c r="B160" s="8" t="s">
        <v>2893</v>
      </c>
      <c r="C160" s="8" t="s">
        <v>73</v>
      </c>
      <c r="D160" s="8" t="s">
        <v>50</v>
      </c>
      <c r="E160" s="8" t="s">
        <v>38</v>
      </c>
      <c r="F160" s="8" t="s">
        <v>2894</v>
      </c>
      <c r="G160" s="6"/>
      <c r="H160" s="8" t="s">
        <v>101</v>
      </c>
      <c r="I160" s="40" t="s">
        <v>31</v>
      </c>
      <c r="J160" s="8" t="s">
        <v>38</v>
      </c>
      <c r="K160" s="6"/>
      <c r="L160" s="90" t="s">
        <v>2893</v>
      </c>
      <c r="M160" s="90" t="s">
        <v>73</v>
      </c>
      <c r="N160" s="90" t="s">
        <v>50</v>
      </c>
      <c r="O160" s="90" t="s">
        <v>38</v>
      </c>
      <c r="P160" s="90" t="s">
        <v>2894</v>
      </c>
      <c r="Q160" s="15"/>
      <c r="R160" s="15"/>
      <c r="S160" s="15"/>
      <c r="T160" s="15"/>
      <c r="U160" s="8" t="s">
        <v>2893</v>
      </c>
      <c r="V160" s="91" t="s">
        <v>50</v>
      </c>
    </row>
    <row r="161" spans="1:22" x14ac:dyDescent="0.25">
      <c r="A161">
        <v>2010</v>
      </c>
      <c r="B161" s="76">
        <v>3010440</v>
      </c>
      <c r="C161" s="76">
        <v>76002</v>
      </c>
      <c r="D161" s="76">
        <v>1971774</v>
      </c>
      <c r="E161" s="72">
        <f t="shared" ref="E161:E175" si="125">SUM(B161:D161)</f>
        <v>5058216</v>
      </c>
      <c r="F161" s="72">
        <f t="shared" ref="F161:F175" si="126">+E161-C161</f>
        <v>4982214</v>
      </c>
      <c r="G161" s="6"/>
      <c r="H161" s="1">
        <f>+'AY Credit Hour Allocation'!G9</f>
        <v>7632.9210142252368</v>
      </c>
      <c r="J161" s="3">
        <f t="shared" ref="J161:J175" si="127">SUM(H161:I161)</f>
        <v>7632.9210142252368</v>
      </c>
      <c r="K161" s="6"/>
      <c r="L161" s="88">
        <f t="shared" ref="L161:L175" si="128">B161/J161</f>
        <v>394.40208989317944</v>
      </c>
      <c r="M161" s="88">
        <f t="shared" ref="M161:M175" si="129">+C161/J161</f>
        <v>9.9571317269440414</v>
      </c>
      <c r="N161" s="88">
        <f t="shared" ref="N161:N175" si="130">D161/J161</f>
        <v>258.32495794536146</v>
      </c>
      <c r="O161" s="88">
        <f t="shared" ref="O161:O175" si="131">+E161/J161</f>
        <v>662.6841795654849</v>
      </c>
      <c r="P161" s="88">
        <f t="shared" ref="P161:P175" si="132">+L161+N161</f>
        <v>652.7270478385409</v>
      </c>
      <c r="Q161" s="1"/>
      <c r="R161" s="109">
        <f t="shared" ref="R161:R171" si="133">+R142</f>
        <v>1.1827000000000001</v>
      </c>
      <c r="S161" s="94">
        <f>+P161*R161</f>
        <v>771.98027947864239</v>
      </c>
      <c r="T161" s="1"/>
      <c r="U161" s="51">
        <f t="shared" ref="U161:U171" si="134">+L161/O161</f>
        <v>0.59515845112189758</v>
      </c>
      <c r="V161" s="51">
        <f t="shared" ref="V161:V171" si="135">+N161/P161</f>
        <v>0.39576260674471225</v>
      </c>
    </row>
    <row r="162" spans="1:22" x14ac:dyDescent="0.25">
      <c r="A162">
        <v>2011</v>
      </c>
      <c r="B162" s="76">
        <v>3066783</v>
      </c>
      <c r="C162" s="76">
        <v>0</v>
      </c>
      <c r="D162" s="76">
        <v>1986878</v>
      </c>
      <c r="E162" s="72">
        <f t="shared" si="125"/>
        <v>5053661</v>
      </c>
      <c r="F162" s="72">
        <f t="shared" si="126"/>
        <v>5053661</v>
      </c>
      <c r="G162" s="5"/>
      <c r="H162" s="1">
        <f>+'AY Credit Hour Allocation'!M9</f>
        <v>7431.7873812381877</v>
      </c>
      <c r="I162" s="39">
        <f>+'Summer Credit Hour Allocation'!D9</f>
        <v>69.232633279483039</v>
      </c>
      <c r="J162" s="3">
        <f t="shared" si="127"/>
        <v>7501.0200145176705</v>
      </c>
      <c r="L162" s="88">
        <f t="shared" si="128"/>
        <v>408.84879577237069</v>
      </c>
      <c r="M162" s="88">
        <f t="shared" si="129"/>
        <v>0</v>
      </c>
      <c r="N162" s="88">
        <f t="shared" si="130"/>
        <v>264.88104233218206</v>
      </c>
      <c r="O162" s="88">
        <f t="shared" si="131"/>
        <v>673.72983810455275</v>
      </c>
      <c r="P162" s="88">
        <f t="shared" si="132"/>
        <v>673.72983810455275</v>
      </c>
      <c r="Q162" s="1"/>
      <c r="R162" s="109">
        <f t="shared" si="133"/>
        <v>1.1420999999999999</v>
      </c>
      <c r="S162" s="94">
        <f t="shared" ref="S162:S171" si="136">+P162*R162</f>
        <v>769.46684809920964</v>
      </c>
      <c r="T162" s="1"/>
      <c r="U162" s="51">
        <f t="shared" si="134"/>
        <v>0.60684383064079683</v>
      </c>
      <c r="V162" s="51">
        <f t="shared" si="135"/>
        <v>0.39315616935920317</v>
      </c>
    </row>
    <row r="163" spans="1:22" x14ac:dyDescent="0.25">
      <c r="A163">
        <v>2012</v>
      </c>
      <c r="B163" s="76">
        <v>2910561</v>
      </c>
      <c r="C163" s="76">
        <v>123294</v>
      </c>
      <c r="D163" s="76">
        <v>2156056</v>
      </c>
      <c r="E163" s="72">
        <f t="shared" si="125"/>
        <v>5189911</v>
      </c>
      <c r="F163" s="72">
        <f t="shared" si="126"/>
        <v>5066617</v>
      </c>
      <c r="G163" s="5"/>
      <c r="H163" s="1">
        <f>+'AY Credit Hour Allocation'!S9</f>
        <v>7427.1265750773237</v>
      </c>
      <c r="I163" s="14">
        <f>+'Summer Credit Hour Allocation'!H9</f>
        <v>74.222334257625405</v>
      </c>
      <c r="J163" s="3">
        <f t="shared" si="127"/>
        <v>7501.348909334949</v>
      </c>
      <c r="L163" s="88">
        <f t="shared" si="128"/>
        <v>388.00501552167412</v>
      </c>
      <c r="M163" s="88">
        <f t="shared" si="129"/>
        <v>16.436243866295634</v>
      </c>
      <c r="N163" s="88">
        <f t="shared" si="130"/>
        <v>287.42243909184469</v>
      </c>
      <c r="O163" s="88">
        <f t="shared" si="131"/>
        <v>691.86369847981439</v>
      </c>
      <c r="P163" s="88">
        <f t="shared" si="132"/>
        <v>675.42745461351888</v>
      </c>
      <c r="Q163" s="1"/>
      <c r="R163" s="109">
        <f t="shared" si="133"/>
        <v>1.1234</v>
      </c>
      <c r="S163" s="94">
        <f t="shared" si="136"/>
        <v>758.77520251282704</v>
      </c>
      <c r="T163" s="1"/>
      <c r="U163" s="51">
        <f t="shared" si="134"/>
        <v>0.5608113511002405</v>
      </c>
      <c r="V163" s="51">
        <f t="shared" si="135"/>
        <v>0.42554153984798926</v>
      </c>
    </row>
    <row r="164" spans="1:22" x14ac:dyDescent="0.25">
      <c r="A164">
        <v>2013</v>
      </c>
      <c r="B164" s="76">
        <v>3088672</v>
      </c>
      <c r="C164" s="76">
        <v>113567</v>
      </c>
      <c r="D164" s="76">
        <v>2081893</v>
      </c>
      <c r="E164" s="72">
        <f t="shared" si="125"/>
        <v>5284132</v>
      </c>
      <c r="F164" s="72">
        <f t="shared" si="126"/>
        <v>5170565</v>
      </c>
      <c r="G164" s="5"/>
      <c r="H164" s="1">
        <f>+'AY Credit Hour Allocation'!Y9</f>
        <v>7395.5028341721181</v>
      </c>
      <c r="I164" s="14">
        <f>+'Summer Credit Hour Allocation'!L9</f>
        <v>105.01075268817205</v>
      </c>
      <c r="J164" s="3">
        <f t="shared" si="127"/>
        <v>7500.5135868602902</v>
      </c>
      <c r="L164" s="88">
        <f t="shared" si="128"/>
        <v>411.79473435137339</v>
      </c>
      <c r="M164" s="88">
        <f t="shared" si="129"/>
        <v>15.141229821775321</v>
      </c>
      <c r="N164" s="88">
        <f t="shared" si="130"/>
        <v>277.56672605021959</v>
      </c>
      <c r="O164" s="88">
        <f t="shared" si="131"/>
        <v>704.50269022336829</v>
      </c>
      <c r="P164" s="88">
        <f t="shared" si="132"/>
        <v>689.36146040159292</v>
      </c>
      <c r="Q164" s="1"/>
      <c r="R164" s="109">
        <f t="shared" si="133"/>
        <v>1.1104000000000001</v>
      </c>
      <c r="S164" s="94">
        <f t="shared" si="136"/>
        <v>765.46696562992884</v>
      </c>
      <c r="T164" s="1"/>
      <c r="U164" s="51">
        <f t="shared" si="134"/>
        <v>0.58451832770263878</v>
      </c>
      <c r="V164" s="51">
        <f t="shared" si="135"/>
        <v>0.40264323144569314</v>
      </c>
    </row>
    <row r="165" spans="1:22" x14ac:dyDescent="0.25">
      <c r="A165">
        <v>2014</v>
      </c>
      <c r="B165" s="76">
        <v>3053280</v>
      </c>
      <c r="C165" s="76">
        <v>107804</v>
      </c>
      <c r="D165" s="76">
        <v>2123006</v>
      </c>
      <c r="E165" s="72">
        <f t="shared" si="125"/>
        <v>5284090</v>
      </c>
      <c r="F165" s="72">
        <f t="shared" si="126"/>
        <v>5176286</v>
      </c>
      <c r="G165" s="5"/>
      <c r="H165" s="1">
        <f>+'AY Credit Hour Allocation'!AE9</f>
        <v>7647.320862888103</v>
      </c>
      <c r="I165" s="14">
        <f>+'Summer Credit Hour Allocation'!P9</f>
        <v>1001.5887412040656</v>
      </c>
      <c r="J165" s="3">
        <f t="shared" si="127"/>
        <v>8648.9096040921686</v>
      </c>
      <c r="L165" s="88">
        <f t="shared" si="128"/>
        <v>353.0248481907318</v>
      </c>
      <c r="M165" s="88">
        <f t="shared" si="129"/>
        <v>12.464461410140455</v>
      </c>
      <c r="N165" s="88">
        <f t="shared" si="130"/>
        <v>245.46516233624584</v>
      </c>
      <c r="O165" s="88">
        <f t="shared" si="131"/>
        <v>610.95447193711811</v>
      </c>
      <c r="P165" s="88">
        <f t="shared" si="132"/>
        <v>598.49001052697758</v>
      </c>
      <c r="Q165" s="1"/>
      <c r="R165" s="109">
        <f t="shared" si="133"/>
        <v>1.0815999999999999</v>
      </c>
      <c r="S165" s="94">
        <f t="shared" si="136"/>
        <v>647.32679538597893</v>
      </c>
      <c r="T165" s="1"/>
      <c r="U165" s="51">
        <f t="shared" si="134"/>
        <v>0.57782513166883986</v>
      </c>
      <c r="V165" s="51">
        <f t="shared" si="135"/>
        <v>0.41014078433842338</v>
      </c>
    </row>
    <row r="166" spans="1:22" x14ac:dyDescent="0.25">
      <c r="A166">
        <v>2015</v>
      </c>
      <c r="B166" s="76">
        <v>3177729</v>
      </c>
      <c r="C166" s="76">
        <v>124250</v>
      </c>
      <c r="D166" s="76">
        <v>1903948</v>
      </c>
      <c r="E166" s="72">
        <f t="shared" si="125"/>
        <v>5205927</v>
      </c>
      <c r="F166" s="72">
        <f t="shared" si="126"/>
        <v>5081677</v>
      </c>
      <c r="G166" s="5"/>
      <c r="H166" s="1">
        <f>+'AY Credit Hour Allocation'!AK9</f>
        <v>7607.4570772594088</v>
      </c>
      <c r="I166" s="14">
        <f>+'Summer Credit Hour Allocation'!T9</f>
        <v>186.68546712802811</v>
      </c>
      <c r="J166" s="3">
        <f t="shared" si="127"/>
        <v>7794.1425443874368</v>
      </c>
      <c r="L166" s="88">
        <f t="shared" si="128"/>
        <v>407.70732404532208</v>
      </c>
      <c r="M166" s="88">
        <f t="shared" si="129"/>
        <v>15.941458510977894</v>
      </c>
      <c r="N166" s="88">
        <f t="shared" si="130"/>
        <v>244.27934043508523</v>
      </c>
      <c r="O166" s="88">
        <f t="shared" si="131"/>
        <v>667.92812299138518</v>
      </c>
      <c r="P166" s="88">
        <f t="shared" si="132"/>
        <v>651.98666448040728</v>
      </c>
      <c r="Q166" s="1"/>
      <c r="R166" s="109">
        <f t="shared" si="133"/>
        <v>1.0803</v>
      </c>
      <c r="S166" s="94">
        <f t="shared" si="136"/>
        <v>704.341193638184</v>
      </c>
      <c r="T166" s="1"/>
      <c r="U166" s="51">
        <f t="shared" si="134"/>
        <v>0.61040598533171897</v>
      </c>
      <c r="V166" s="51">
        <f t="shared" si="135"/>
        <v>0.37466922828822063</v>
      </c>
    </row>
    <row r="167" spans="1:22" x14ac:dyDescent="0.25">
      <c r="A167">
        <v>2016</v>
      </c>
      <c r="B167" s="76">
        <v>3059427</v>
      </c>
      <c r="C167" s="76">
        <v>94300</v>
      </c>
      <c r="D167" s="76">
        <v>1837829</v>
      </c>
      <c r="E167" s="72">
        <f t="shared" si="125"/>
        <v>4991556</v>
      </c>
      <c r="F167" s="72">
        <f t="shared" si="126"/>
        <v>4897256</v>
      </c>
      <c r="G167" s="5"/>
      <c r="H167" s="1">
        <f>+'AY Credit Hour Allocation'!AQ9</f>
        <v>7275.5038401629145</v>
      </c>
      <c r="I167" s="14">
        <f>+'Summer Credit Hour Allocation'!X9</f>
        <v>182.57192825112193</v>
      </c>
      <c r="J167" s="3">
        <f t="shared" si="127"/>
        <v>7458.0757684140362</v>
      </c>
      <c r="L167" s="88">
        <f t="shared" si="128"/>
        <v>410.21666915172528</v>
      </c>
      <c r="M167" s="88">
        <f t="shared" si="129"/>
        <v>12.644012065333703</v>
      </c>
      <c r="N167" s="88">
        <f t="shared" si="130"/>
        <v>246.42133669162433</v>
      </c>
      <c r="O167" s="88">
        <f t="shared" si="131"/>
        <v>669.28201790868331</v>
      </c>
      <c r="P167" s="88">
        <f t="shared" si="132"/>
        <v>656.63800584334967</v>
      </c>
      <c r="Q167" s="1"/>
      <c r="R167" s="109">
        <f t="shared" si="133"/>
        <v>1.0696000000000001</v>
      </c>
      <c r="S167" s="94">
        <f t="shared" si="136"/>
        <v>702.34001105004688</v>
      </c>
      <c r="T167" s="1"/>
      <c r="U167" s="51">
        <f t="shared" si="134"/>
        <v>0.61292050014063748</v>
      </c>
      <c r="V167" s="51">
        <f t="shared" si="135"/>
        <v>0.37527729814410354</v>
      </c>
    </row>
    <row r="168" spans="1:22" x14ac:dyDescent="0.25">
      <c r="A168">
        <v>2017</v>
      </c>
      <c r="B168" s="76">
        <v>2773779</v>
      </c>
      <c r="C168" s="76">
        <v>143450</v>
      </c>
      <c r="D168" s="76">
        <v>1733173</v>
      </c>
      <c r="E168" s="72">
        <f t="shared" si="125"/>
        <v>4650402</v>
      </c>
      <c r="F168" s="72">
        <f t="shared" si="126"/>
        <v>4506952</v>
      </c>
      <c r="G168" s="5"/>
      <c r="H168" s="1">
        <f>+'AY Credit Hour Allocation'!AW9</f>
        <v>7081.5859501791347</v>
      </c>
      <c r="I168" s="14">
        <f>+'Summer Credit Hour Allocation'!AB9</f>
        <v>128.33734939759029</v>
      </c>
      <c r="J168" s="3">
        <f t="shared" si="127"/>
        <v>7209.9232995767252</v>
      </c>
      <c r="L168" s="88">
        <f t="shared" si="128"/>
        <v>384.7168526970101</v>
      </c>
      <c r="M168" s="88">
        <f t="shared" si="129"/>
        <v>19.896189465485932</v>
      </c>
      <c r="N168" s="88">
        <f t="shared" si="130"/>
        <v>240.38716196908084</v>
      </c>
      <c r="O168" s="88">
        <f t="shared" si="131"/>
        <v>645.00020413157688</v>
      </c>
      <c r="P168" s="88">
        <f t="shared" si="132"/>
        <v>625.10401466609096</v>
      </c>
      <c r="Q168" s="1"/>
      <c r="R168" s="109">
        <f t="shared" si="133"/>
        <v>1.0524</v>
      </c>
      <c r="S168" s="94">
        <f t="shared" si="136"/>
        <v>657.85946503459411</v>
      </c>
      <c r="T168" s="1"/>
      <c r="U168" s="51">
        <f t="shared" si="134"/>
        <v>0.59646004797004648</v>
      </c>
      <c r="V168" s="51">
        <f t="shared" si="135"/>
        <v>0.38455546009808844</v>
      </c>
    </row>
    <row r="169" spans="1:22" x14ac:dyDescent="0.25">
      <c r="A169">
        <v>2018</v>
      </c>
      <c r="B169" s="76">
        <v>2847210</v>
      </c>
      <c r="C169" s="76">
        <v>233995</v>
      </c>
      <c r="D169" s="76">
        <v>1292621</v>
      </c>
      <c r="E169" s="72">
        <f t="shared" si="125"/>
        <v>4373826</v>
      </c>
      <c r="F169" s="72">
        <f t="shared" si="126"/>
        <v>4139831</v>
      </c>
      <c r="G169" s="5"/>
      <c r="H169" s="1">
        <f>+'AY Credit Hour Allocation'!BC9</f>
        <v>6718.400328027943</v>
      </c>
      <c r="I169" s="14">
        <f>+'Summer Credit Hour Allocation'!AF9</f>
        <v>35.31262180442512</v>
      </c>
      <c r="J169" s="3">
        <f t="shared" si="127"/>
        <v>6753.7129498323684</v>
      </c>
      <c r="L169" s="88">
        <f t="shared" si="128"/>
        <v>421.57699344782924</v>
      </c>
      <c r="M169" s="88">
        <f t="shared" si="129"/>
        <v>34.646867839683345</v>
      </c>
      <c r="N169" s="88">
        <f t="shared" si="130"/>
        <v>191.39412788221679</v>
      </c>
      <c r="O169" s="88">
        <f t="shared" si="131"/>
        <v>647.61798916972941</v>
      </c>
      <c r="P169" s="88">
        <f t="shared" si="132"/>
        <v>612.971121330046</v>
      </c>
      <c r="Q169" s="1"/>
      <c r="R169" s="109">
        <f t="shared" si="133"/>
        <v>1.0229999999999999</v>
      </c>
      <c r="S169" s="94">
        <f t="shared" si="136"/>
        <v>627.06945712063703</v>
      </c>
      <c r="T169" s="1"/>
      <c r="U169" s="51">
        <f t="shared" si="134"/>
        <v>0.65096553909551957</v>
      </c>
      <c r="V169" s="51">
        <f t="shared" si="135"/>
        <v>0.31224004071663797</v>
      </c>
    </row>
    <row r="170" spans="1:22" x14ac:dyDescent="0.25">
      <c r="A170">
        <v>2019</v>
      </c>
      <c r="B170" s="76">
        <v>3182092</v>
      </c>
      <c r="C170" s="76">
        <v>525485</v>
      </c>
      <c r="D170" s="76">
        <v>1094884</v>
      </c>
      <c r="E170" s="72">
        <f t="shared" si="125"/>
        <v>4802461</v>
      </c>
      <c r="F170" s="72">
        <f t="shared" si="126"/>
        <v>4276976</v>
      </c>
      <c r="G170" s="5"/>
      <c r="H170" s="1">
        <f>+'AY Credit Hour Allocation'!BI9</f>
        <v>7927.2931502718748</v>
      </c>
      <c r="I170" s="14">
        <f>+'Summer Credit Hour Allocation'!AJ9</f>
        <v>16.185586613424604</v>
      </c>
      <c r="J170" s="3">
        <f t="shared" si="127"/>
        <v>7943.4787368852994</v>
      </c>
      <c r="L170" s="88">
        <f t="shared" si="128"/>
        <v>400.59174391995958</v>
      </c>
      <c r="M170" s="88">
        <f t="shared" si="129"/>
        <v>66.153006435319895</v>
      </c>
      <c r="N170" s="88">
        <f t="shared" si="130"/>
        <v>137.83432124214542</v>
      </c>
      <c r="O170" s="88">
        <f t="shared" si="131"/>
        <v>604.5790715974249</v>
      </c>
      <c r="P170" s="88">
        <f t="shared" si="132"/>
        <v>538.42606516210503</v>
      </c>
      <c r="Q170" s="1"/>
      <c r="R170" s="109">
        <f t="shared" si="133"/>
        <v>1.0065</v>
      </c>
      <c r="S170" s="94">
        <f t="shared" si="136"/>
        <v>541.92583458565866</v>
      </c>
      <c r="T170" s="1"/>
      <c r="U170" s="51">
        <f t="shared" si="134"/>
        <v>0.66259611478364944</v>
      </c>
      <c r="V170" s="51">
        <f t="shared" si="135"/>
        <v>0.2559948898474062</v>
      </c>
    </row>
    <row r="171" spans="1:22" ht="15.75" customHeight="1" x14ac:dyDescent="0.25">
      <c r="A171" s="68">
        <v>2020</v>
      </c>
      <c r="B171" s="76">
        <v>3416420</v>
      </c>
      <c r="C171" s="76">
        <v>810734</v>
      </c>
      <c r="D171" s="76">
        <v>1583309</v>
      </c>
      <c r="E171" s="72">
        <f t="shared" si="125"/>
        <v>5810463</v>
      </c>
      <c r="F171" s="72">
        <f t="shared" si="126"/>
        <v>4999729</v>
      </c>
      <c r="G171" s="5"/>
      <c r="H171" s="1">
        <f>+'AY Credit Hour Allocation'!BO9</f>
        <v>8943.406151525076</v>
      </c>
      <c r="I171" s="14">
        <f>+'Summer Credit Hour Allocation'!AN9</f>
        <v>197.97240102283558</v>
      </c>
      <c r="J171" s="3">
        <f t="shared" si="127"/>
        <v>9141.3785525479107</v>
      </c>
      <c r="L171" s="88">
        <f t="shared" si="128"/>
        <v>373.73137764301049</v>
      </c>
      <c r="M171" s="88">
        <f t="shared" si="129"/>
        <v>88.68837400613171</v>
      </c>
      <c r="N171" s="88">
        <f t="shared" si="130"/>
        <v>173.20243231352623</v>
      </c>
      <c r="O171" s="88">
        <f t="shared" si="131"/>
        <v>635.62218396266849</v>
      </c>
      <c r="P171" s="88">
        <f t="shared" si="132"/>
        <v>546.93380995653672</v>
      </c>
      <c r="Q171" s="1"/>
      <c r="R171" s="109">
        <f t="shared" si="133"/>
        <v>1</v>
      </c>
      <c r="S171" s="94">
        <f t="shared" si="136"/>
        <v>546.93380995653672</v>
      </c>
      <c r="T171" s="1"/>
      <c r="U171" s="51">
        <f t="shared" si="134"/>
        <v>0.58797724036793619</v>
      </c>
      <c r="V171" s="51">
        <f t="shared" si="135"/>
        <v>0.31667896399984879</v>
      </c>
    </row>
    <row r="172" spans="1:22" x14ac:dyDescent="0.25">
      <c r="A172" s="345">
        <v>2021</v>
      </c>
      <c r="B172" s="76">
        <v>3294088</v>
      </c>
      <c r="C172" s="76">
        <v>984872</v>
      </c>
      <c r="D172" s="76">
        <v>1670662</v>
      </c>
      <c r="E172" s="72">
        <f t="shared" si="125"/>
        <v>5949622</v>
      </c>
      <c r="F172" s="72">
        <f t="shared" si="126"/>
        <v>4964750</v>
      </c>
      <c r="G172" s="6"/>
      <c r="H172" s="1">
        <f>+'AY Credit Hour Allocation'!BU9</f>
        <v>9494.0425044198491</v>
      </c>
      <c r="I172" s="14">
        <f>+'Summer Credit Hour Allocation'!AR9</f>
        <v>229.78110944527683</v>
      </c>
      <c r="J172" s="3">
        <f t="shared" si="127"/>
        <v>9723.8236138651264</v>
      </c>
      <c r="L172" s="88">
        <f t="shared" si="128"/>
        <v>338.76468052166075</v>
      </c>
      <c r="M172" s="88">
        <f t="shared" si="129"/>
        <v>101.2844369776184</v>
      </c>
      <c r="N172" s="88">
        <f t="shared" si="130"/>
        <v>171.81122018891989</v>
      </c>
      <c r="O172" s="88">
        <f t="shared" si="131"/>
        <v>611.86033768819902</v>
      </c>
      <c r="P172" s="88">
        <f t="shared" si="132"/>
        <v>510.57590071058064</v>
      </c>
      <c r="Q172" s="1"/>
      <c r="R172" s="109"/>
      <c r="S172" s="94"/>
      <c r="T172" s="95"/>
      <c r="U172" s="51">
        <f t="shared" ref="U172:U175" si="137">+L172/O172</f>
        <v>0.55366340920482016</v>
      </c>
      <c r="V172" s="51">
        <f t="shared" ref="V172:V175" si="138">+N172/P172</f>
        <v>0.33650475854776168</v>
      </c>
    </row>
    <row r="173" spans="1:22" x14ac:dyDescent="0.25">
      <c r="A173" s="345">
        <v>2022</v>
      </c>
      <c r="B173" s="76">
        <v>3152796</v>
      </c>
      <c r="C173" s="76">
        <v>1054821</v>
      </c>
      <c r="D173" s="76">
        <v>1692133</v>
      </c>
      <c r="E173" s="72">
        <f t="shared" si="125"/>
        <v>5899750</v>
      </c>
      <c r="F173" s="72">
        <f t="shared" si="126"/>
        <v>4844929</v>
      </c>
      <c r="G173" s="6"/>
      <c r="H173" s="1">
        <f>+'AY Credit Hour Allocation'!CA9</f>
        <v>9374.3886218904936</v>
      </c>
      <c r="I173" s="14">
        <f>+'Summer Credit Hour Allocation'!AV9</f>
        <v>359.69624573378849</v>
      </c>
      <c r="J173" s="3">
        <f t="shared" si="127"/>
        <v>9734.0848676242822</v>
      </c>
      <c r="L173" s="88">
        <f t="shared" si="128"/>
        <v>323.89238874280301</v>
      </c>
      <c r="M173" s="88">
        <f t="shared" si="129"/>
        <v>108.36365352724128</v>
      </c>
      <c r="N173" s="88">
        <f t="shared" si="130"/>
        <v>173.83585853335435</v>
      </c>
      <c r="O173" s="88">
        <f t="shared" si="131"/>
        <v>606.09190080339863</v>
      </c>
      <c r="P173" s="88">
        <f t="shared" si="132"/>
        <v>497.72824727615739</v>
      </c>
      <c r="Q173" s="1"/>
      <c r="R173" s="109"/>
      <c r="S173" s="94"/>
      <c r="T173" s="95"/>
      <c r="U173" s="51">
        <f t="shared" si="137"/>
        <v>0.53439484723928976</v>
      </c>
      <c r="V173" s="51">
        <f t="shared" si="138"/>
        <v>0.34925857530626347</v>
      </c>
    </row>
    <row r="174" spans="1:22" x14ac:dyDescent="0.25">
      <c r="A174" s="345">
        <v>2023</v>
      </c>
      <c r="B174" s="76">
        <v>2923588</v>
      </c>
      <c r="C174" s="76">
        <v>873484</v>
      </c>
      <c r="D174" s="76">
        <v>2033923</v>
      </c>
      <c r="E174" s="72">
        <f t="shared" si="125"/>
        <v>5830995</v>
      </c>
      <c r="F174" s="72">
        <f t="shared" si="126"/>
        <v>4957511</v>
      </c>
      <c r="G174" s="6"/>
      <c r="H174" s="1">
        <f>+'AY Credit Hour Allocation'!CG9</f>
        <v>8639</v>
      </c>
      <c r="I174" s="14">
        <f>+'Summer Credit Hour Allocation'!AZ9</f>
        <v>343.96922076514579</v>
      </c>
      <c r="J174" s="3">
        <f t="shared" si="127"/>
        <v>8982.969220765146</v>
      </c>
      <c r="L174" s="88">
        <f t="shared" si="128"/>
        <v>325.45898000427263</v>
      </c>
      <c r="M174" s="88">
        <f t="shared" si="129"/>
        <v>97.237781688135286</v>
      </c>
      <c r="N174" s="88">
        <f t="shared" si="130"/>
        <v>226.41990081613079</v>
      </c>
      <c r="O174" s="88">
        <f t="shared" si="131"/>
        <v>649.11666250853864</v>
      </c>
      <c r="P174" s="88">
        <f t="shared" si="132"/>
        <v>551.87888082040342</v>
      </c>
      <c r="Q174" s="1"/>
      <c r="R174" s="109"/>
      <c r="S174" s="94"/>
      <c r="T174" s="95"/>
      <c r="U174" s="51">
        <f t="shared" si="137"/>
        <v>0.50138749904604618</v>
      </c>
      <c r="V174" s="51">
        <f t="shared" si="138"/>
        <v>0.41027100091154611</v>
      </c>
    </row>
    <row r="175" spans="1:22" x14ac:dyDescent="0.25">
      <c r="A175" s="345" t="s">
        <v>2898</v>
      </c>
      <c r="B175" s="76">
        <v>3006279</v>
      </c>
      <c r="C175" s="76">
        <v>1092750</v>
      </c>
      <c r="D175" s="76">
        <v>2589300</v>
      </c>
      <c r="E175" s="72">
        <f t="shared" si="125"/>
        <v>6688329</v>
      </c>
      <c r="F175" s="72">
        <f t="shared" si="126"/>
        <v>5595579</v>
      </c>
      <c r="G175" s="6"/>
      <c r="H175" s="1">
        <f>+'AY Credit Hour Allocation'!CM9</f>
        <v>8453</v>
      </c>
      <c r="I175" s="14">
        <f>+'Summer Credit Hour Allocation'!BD9</f>
        <v>310.47300125575555</v>
      </c>
      <c r="J175" s="3">
        <f t="shared" si="127"/>
        <v>8763.4730012557557</v>
      </c>
      <c r="L175" s="88">
        <f t="shared" si="128"/>
        <v>343.04652956301885</v>
      </c>
      <c r="M175" s="88">
        <f t="shared" si="129"/>
        <v>124.69371444898788</v>
      </c>
      <c r="N175" s="88">
        <f t="shared" si="130"/>
        <v>295.46505131344253</v>
      </c>
      <c r="O175" s="88">
        <f t="shared" si="131"/>
        <v>763.20529532544924</v>
      </c>
      <c r="P175" s="88">
        <f t="shared" si="132"/>
        <v>638.51158087646138</v>
      </c>
      <c r="Q175" s="1"/>
      <c r="R175" s="109"/>
      <c r="S175" s="94"/>
      <c r="T175" s="95"/>
      <c r="U175" s="51">
        <f t="shared" si="137"/>
        <v>0.44948132784735922</v>
      </c>
      <c r="V175" s="51">
        <f t="shared" si="138"/>
        <v>0.46274031695379514</v>
      </c>
    </row>
    <row r="176" spans="1:22" x14ac:dyDescent="0.25">
      <c r="A176" s="68"/>
      <c r="B176" s="76"/>
      <c r="C176" s="76"/>
      <c r="D176" s="76"/>
      <c r="E176" s="72"/>
      <c r="F176" s="72"/>
      <c r="G176" s="5"/>
      <c r="H176" s="67"/>
      <c r="J176" s="3"/>
      <c r="Q176" s="1"/>
      <c r="R176" s="1" t="s">
        <v>418</v>
      </c>
      <c r="S176" s="94">
        <f>AVERAGE(S161:S164)</f>
        <v>766.42232393015195</v>
      </c>
      <c r="T176" s="1"/>
      <c r="U176" s="51"/>
      <c r="V176" s="51"/>
    </row>
    <row r="177" spans="1:22" x14ac:dyDescent="0.25">
      <c r="Q177" s="1"/>
      <c r="R177" s="1"/>
      <c r="S177" s="1"/>
      <c r="T177" s="1"/>
      <c r="V177" s="51"/>
    </row>
    <row r="178" spans="1:22" ht="15.75" thickBot="1" x14ac:dyDescent="0.3">
      <c r="B178" s="66" t="s">
        <v>57</v>
      </c>
      <c r="C178" s="66"/>
      <c r="D178" s="66"/>
      <c r="E178" s="66"/>
      <c r="F178" s="66"/>
      <c r="G178" s="64"/>
      <c r="H178" s="66" t="s">
        <v>2891</v>
      </c>
      <c r="I178" s="93"/>
      <c r="J178" s="66"/>
      <c r="K178" s="13"/>
      <c r="L178" s="89" t="s">
        <v>2892</v>
      </c>
      <c r="M178" s="89"/>
      <c r="N178" s="89"/>
      <c r="O178" s="89"/>
      <c r="P178" s="89"/>
      <c r="U178" s="64"/>
    </row>
    <row r="179" spans="1:22" x14ac:dyDescent="0.25">
      <c r="A179" t="s">
        <v>2904</v>
      </c>
      <c r="B179" s="8" t="s">
        <v>2893</v>
      </c>
      <c r="C179" s="8" t="s">
        <v>73</v>
      </c>
      <c r="D179" s="8" t="s">
        <v>50</v>
      </c>
      <c r="E179" s="8" t="s">
        <v>38</v>
      </c>
      <c r="F179" s="8" t="s">
        <v>2894</v>
      </c>
      <c r="G179" s="6"/>
      <c r="H179" s="8" t="s">
        <v>101</v>
      </c>
      <c r="I179" s="40" t="s">
        <v>31</v>
      </c>
      <c r="J179" s="8" t="s">
        <v>38</v>
      </c>
      <c r="K179" s="6"/>
      <c r="L179" s="90" t="s">
        <v>2893</v>
      </c>
      <c r="M179" s="90" t="s">
        <v>73</v>
      </c>
      <c r="N179" s="90" t="s">
        <v>50</v>
      </c>
      <c r="O179" s="90" t="s">
        <v>38</v>
      </c>
      <c r="P179" s="90" t="s">
        <v>2894</v>
      </c>
      <c r="Q179" s="15"/>
      <c r="R179" s="15"/>
      <c r="S179" s="15"/>
      <c r="T179" s="15"/>
      <c r="U179" s="8" t="s">
        <v>2893</v>
      </c>
      <c r="V179" s="91" t="s">
        <v>50</v>
      </c>
    </row>
    <row r="180" spans="1:22" x14ac:dyDescent="0.25">
      <c r="A180">
        <v>2010</v>
      </c>
      <c r="B180" s="3">
        <f t="shared" ref="B180:E190" si="139">B161+B142+B123+B104+B85+B66+B47+B28+B9</f>
        <v>62836090</v>
      </c>
      <c r="C180" s="3">
        <f t="shared" si="139"/>
        <v>993413</v>
      </c>
      <c r="D180" s="3">
        <f t="shared" si="139"/>
        <v>8010069</v>
      </c>
      <c r="E180" s="3">
        <f t="shared" si="139"/>
        <v>71839572</v>
      </c>
      <c r="F180" s="72">
        <f t="shared" ref="F180:F190" si="140">+E180-C180</f>
        <v>70846159</v>
      </c>
      <c r="G180" s="6"/>
      <c r="H180" s="3">
        <f t="shared" ref="H180:I190" si="141">H161+H142+H123+H104+H85+H66+H47+H28+H9</f>
        <v>348251</v>
      </c>
      <c r="I180" s="3">
        <f t="shared" si="141"/>
        <v>0</v>
      </c>
      <c r="J180" s="3">
        <f t="shared" ref="J180:J190" si="142">SUM(H180:I180)</f>
        <v>348251</v>
      </c>
      <c r="K180" s="6"/>
      <c r="L180" s="88">
        <f t="shared" ref="L180:L190" si="143">B180/J180</f>
        <v>180.43333687484028</v>
      </c>
      <c r="M180" s="88">
        <f t="shared" ref="M180:M190" si="144">+C180/J180</f>
        <v>2.8525775948956356</v>
      </c>
      <c r="N180" s="88">
        <f t="shared" ref="N180:N190" si="145">D180/J180</f>
        <v>23.00084996166558</v>
      </c>
      <c r="O180" s="88">
        <f t="shared" ref="O180:O190" si="146">+E180/J180</f>
        <v>206.28676443140148</v>
      </c>
      <c r="P180" s="88">
        <f t="shared" ref="P180:P190" si="147">+L180+N180</f>
        <v>203.43418683650586</v>
      </c>
      <c r="Q180" s="1"/>
      <c r="R180" s="109">
        <f t="shared" ref="R180:R190" si="148">+R161</f>
        <v>1.1827000000000001</v>
      </c>
      <c r="S180" s="94">
        <f>+P180*R180</f>
        <v>240.60161277153549</v>
      </c>
      <c r="T180" s="1"/>
      <c r="U180" s="51">
        <f t="shared" ref="U180:U190" si="149">+L180/O180</f>
        <v>0.87467238808159942</v>
      </c>
      <c r="V180" s="51">
        <f t="shared" ref="V180:V190" si="150">+N180/P180</f>
        <v>0.1130628549671973</v>
      </c>
    </row>
    <row r="181" spans="1:22" x14ac:dyDescent="0.25">
      <c r="A181">
        <v>2011</v>
      </c>
      <c r="B181" s="3">
        <f t="shared" si="139"/>
        <v>64457632</v>
      </c>
      <c r="C181" s="3">
        <f t="shared" si="139"/>
        <v>0</v>
      </c>
      <c r="D181" s="3">
        <f t="shared" si="139"/>
        <v>8012655</v>
      </c>
      <c r="E181" s="3">
        <f t="shared" si="139"/>
        <v>72470287</v>
      </c>
      <c r="F181" s="72">
        <f t="shared" si="140"/>
        <v>72470287</v>
      </c>
      <c r="G181" s="3"/>
      <c r="H181" s="3">
        <f t="shared" si="141"/>
        <v>374371</v>
      </c>
      <c r="I181" s="3">
        <f t="shared" si="141"/>
        <v>20241</v>
      </c>
      <c r="J181" s="3">
        <f t="shared" si="142"/>
        <v>394612</v>
      </c>
      <c r="L181" s="88">
        <f t="shared" si="143"/>
        <v>163.34432809950027</v>
      </c>
      <c r="M181" s="88">
        <f t="shared" si="144"/>
        <v>0</v>
      </c>
      <c r="N181" s="88">
        <f t="shared" si="145"/>
        <v>20.305147841423981</v>
      </c>
      <c r="O181" s="88">
        <f t="shared" si="146"/>
        <v>183.64947594092425</v>
      </c>
      <c r="P181" s="88">
        <f t="shared" si="147"/>
        <v>183.64947594092425</v>
      </c>
      <c r="Q181" s="1"/>
      <c r="R181" s="109">
        <f t="shared" si="148"/>
        <v>1.1420999999999999</v>
      </c>
      <c r="S181" s="94">
        <f t="shared" ref="S181:S190" si="151">+P181*R181</f>
        <v>209.74606647212957</v>
      </c>
      <c r="T181" s="1"/>
      <c r="U181" s="51">
        <f t="shared" si="149"/>
        <v>0.88943530746607924</v>
      </c>
      <c r="V181" s="51">
        <f t="shared" si="150"/>
        <v>0.11056469253392083</v>
      </c>
    </row>
    <row r="182" spans="1:22" x14ac:dyDescent="0.25">
      <c r="A182">
        <v>2012</v>
      </c>
      <c r="B182" s="3">
        <f t="shared" si="139"/>
        <v>66483197.060000002</v>
      </c>
      <c r="C182" s="3">
        <f t="shared" si="139"/>
        <v>745002</v>
      </c>
      <c r="D182" s="3">
        <f t="shared" si="139"/>
        <v>8310969.9400000004</v>
      </c>
      <c r="E182" s="3">
        <f t="shared" si="139"/>
        <v>75539169</v>
      </c>
      <c r="F182" s="72">
        <f t="shared" si="140"/>
        <v>74794167</v>
      </c>
      <c r="G182" s="3"/>
      <c r="H182" s="3">
        <f t="shared" si="141"/>
        <v>366488</v>
      </c>
      <c r="I182" s="3">
        <f t="shared" si="141"/>
        <v>20719</v>
      </c>
      <c r="J182" s="3">
        <f t="shared" si="142"/>
        <v>387207</v>
      </c>
      <c r="L182" s="88">
        <f t="shared" si="143"/>
        <v>171.69936767672073</v>
      </c>
      <c r="M182" s="88">
        <f t="shared" si="144"/>
        <v>1.9240406294307695</v>
      </c>
      <c r="N182" s="88">
        <f t="shared" si="145"/>
        <v>21.463893834563944</v>
      </c>
      <c r="O182" s="88">
        <f t="shared" si="146"/>
        <v>195.08730214071542</v>
      </c>
      <c r="P182" s="88">
        <f t="shared" si="147"/>
        <v>193.16326151128467</v>
      </c>
      <c r="Q182" s="1"/>
      <c r="R182" s="109">
        <f t="shared" si="148"/>
        <v>1.1234</v>
      </c>
      <c r="S182" s="94">
        <f t="shared" si="151"/>
        <v>216.99960798177719</v>
      </c>
      <c r="T182" s="1"/>
      <c r="U182" s="51">
        <f t="shared" si="149"/>
        <v>0.88011554720703911</v>
      </c>
      <c r="V182" s="51">
        <f t="shared" si="150"/>
        <v>0.11111788891238003</v>
      </c>
    </row>
    <row r="183" spans="1:22" x14ac:dyDescent="0.25">
      <c r="A183">
        <v>2013</v>
      </c>
      <c r="B183" s="3">
        <f t="shared" si="139"/>
        <v>68699445</v>
      </c>
      <c r="C183" s="3">
        <f t="shared" si="139"/>
        <v>1610447</v>
      </c>
      <c r="D183" s="3">
        <f t="shared" si="139"/>
        <v>8330631</v>
      </c>
      <c r="E183" s="3">
        <f t="shared" si="139"/>
        <v>78640523</v>
      </c>
      <c r="F183" s="72">
        <f t="shared" si="140"/>
        <v>77030076</v>
      </c>
      <c r="G183" s="3"/>
      <c r="H183" s="3">
        <f t="shared" si="141"/>
        <v>343059</v>
      </c>
      <c r="I183" s="3">
        <f t="shared" si="141"/>
        <v>17042</v>
      </c>
      <c r="J183" s="3">
        <f t="shared" si="142"/>
        <v>360101</v>
      </c>
      <c r="L183" s="88">
        <f t="shared" si="143"/>
        <v>190.77826776376628</v>
      </c>
      <c r="M183" s="88">
        <f t="shared" si="144"/>
        <v>4.4722091857562187</v>
      </c>
      <c r="N183" s="88">
        <f t="shared" si="145"/>
        <v>23.134151252009854</v>
      </c>
      <c r="O183" s="88">
        <f t="shared" si="146"/>
        <v>218.38462820153234</v>
      </c>
      <c r="P183" s="88">
        <f t="shared" si="147"/>
        <v>213.91241901577612</v>
      </c>
      <c r="Q183" s="1"/>
      <c r="R183" s="109">
        <f t="shared" si="148"/>
        <v>1.1104000000000001</v>
      </c>
      <c r="S183" s="94">
        <f t="shared" si="151"/>
        <v>237.52835007511783</v>
      </c>
      <c r="T183" s="1"/>
      <c r="U183" s="51">
        <f t="shared" si="149"/>
        <v>0.87358835342435359</v>
      </c>
      <c r="V183" s="51">
        <f t="shared" si="150"/>
        <v>0.10814777074866187</v>
      </c>
    </row>
    <row r="184" spans="1:22" x14ac:dyDescent="0.25">
      <c r="A184">
        <v>2014</v>
      </c>
      <c r="B184" s="3">
        <f t="shared" si="139"/>
        <v>69123550</v>
      </c>
      <c r="C184" s="3">
        <f t="shared" si="139"/>
        <v>1607791</v>
      </c>
      <c r="D184" s="3">
        <f t="shared" si="139"/>
        <v>8432158</v>
      </c>
      <c r="E184" s="3">
        <f t="shared" si="139"/>
        <v>79163499</v>
      </c>
      <c r="F184" s="72">
        <f t="shared" si="140"/>
        <v>77555708</v>
      </c>
      <c r="G184" s="3"/>
      <c r="H184" s="3">
        <f t="shared" si="141"/>
        <v>324899.99999999994</v>
      </c>
      <c r="I184" s="3">
        <f t="shared" si="141"/>
        <v>15551</v>
      </c>
      <c r="J184" s="3">
        <f t="shared" si="142"/>
        <v>340450.99999999994</v>
      </c>
      <c r="L184" s="88">
        <f t="shared" si="143"/>
        <v>203.03523855121591</v>
      </c>
      <c r="M184" s="88">
        <f t="shared" si="144"/>
        <v>4.7225327580180414</v>
      </c>
      <c r="N184" s="88">
        <f t="shared" si="145"/>
        <v>24.767611198087248</v>
      </c>
      <c r="O184" s="88">
        <f t="shared" si="146"/>
        <v>232.52538250732121</v>
      </c>
      <c r="P184" s="88">
        <f t="shared" si="147"/>
        <v>227.80284974930316</v>
      </c>
      <c r="Q184" s="1"/>
      <c r="R184" s="109">
        <f t="shared" si="148"/>
        <v>1.0815999999999999</v>
      </c>
      <c r="S184" s="94">
        <f t="shared" si="151"/>
        <v>246.39156228884627</v>
      </c>
      <c r="T184" s="1"/>
      <c r="U184" s="51">
        <f t="shared" si="149"/>
        <v>0.8731745169576195</v>
      </c>
      <c r="V184" s="51">
        <f t="shared" si="150"/>
        <v>0.10872388657711693</v>
      </c>
    </row>
    <row r="185" spans="1:22" x14ac:dyDescent="0.25">
      <c r="A185">
        <v>2015</v>
      </c>
      <c r="B185" s="3">
        <f t="shared" si="139"/>
        <v>74632073</v>
      </c>
      <c r="C185" s="3">
        <f t="shared" si="139"/>
        <v>1621498</v>
      </c>
      <c r="D185" s="3">
        <f t="shared" si="139"/>
        <v>7466753.5</v>
      </c>
      <c r="E185" s="3">
        <f t="shared" si="139"/>
        <v>83720324.5</v>
      </c>
      <c r="F185" s="72">
        <f t="shared" si="140"/>
        <v>82098826.5</v>
      </c>
      <c r="G185" s="3"/>
      <c r="H185" s="3">
        <f t="shared" si="141"/>
        <v>335699.8915000002</v>
      </c>
      <c r="I185" s="3">
        <f t="shared" si="141"/>
        <v>14140.000000000031</v>
      </c>
      <c r="J185" s="3">
        <f t="shared" si="142"/>
        <v>349839.89150000026</v>
      </c>
      <c r="L185" s="88">
        <f t="shared" si="143"/>
        <v>213.33208365690322</v>
      </c>
      <c r="M185" s="88">
        <f t="shared" si="144"/>
        <v>4.6349717096227687</v>
      </c>
      <c r="N185" s="88">
        <f t="shared" si="145"/>
        <v>21.343345002723893</v>
      </c>
      <c r="O185" s="88">
        <f t="shared" si="146"/>
        <v>239.31040036924989</v>
      </c>
      <c r="P185" s="88">
        <f t="shared" si="147"/>
        <v>234.67542865962713</v>
      </c>
      <c r="Q185" s="1"/>
      <c r="R185" s="109">
        <f t="shared" si="148"/>
        <v>1.0803</v>
      </c>
      <c r="S185" s="94">
        <f t="shared" si="151"/>
        <v>253.5198655809952</v>
      </c>
      <c r="T185" s="1"/>
      <c r="U185" s="51">
        <f t="shared" si="149"/>
        <v>0.89144509945132855</v>
      </c>
      <c r="V185" s="51">
        <f t="shared" si="150"/>
        <v>9.0948358439690957E-2</v>
      </c>
    </row>
    <row r="186" spans="1:22" x14ac:dyDescent="0.25">
      <c r="A186">
        <v>2016</v>
      </c>
      <c r="B186" s="3">
        <f t="shared" si="139"/>
        <v>74019225</v>
      </c>
      <c r="C186" s="3">
        <f t="shared" si="139"/>
        <v>1649829</v>
      </c>
      <c r="D186" s="3">
        <f t="shared" si="139"/>
        <v>6865398.2999999989</v>
      </c>
      <c r="E186" s="3">
        <f t="shared" si="139"/>
        <v>82534452.299999997</v>
      </c>
      <c r="F186" s="72">
        <f t="shared" si="140"/>
        <v>80884623.299999997</v>
      </c>
      <c r="G186" s="3"/>
      <c r="H186" s="3">
        <f t="shared" si="141"/>
        <v>316642.88186666672</v>
      </c>
      <c r="I186" s="3">
        <f t="shared" si="141"/>
        <v>12699.000000000055</v>
      </c>
      <c r="J186" s="3">
        <f t="shared" si="142"/>
        <v>329341.88186666678</v>
      </c>
      <c r="L186" s="88">
        <f t="shared" si="143"/>
        <v>224.74889795512402</v>
      </c>
      <c r="M186" s="88">
        <f t="shared" si="144"/>
        <v>5.009472195424963</v>
      </c>
      <c r="N186" s="88">
        <f t="shared" si="145"/>
        <v>20.845810016897389</v>
      </c>
      <c r="O186" s="88">
        <f t="shared" si="146"/>
        <v>250.60418016744637</v>
      </c>
      <c r="P186" s="88">
        <f t="shared" si="147"/>
        <v>245.59470797202141</v>
      </c>
      <c r="Q186" s="1"/>
      <c r="R186" s="109">
        <f t="shared" si="148"/>
        <v>1.0696000000000001</v>
      </c>
      <c r="S186" s="94">
        <f t="shared" si="151"/>
        <v>262.68809964687415</v>
      </c>
      <c r="T186" s="1"/>
      <c r="U186" s="51">
        <f t="shared" si="149"/>
        <v>0.89682820855164269</v>
      </c>
      <c r="V186" s="51">
        <f t="shared" si="150"/>
        <v>8.4878905531108509E-2</v>
      </c>
    </row>
    <row r="187" spans="1:22" x14ac:dyDescent="0.25">
      <c r="A187">
        <v>2017</v>
      </c>
      <c r="B187" s="3">
        <f t="shared" si="139"/>
        <v>72426320</v>
      </c>
      <c r="C187" s="3">
        <f t="shared" si="139"/>
        <v>1390902</v>
      </c>
      <c r="D187" s="3">
        <f t="shared" si="139"/>
        <v>6075646.4499999974</v>
      </c>
      <c r="E187" s="3">
        <f t="shared" si="139"/>
        <v>79892868.450000003</v>
      </c>
      <c r="F187" s="72">
        <f t="shared" si="140"/>
        <v>78501966.450000003</v>
      </c>
      <c r="G187" s="3"/>
      <c r="H187" s="3">
        <f t="shared" si="141"/>
        <v>299420.2419666666</v>
      </c>
      <c r="I187" s="3">
        <f t="shared" si="141"/>
        <v>11801.999999999996</v>
      </c>
      <c r="J187" s="3">
        <f t="shared" si="142"/>
        <v>311222.2419666666</v>
      </c>
      <c r="L187" s="88">
        <f t="shared" si="143"/>
        <v>232.71575817436985</v>
      </c>
      <c r="M187" s="88">
        <f t="shared" si="144"/>
        <v>4.4691600163621095</v>
      </c>
      <c r="N187" s="88">
        <f t="shared" si="145"/>
        <v>19.521890246683359</v>
      </c>
      <c r="O187" s="88">
        <f t="shared" si="146"/>
        <v>256.7068084374153</v>
      </c>
      <c r="P187" s="88">
        <f t="shared" si="147"/>
        <v>252.23764842105322</v>
      </c>
      <c r="Q187" s="1"/>
      <c r="R187" s="109">
        <f t="shared" si="148"/>
        <v>1.0524</v>
      </c>
      <c r="S187" s="94">
        <f t="shared" si="151"/>
        <v>265.45490119831641</v>
      </c>
      <c r="T187" s="1"/>
      <c r="U187" s="51">
        <f t="shared" si="149"/>
        <v>0.90654299194836341</v>
      </c>
      <c r="V187" s="51">
        <f t="shared" si="150"/>
        <v>7.7394831298522163E-2</v>
      </c>
    </row>
    <row r="188" spans="1:22" x14ac:dyDescent="0.25">
      <c r="A188">
        <v>2018</v>
      </c>
      <c r="B188" s="3">
        <f t="shared" si="139"/>
        <v>68383298</v>
      </c>
      <c r="C188" s="3">
        <f t="shared" si="139"/>
        <v>1708648</v>
      </c>
      <c r="D188" s="3">
        <f t="shared" si="139"/>
        <v>5595329.3900000006</v>
      </c>
      <c r="E188" s="3">
        <f t="shared" si="139"/>
        <v>75687275.390000001</v>
      </c>
      <c r="F188" s="72">
        <f t="shared" si="140"/>
        <v>73978627.390000001</v>
      </c>
      <c r="G188" s="3"/>
      <c r="H188" s="3">
        <f t="shared" si="141"/>
        <v>280579.88319999998</v>
      </c>
      <c r="I188" s="3">
        <f t="shared" si="141"/>
        <v>10614.000000000011</v>
      </c>
      <c r="J188" s="3">
        <f t="shared" si="142"/>
        <v>291193.88319999998</v>
      </c>
      <c r="L188" s="88">
        <f t="shared" si="143"/>
        <v>234.83768700262314</v>
      </c>
      <c r="M188" s="88">
        <f t="shared" si="144"/>
        <v>5.8677331447462224</v>
      </c>
      <c r="N188" s="88">
        <f t="shared" si="145"/>
        <v>19.215133671461686</v>
      </c>
      <c r="O188" s="88">
        <f t="shared" si="146"/>
        <v>259.92055381883108</v>
      </c>
      <c r="P188" s="88">
        <f t="shared" si="147"/>
        <v>254.05282067408484</v>
      </c>
      <c r="Q188" s="1"/>
      <c r="R188" s="109">
        <f t="shared" si="148"/>
        <v>1.0229999999999999</v>
      </c>
      <c r="S188" s="94">
        <f t="shared" si="151"/>
        <v>259.89603554958876</v>
      </c>
      <c r="T188" s="1"/>
      <c r="U188" s="51">
        <f t="shared" si="149"/>
        <v>0.90349794793954186</v>
      </c>
      <c r="V188" s="51">
        <f t="shared" si="150"/>
        <v>7.5634403981336168E-2</v>
      </c>
    </row>
    <row r="189" spans="1:22" x14ac:dyDescent="0.25">
      <c r="A189">
        <v>2019</v>
      </c>
      <c r="B189" s="3">
        <f t="shared" si="139"/>
        <v>66369800</v>
      </c>
      <c r="C189" s="3">
        <f t="shared" si="139"/>
        <v>1993721</v>
      </c>
      <c r="D189" s="3">
        <f t="shared" si="139"/>
        <v>6612972.9999999991</v>
      </c>
      <c r="E189" s="3">
        <f t="shared" si="139"/>
        <v>74976494</v>
      </c>
      <c r="F189" s="72">
        <f t="shared" si="140"/>
        <v>72982773</v>
      </c>
      <c r="G189" s="3"/>
      <c r="H189" s="3">
        <f t="shared" si="141"/>
        <v>260681.60999090923</v>
      </c>
      <c r="I189" s="3">
        <f t="shared" si="141"/>
        <v>13581.000000000002</v>
      </c>
      <c r="J189" s="3">
        <f t="shared" si="142"/>
        <v>274262.60999090923</v>
      </c>
      <c r="L189" s="88">
        <f t="shared" si="143"/>
        <v>241.99361335546214</v>
      </c>
      <c r="M189" s="88">
        <f t="shared" si="144"/>
        <v>7.2693868116623124</v>
      </c>
      <c r="N189" s="88">
        <f t="shared" si="145"/>
        <v>24.111828441431349</v>
      </c>
      <c r="O189" s="88">
        <f t="shared" si="146"/>
        <v>273.37482860855584</v>
      </c>
      <c r="P189" s="88">
        <f t="shared" si="147"/>
        <v>266.1054417968935</v>
      </c>
      <c r="Q189" s="1"/>
      <c r="R189" s="109">
        <f t="shared" si="148"/>
        <v>1.0065</v>
      </c>
      <c r="S189" s="94">
        <f t="shared" si="151"/>
        <v>267.83512716857331</v>
      </c>
      <c r="T189" s="1"/>
      <c r="U189" s="51">
        <f t="shared" si="149"/>
        <v>0.88520810268882388</v>
      </c>
      <c r="V189" s="51">
        <f t="shared" si="150"/>
        <v>9.061005396437867E-2</v>
      </c>
    </row>
    <row r="190" spans="1:22" x14ac:dyDescent="0.25">
      <c r="A190" s="68">
        <v>2020</v>
      </c>
      <c r="B190" s="3">
        <f t="shared" si="139"/>
        <v>66144507</v>
      </c>
      <c r="C190" s="3">
        <f t="shared" si="139"/>
        <v>2331607</v>
      </c>
      <c r="D190" s="3">
        <f t="shared" si="139"/>
        <v>8510683</v>
      </c>
      <c r="E190" s="3">
        <f t="shared" si="139"/>
        <v>76986797</v>
      </c>
      <c r="F190" s="72">
        <f t="shared" si="140"/>
        <v>74655190</v>
      </c>
      <c r="G190" s="3"/>
      <c r="H190" s="3">
        <f t="shared" si="141"/>
        <v>244587.8805666668</v>
      </c>
      <c r="I190" s="3">
        <f t="shared" si="141"/>
        <v>13359.999999999887</v>
      </c>
      <c r="J190" s="3">
        <f t="shared" si="142"/>
        <v>257947.88056666669</v>
      </c>
      <c r="L190" s="88">
        <f t="shared" si="143"/>
        <v>256.42585957555457</v>
      </c>
      <c r="M190" s="88">
        <f t="shared" si="144"/>
        <v>9.0390624450096837</v>
      </c>
      <c r="N190" s="88">
        <f t="shared" si="145"/>
        <v>32.993808599254656</v>
      </c>
      <c r="O190" s="88">
        <f t="shared" si="146"/>
        <v>298.45873061981894</v>
      </c>
      <c r="P190" s="88">
        <f t="shared" si="147"/>
        <v>289.4196681748092</v>
      </c>
      <c r="R190" s="109">
        <f t="shared" si="148"/>
        <v>1</v>
      </c>
      <c r="S190" s="94">
        <f t="shared" si="151"/>
        <v>289.4196681748092</v>
      </c>
      <c r="U190" s="51">
        <f t="shared" si="149"/>
        <v>0.85916689065528984</v>
      </c>
      <c r="V190" s="51">
        <f t="shared" si="150"/>
        <v>0.11399988400002735</v>
      </c>
    </row>
    <row r="191" spans="1:22" x14ac:dyDescent="0.25">
      <c r="A191" s="345">
        <v>2021</v>
      </c>
      <c r="B191" s="3">
        <f t="shared" ref="B191:E191" si="152">B172+B153+B134+B115+B96+B77+B58+B39+B20</f>
        <v>64537750</v>
      </c>
      <c r="C191" s="3">
        <f t="shared" si="152"/>
        <v>1280465</v>
      </c>
      <c r="D191" s="3">
        <f t="shared" si="152"/>
        <v>8595374</v>
      </c>
      <c r="E191" s="3">
        <f t="shared" si="152"/>
        <v>74413589</v>
      </c>
      <c r="F191" s="72">
        <f t="shared" ref="F191:F193" si="153">+E191-C191</f>
        <v>73133124</v>
      </c>
      <c r="G191" s="3"/>
      <c r="H191" s="3">
        <f t="shared" ref="H191:I191" si="154">H172+H153+H134+H115+H96+H77+H58+H39+H20</f>
        <v>228402.23000000007</v>
      </c>
      <c r="I191" s="3">
        <f t="shared" si="154"/>
        <v>14245.999999999975</v>
      </c>
      <c r="J191" s="3">
        <f t="shared" ref="J191:J193" si="155">SUM(H191:I191)</f>
        <v>242648.23000000004</v>
      </c>
      <c r="L191" s="88">
        <f t="shared" ref="L191:L192" si="156">B191/J191</f>
        <v>265.97247381528393</v>
      </c>
      <c r="M191" s="88">
        <f t="shared" ref="M191:M193" si="157">+C191/J191</f>
        <v>5.2770424082631875</v>
      </c>
      <c r="N191" s="88">
        <f t="shared" ref="N191:N193" si="158">D191/J191</f>
        <v>35.423188539228157</v>
      </c>
      <c r="O191" s="88">
        <f t="shared" ref="O191:O193" si="159">+E191/J191</f>
        <v>306.67270476277525</v>
      </c>
      <c r="P191" s="88">
        <f t="shared" ref="P191:P193" si="160">+L191+N191</f>
        <v>301.39566235451207</v>
      </c>
      <c r="R191" s="109">
        <f t="shared" ref="R191:R194" si="161">+R172</f>
        <v>0</v>
      </c>
      <c r="S191" s="94">
        <f t="shared" ref="S191:S193" si="162">+P191*R191</f>
        <v>0</v>
      </c>
      <c r="U191" s="51">
        <f t="shared" ref="U191:U193" si="163">+L191/O191</f>
        <v>0.86728446870100573</v>
      </c>
      <c r="V191" s="51">
        <f t="shared" ref="V191:V193" si="164">+N191/P191</f>
        <v>0.11753051872910557</v>
      </c>
    </row>
    <row r="192" spans="1:22" x14ac:dyDescent="0.25">
      <c r="A192" s="345">
        <v>2022</v>
      </c>
      <c r="B192" s="3">
        <f t="shared" ref="B192:E192" si="165">B173+B154+B135+B116+B97+B78+B59+B40+B21</f>
        <v>62452020</v>
      </c>
      <c r="C192" s="3">
        <f t="shared" si="165"/>
        <v>1554682</v>
      </c>
      <c r="D192" s="3">
        <f t="shared" si="165"/>
        <v>11968158</v>
      </c>
      <c r="E192" s="3">
        <f t="shared" si="165"/>
        <v>75974860</v>
      </c>
      <c r="F192" s="72">
        <f t="shared" si="153"/>
        <v>74420178</v>
      </c>
      <c r="G192" s="3"/>
      <c r="H192" s="3">
        <f t="shared" ref="H192:I192" si="166">H173+H154+H135+H116+H97+H78+H59+H40+H21</f>
        <v>221026</v>
      </c>
      <c r="I192" s="3">
        <f t="shared" si="166"/>
        <v>12551.000000000004</v>
      </c>
      <c r="J192" s="3">
        <f t="shared" si="155"/>
        <v>233577</v>
      </c>
      <c r="L192" s="88">
        <f t="shared" si="156"/>
        <v>267.37230121116374</v>
      </c>
      <c r="M192" s="88">
        <f t="shared" si="157"/>
        <v>6.6559721205426907</v>
      </c>
      <c r="N192" s="88">
        <f t="shared" si="158"/>
        <v>51.238597978396847</v>
      </c>
      <c r="O192" s="88">
        <f t="shared" si="159"/>
        <v>325.26687131010328</v>
      </c>
      <c r="P192" s="88">
        <f t="shared" si="160"/>
        <v>318.6108991895606</v>
      </c>
      <c r="R192" s="109">
        <f t="shared" si="161"/>
        <v>0</v>
      </c>
      <c r="S192" s="94">
        <f t="shared" si="162"/>
        <v>0</v>
      </c>
      <c r="U192" s="51">
        <f t="shared" si="163"/>
        <v>0.82200901719331898</v>
      </c>
      <c r="V192" s="51">
        <f t="shared" si="164"/>
        <v>0.16081872311565823</v>
      </c>
    </row>
    <row r="193" spans="1:22" x14ac:dyDescent="0.25">
      <c r="A193" s="345">
        <v>2023</v>
      </c>
      <c r="B193" s="3">
        <f>B174+B155+B136+B117+B98+B79+B60+B41+B22</f>
        <v>57929376</v>
      </c>
      <c r="C193" s="3">
        <f t="shared" ref="C193:E194" si="167">C174+C155+C136+C117+C98+C79+C60+C41+C22</f>
        <v>1830959</v>
      </c>
      <c r="D193" s="3">
        <f t="shared" si="167"/>
        <v>14896321</v>
      </c>
      <c r="E193" s="3">
        <f t="shared" si="167"/>
        <v>74656656</v>
      </c>
      <c r="F193" s="72">
        <f t="shared" si="153"/>
        <v>72825697</v>
      </c>
      <c r="G193" s="3"/>
      <c r="H193" s="3">
        <f t="shared" ref="H193:I194" si="168">H174+H155+H136+H117+H98+H79+H60+H41+H22</f>
        <v>210729</v>
      </c>
      <c r="I193" s="3">
        <f t="shared" si="168"/>
        <v>11516</v>
      </c>
      <c r="J193" s="3">
        <f t="shared" si="155"/>
        <v>222245</v>
      </c>
      <c r="L193" s="88">
        <f>B193/J193</f>
        <v>260.65547481383157</v>
      </c>
      <c r="M193" s="88">
        <f t="shared" si="157"/>
        <v>8.238471056716687</v>
      </c>
      <c r="N193" s="88">
        <f t="shared" si="158"/>
        <v>67.026574276136699</v>
      </c>
      <c r="O193" s="88">
        <f t="shared" si="159"/>
        <v>335.92052014668496</v>
      </c>
      <c r="P193" s="88">
        <f t="shared" si="160"/>
        <v>327.68204908996825</v>
      </c>
      <c r="R193" s="109">
        <f t="shared" si="161"/>
        <v>0</v>
      </c>
      <c r="S193" s="94">
        <f t="shared" si="162"/>
        <v>0</v>
      </c>
      <c r="U193" s="51">
        <f t="shared" si="163"/>
        <v>0.77594388904855316</v>
      </c>
      <c r="V193" s="51">
        <f t="shared" si="164"/>
        <v>0.20454759258946745</v>
      </c>
    </row>
    <row r="194" spans="1:22" x14ac:dyDescent="0.25">
      <c r="A194" s="345" t="s">
        <v>2898</v>
      </c>
      <c r="B194" s="3">
        <f>B175+B156+B137+B118+B99+B80+B61+B42+B23</f>
        <v>55234728</v>
      </c>
      <c r="C194" s="3">
        <f t="shared" ref="C194:D194" si="169">C175+C156+C137+C118+C99+C80+C61+C42+C23</f>
        <v>2123866</v>
      </c>
      <c r="D194" s="3">
        <f t="shared" si="169"/>
        <v>16628917</v>
      </c>
      <c r="E194" s="3">
        <f t="shared" si="167"/>
        <v>73987511</v>
      </c>
      <c r="F194" s="72">
        <f t="shared" ref="F194" si="170">+E194-C194</f>
        <v>71863645</v>
      </c>
      <c r="H194" s="3">
        <f t="shared" si="168"/>
        <v>217028</v>
      </c>
      <c r="I194" s="3">
        <f t="shared" si="168"/>
        <v>12540</v>
      </c>
      <c r="J194" s="3">
        <f t="shared" ref="J194" si="171">SUM(H194:I194)</f>
        <v>229568</v>
      </c>
      <c r="L194" s="88">
        <f>B194/J194</f>
        <v>240.60290632840815</v>
      </c>
      <c r="M194" s="88">
        <f t="shared" ref="M194" si="172">+C194/J194</f>
        <v>9.2515768748257603</v>
      </c>
      <c r="N194" s="88">
        <f t="shared" ref="N194" si="173">D194/J194</f>
        <v>72.435692256760518</v>
      </c>
      <c r="O194" s="88">
        <f t="shared" ref="O194" si="174">+E194/J194</f>
        <v>322.29017545999443</v>
      </c>
      <c r="P194" s="88">
        <f t="shared" ref="P194" si="175">+L194+N194</f>
        <v>313.03859858516864</v>
      </c>
      <c r="Q194" s="1"/>
      <c r="R194" s="109">
        <f t="shared" si="161"/>
        <v>0</v>
      </c>
      <c r="S194" s="94">
        <f t="shared" ref="S194" si="176">+P194*R194</f>
        <v>0</v>
      </c>
      <c r="U194" s="51">
        <f t="shared" ref="U194" si="177">+L194/O194</f>
        <v>0.74654123720961507</v>
      </c>
      <c r="V194" s="51">
        <f t="shared" ref="V194" si="178">+N194/P194</f>
        <v>0.23139540166658676</v>
      </c>
    </row>
    <row r="195" spans="1:22" x14ac:dyDescent="0.25">
      <c r="Q195" s="1"/>
      <c r="R195" s="1" t="s">
        <v>418</v>
      </c>
      <c r="S195" s="94">
        <f>AVERAGE(S180:S183)</f>
        <v>226.21890932514003</v>
      </c>
      <c r="T195" s="1"/>
      <c r="U195" s="1"/>
    </row>
    <row r="196" spans="1:22" x14ac:dyDescent="0.25">
      <c r="Q196" s="1"/>
      <c r="R196" s="1"/>
      <c r="S196" s="1"/>
      <c r="T196" s="1"/>
      <c r="U196" s="1"/>
    </row>
    <row r="197" spans="1:22" x14ac:dyDescent="0.25">
      <c r="Q197" s="1"/>
      <c r="R197" s="1"/>
      <c r="S197" s="1"/>
      <c r="T197" s="1"/>
      <c r="U197" s="1"/>
    </row>
    <row r="198" spans="1:22" x14ac:dyDescent="0.25">
      <c r="Q198" s="1"/>
      <c r="R198" s="1"/>
      <c r="S198" s="1"/>
      <c r="T198" s="1"/>
      <c r="U198" s="1"/>
    </row>
    <row r="199" spans="1:22" x14ac:dyDescent="0.25">
      <c r="H199" s="3"/>
      <c r="Q199" s="1"/>
      <c r="R199" s="1"/>
      <c r="S199" s="1"/>
      <c r="T199" s="1"/>
      <c r="U199" s="1"/>
    </row>
    <row r="200" spans="1:22" x14ac:dyDescent="0.25">
      <c r="H200" s="3"/>
      <c r="Q200" s="1"/>
      <c r="R200" s="1"/>
      <c r="S200" s="1"/>
      <c r="T200" s="1"/>
      <c r="U200" s="1"/>
    </row>
    <row r="201" spans="1:22" x14ac:dyDescent="0.25">
      <c r="H201" s="3"/>
      <c r="Q201" s="1"/>
      <c r="R201" s="1"/>
      <c r="S201" s="1"/>
      <c r="T201" s="1"/>
      <c r="U201" s="1"/>
    </row>
    <row r="202" spans="1:22" x14ac:dyDescent="0.25">
      <c r="H202" s="3"/>
      <c r="Q202" s="1"/>
      <c r="R202" s="1"/>
      <c r="S202" s="1"/>
      <c r="T202" s="1"/>
      <c r="U202" s="1"/>
    </row>
    <row r="203" spans="1:22" x14ac:dyDescent="0.25">
      <c r="H203" s="3"/>
      <c r="Q203" s="1"/>
      <c r="R203" s="1"/>
      <c r="S203" s="1"/>
      <c r="T203" s="1"/>
      <c r="U203" s="1"/>
    </row>
    <row r="204" spans="1:22" x14ac:dyDescent="0.25">
      <c r="Q204" s="1"/>
      <c r="R204" s="1"/>
      <c r="S204" s="1"/>
      <c r="T204" s="1"/>
      <c r="U204" s="1"/>
    </row>
    <row r="205" spans="1:22" x14ac:dyDescent="0.25">
      <c r="Q205" s="1"/>
      <c r="R205" s="1"/>
      <c r="S205" s="1"/>
      <c r="T205" s="1"/>
      <c r="U205" s="1"/>
    </row>
    <row r="206" spans="1:22" x14ac:dyDescent="0.25">
      <c r="Q206" s="1"/>
      <c r="R206" s="1"/>
      <c r="S206" s="1"/>
      <c r="T206" s="1"/>
      <c r="U206" s="1"/>
    </row>
  </sheetData>
  <pageMargins left="0.7" right="0.7" top="0.75" bottom="0.75" header="0.3" footer="0.3"/>
  <pageSetup paperSize="5" scale="64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opLeftCell="D1" workbookViewId="0">
      <selection activeCell="J28" sqref="J28"/>
    </sheetView>
  </sheetViews>
  <sheetFormatPr defaultRowHeight="15" x14ac:dyDescent="0.25"/>
  <cols>
    <col min="1" max="1" width="26.28515625" hidden="1" customWidth="1"/>
    <col min="2" max="2" width="32.85546875" bestFit="1" customWidth="1"/>
    <col min="3" max="4" width="11.5703125" style="1" bestFit="1" customWidth="1"/>
    <col min="5" max="13" width="11.5703125" bestFit="1" customWidth="1"/>
    <col min="14" max="255" width="26.28515625" customWidth="1"/>
  </cols>
  <sheetData>
    <row r="1" spans="1:13" x14ac:dyDescent="0.25">
      <c r="A1" s="248"/>
      <c r="B1" s="248"/>
    </row>
    <row r="2" spans="1:13" x14ac:dyDescent="0.25">
      <c r="A2" s="248"/>
      <c r="B2" s="249" t="s">
        <v>147</v>
      </c>
      <c r="C2" s="250"/>
      <c r="D2" s="250"/>
      <c r="E2" s="251"/>
      <c r="F2" s="251"/>
      <c r="G2" s="251"/>
      <c r="H2" s="251"/>
      <c r="I2" s="251"/>
      <c r="J2" s="251"/>
      <c r="K2" s="251"/>
      <c r="L2" s="251"/>
      <c r="M2" s="251"/>
    </row>
    <row r="3" spans="1:13" x14ac:dyDescent="0.25">
      <c r="A3" s="248"/>
      <c r="B3" s="249" t="s">
        <v>2905</v>
      </c>
      <c r="C3" s="250"/>
      <c r="D3" s="250"/>
      <c r="E3" s="251"/>
      <c r="F3" s="251"/>
      <c r="G3" s="251"/>
      <c r="H3" s="251"/>
      <c r="I3" s="251"/>
      <c r="J3" s="251"/>
      <c r="K3" s="251"/>
      <c r="L3" s="251"/>
      <c r="M3" s="251"/>
    </row>
    <row r="4" spans="1:13" x14ac:dyDescent="0.25">
      <c r="A4" s="248"/>
      <c r="B4" s="249" t="s">
        <v>2906</v>
      </c>
      <c r="C4" s="250"/>
      <c r="D4" s="250"/>
      <c r="E4" s="251"/>
      <c r="F4" s="251"/>
      <c r="G4" s="251"/>
      <c r="H4" s="251"/>
      <c r="I4" s="251"/>
      <c r="J4" s="251"/>
      <c r="K4" s="251"/>
      <c r="L4" s="251"/>
      <c r="M4" s="251"/>
    </row>
    <row r="6" spans="1:13" x14ac:dyDescent="0.25">
      <c r="A6" s="248" t="s">
        <v>2907</v>
      </c>
      <c r="B6" s="248"/>
      <c r="C6" s="252" t="s">
        <v>2908</v>
      </c>
      <c r="D6" s="252" t="s">
        <v>2909</v>
      </c>
      <c r="E6" s="252" t="s">
        <v>2910</v>
      </c>
      <c r="F6" s="252" t="s">
        <v>2911</v>
      </c>
      <c r="G6" s="252" t="s">
        <v>2912</v>
      </c>
      <c r="H6" s="252" t="s">
        <v>2913</v>
      </c>
      <c r="I6" s="252" t="s">
        <v>2914</v>
      </c>
      <c r="J6" s="252" t="s">
        <v>2915</v>
      </c>
      <c r="K6" s="252" t="s">
        <v>2916</v>
      </c>
      <c r="L6" s="252" t="s">
        <v>2917</v>
      </c>
      <c r="M6" s="252" t="s">
        <v>9</v>
      </c>
    </row>
    <row r="7" spans="1:13" x14ac:dyDescent="0.25">
      <c r="A7" s="248" t="s">
        <v>2918</v>
      </c>
      <c r="B7" s="248" t="s">
        <v>2919</v>
      </c>
      <c r="C7" s="1">
        <v>711980.41</v>
      </c>
      <c r="D7" s="1">
        <v>717246.62</v>
      </c>
      <c r="E7" s="1">
        <v>707468</v>
      </c>
      <c r="F7" s="1">
        <v>820945</v>
      </c>
      <c r="G7" s="1">
        <v>876229</v>
      </c>
      <c r="H7" s="1">
        <v>949311</v>
      </c>
      <c r="I7" s="1">
        <v>884218</v>
      </c>
      <c r="J7" s="1">
        <v>906904</v>
      </c>
      <c r="K7" s="1">
        <v>819683</v>
      </c>
      <c r="L7" s="1">
        <v>688560</v>
      </c>
      <c r="M7" s="1">
        <v>681829</v>
      </c>
    </row>
    <row r="8" spans="1:13" x14ac:dyDescent="0.25">
      <c r="A8" s="248" t="s">
        <v>2920</v>
      </c>
      <c r="B8" s="248" t="s">
        <v>2921</v>
      </c>
      <c r="C8" s="1">
        <v>178034.04</v>
      </c>
      <c r="D8" s="1">
        <v>178034.04</v>
      </c>
      <c r="E8" s="1">
        <v>241339</v>
      </c>
      <c r="F8" s="1">
        <v>124466</v>
      </c>
      <c r="G8" s="1">
        <v>97681</v>
      </c>
      <c r="H8" s="1">
        <v>97722</v>
      </c>
      <c r="I8" s="1">
        <v>127430</v>
      </c>
      <c r="J8" s="1">
        <v>129978</v>
      </c>
      <c r="K8" s="1">
        <v>131264</v>
      </c>
      <c r="L8" s="1">
        <v>106652</v>
      </c>
      <c r="M8" s="1">
        <f>148970</f>
        <v>148970</v>
      </c>
    </row>
    <row r="9" spans="1:13" x14ac:dyDescent="0.25">
      <c r="A9" s="248" t="s">
        <v>2922</v>
      </c>
      <c r="B9" s="248" t="s">
        <v>2923</v>
      </c>
      <c r="C9" s="1">
        <v>1125012.96</v>
      </c>
      <c r="D9" s="1">
        <v>1133948.54</v>
      </c>
      <c r="E9" s="1">
        <v>1176411</v>
      </c>
      <c r="F9" s="1">
        <v>1201026</v>
      </c>
      <c r="G9" s="1">
        <v>1242857</v>
      </c>
      <c r="H9" s="1">
        <v>1286913</v>
      </c>
      <c r="I9" s="1">
        <v>1188887</v>
      </c>
      <c r="J9" s="1">
        <v>1112343</v>
      </c>
      <c r="K9" s="1">
        <v>995579</v>
      </c>
      <c r="L9" s="1">
        <v>894555</v>
      </c>
      <c r="M9" s="1">
        <v>973006</v>
      </c>
    </row>
    <row r="10" spans="1:13" x14ac:dyDescent="0.25">
      <c r="A10" s="248" t="s">
        <v>2924</v>
      </c>
      <c r="B10" s="248" t="s">
        <v>2925</v>
      </c>
      <c r="C10" s="1">
        <v>123372</v>
      </c>
      <c r="D10" s="1">
        <v>123372</v>
      </c>
      <c r="E10" s="1">
        <v>74034</v>
      </c>
      <c r="F10" s="1">
        <v>101250</v>
      </c>
      <c r="G10" s="1">
        <v>137466</v>
      </c>
      <c r="H10" s="1">
        <v>140809</v>
      </c>
      <c r="I10" s="1">
        <v>143066</v>
      </c>
      <c r="J10" s="1">
        <v>145927</v>
      </c>
      <c r="K10" s="1">
        <v>147372</v>
      </c>
      <c r="L10" s="1">
        <v>132084</v>
      </c>
      <c r="M10" s="1">
        <v>108774</v>
      </c>
    </row>
    <row r="11" spans="1:13" x14ac:dyDescent="0.25">
      <c r="A11" s="248" t="s">
        <v>2926</v>
      </c>
      <c r="B11" s="248" t="s">
        <v>2927</v>
      </c>
      <c r="C11" s="1">
        <v>570.76</v>
      </c>
      <c r="D11" s="1">
        <v>794.27</v>
      </c>
      <c r="E11" s="1">
        <v>837</v>
      </c>
      <c r="F11" s="1">
        <v>995</v>
      </c>
      <c r="G11" s="1">
        <v>998</v>
      </c>
      <c r="H11" s="1">
        <v>1041</v>
      </c>
      <c r="I11" s="1">
        <v>1018</v>
      </c>
      <c r="J11" s="1">
        <v>719</v>
      </c>
      <c r="K11" s="1">
        <v>2064</v>
      </c>
      <c r="L11" s="1">
        <v>967</v>
      </c>
      <c r="M11" s="1">
        <v>1629</v>
      </c>
    </row>
    <row r="12" spans="1:13" x14ac:dyDescent="0.25">
      <c r="A12" s="248" t="s">
        <v>2928</v>
      </c>
      <c r="B12" s="248" t="s">
        <v>2929</v>
      </c>
      <c r="C12" s="1">
        <v>9000.0400000000009</v>
      </c>
      <c r="D12" s="1">
        <v>0</v>
      </c>
      <c r="E12" s="1"/>
      <c r="F12" s="1"/>
      <c r="G12" s="1">
        <v>9951</v>
      </c>
      <c r="H12" s="1">
        <v>0</v>
      </c>
      <c r="I12" s="1">
        <v>0</v>
      </c>
      <c r="J12" s="1"/>
      <c r="K12" s="1">
        <v>4500</v>
      </c>
      <c r="L12" s="1">
        <v>9000</v>
      </c>
      <c r="M12" s="1">
        <v>9000</v>
      </c>
    </row>
    <row r="13" spans="1:13" x14ac:dyDescent="0.25">
      <c r="A13" s="248" t="s">
        <v>2930</v>
      </c>
      <c r="B13" s="248" t="s">
        <v>2931</v>
      </c>
      <c r="C13" s="1">
        <v>277.97000000000003</v>
      </c>
      <c r="D13" s="1">
        <v>673.8</v>
      </c>
      <c r="E13" s="1">
        <v>3232</v>
      </c>
      <c r="F13" s="1">
        <v>1101</v>
      </c>
      <c r="G13" s="1">
        <v>13555</v>
      </c>
      <c r="H13" s="1">
        <v>591</v>
      </c>
      <c r="I13" s="1">
        <v>745</v>
      </c>
      <c r="J13" s="1">
        <v>5915</v>
      </c>
      <c r="K13" s="1">
        <v>174.23</v>
      </c>
      <c r="L13" s="1">
        <v>19</v>
      </c>
      <c r="M13" s="1">
        <v>22432</v>
      </c>
    </row>
    <row r="14" spans="1:13" x14ac:dyDescent="0.25">
      <c r="A14" s="248" t="s">
        <v>2932</v>
      </c>
      <c r="B14" s="248" t="s">
        <v>2933</v>
      </c>
      <c r="C14" s="1">
        <v>1367.28</v>
      </c>
      <c r="D14" s="1">
        <v>712.24</v>
      </c>
      <c r="E14" s="1">
        <v>14249</v>
      </c>
      <c r="F14" s="1">
        <v>2333</v>
      </c>
      <c r="G14" s="1">
        <v>72</v>
      </c>
      <c r="H14" s="1">
        <v>5026</v>
      </c>
      <c r="I14" s="1">
        <v>5962</v>
      </c>
      <c r="J14" s="1">
        <v>6016</v>
      </c>
      <c r="K14" s="1">
        <v>884</v>
      </c>
      <c r="L14" s="1">
        <v>266</v>
      </c>
      <c r="M14" s="1">
        <v>14329</v>
      </c>
    </row>
    <row r="15" spans="1:13" x14ac:dyDescent="0.25">
      <c r="A15" s="248" t="s">
        <v>2934</v>
      </c>
      <c r="B15" s="248" t="s">
        <v>2935</v>
      </c>
      <c r="C15" s="1">
        <v>3500</v>
      </c>
      <c r="D15" s="1">
        <v>1500</v>
      </c>
      <c r="E15" s="1">
        <v>3300</v>
      </c>
      <c r="F15" s="1">
        <v>1600</v>
      </c>
      <c r="G15" s="1">
        <v>2500</v>
      </c>
      <c r="H15" s="1">
        <v>3000</v>
      </c>
      <c r="I15" s="1">
        <v>3300</v>
      </c>
      <c r="J15" s="1">
        <v>4500</v>
      </c>
      <c r="K15" s="1">
        <v>700</v>
      </c>
      <c r="L15" s="1">
        <v>3400</v>
      </c>
      <c r="M15" s="1">
        <v>4100</v>
      </c>
    </row>
    <row r="16" spans="1:13" x14ac:dyDescent="0.25">
      <c r="A16" s="248"/>
      <c r="B16" s="248" t="s">
        <v>2936</v>
      </c>
      <c r="E16" s="1"/>
      <c r="F16" s="1"/>
      <c r="G16" s="1"/>
      <c r="H16" s="1"/>
      <c r="I16" s="1"/>
      <c r="J16" s="1"/>
      <c r="K16" s="1"/>
      <c r="L16" s="1"/>
      <c r="M16" s="1">
        <v>212</v>
      </c>
    </row>
    <row r="17" spans="1:13" x14ac:dyDescent="0.25">
      <c r="A17" s="248" t="s">
        <v>2937</v>
      </c>
      <c r="B17" s="248" t="s">
        <v>2938</v>
      </c>
      <c r="C17" s="1">
        <v>2400</v>
      </c>
      <c r="D17" s="1">
        <v>6002.12</v>
      </c>
      <c r="E17" s="1">
        <v>5625</v>
      </c>
      <c r="F17" s="1">
        <v>2195</v>
      </c>
      <c r="G17" s="1">
        <v>7520</v>
      </c>
      <c r="H17" s="1">
        <v>17658</v>
      </c>
      <c r="I17" s="1">
        <v>13683</v>
      </c>
      <c r="J17" s="1">
        <v>1094</v>
      </c>
      <c r="K17" s="1">
        <v>1838</v>
      </c>
      <c r="L17" s="1">
        <v>6789</v>
      </c>
      <c r="M17" s="1">
        <v>14887</v>
      </c>
    </row>
    <row r="18" spans="1:13" x14ac:dyDescent="0.25">
      <c r="A18" s="248" t="s">
        <v>2939</v>
      </c>
      <c r="B18" s="248" t="s">
        <v>2940</v>
      </c>
      <c r="C18" s="1">
        <v>208834.77</v>
      </c>
      <c r="D18" s="1">
        <v>186076.06</v>
      </c>
      <c r="E18" s="1">
        <v>175963</v>
      </c>
      <c r="F18" s="1">
        <v>151686</v>
      </c>
      <c r="G18" s="1">
        <v>128127</v>
      </c>
      <c r="H18" s="1">
        <v>139305</v>
      </c>
      <c r="I18" s="1">
        <v>163234</v>
      </c>
      <c r="J18" s="1">
        <v>108398</v>
      </c>
      <c r="K18" s="1">
        <v>120888</v>
      </c>
      <c r="L18" s="1">
        <v>158206</v>
      </c>
      <c r="M18" s="1">
        <v>135766</v>
      </c>
    </row>
    <row r="19" spans="1:13" x14ac:dyDescent="0.25">
      <c r="A19" s="248" t="s">
        <v>2941</v>
      </c>
      <c r="B19" s="248" t="s">
        <v>2942</v>
      </c>
      <c r="C19" s="1">
        <v>1191.4000000000001</v>
      </c>
      <c r="D19" s="1">
        <v>2630.13</v>
      </c>
      <c r="E19" s="1">
        <v>672</v>
      </c>
      <c r="F19" s="1">
        <v>2712</v>
      </c>
      <c r="G19" s="1">
        <v>1887</v>
      </c>
      <c r="H19" s="1">
        <v>2993</v>
      </c>
      <c r="I19" s="1">
        <v>4714</v>
      </c>
      <c r="J19" s="1">
        <v>1419</v>
      </c>
      <c r="K19" s="1">
        <v>6082</v>
      </c>
      <c r="L19" s="1">
        <v>2460</v>
      </c>
      <c r="M19" s="1">
        <v>6233</v>
      </c>
    </row>
    <row r="20" spans="1:13" x14ac:dyDescent="0.25">
      <c r="A20" s="248" t="s">
        <v>2943</v>
      </c>
      <c r="B20" s="248" t="s">
        <v>2944</v>
      </c>
      <c r="C20" s="1">
        <v>997.6</v>
      </c>
      <c r="D20" s="1">
        <v>509.58</v>
      </c>
      <c r="E20" s="1"/>
      <c r="F20" s="1">
        <v>433</v>
      </c>
      <c r="G20" s="1">
        <v>1957</v>
      </c>
      <c r="H20" s="1">
        <v>1512</v>
      </c>
      <c r="I20" s="1">
        <v>747</v>
      </c>
      <c r="J20" s="1">
        <v>471</v>
      </c>
      <c r="K20" s="1">
        <v>537</v>
      </c>
      <c r="L20" s="1">
        <v>872</v>
      </c>
      <c r="M20" s="1">
        <v>711</v>
      </c>
    </row>
    <row r="21" spans="1:13" x14ac:dyDescent="0.25">
      <c r="A21" s="248"/>
      <c r="B21" s="248" t="s">
        <v>2945</v>
      </c>
      <c r="C21" s="5">
        <v>486</v>
      </c>
      <c r="D21" s="5">
        <v>0</v>
      </c>
      <c r="E21" s="5">
        <v>1328</v>
      </c>
      <c r="F21" s="5">
        <v>1871</v>
      </c>
      <c r="G21" s="1">
        <v>1957</v>
      </c>
      <c r="H21" s="1">
        <v>1440</v>
      </c>
      <c r="I21" s="1">
        <v>1440</v>
      </c>
      <c r="J21" s="1">
        <v>1440</v>
      </c>
      <c r="K21" s="1">
        <v>1440</v>
      </c>
      <c r="L21" s="1">
        <v>1760</v>
      </c>
      <c r="M21" s="1">
        <v>2160</v>
      </c>
    </row>
    <row r="22" spans="1:13" x14ac:dyDescent="0.25">
      <c r="A22" s="248" t="s">
        <v>2946</v>
      </c>
      <c r="B22" s="248" t="s">
        <v>2947</v>
      </c>
      <c r="F22" s="18">
        <v>1753</v>
      </c>
      <c r="G22" s="2"/>
      <c r="H22" s="2"/>
      <c r="I22" s="2"/>
      <c r="J22" s="2"/>
      <c r="K22" s="2"/>
      <c r="L22" s="2"/>
      <c r="M22" s="2"/>
    </row>
    <row r="23" spans="1:13" x14ac:dyDescent="0.25">
      <c r="A23" s="248"/>
      <c r="B23" s="248" t="s">
        <v>2948</v>
      </c>
      <c r="C23" s="78">
        <f t="shared" ref="C23:M23" si="0">SUM(C7:C22)</f>
        <v>2367025.23</v>
      </c>
      <c r="D23" s="78">
        <f t="shared" si="0"/>
        <v>2351499.4000000004</v>
      </c>
      <c r="E23" s="78">
        <f t="shared" si="0"/>
        <v>2404458</v>
      </c>
      <c r="F23" s="78">
        <f t="shared" si="0"/>
        <v>2414366</v>
      </c>
      <c r="G23" s="78">
        <f t="shared" si="0"/>
        <v>2522757</v>
      </c>
      <c r="H23" s="78">
        <f t="shared" si="0"/>
        <v>2647321</v>
      </c>
      <c r="I23" s="78">
        <f t="shared" si="0"/>
        <v>2538444</v>
      </c>
      <c r="J23" s="78">
        <f t="shared" si="0"/>
        <v>2425124</v>
      </c>
      <c r="K23" s="78">
        <f t="shared" si="0"/>
        <v>2233005.23</v>
      </c>
      <c r="L23" s="78">
        <f t="shared" si="0"/>
        <v>2005590</v>
      </c>
      <c r="M23" s="78">
        <f t="shared" si="0"/>
        <v>2124038</v>
      </c>
    </row>
    <row r="24" spans="1:13" x14ac:dyDescent="0.25">
      <c r="A24" s="248"/>
      <c r="B24" s="248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248" t="s">
        <v>2949</v>
      </c>
      <c r="B25" s="248" t="s">
        <v>2950</v>
      </c>
      <c r="C25" s="1">
        <v>132633.57</v>
      </c>
      <c r="D25" s="1">
        <v>131623.67999999999</v>
      </c>
      <c r="E25" s="1">
        <v>134586</v>
      </c>
      <c r="F25" s="1">
        <v>138913</v>
      </c>
      <c r="G25" s="1">
        <v>145478</v>
      </c>
      <c r="H25" s="1">
        <v>153128</v>
      </c>
      <c r="I25" s="1">
        <v>143878</v>
      </c>
      <c r="J25" s="1">
        <v>140547</v>
      </c>
      <c r="K25" s="1">
        <v>127903</v>
      </c>
      <c r="L25" s="1">
        <v>112460</v>
      </c>
      <c r="M25" s="1">
        <v>121382</v>
      </c>
    </row>
    <row r="26" spans="1:13" x14ac:dyDescent="0.25">
      <c r="A26" s="248" t="s">
        <v>2951</v>
      </c>
      <c r="B26" s="248" t="s">
        <v>2952</v>
      </c>
      <c r="C26" s="1">
        <v>72407.64</v>
      </c>
      <c r="D26" s="1">
        <v>72149.72</v>
      </c>
      <c r="E26" s="1">
        <v>75156</v>
      </c>
      <c r="F26" s="1">
        <v>77168</v>
      </c>
      <c r="G26" s="1">
        <v>92407</v>
      </c>
      <c r="H26" s="1">
        <v>96265</v>
      </c>
      <c r="I26" s="1">
        <v>96129</v>
      </c>
      <c r="J26" s="1">
        <v>93046</v>
      </c>
      <c r="K26" s="1">
        <v>82153</v>
      </c>
      <c r="L26" s="1">
        <v>83263</v>
      </c>
      <c r="M26" s="1">
        <v>98698</v>
      </c>
    </row>
    <row r="27" spans="1:13" x14ac:dyDescent="0.25">
      <c r="A27" s="248" t="s">
        <v>2953</v>
      </c>
      <c r="B27" s="248" t="s">
        <v>2954</v>
      </c>
      <c r="C27" s="1">
        <v>15571.81</v>
      </c>
      <c r="D27" s="1">
        <v>16667.650000000001</v>
      </c>
      <c r="E27" s="1">
        <v>17134</v>
      </c>
      <c r="F27" s="1">
        <v>17891</v>
      </c>
      <c r="G27" s="1">
        <v>18498</v>
      </c>
      <c r="H27" s="1">
        <v>18907</v>
      </c>
      <c r="I27" s="1">
        <v>15211</v>
      </c>
      <c r="J27" s="1">
        <v>12938</v>
      </c>
      <c r="K27" s="1">
        <v>6203</v>
      </c>
      <c r="L27" s="1">
        <v>5704</v>
      </c>
      <c r="M27" s="1">
        <v>6072</v>
      </c>
    </row>
    <row r="28" spans="1:13" x14ac:dyDescent="0.25">
      <c r="A28" s="248" t="s">
        <v>2955</v>
      </c>
      <c r="B28" s="248" t="s">
        <v>2956</v>
      </c>
      <c r="C28" s="1">
        <v>494991</v>
      </c>
      <c r="D28" s="1">
        <v>537784.78</v>
      </c>
      <c r="E28" s="1">
        <v>537201</v>
      </c>
      <c r="F28" s="1">
        <v>546407</v>
      </c>
      <c r="G28" s="1">
        <v>602485</v>
      </c>
      <c r="H28" s="1">
        <v>648167</v>
      </c>
      <c r="I28" s="1">
        <v>604506</v>
      </c>
      <c r="J28" s="1">
        <v>651899</v>
      </c>
      <c r="K28" s="1">
        <v>561782</v>
      </c>
      <c r="L28" s="1">
        <v>496434</v>
      </c>
      <c r="M28" s="1">
        <v>511629</v>
      </c>
    </row>
    <row r="29" spans="1:13" x14ac:dyDescent="0.25">
      <c r="A29" s="248" t="s">
        <v>2957</v>
      </c>
      <c r="B29" s="248" t="s">
        <v>2958</v>
      </c>
      <c r="C29" s="1">
        <v>38702.980000000003</v>
      </c>
      <c r="D29" s="1">
        <v>38694.89</v>
      </c>
      <c r="E29" s="1">
        <v>32014</v>
      </c>
      <c r="F29" s="1">
        <v>33652</v>
      </c>
      <c r="G29" s="1">
        <v>36406</v>
      </c>
      <c r="H29" s="1">
        <v>37989</v>
      </c>
      <c r="I29" s="1">
        <v>30851</v>
      </c>
      <c r="J29" s="1">
        <v>28037</v>
      </c>
      <c r="K29" s="1">
        <v>3249</v>
      </c>
      <c r="L29" s="1">
        <v>3024</v>
      </c>
      <c r="M29" s="1">
        <v>18345</v>
      </c>
    </row>
    <row r="30" spans="1:13" x14ac:dyDescent="0.25">
      <c r="A30" s="248" t="s">
        <v>2959</v>
      </c>
      <c r="B30" s="248" t="s">
        <v>2960</v>
      </c>
      <c r="C30" s="1">
        <v>31261.84</v>
      </c>
      <c r="D30" s="1">
        <v>31008.98</v>
      </c>
      <c r="E30" s="1">
        <v>31848</v>
      </c>
      <c r="F30" s="1">
        <v>32488</v>
      </c>
      <c r="G30" s="1">
        <v>34327</v>
      </c>
      <c r="H30" s="1">
        <v>36126</v>
      </c>
      <c r="I30" s="1">
        <v>33974</v>
      </c>
      <c r="J30" s="1">
        <v>33224</v>
      </c>
      <c r="K30" s="1">
        <v>30189</v>
      </c>
      <c r="L30" s="1">
        <v>26567</v>
      </c>
      <c r="M30" s="1">
        <v>28388</v>
      </c>
    </row>
    <row r="31" spans="1:13" x14ac:dyDescent="0.25">
      <c r="A31" s="248" t="s">
        <v>2961</v>
      </c>
      <c r="B31" s="248" t="s">
        <v>2962</v>
      </c>
      <c r="C31" s="1">
        <v>3281.8</v>
      </c>
      <c r="D31" s="1">
        <v>3402.75</v>
      </c>
      <c r="E31" s="1">
        <v>5632</v>
      </c>
      <c r="F31" s="1">
        <v>8135</v>
      </c>
      <c r="G31" s="1">
        <v>11000</v>
      </c>
      <c r="H31" s="1">
        <v>13751</v>
      </c>
      <c r="I31" s="1">
        <v>5982</v>
      </c>
      <c r="J31" s="1">
        <v>5895</v>
      </c>
      <c r="K31" s="1">
        <v>7569</v>
      </c>
      <c r="L31" s="1">
        <v>8203</v>
      </c>
      <c r="M31" s="1">
        <v>5009</v>
      </c>
    </row>
    <row r="32" spans="1:13" x14ac:dyDescent="0.25">
      <c r="A32" s="248" t="s">
        <v>2963</v>
      </c>
      <c r="B32" s="248" t="s">
        <v>2964</v>
      </c>
      <c r="C32" s="1">
        <v>5746.8</v>
      </c>
      <c r="D32" s="1">
        <v>5746.8</v>
      </c>
      <c r="E32" s="1">
        <v>0</v>
      </c>
      <c r="F32" s="1"/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f>71997+7441</f>
        <v>79438</v>
      </c>
    </row>
    <row r="33" spans="1:13" x14ac:dyDescent="0.25">
      <c r="A33" s="248" t="s">
        <v>2965</v>
      </c>
      <c r="B33" s="248" t="s">
        <v>2966</v>
      </c>
      <c r="C33" s="5">
        <v>88766.32</v>
      </c>
      <c r="D33" s="5">
        <v>88937.58</v>
      </c>
      <c r="E33" s="5">
        <f>87130+9005</f>
        <v>96135</v>
      </c>
      <c r="F33" s="5">
        <f>89995+9301</f>
        <v>99296</v>
      </c>
      <c r="G33" s="5">
        <f>98141+10143</f>
        <v>108284</v>
      </c>
      <c r="H33" s="5">
        <f>105076+10859</f>
        <v>115935</v>
      </c>
      <c r="I33" s="1">
        <f>99031+10228</f>
        <v>109259</v>
      </c>
      <c r="J33" s="1">
        <f>102202+10562</f>
        <v>112764</v>
      </c>
      <c r="K33" s="1">
        <f>93025+9614</f>
        <v>102639</v>
      </c>
      <c r="L33" s="1">
        <f>85034+8788</f>
        <v>93822</v>
      </c>
      <c r="M33" s="1"/>
    </row>
    <row r="34" spans="1:13" x14ac:dyDescent="0.25">
      <c r="B34" s="248" t="s">
        <v>2967</v>
      </c>
      <c r="C34" s="78">
        <f t="shared" ref="C34:M34" si="1">SUM(C25:C33)</f>
        <v>883363.76</v>
      </c>
      <c r="D34" s="78">
        <f t="shared" si="1"/>
        <v>926016.83000000007</v>
      </c>
      <c r="E34" s="78">
        <f t="shared" si="1"/>
        <v>929706</v>
      </c>
      <c r="F34" s="78">
        <f t="shared" si="1"/>
        <v>953950</v>
      </c>
      <c r="G34" s="78">
        <f t="shared" si="1"/>
        <v>1048885</v>
      </c>
      <c r="H34" s="78">
        <f t="shared" si="1"/>
        <v>1120268</v>
      </c>
      <c r="I34" s="78">
        <f t="shared" si="1"/>
        <v>1039790</v>
      </c>
      <c r="J34" s="78">
        <f t="shared" si="1"/>
        <v>1078350</v>
      </c>
      <c r="K34" s="78">
        <f t="shared" si="1"/>
        <v>921687</v>
      </c>
      <c r="L34" s="78">
        <f t="shared" si="1"/>
        <v>829477</v>
      </c>
      <c r="M34" s="78">
        <f t="shared" si="1"/>
        <v>868961</v>
      </c>
    </row>
    <row r="35" spans="1:13" x14ac:dyDescent="0.25">
      <c r="B35" s="248" t="s">
        <v>2968</v>
      </c>
      <c r="C35" s="1">
        <f t="shared" ref="C35:M35" si="2">C23+C34</f>
        <v>3250388.99</v>
      </c>
      <c r="D35" s="1">
        <f t="shared" si="2"/>
        <v>3277516.2300000004</v>
      </c>
      <c r="E35" s="1">
        <f t="shared" si="2"/>
        <v>3334164</v>
      </c>
      <c r="F35" s="1">
        <f t="shared" si="2"/>
        <v>3368316</v>
      </c>
      <c r="G35" s="1">
        <f t="shared" si="2"/>
        <v>3571642</v>
      </c>
      <c r="H35" s="1">
        <f t="shared" si="2"/>
        <v>3767589</v>
      </c>
      <c r="I35" s="1">
        <f t="shared" si="2"/>
        <v>3578234</v>
      </c>
      <c r="J35" s="1">
        <f t="shared" si="2"/>
        <v>3503474</v>
      </c>
      <c r="K35" s="1">
        <f t="shared" si="2"/>
        <v>3154692.23</v>
      </c>
      <c r="L35" s="1">
        <f t="shared" si="2"/>
        <v>2835067</v>
      </c>
      <c r="M35" s="1">
        <f t="shared" si="2"/>
        <v>2992999</v>
      </c>
    </row>
    <row r="36" spans="1:13" x14ac:dyDescent="0.25"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248" t="s">
        <v>2969</v>
      </c>
      <c r="B37" s="248" t="s">
        <v>2970</v>
      </c>
      <c r="C37" s="1">
        <v>28787.74</v>
      </c>
      <c r="D37" s="1">
        <v>26077.63</v>
      </c>
      <c r="E37" s="1">
        <v>28693</v>
      </c>
      <c r="F37" s="1">
        <v>36067</v>
      </c>
      <c r="G37" s="1">
        <v>30157</v>
      </c>
      <c r="H37" s="1">
        <v>24580</v>
      </c>
      <c r="I37" s="1">
        <v>28188</v>
      </c>
      <c r="J37" s="1">
        <v>29261</v>
      </c>
      <c r="K37" s="1">
        <v>28800</v>
      </c>
      <c r="L37" s="1">
        <v>26489</v>
      </c>
      <c r="M37" s="1">
        <v>38311</v>
      </c>
    </row>
    <row r="38" spans="1:13" x14ac:dyDescent="0.25">
      <c r="A38" s="248" t="s">
        <v>2971</v>
      </c>
      <c r="B38" s="248" t="s">
        <v>2972</v>
      </c>
      <c r="C38" s="1">
        <f>121413.19+3178996.15</f>
        <v>3300409.34</v>
      </c>
      <c r="D38" s="1">
        <f>83721.41+3560105.79</f>
        <v>3643827.2</v>
      </c>
      <c r="E38" s="1">
        <v>3523392</v>
      </c>
      <c r="F38" s="1">
        <v>4393199</v>
      </c>
      <c r="G38" s="1">
        <v>4268896</v>
      </c>
      <c r="H38" s="1">
        <v>3919341</v>
      </c>
      <c r="I38" s="1">
        <v>3807155</v>
      </c>
      <c r="J38" s="1">
        <v>3649881</v>
      </c>
      <c r="K38" s="1">
        <v>3570309</v>
      </c>
      <c r="L38" s="1">
        <v>3555617</v>
      </c>
      <c r="M38" s="1">
        <v>3398832</v>
      </c>
    </row>
    <row r="39" spans="1:13" x14ac:dyDescent="0.25">
      <c r="A39" s="248" t="s">
        <v>2973</v>
      </c>
      <c r="B39" s="248" t="s">
        <v>2974</v>
      </c>
      <c r="C39" s="1">
        <f>50070.88+24081.37</f>
        <v>74152.25</v>
      </c>
      <c r="D39" s="1">
        <f>41721.28+32383.8</f>
        <v>74105.08</v>
      </c>
      <c r="E39" s="1">
        <v>73893</v>
      </c>
      <c r="F39" s="1">
        <v>71557</v>
      </c>
      <c r="G39" s="1">
        <v>61247</v>
      </c>
      <c r="H39" s="1">
        <v>64040</v>
      </c>
      <c r="I39" s="1">
        <v>62783</v>
      </c>
      <c r="J39" s="1">
        <v>61722</v>
      </c>
      <c r="K39" s="1">
        <v>24559</v>
      </c>
      <c r="L39" s="1">
        <v>21758</v>
      </c>
      <c r="M39" s="1">
        <v>15774</v>
      </c>
    </row>
    <row r="40" spans="1:13" x14ac:dyDescent="0.25">
      <c r="A40" s="248" t="s">
        <v>2975</v>
      </c>
      <c r="B40" s="248" t="s">
        <v>2976</v>
      </c>
      <c r="C40" s="1">
        <v>32469.49</v>
      </c>
      <c r="D40" s="1">
        <v>17246.02</v>
      </c>
      <c r="E40" s="1">
        <v>28344</v>
      </c>
      <c r="F40" s="1">
        <v>33925</v>
      </c>
      <c r="G40" s="1">
        <v>31708</v>
      </c>
      <c r="H40" s="1">
        <v>44531</v>
      </c>
      <c r="I40" s="1">
        <v>41816</v>
      </c>
      <c r="J40" s="1">
        <v>42737</v>
      </c>
      <c r="K40" s="1">
        <v>29868</v>
      </c>
      <c r="L40" s="1">
        <v>45693</v>
      </c>
      <c r="M40" s="1">
        <v>11500</v>
      </c>
    </row>
    <row r="41" spans="1:13" x14ac:dyDescent="0.25">
      <c r="A41" s="248"/>
      <c r="B41" s="248" t="s">
        <v>2977</v>
      </c>
      <c r="E41" s="1">
        <v>0</v>
      </c>
      <c r="F41" s="1">
        <v>0</v>
      </c>
      <c r="G41" s="1">
        <v>0</v>
      </c>
      <c r="H41" s="1">
        <v>152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</row>
    <row r="42" spans="1:13" x14ac:dyDescent="0.25">
      <c r="A42" s="248" t="s">
        <v>2978</v>
      </c>
      <c r="B42" s="248" t="s">
        <v>2979</v>
      </c>
      <c r="C42" s="1">
        <v>15967.04</v>
      </c>
      <c r="D42" s="1">
        <v>11646.88</v>
      </c>
      <c r="E42" s="1">
        <v>21402</v>
      </c>
      <c r="F42" s="1">
        <v>10234</v>
      </c>
      <c r="G42" s="1">
        <v>14958</v>
      </c>
      <c r="H42" s="1">
        <v>22575</v>
      </c>
      <c r="I42" s="1">
        <v>22178</v>
      </c>
      <c r="J42" s="1">
        <v>29564</v>
      </c>
      <c r="K42" s="1">
        <v>15106</v>
      </c>
      <c r="L42" s="1">
        <v>26968</v>
      </c>
      <c r="M42" s="1">
        <v>25644</v>
      </c>
    </row>
    <row r="43" spans="1:13" x14ac:dyDescent="0.25">
      <c r="A43" s="248" t="s">
        <v>2980</v>
      </c>
      <c r="B43" s="248" t="s">
        <v>2981</v>
      </c>
      <c r="C43" s="1">
        <v>17490.71</v>
      </c>
      <c r="D43" s="1">
        <v>8951.19</v>
      </c>
      <c r="E43" s="1">
        <v>29304</v>
      </c>
      <c r="F43" s="1">
        <v>32213</v>
      </c>
      <c r="G43" s="1">
        <v>12891</v>
      </c>
      <c r="H43" s="1">
        <v>17917</v>
      </c>
      <c r="I43" s="1">
        <v>21990</v>
      </c>
      <c r="J43" s="1">
        <v>23198</v>
      </c>
      <c r="K43" s="1">
        <v>46854</v>
      </c>
      <c r="L43" s="1">
        <v>58777</v>
      </c>
      <c r="M43" s="1">
        <v>52402</v>
      </c>
    </row>
    <row r="44" spans="1:13" x14ac:dyDescent="0.25">
      <c r="A44" s="248" t="s">
        <v>2982</v>
      </c>
      <c r="B44" s="248" t="s">
        <v>2983</v>
      </c>
      <c r="C44" s="1">
        <f>33749.06+762010.48</f>
        <v>795759.54</v>
      </c>
      <c r="D44" s="1">
        <f>52105.69+708432.81</f>
        <v>760538.5</v>
      </c>
      <c r="E44" s="1">
        <v>552503</v>
      </c>
      <c r="F44" s="1">
        <v>571436</v>
      </c>
      <c r="G44" s="1">
        <v>378148</v>
      </c>
      <c r="H44" s="1">
        <v>468911</v>
      </c>
      <c r="I44" s="1">
        <v>635475</v>
      </c>
      <c r="J44" s="1">
        <v>377269</v>
      </c>
      <c r="K44" s="1">
        <v>66278</v>
      </c>
      <c r="L44" s="1">
        <v>30113</v>
      </c>
      <c r="M44" s="1">
        <v>74639</v>
      </c>
    </row>
    <row r="45" spans="1:13" x14ac:dyDescent="0.25">
      <c r="A45" s="248" t="s">
        <v>2984</v>
      </c>
      <c r="B45" s="248" t="s">
        <v>2985</v>
      </c>
      <c r="C45" s="1">
        <v>6452.15</v>
      </c>
      <c r="D45" s="1">
        <v>8822.5400000000009</v>
      </c>
      <c r="E45" s="1">
        <v>8201</v>
      </c>
      <c r="F45" s="1">
        <v>8922</v>
      </c>
      <c r="G45" s="1">
        <v>3965</v>
      </c>
      <c r="H45" s="1">
        <v>2845</v>
      </c>
      <c r="I45" s="1">
        <v>2121</v>
      </c>
      <c r="J45" s="1">
        <v>2121</v>
      </c>
      <c r="K45" s="1">
        <v>2121</v>
      </c>
      <c r="L45" s="1">
        <v>2121</v>
      </c>
      <c r="M45" s="1">
        <v>1768</v>
      </c>
    </row>
    <row r="46" spans="1:13" x14ac:dyDescent="0.25">
      <c r="A46" s="248" t="s">
        <v>2986</v>
      </c>
      <c r="B46" s="248" t="s">
        <v>2987</v>
      </c>
      <c r="C46" s="5">
        <v>0</v>
      </c>
      <c r="D46" s="5">
        <v>-26.19</v>
      </c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B47" s="248" t="s">
        <v>2988</v>
      </c>
      <c r="C47" s="78">
        <f t="shared" ref="C47:M47" si="3">SUM(C37:C46)</f>
        <v>4271488.2600000007</v>
      </c>
      <c r="D47" s="78">
        <f t="shared" si="3"/>
        <v>4551188.8499999996</v>
      </c>
      <c r="E47" s="78">
        <f t="shared" si="3"/>
        <v>4265732</v>
      </c>
      <c r="F47" s="78">
        <f t="shared" si="3"/>
        <v>5157553</v>
      </c>
      <c r="G47" s="78">
        <f t="shared" si="3"/>
        <v>4801970</v>
      </c>
      <c r="H47" s="78">
        <f t="shared" si="3"/>
        <v>4564892</v>
      </c>
      <c r="I47" s="78">
        <f t="shared" si="3"/>
        <v>4621706</v>
      </c>
      <c r="J47" s="78">
        <f t="shared" si="3"/>
        <v>4215753</v>
      </c>
      <c r="K47" s="78">
        <f t="shared" si="3"/>
        <v>3783895</v>
      </c>
      <c r="L47" s="78">
        <f t="shared" si="3"/>
        <v>3767536</v>
      </c>
      <c r="M47" s="78">
        <f t="shared" si="3"/>
        <v>3618870</v>
      </c>
    </row>
    <row r="48" spans="1:13" x14ac:dyDescent="0.25">
      <c r="E48" s="1"/>
      <c r="F48" s="1"/>
      <c r="G48" s="1"/>
      <c r="H48" s="1"/>
      <c r="I48" s="1"/>
      <c r="J48" s="1"/>
      <c r="K48" s="1"/>
      <c r="L48" s="1"/>
      <c r="M48" s="1"/>
    </row>
    <row r="49" spans="2:13" x14ac:dyDescent="0.25">
      <c r="B49" s="248" t="s">
        <v>2989</v>
      </c>
      <c r="C49" s="78"/>
      <c r="D49" s="78">
        <v>-4740</v>
      </c>
      <c r="E49" s="78">
        <v>62861</v>
      </c>
      <c r="F49" s="78">
        <v>0</v>
      </c>
      <c r="G49" s="78"/>
      <c r="H49" s="78">
        <v>344</v>
      </c>
      <c r="I49" s="78"/>
      <c r="J49" s="78"/>
      <c r="K49" s="78"/>
      <c r="L49" s="78"/>
      <c r="M49" s="78"/>
    </row>
    <row r="50" spans="2:13" ht="15.75" thickBot="1" x14ac:dyDescent="0.3">
      <c r="B50" s="248" t="s">
        <v>2990</v>
      </c>
      <c r="C50" s="253">
        <f t="shared" ref="C50:M50" si="4">C47+C35+C49</f>
        <v>7521877.2500000009</v>
      </c>
      <c r="D50" s="253">
        <f t="shared" si="4"/>
        <v>7823965.0800000001</v>
      </c>
      <c r="E50" s="253">
        <f t="shared" si="4"/>
        <v>7662757</v>
      </c>
      <c r="F50" s="253">
        <f t="shared" si="4"/>
        <v>8525869</v>
      </c>
      <c r="G50" s="253">
        <f t="shared" si="4"/>
        <v>8373612</v>
      </c>
      <c r="H50" s="253">
        <f t="shared" si="4"/>
        <v>8332825</v>
      </c>
      <c r="I50" s="253">
        <f t="shared" si="4"/>
        <v>8199940</v>
      </c>
      <c r="J50" s="253">
        <f t="shared" si="4"/>
        <v>7719227</v>
      </c>
      <c r="K50" s="253">
        <f t="shared" si="4"/>
        <v>6938587.2300000004</v>
      </c>
      <c r="L50" s="253">
        <f t="shared" si="4"/>
        <v>6602603</v>
      </c>
      <c r="M50" s="253">
        <f t="shared" si="4"/>
        <v>6611869</v>
      </c>
    </row>
    <row r="51" spans="2:13" ht="15.75" thickTop="1" x14ac:dyDescent="0.25">
      <c r="E51" s="1"/>
      <c r="F51" s="1"/>
      <c r="G51" s="1"/>
      <c r="H51" s="1"/>
      <c r="I51" s="1"/>
      <c r="J51" s="1"/>
      <c r="K51" s="1"/>
      <c r="L51" s="1"/>
      <c r="M51" s="1"/>
    </row>
    <row r="52" spans="2:13" x14ac:dyDescent="0.25">
      <c r="E52" s="1"/>
      <c r="F52" s="1"/>
      <c r="G52" s="1"/>
      <c r="H52" s="1"/>
      <c r="I52" s="1"/>
      <c r="J52" s="1"/>
      <c r="K52" s="1"/>
      <c r="L52" s="1"/>
      <c r="M52" s="1"/>
    </row>
    <row r="53" spans="2:13" x14ac:dyDescent="0.25">
      <c r="C53" s="1">
        <f>+'Historical College Expenses'!F180</f>
        <v>70846159</v>
      </c>
      <c r="D53" s="1">
        <f>+'Historical College Expenses'!F181</f>
        <v>72470287</v>
      </c>
      <c r="E53" s="1">
        <f>+'Historical College Expenses'!F182</f>
        <v>74794167</v>
      </c>
      <c r="F53" s="1">
        <f>+'Historical College Expenses'!F183</f>
        <v>77030076</v>
      </c>
      <c r="G53" s="1">
        <f>+'Historical College Expenses'!F184</f>
        <v>77555708</v>
      </c>
      <c r="H53" s="1">
        <f>+'Historical College Expenses'!F185</f>
        <v>82098826.5</v>
      </c>
      <c r="I53" s="1">
        <f>+'Historical College Expenses'!F186</f>
        <v>80884623.299999997</v>
      </c>
      <c r="J53" s="1">
        <f>+'Historical College Expenses'!F187</f>
        <v>78501966.450000003</v>
      </c>
      <c r="K53" s="1">
        <f>+'Historical College Expenses'!F188</f>
        <v>73978627.390000001</v>
      </c>
      <c r="L53" s="1">
        <f>+'Historical College Expenses'!F189</f>
        <v>72982773</v>
      </c>
      <c r="M53" s="1">
        <f>+'Historical College Expenses'!F190</f>
        <v>74655190</v>
      </c>
    </row>
    <row r="54" spans="2:13" x14ac:dyDescent="0.25">
      <c r="E54" s="1"/>
      <c r="F54" s="1"/>
      <c r="G54" s="1"/>
      <c r="H54" s="1"/>
      <c r="I54" s="1"/>
      <c r="J54" s="1"/>
      <c r="K54" s="1"/>
      <c r="L54" s="1"/>
      <c r="M54" s="1"/>
    </row>
    <row r="55" spans="2:13" x14ac:dyDescent="0.25">
      <c r="C55" s="80">
        <f t="shared" ref="C55:L55" si="5">+C50/C53</f>
        <v>0.10617198386153864</v>
      </c>
      <c r="D55" s="80">
        <f t="shared" si="5"/>
        <v>0.10796100586713558</v>
      </c>
      <c r="E55" s="80">
        <f t="shared" si="5"/>
        <v>0.10245126468217769</v>
      </c>
      <c r="F55" s="80">
        <f t="shared" si="5"/>
        <v>0.11068233919436871</v>
      </c>
      <c r="G55" s="80">
        <f t="shared" si="5"/>
        <v>0.1079689969434616</v>
      </c>
      <c r="H55" s="80">
        <f t="shared" si="5"/>
        <v>0.10149749217182781</v>
      </c>
      <c r="I55" s="80">
        <f t="shared" si="5"/>
        <v>0.1013782306877604</v>
      </c>
      <c r="J55" s="80">
        <f t="shared" si="5"/>
        <v>9.8331638671963484E-2</v>
      </c>
      <c r="K55" s="80">
        <f t="shared" si="5"/>
        <v>9.379178115080733E-2</v>
      </c>
      <c r="L55" s="80">
        <f t="shared" si="5"/>
        <v>9.0467965638959758E-2</v>
      </c>
      <c r="M55" s="80">
        <f>+M50/M53</f>
        <v>8.8565429945325971E-2</v>
      </c>
    </row>
    <row r="56" spans="2:13" x14ac:dyDescent="0.25">
      <c r="E56" s="1"/>
      <c r="F56" s="1"/>
      <c r="G56" s="1"/>
      <c r="H56" s="1"/>
      <c r="I56" s="1"/>
      <c r="J56" s="1"/>
      <c r="K56" s="1"/>
      <c r="L56" s="1"/>
      <c r="M56" s="1"/>
    </row>
    <row r="57" spans="2:13" x14ac:dyDescent="0.25">
      <c r="E57" s="1"/>
      <c r="F57" s="1"/>
      <c r="G57" s="1"/>
      <c r="H57" s="1"/>
      <c r="I57" s="1"/>
      <c r="J57" s="1"/>
      <c r="K57" s="1"/>
      <c r="L57" s="1"/>
      <c r="M57" s="1"/>
    </row>
    <row r="58" spans="2:13" x14ac:dyDescent="0.25">
      <c r="E58" s="1"/>
      <c r="F58" s="1"/>
      <c r="G58" s="1"/>
      <c r="H58" s="1"/>
      <c r="I58" s="1"/>
      <c r="J58" s="1"/>
      <c r="K58" s="1"/>
      <c r="L58" s="1"/>
      <c r="M58" s="1"/>
    </row>
    <row r="59" spans="2:13" x14ac:dyDescent="0.25">
      <c r="E59" s="1"/>
      <c r="F59" s="1"/>
      <c r="G59" s="1"/>
      <c r="H59" s="1"/>
      <c r="I59" s="1"/>
      <c r="J59" s="1"/>
      <c r="K59" s="1"/>
      <c r="L59" s="1"/>
      <c r="M59" s="1"/>
    </row>
    <row r="60" spans="2:13" x14ac:dyDescent="0.25">
      <c r="E60" s="1"/>
      <c r="F60" s="1"/>
      <c r="G60" s="1"/>
      <c r="H60" s="1"/>
      <c r="I60" s="1"/>
      <c r="J60" s="1"/>
      <c r="K60" s="1"/>
      <c r="L60" s="1"/>
      <c r="M60" s="1"/>
    </row>
    <row r="61" spans="2:13" x14ac:dyDescent="0.25">
      <c r="E61" s="1"/>
      <c r="F61" s="1"/>
      <c r="G61" s="1"/>
      <c r="H61" s="1"/>
      <c r="I61" s="1"/>
      <c r="J61" s="1"/>
      <c r="K61" s="1"/>
      <c r="L61" s="1"/>
      <c r="M61" s="1"/>
    </row>
    <row r="62" spans="2:13" x14ac:dyDescent="0.25">
      <c r="E62" s="1"/>
      <c r="F62" s="1"/>
      <c r="G62" s="1"/>
      <c r="H62" s="1"/>
      <c r="I62" s="1"/>
      <c r="J62" s="1"/>
      <c r="K62" s="1"/>
      <c r="L62" s="1"/>
      <c r="M62" s="1"/>
    </row>
    <row r="63" spans="2:13" x14ac:dyDescent="0.25">
      <c r="E63" s="1"/>
      <c r="F63" s="1"/>
      <c r="G63" s="1"/>
      <c r="H63" s="1"/>
      <c r="I63" s="1"/>
      <c r="J63" s="1"/>
      <c r="K63" s="1"/>
      <c r="L63" s="1"/>
      <c r="M63" s="1"/>
    </row>
    <row r="64" spans="2:13" x14ac:dyDescent="0.25">
      <c r="E64" s="1"/>
      <c r="F64" s="1"/>
      <c r="G64" s="1"/>
      <c r="H64" s="1"/>
      <c r="I64" s="1"/>
      <c r="J64" s="1"/>
      <c r="K64" s="1"/>
      <c r="L64" s="1"/>
      <c r="M64" s="1"/>
    </row>
    <row r="65" spans="5:13" x14ac:dyDescent="0.25">
      <c r="E65" s="1"/>
      <c r="F65" s="1"/>
      <c r="G65" s="1"/>
      <c r="H65" s="1"/>
      <c r="I65" s="1"/>
      <c r="J65" s="1"/>
      <c r="K65" s="1"/>
      <c r="L65" s="1"/>
      <c r="M65" s="1"/>
    </row>
    <row r="66" spans="5:13" x14ac:dyDescent="0.25">
      <c r="E66" s="1"/>
      <c r="F66" s="1"/>
      <c r="G66" s="1"/>
      <c r="H66" s="1"/>
      <c r="I66" s="1"/>
      <c r="J66" s="1"/>
      <c r="K66" s="1"/>
      <c r="L66" s="1"/>
      <c r="M66" s="1"/>
    </row>
    <row r="67" spans="5:13" x14ac:dyDescent="0.25">
      <c r="E67" s="1"/>
      <c r="F67" s="1"/>
      <c r="G67" s="1"/>
      <c r="H67" s="1"/>
      <c r="I67" s="1"/>
      <c r="J67" s="1"/>
      <c r="K67" s="1"/>
      <c r="L67" s="1"/>
      <c r="M67" s="1"/>
    </row>
    <row r="68" spans="5:13" x14ac:dyDescent="0.25">
      <c r="E68" s="1"/>
      <c r="F68" s="1"/>
      <c r="G68" s="1"/>
      <c r="H68" s="1"/>
      <c r="I68" s="1"/>
      <c r="J68" s="1"/>
      <c r="K68" s="1"/>
      <c r="L68" s="1"/>
      <c r="M68" s="1"/>
    </row>
    <row r="69" spans="5:13" x14ac:dyDescent="0.25">
      <c r="E69" s="1"/>
      <c r="F69" s="1"/>
      <c r="G69" s="1"/>
      <c r="H69" s="1"/>
      <c r="I69" s="1"/>
      <c r="J69" s="1"/>
      <c r="K69" s="1"/>
      <c r="L69" s="1"/>
      <c r="M69" s="1"/>
    </row>
    <row r="70" spans="5:13" x14ac:dyDescent="0.25">
      <c r="E70" s="1"/>
      <c r="F70" s="1"/>
      <c r="G70" s="1"/>
      <c r="H70" s="1"/>
      <c r="I70" s="1"/>
      <c r="J70" s="1"/>
      <c r="K70" s="1"/>
      <c r="L70" s="1"/>
      <c r="M70" s="1"/>
    </row>
    <row r="71" spans="5:13" x14ac:dyDescent="0.25">
      <c r="E71" s="1"/>
      <c r="F71" s="1"/>
      <c r="G71" s="1"/>
      <c r="H71" s="1"/>
      <c r="I71" s="1"/>
      <c r="J71" s="1"/>
      <c r="K71" s="1"/>
      <c r="L71" s="1"/>
      <c r="M71" s="1"/>
    </row>
    <row r="72" spans="5:13" x14ac:dyDescent="0.25">
      <c r="E72" s="1"/>
      <c r="F72" s="1"/>
      <c r="G72" s="1"/>
      <c r="H72" s="1"/>
      <c r="I72" s="1"/>
      <c r="J72" s="1"/>
      <c r="K72" s="1"/>
      <c r="L72" s="1"/>
      <c r="M72" s="1"/>
    </row>
    <row r="73" spans="5:13" x14ac:dyDescent="0.25">
      <c r="E73" s="1"/>
      <c r="F73" s="1"/>
      <c r="G73" s="1"/>
      <c r="H73" s="1"/>
      <c r="I73" s="1"/>
      <c r="J73" s="1"/>
      <c r="K73" s="1"/>
      <c r="L73" s="1"/>
      <c r="M73" s="1"/>
    </row>
    <row r="74" spans="5:13" x14ac:dyDescent="0.25">
      <c r="E74" s="1"/>
      <c r="F74" s="1"/>
      <c r="G74" s="1"/>
      <c r="H74" s="1"/>
      <c r="I74" s="1"/>
      <c r="J74" s="1"/>
      <c r="K74" s="1"/>
      <c r="L74" s="1"/>
      <c r="M74" s="1"/>
    </row>
    <row r="75" spans="5:13" x14ac:dyDescent="0.25">
      <c r="E75" s="1"/>
      <c r="F75" s="1"/>
      <c r="G75" s="1"/>
      <c r="H75" s="1"/>
      <c r="I75" s="1"/>
      <c r="J75" s="1"/>
      <c r="K75" s="1"/>
      <c r="L75" s="1"/>
      <c r="M75" s="1"/>
    </row>
    <row r="76" spans="5:13" x14ac:dyDescent="0.25">
      <c r="E76" s="1"/>
      <c r="F76" s="1"/>
      <c r="G76" s="1"/>
      <c r="H76" s="1"/>
      <c r="I76" s="1"/>
      <c r="J76" s="1"/>
      <c r="K76" s="1"/>
      <c r="L76" s="1"/>
      <c r="M76" s="1"/>
    </row>
    <row r="77" spans="5:13" x14ac:dyDescent="0.25">
      <c r="E77" s="1"/>
      <c r="F77" s="1"/>
      <c r="G77" s="1"/>
      <c r="H77" s="1"/>
      <c r="I77" s="1"/>
      <c r="J77" s="1"/>
      <c r="K77" s="1"/>
      <c r="L77" s="1"/>
      <c r="M77" s="1"/>
    </row>
    <row r="78" spans="5:13" x14ac:dyDescent="0.25">
      <c r="E78" s="1"/>
      <c r="F78" s="1"/>
      <c r="G78" s="1"/>
      <c r="H78" s="1"/>
      <c r="I78" s="1"/>
      <c r="J78" s="1"/>
      <c r="K78" s="1"/>
      <c r="L78" s="1"/>
      <c r="M78" s="1"/>
    </row>
    <row r="79" spans="5:13" x14ac:dyDescent="0.25">
      <c r="E79" s="1"/>
      <c r="F79" s="1"/>
      <c r="G79" s="1"/>
      <c r="H79" s="1"/>
      <c r="I79" s="1"/>
      <c r="J79" s="1"/>
      <c r="K79" s="1"/>
      <c r="L79" s="1"/>
      <c r="M79" s="1"/>
    </row>
    <row r="80" spans="5:13" x14ac:dyDescent="0.25">
      <c r="E80" s="1"/>
      <c r="F80" s="1"/>
      <c r="G80" s="1"/>
      <c r="H80" s="1"/>
      <c r="I80" s="1"/>
      <c r="J80" s="1"/>
      <c r="K80" s="1"/>
      <c r="L80" s="1"/>
      <c r="M80" s="1"/>
    </row>
    <row r="81" spans="5:13" x14ac:dyDescent="0.25">
      <c r="E81" s="1"/>
      <c r="F81" s="1"/>
      <c r="G81" s="1"/>
      <c r="H81" s="1"/>
      <c r="I81" s="1"/>
      <c r="J81" s="1"/>
      <c r="K81" s="1"/>
      <c r="L81" s="1"/>
      <c r="M81" s="1"/>
    </row>
    <row r="82" spans="5:13" x14ac:dyDescent="0.25">
      <c r="E82" s="1"/>
      <c r="F82" s="1"/>
      <c r="G82" s="1"/>
      <c r="H82" s="1"/>
      <c r="I82" s="1"/>
      <c r="J82" s="1"/>
      <c r="K82" s="1"/>
      <c r="L82" s="1"/>
      <c r="M82" s="1"/>
    </row>
    <row r="83" spans="5:13" x14ac:dyDescent="0.25">
      <c r="E83" s="1"/>
      <c r="F83" s="1"/>
      <c r="G83" s="1"/>
      <c r="H83" s="1"/>
      <c r="I83" s="1"/>
      <c r="J83" s="1"/>
      <c r="K83" s="1"/>
      <c r="L83" s="1"/>
      <c r="M83" s="1"/>
    </row>
    <row r="84" spans="5:13" x14ac:dyDescent="0.25">
      <c r="E84" s="1"/>
      <c r="F84" s="1"/>
      <c r="G84" s="1"/>
      <c r="H84" s="1"/>
      <c r="I84" s="1"/>
      <c r="J84" s="1"/>
      <c r="K84" s="1"/>
      <c r="L84" s="1"/>
      <c r="M84" s="1"/>
    </row>
    <row r="85" spans="5:13" x14ac:dyDescent="0.25">
      <c r="E85" s="1"/>
      <c r="F85" s="1"/>
      <c r="G85" s="1"/>
      <c r="H85" s="1"/>
      <c r="I85" s="1"/>
      <c r="J85" s="1"/>
      <c r="K85" s="1"/>
      <c r="L85" s="1"/>
      <c r="M85" s="1"/>
    </row>
    <row r="86" spans="5:13" x14ac:dyDescent="0.25">
      <c r="E86" s="1"/>
      <c r="F86" s="1"/>
      <c r="G86" s="1"/>
      <c r="H86" s="1"/>
      <c r="I86" s="1"/>
      <c r="J86" s="1"/>
      <c r="K86" s="1"/>
      <c r="L86" s="1"/>
      <c r="M86" s="1"/>
    </row>
    <row r="87" spans="5:13" x14ac:dyDescent="0.25">
      <c r="E87" s="1"/>
      <c r="F87" s="1"/>
      <c r="G87" s="1"/>
      <c r="H87" s="1"/>
      <c r="I87" s="1"/>
      <c r="J87" s="1"/>
      <c r="K87" s="1"/>
      <c r="L87" s="1"/>
      <c r="M87" s="1"/>
    </row>
    <row r="88" spans="5:13" x14ac:dyDescent="0.25">
      <c r="E88" s="1"/>
      <c r="F88" s="1"/>
      <c r="G88" s="1"/>
      <c r="H88" s="1"/>
      <c r="I88" s="1"/>
      <c r="J88" s="1"/>
      <c r="K88" s="1"/>
      <c r="L88" s="1"/>
      <c r="M88" s="1"/>
    </row>
    <row r="89" spans="5:13" x14ac:dyDescent="0.25">
      <c r="E89" s="1"/>
      <c r="F89" s="1"/>
      <c r="G89" s="1"/>
      <c r="H89" s="1"/>
      <c r="I89" s="1"/>
      <c r="J89" s="1"/>
      <c r="K89" s="1"/>
      <c r="L89" s="1"/>
      <c r="M89" s="1"/>
    </row>
    <row r="90" spans="5:13" x14ac:dyDescent="0.25">
      <c r="E90" s="1"/>
      <c r="F90" s="1"/>
      <c r="G90" s="1"/>
      <c r="H90" s="1"/>
      <c r="I90" s="1"/>
      <c r="J90" s="1"/>
      <c r="K90" s="1"/>
      <c r="L90" s="1"/>
      <c r="M90" s="1"/>
    </row>
    <row r="91" spans="5:13" x14ac:dyDescent="0.25">
      <c r="E91" s="1"/>
      <c r="F91" s="1"/>
      <c r="G91" s="1"/>
      <c r="H91" s="1"/>
      <c r="I91" s="1"/>
      <c r="J91" s="1"/>
      <c r="K91" s="1"/>
      <c r="L91" s="1"/>
      <c r="M91" s="1"/>
    </row>
    <row r="92" spans="5:13" x14ac:dyDescent="0.25">
      <c r="E92" s="1"/>
      <c r="F92" s="1"/>
      <c r="G92" s="1"/>
      <c r="H92" s="1"/>
      <c r="I92" s="1"/>
      <c r="J92" s="1"/>
      <c r="K92" s="1"/>
      <c r="L92" s="1"/>
      <c r="M92" s="1"/>
    </row>
    <row r="93" spans="5:13" x14ac:dyDescent="0.25">
      <c r="E93" s="1"/>
      <c r="F93" s="1"/>
      <c r="G93" s="1"/>
      <c r="H93" s="1"/>
      <c r="I93" s="1"/>
      <c r="J93" s="1"/>
      <c r="K93" s="1"/>
      <c r="L93" s="1"/>
      <c r="M93" s="1"/>
    </row>
    <row r="94" spans="5:13" x14ac:dyDescent="0.25">
      <c r="E94" s="1"/>
      <c r="F94" s="1"/>
      <c r="G94" s="1"/>
      <c r="H94" s="1"/>
      <c r="I94" s="1"/>
      <c r="J94" s="1"/>
      <c r="K94" s="1"/>
      <c r="L94" s="1"/>
      <c r="M94" s="1"/>
    </row>
    <row r="95" spans="5:13" x14ac:dyDescent="0.25">
      <c r="E95" s="1"/>
      <c r="F95" s="1"/>
      <c r="G95" s="1"/>
      <c r="H95" s="1"/>
      <c r="I95" s="1"/>
      <c r="J95" s="1"/>
      <c r="K95" s="1"/>
      <c r="L95" s="1"/>
      <c r="M95" s="1"/>
    </row>
    <row r="96" spans="5:13" x14ac:dyDescent="0.25">
      <c r="E96" s="1"/>
      <c r="F96" s="1"/>
      <c r="G96" s="1"/>
      <c r="H96" s="1"/>
      <c r="I96" s="1"/>
      <c r="J96" s="1"/>
      <c r="K96" s="1"/>
      <c r="L96" s="1"/>
      <c r="M96" s="1"/>
    </row>
    <row r="97" spans="5:13" x14ac:dyDescent="0.25">
      <c r="E97" s="1"/>
      <c r="F97" s="1"/>
      <c r="G97" s="1"/>
      <c r="H97" s="1"/>
      <c r="I97" s="1"/>
      <c r="J97" s="1"/>
      <c r="K97" s="1"/>
      <c r="L97" s="1"/>
      <c r="M97" s="1"/>
    </row>
    <row r="98" spans="5:13" x14ac:dyDescent="0.25">
      <c r="E98" s="1"/>
      <c r="F98" s="1"/>
      <c r="G98" s="1"/>
      <c r="H98" s="1"/>
      <c r="I98" s="1"/>
      <c r="J98" s="1"/>
      <c r="K98" s="1"/>
      <c r="L98" s="1"/>
      <c r="M98" s="1"/>
    </row>
    <row r="99" spans="5:13" x14ac:dyDescent="0.25">
      <c r="E99" s="1"/>
      <c r="F99" s="1"/>
      <c r="G99" s="1"/>
      <c r="H99" s="1"/>
      <c r="I99" s="1"/>
      <c r="J99" s="1"/>
      <c r="K99" s="1"/>
      <c r="L99" s="1"/>
      <c r="M99" s="1"/>
    </row>
    <row r="100" spans="5:13" x14ac:dyDescent="0.25">
      <c r="E100" s="1"/>
      <c r="F100" s="1"/>
      <c r="G100" s="1"/>
      <c r="H100" s="1"/>
      <c r="I100" s="1"/>
      <c r="J100" s="1"/>
      <c r="K100" s="1"/>
      <c r="L100" s="1"/>
      <c r="M100" s="1"/>
    </row>
    <row r="101" spans="5:13" x14ac:dyDescent="0.25">
      <c r="E101" s="1"/>
      <c r="F101" s="1"/>
      <c r="G101" s="1"/>
      <c r="H101" s="1"/>
      <c r="I101" s="1"/>
      <c r="J101" s="1"/>
      <c r="K101" s="1"/>
      <c r="L101" s="1"/>
      <c r="M101" s="1"/>
    </row>
    <row r="102" spans="5:13" x14ac:dyDescent="0.25">
      <c r="E102" s="1"/>
      <c r="F102" s="1"/>
      <c r="G102" s="1"/>
      <c r="H102" s="1"/>
      <c r="I102" s="1"/>
      <c r="J102" s="1"/>
      <c r="K102" s="1"/>
      <c r="L102" s="1"/>
      <c r="M102" s="1"/>
    </row>
    <row r="103" spans="5:13" x14ac:dyDescent="0.25">
      <c r="E103" s="1"/>
      <c r="F103" s="1"/>
      <c r="G103" s="1"/>
      <c r="H103" s="1"/>
      <c r="I103" s="1"/>
      <c r="J103" s="1"/>
      <c r="K103" s="1"/>
      <c r="L103" s="1"/>
      <c r="M103" s="1"/>
    </row>
    <row r="104" spans="5:13" x14ac:dyDescent="0.25">
      <c r="E104" s="1"/>
      <c r="F104" s="1"/>
      <c r="G104" s="1"/>
      <c r="H104" s="1"/>
      <c r="I104" s="1"/>
      <c r="J104" s="1"/>
      <c r="K104" s="1"/>
      <c r="L104" s="1"/>
      <c r="M104" s="1"/>
    </row>
    <row r="105" spans="5:13" x14ac:dyDescent="0.25">
      <c r="E105" s="1"/>
      <c r="F105" s="1"/>
      <c r="G105" s="1"/>
      <c r="H105" s="1"/>
      <c r="I105" s="1"/>
      <c r="J105" s="1"/>
      <c r="K105" s="1"/>
      <c r="L105" s="1"/>
      <c r="M105" s="1"/>
    </row>
    <row r="106" spans="5:13" x14ac:dyDescent="0.25">
      <c r="E106" s="1"/>
      <c r="F106" s="1"/>
      <c r="G106" s="1"/>
      <c r="H106" s="1"/>
      <c r="I106" s="1"/>
      <c r="J106" s="1"/>
      <c r="K106" s="1"/>
      <c r="L106" s="1"/>
      <c r="M106" s="1"/>
    </row>
    <row r="107" spans="5:13" x14ac:dyDescent="0.25">
      <c r="E107" s="1"/>
      <c r="F107" s="1"/>
      <c r="G107" s="1"/>
      <c r="H107" s="1"/>
      <c r="I107" s="1"/>
      <c r="J107" s="1"/>
      <c r="K107" s="1"/>
      <c r="L107" s="1"/>
      <c r="M107" s="1"/>
    </row>
    <row r="108" spans="5:13" x14ac:dyDescent="0.25">
      <c r="E108" s="1"/>
      <c r="F108" s="1"/>
      <c r="G108" s="1"/>
      <c r="H108" s="1"/>
      <c r="I108" s="1"/>
      <c r="J108" s="1"/>
      <c r="K108" s="1"/>
      <c r="L108" s="1"/>
      <c r="M108" s="1"/>
    </row>
    <row r="109" spans="5:13" x14ac:dyDescent="0.25">
      <c r="E109" s="1"/>
      <c r="F109" s="1"/>
      <c r="G109" s="1"/>
      <c r="H109" s="1"/>
      <c r="I109" s="1"/>
      <c r="J109" s="1"/>
      <c r="K109" s="1"/>
      <c r="L109" s="1"/>
      <c r="M109" s="1"/>
    </row>
    <row r="110" spans="5:13" x14ac:dyDescent="0.25">
      <c r="E110" s="1"/>
      <c r="F110" s="1"/>
      <c r="G110" s="1"/>
      <c r="H110" s="1"/>
      <c r="I110" s="1"/>
      <c r="J110" s="1"/>
      <c r="K110" s="1"/>
      <c r="L110" s="1"/>
      <c r="M110" s="1"/>
    </row>
    <row r="111" spans="5:13" x14ac:dyDescent="0.25">
      <c r="E111" s="1"/>
      <c r="F111" s="1"/>
      <c r="G111" s="1"/>
      <c r="H111" s="1"/>
      <c r="I111" s="1"/>
      <c r="J111" s="1"/>
      <c r="K111" s="1"/>
      <c r="L111" s="1"/>
      <c r="M111" s="1"/>
    </row>
    <row r="112" spans="5:13" x14ac:dyDescent="0.25">
      <c r="E112" s="1"/>
      <c r="F112" s="1"/>
      <c r="G112" s="1"/>
      <c r="H112" s="1"/>
      <c r="I112" s="1"/>
      <c r="J112" s="1"/>
      <c r="K112" s="1"/>
      <c r="L112" s="1"/>
      <c r="M112" s="1"/>
    </row>
    <row r="113" spans="5:13" x14ac:dyDescent="0.25">
      <c r="E113" s="1"/>
      <c r="F113" s="1"/>
      <c r="G113" s="1"/>
      <c r="H113" s="1"/>
      <c r="I113" s="1"/>
      <c r="J113" s="1"/>
      <c r="K113" s="1"/>
      <c r="L113" s="1"/>
      <c r="M113" s="1"/>
    </row>
    <row r="114" spans="5:13" x14ac:dyDescent="0.25">
      <c r="E114" s="1"/>
      <c r="F114" s="1"/>
      <c r="G114" s="1"/>
      <c r="H114" s="1"/>
      <c r="I114" s="1"/>
      <c r="J114" s="1"/>
      <c r="K114" s="1"/>
      <c r="L114" s="1"/>
      <c r="M114" s="1"/>
    </row>
    <row r="115" spans="5:13" x14ac:dyDescent="0.25">
      <c r="E115" s="1"/>
      <c r="F115" s="1"/>
      <c r="G115" s="1"/>
      <c r="H115" s="1"/>
      <c r="I115" s="1"/>
      <c r="J115" s="1"/>
      <c r="K115" s="1"/>
      <c r="L115" s="1"/>
      <c r="M115" s="1"/>
    </row>
    <row r="116" spans="5:13" x14ac:dyDescent="0.25">
      <c r="E116" s="1"/>
      <c r="F116" s="1"/>
      <c r="G116" s="1"/>
      <c r="H116" s="1"/>
      <c r="I116" s="1"/>
      <c r="J116" s="1"/>
      <c r="K116" s="1"/>
      <c r="L116" s="1"/>
      <c r="M116" s="1"/>
    </row>
    <row r="117" spans="5:13" x14ac:dyDescent="0.25">
      <c r="E117" s="1"/>
      <c r="F117" s="1"/>
      <c r="G117" s="1"/>
      <c r="H117" s="1"/>
      <c r="I117" s="1"/>
      <c r="J117" s="1"/>
      <c r="K117" s="1"/>
      <c r="L117" s="1"/>
      <c r="M117" s="1"/>
    </row>
    <row r="118" spans="5:13" x14ac:dyDescent="0.25">
      <c r="E118" s="1"/>
      <c r="F118" s="1"/>
      <c r="G118" s="1"/>
      <c r="H118" s="1"/>
      <c r="I118" s="1"/>
      <c r="J118" s="1"/>
      <c r="K118" s="1"/>
      <c r="L118" s="1"/>
      <c r="M118" s="1"/>
    </row>
    <row r="119" spans="5:13" x14ac:dyDescent="0.25">
      <c r="E119" s="1"/>
      <c r="F119" s="1"/>
      <c r="G119" s="1"/>
      <c r="H119" s="1"/>
      <c r="I119" s="1"/>
      <c r="J119" s="1"/>
      <c r="K119" s="1"/>
      <c r="L119" s="1"/>
      <c r="M119" s="1"/>
    </row>
    <row r="120" spans="5:13" x14ac:dyDescent="0.25">
      <c r="E120" s="1"/>
      <c r="F120" s="1"/>
      <c r="G120" s="1"/>
      <c r="H120" s="1"/>
      <c r="I120" s="1"/>
      <c r="J120" s="1"/>
      <c r="K120" s="1"/>
      <c r="L120" s="1"/>
      <c r="M120" s="1"/>
    </row>
    <row r="121" spans="5:13" x14ac:dyDescent="0.25">
      <c r="E121" s="1"/>
      <c r="F121" s="1"/>
      <c r="G121" s="1"/>
      <c r="H121" s="1"/>
      <c r="I121" s="1"/>
      <c r="J121" s="1"/>
      <c r="K121" s="1"/>
      <c r="L121" s="1"/>
      <c r="M121" s="1"/>
    </row>
    <row r="122" spans="5:13" x14ac:dyDescent="0.25">
      <c r="E122" s="1"/>
      <c r="F122" s="1"/>
      <c r="G122" s="1"/>
      <c r="H122" s="1"/>
      <c r="I122" s="1"/>
      <c r="J122" s="1"/>
      <c r="K122" s="1"/>
      <c r="L122" s="1"/>
      <c r="M122" s="1"/>
    </row>
    <row r="123" spans="5:13" x14ac:dyDescent="0.25">
      <c r="E123" s="1"/>
      <c r="F123" s="1"/>
      <c r="G123" s="1"/>
      <c r="H123" s="1"/>
      <c r="I123" s="1"/>
      <c r="J123" s="1"/>
      <c r="K123" s="1"/>
      <c r="L123" s="1"/>
      <c r="M123" s="1"/>
    </row>
    <row r="124" spans="5:13" x14ac:dyDescent="0.25">
      <c r="E124" s="1"/>
      <c r="F124" s="1"/>
      <c r="G124" s="1"/>
      <c r="H124" s="1"/>
      <c r="I124" s="1"/>
      <c r="J124" s="1"/>
      <c r="K124" s="1"/>
      <c r="L124" s="1"/>
      <c r="M124" s="1"/>
    </row>
    <row r="125" spans="5:13" x14ac:dyDescent="0.25">
      <c r="E125" s="1"/>
      <c r="F125" s="1"/>
      <c r="G125" s="1"/>
      <c r="H125" s="1"/>
      <c r="I125" s="1"/>
      <c r="J125" s="1"/>
      <c r="K125" s="1"/>
      <c r="L125" s="1"/>
      <c r="M125" s="1"/>
    </row>
    <row r="126" spans="5:13" x14ac:dyDescent="0.25">
      <c r="E126" s="1"/>
      <c r="F126" s="1"/>
      <c r="G126" s="1"/>
      <c r="H126" s="1"/>
      <c r="I126" s="1"/>
      <c r="J126" s="1"/>
      <c r="K126" s="1"/>
      <c r="L126" s="1"/>
      <c r="M126" s="1"/>
    </row>
    <row r="127" spans="5:13" x14ac:dyDescent="0.25">
      <c r="E127" s="1"/>
      <c r="F127" s="1"/>
      <c r="G127" s="1"/>
      <c r="H127" s="1"/>
      <c r="I127" s="1"/>
      <c r="J127" s="1"/>
      <c r="K127" s="1"/>
      <c r="L127" s="1"/>
      <c r="M127" s="1"/>
    </row>
    <row r="128" spans="5:13" x14ac:dyDescent="0.25">
      <c r="E128" s="1"/>
      <c r="F128" s="1"/>
      <c r="G128" s="1"/>
      <c r="H128" s="1"/>
      <c r="I128" s="1"/>
      <c r="J128" s="1"/>
      <c r="K128" s="1"/>
      <c r="L128" s="1"/>
      <c r="M128" s="1"/>
    </row>
    <row r="129" spans="5:13" x14ac:dyDescent="0.25">
      <c r="E129" s="1"/>
      <c r="F129" s="1"/>
      <c r="G129" s="1"/>
      <c r="H129" s="1"/>
      <c r="I129" s="1"/>
      <c r="J129" s="1"/>
      <c r="K129" s="1"/>
      <c r="L129" s="1"/>
      <c r="M129" s="1"/>
    </row>
    <row r="130" spans="5:13" x14ac:dyDescent="0.25">
      <c r="E130" s="1"/>
      <c r="F130" s="1"/>
      <c r="G130" s="1"/>
      <c r="H130" s="1"/>
      <c r="I130" s="1"/>
      <c r="J130" s="1"/>
      <c r="K130" s="1"/>
      <c r="L130" s="1"/>
      <c r="M130" s="1"/>
    </row>
    <row r="131" spans="5:13" x14ac:dyDescent="0.25">
      <c r="E131" s="1"/>
      <c r="F131" s="1"/>
      <c r="G131" s="1"/>
      <c r="H131" s="1"/>
      <c r="I131" s="1"/>
      <c r="J131" s="1"/>
      <c r="K131" s="1"/>
      <c r="L131" s="1"/>
      <c r="M131" s="1"/>
    </row>
    <row r="132" spans="5:13" x14ac:dyDescent="0.25">
      <c r="E132" s="1"/>
      <c r="F132" s="1"/>
      <c r="G132" s="1"/>
      <c r="H132" s="1"/>
      <c r="I132" s="1"/>
      <c r="J132" s="1"/>
      <c r="K132" s="1"/>
      <c r="L132" s="1"/>
      <c r="M132" s="1"/>
    </row>
    <row r="133" spans="5:13" x14ac:dyDescent="0.25">
      <c r="E133" s="1"/>
      <c r="F133" s="1"/>
      <c r="G133" s="1"/>
      <c r="H133" s="1"/>
      <c r="I133" s="1"/>
      <c r="J133" s="1"/>
      <c r="K133" s="1"/>
      <c r="L133" s="1"/>
      <c r="M133" s="1"/>
    </row>
    <row r="134" spans="5:13" x14ac:dyDescent="0.25">
      <c r="E134" s="1"/>
      <c r="F134" s="1"/>
      <c r="G134" s="1"/>
      <c r="H134" s="1"/>
      <c r="I134" s="1"/>
      <c r="J134" s="1"/>
      <c r="K134" s="1"/>
      <c r="L134" s="1"/>
      <c r="M134" s="1"/>
    </row>
    <row r="135" spans="5:13" x14ac:dyDescent="0.25">
      <c r="E135" s="1"/>
      <c r="F135" s="1"/>
      <c r="G135" s="1"/>
      <c r="H135" s="1"/>
      <c r="I135" s="1"/>
      <c r="J135" s="1"/>
      <c r="K135" s="1"/>
      <c r="L135" s="1"/>
      <c r="M135" s="1"/>
    </row>
    <row r="136" spans="5:13" x14ac:dyDescent="0.25">
      <c r="E136" s="1"/>
      <c r="F136" s="1"/>
      <c r="G136" s="1"/>
      <c r="H136" s="1"/>
      <c r="I136" s="1"/>
      <c r="J136" s="1"/>
      <c r="K136" s="1"/>
      <c r="L136" s="1"/>
      <c r="M136" s="1"/>
    </row>
    <row r="137" spans="5:13" x14ac:dyDescent="0.25">
      <c r="E137" s="1"/>
      <c r="F137" s="1"/>
      <c r="G137" s="1"/>
      <c r="H137" s="1"/>
      <c r="I137" s="1"/>
      <c r="J137" s="1"/>
      <c r="K137" s="1"/>
      <c r="L137" s="1"/>
      <c r="M137" s="1"/>
    </row>
    <row r="138" spans="5:13" x14ac:dyDescent="0.25">
      <c r="E138" s="1"/>
      <c r="F138" s="1"/>
      <c r="G138" s="1"/>
      <c r="H138" s="1"/>
      <c r="I138" s="1"/>
      <c r="J138" s="1"/>
      <c r="K138" s="1"/>
      <c r="L138" s="1"/>
      <c r="M138" s="1"/>
    </row>
    <row r="139" spans="5:13" x14ac:dyDescent="0.25">
      <c r="E139" s="1"/>
      <c r="F139" s="1"/>
      <c r="G139" s="1"/>
      <c r="H139" s="1"/>
      <c r="I139" s="1"/>
      <c r="J139" s="1"/>
      <c r="K139" s="1"/>
      <c r="L139" s="1"/>
      <c r="M139" s="1"/>
    </row>
    <row r="140" spans="5:13" x14ac:dyDescent="0.25">
      <c r="E140" s="1"/>
      <c r="F140" s="1"/>
      <c r="G140" s="1"/>
      <c r="H140" s="1"/>
      <c r="I140" s="1"/>
      <c r="J140" s="1"/>
      <c r="K140" s="1"/>
      <c r="L140" s="1"/>
      <c r="M140" s="1"/>
    </row>
    <row r="141" spans="5:13" x14ac:dyDescent="0.25">
      <c r="E141" s="1"/>
      <c r="F141" s="1"/>
      <c r="G141" s="1"/>
      <c r="H141" s="1"/>
      <c r="I141" s="1"/>
      <c r="J141" s="1"/>
      <c r="K141" s="1"/>
      <c r="L141" s="1"/>
      <c r="M141" s="1"/>
    </row>
    <row r="142" spans="5:13" x14ac:dyDescent="0.25">
      <c r="E142" s="1"/>
      <c r="F142" s="1"/>
      <c r="G142" s="1"/>
      <c r="H142" s="1"/>
      <c r="I142" s="1"/>
      <c r="J142" s="1"/>
      <c r="K142" s="1"/>
      <c r="L142" s="1"/>
      <c r="M142" s="1"/>
    </row>
    <row r="143" spans="5:13" x14ac:dyDescent="0.25">
      <c r="E143" s="1"/>
      <c r="F143" s="1"/>
      <c r="G143" s="1"/>
      <c r="H143" s="1"/>
      <c r="I143" s="1"/>
      <c r="J143" s="1"/>
      <c r="K143" s="1"/>
      <c r="L143" s="1"/>
      <c r="M143" s="1"/>
    </row>
    <row r="144" spans="5:13" x14ac:dyDescent="0.25">
      <c r="E144" s="1"/>
      <c r="F144" s="1"/>
      <c r="G144" s="1"/>
      <c r="H144" s="1"/>
      <c r="I144" s="1"/>
      <c r="J144" s="1"/>
      <c r="K144" s="1"/>
      <c r="L144" s="1"/>
      <c r="M144" s="1"/>
    </row>
    <row r="145" spans="5:13" x14ac:dyDescent="0.25">
      <c r="E145" s="1"/>
      <c r="F145" s="1"/>
      <c r="G145" s="1"/>
      <c r="H145" s="1"/>
      <c r="I145" s="1"/>
      <c r="J145" s="1"/>
      <c r="K145" s="1"/>
      <c r="L145" s="1"/>
      <c r="M145" s="1"/>
    </row>
    <row r="146" spans="5:13" x14ac:dyDescent="0.25">
      <c r="E146" s="1"/>
      <c r="F146" s="1"/>
      <c r="G146" s="1"/>
      <c r="H146" s="1"/>
      <c r="I146" s="1"/>
      <c r="J146" s="1"/>
      <c r="K146" s="1"/>
      <c r="L146" s="1"/>
      <c r="M146" s="1"/>
    </row>
    <row r="147" spans="5:13" x14ac:dyDescent="0.25">
      <c r="E147" s="1"/>
      <c r="F147" s="1"/>
      <c r="G147" s="1"/>
      <c r="H147" s="1"/>
      <c r="I147" s="1"/>
      <c r="J147" s="1"/>
      <c r="K147" s="1"/>
      <c r="L147" s="1"/>
      <c r="M147" s="1"/>
    </row>
    <row r="148" spans="5:13" x14ac:dyDescent="0.25">
      <c r="E148" s="1"/>
      <c r="F148" s="1"/>
      <c r="G148" s="1"/>
      <c r="H148" s="1"/>
      <c r="I148" s="1"/>
      <c r="J148" s="1"/>
      <c r="K148" s="1"/>
      <c r="L148" s="1"/>
      <c r="M148" s="1"/>
    </row>
    <row r="149" spans="5:13" x14ac:dyDescent="0.25">
      <c r="E149" s="1"/>
      <c r="F149" s="1"/>
      <c r="G149" s="1"/>
      <c r="H149" s="1"/>
      <c r="I149" s="1"/>
      <c r="J149" s="1"/>
      <c r="K149" s="1"/>
      <c r="L149" s="1"/>
      <c r="M149" s="1"/>
    </row>
    <row r="150" spans="5:13" x14ac:dyDescent="0.25">
      <c r="E150" s="1"/>
      <c r="F150" s="1"/>
      <c r="G150" s="1"/>
      <c r="H150" s="1"/>
      <c r="I150" s="1"/>
      <c r="J150" s="1"/>
      <c r="K150" s="1"/>
      <c r="L150" s="1"/>
      <c r="M150" s="1"/>
    </row>
    <row r="151" spans="5:13" x14ac:dyDescent="0.25">
      <c r="E151" s="1"/>
      <c r="F151" s="1"/>
      <c r="G151" s="1"/>
      <c r="H151" s="1"/>
      <c r="I151" s="1"/>
      <c r="J151" s="1"/>
      <c r="K151" s="1"/>
      <c r="L151" s="1"/>
      <c r="M151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90" zoomScaleNormal="90" workbookViewId="0">
      <selection activeCell="B13" sqref="B13"/>
    </sheetView>
  </sheetViews>
  <sheetFormatPr defaultRowHeight="15" x14ac:dyDescent="0.25"/>
  <cols>
    <col min="1" max="1" width="5.5703125" bestFit="1" customWidth="1"/>
    <col min="2" max="2" width="9.7109375" bestFit="1" customWidth="1"/>
    <col min="3" max="3" width="6.85546875" bestFit="1" customWidth="1"/>
    <col min="4" max="4" width="8.42578125" bestFit="1" customWidth="1"/>
    <col min="5" max="10" width="6.85546875" bestFit="1" customWidth="1"/>
    <col min="11" max="11" width="8.5703125" bestFit="1" customWidth="1"/>
  </cols>
  <sheetData>
    <row r="1" spans="1:11" x14ac:dyDescent="0.25">
      <c r="B1" s="48" t="s">
        <v>76</v>
      </c>
      <c r="C1" s="48" t="s">
        <v>78</v>
      </c>
      <c r="D1" s="48" t="s">
        <v>80</v>
      </c>
      <c r="E1" s="48" t="s">
        <v>232</v>
      </c>
      <c r="F1" s="48" t="s">
        <v>438</v>
      </c>
      <c r="G1" s="48" t="s">
        <v>439</v>
      </c>
      <c r="H1" s="48" t="s">
        <v>130</v>
      </c>
      <c r="I1" s="48" t="s">
        <v>237</v>
      </c>
      <c r="J1" s="48" t="s">
        <v>90</v>
      </c>
      <c r="K1" s="48" t="s">
        <v>2991</v>
      </c>
    </row>
    <row r="2" spans="1:11" x14ac:dyDescent="0.25">
      <c r="A2">
        <v>2010</v>
      </c>
      <c r="B2" s="94">
        <f>+'Historical College Expenses'!S9</f>
        <v>235.22269663519575</v>
      </c>
      <c r="C2" s="94">
        <f>+'Historical College Expenses'!S28</f>
        <v>420.25190123158978</v>
      </c>
      <c r="D2" s="94">
        <f>+'Historical College Expenses'!S47</f>
        <v>314.34427874865037</v>
      </c>
      <c r="E2" s="94">
        <f>+'Historical College Expenses'!S66</f>
        <v>209.22784498634402</v>
      </c>
      <c r="F2" s="94">
        <f>+'Historical College Expenses'!S85</f>
        <v>254.01038070987067</v>
      </c>
      <c r="G2" s="94">
        <f>+'Historical College Expenses'!S104</f>
        <v>878.80702410641732</v>
      </c>
      <c r="H2" s="94">
        <f>+'Historical College Expenses'!S123</f>
        <v>140.3026837213209</v>
      </c>
      <c r="I2" s="94">
        <f>+'Historical College Expenses'!S142</f>
        <v>258.57287525063339</v>
      </c>
      <c r="J2" s="94">
        <f>+'Historical College Expenses'!S161</f>
        <v>771.98027947864239</v>
      </c>
      <c r="K2" s="94">
        <f>+'Historical College Expenses'!S180</f>
        <v>240.60161277153549</v>
      </c>
    </row>
    <row r="3" spans="1:11" x14ac:dyDescent="0.25">
      <c r="A3">
        <v>2011</v>
      </c>
      <c r="B3" s="94">
        <f>+'Historical College Expenses'!S10</f>
        <v>192.87837879482669</v>
      </c>
      <c r="C3" s="94">
        <f>+'Historical College Expenses'!S29</f>
        <v>379.60384126025832</v>
      </c>
      <c r="D3" s="94">
        <f>+'Historical College Expenses'!S48</f>
        <v>259.84444493107679</v>
      </c>
      <c r="E3" s="94">
        <f>+'Historical College Expenses'!S67</f>
        <v>184.39688859353797</v>
      </c>
      <c r="F3" s="94">
        <f>+'Historical College Expenses'!S86</f>
        <v>238.84478439258893</v>
      </c>
      <c r="G3" s="94">
        <f>+'Historical College Expenses'!S105</f>
        <v>400.29475405732325</v>
      </c>
      <c r="H3" s="94">
        <f>+'Historical College Expenses'!S124</f>
        <v>113.28384243524951</v>
      </c>
      <c r="I3" s="94">
        <f>+'Historical College Expenses'!S143</f>
        <v>245.59462708065544</v>
      </c>
      <c r="J3" s="94">
        <f>+'Historical College Expenses'!S162</f>
        <v>769.46684809920964</v>
      </c>
      <c r="K3" s="94">
        <f>+'Historical College Expenses'!S181</f>
        <v>209.74606647212957</v>
      </c>
    </row>
    <row r="4" spans="1:11" x14ac:dyDescent="0.25">
      <c r="A4">
        <v>2012</v>
      </c>
      <c r="B4" s="94">
        <f>+'Historical College Expenses'!S11</f>
        <v>196.02673308402561</v>
      </c>
      <c r="C4" s="94">
        <f>+'Historical College Expenses'!S30</f>
        <v>395.27417735269933</v>
      </c>
      <c r="D4" s="94">
        <f>+'Historical College Expenses'!S49</f>
        <v>288.69939306153492</v>
      </c>
      <c r="E4" s="94">
        <f>+'Historical College Expenses'!S68</f>
        <v>194.96675601071345</v>
      </c>
      <c r="F4" s="94">
        <f>+'Historical College Expenses'!S87</f>
        <v>262.14927157292806</v>
      </c>
      <c r="G4" s="94">
        <f>+'Historical College Expenses'!S106</f>
        <v>361.44518371848096</v>
      </c>
      <c r="H4" s="94">
        <f>+'Historical College Expenses'!S125</f>
        <v>106.70701157726154</v>
      </c>
      <c r="I4" s="94">
        <f>+'Historical College Expenses'!S144</f>
        <v>245.69310241797498</v>
      </c>
      <c r="J4" s="94">
        <f>+'Historical College Expenses'!S163</f>
        <v>758.77520251282704</v>
      </c>
      <c r="K4" s="94">
        <f>+'Historical College Expenses'!S182</f>
        <v>216.99960798177719</v>
      </c>
    </row>
    <row r="5" spans="1:11" x14ac:dyDescent="0.25">
      <c r="A5">
        <v>2013</v>
      </c>
      <c r="B5" s="94">
        <f>+'Historical College Expenses'!S12</f>
        <v>212.92761297688895</v>
      </c>
      <c r="C5" s="94">
        <f>+'Historical College Expenses'!S31</f>
        <v>427.83107592978018</v>
      </c>
      <c r="D5" s="94">
        <f>+'Historical College Expenses'!S50</f>
        <v>277.2209239008348</v>
      </c>
      <c r="E5" s="94">
        <f>+'Historical College Expenses'!S69</f>
        <v>215.09799088154477</v>
      </c>
      <c r="F5" s="94">
        <f>+'Historical College Expenses'!S88</f>
        <v>272.4490220442965</v>
      </c>
      <c r="G5" s="94">
        <f>+'Historical College Expenses'!S107</f>
        <v>382.89499861309588</v>
      </c>
      <c r="H5" s="94">
        <f>+'Historical College Expenses'!S126</f>
        <v>126.41156318604429</v>
      </c>
      <c r="I5" s="94">
        <f>+'Historical College Expenses'!S145</f>
        <v>259.75611072445309</v>
      </c>
      <c r="J5" s="94">
        <f>+'Historical College Expenses'!S164</f>
        <v>765.46696562992884</v>
      </c>
      <c r="K5" s="94">
        <f>+'Historical College Expenses'!S183</f>
        <v>237.52835007511783</v>
      </c>
    </row>
    <row r="6" spans="1:11" x14ac:dyDescent="0.25">
      <c r="A6">
        <v>2014</v>
      </c>
      <c r="B6" s="94">
        <f>+'Historical College Expenses'!S13</f>
        <v>216.62440845465545</v>
      </c>
      <c r="C6" s="94">
        <f>+'Historical College Expenses'!S32</f>
        <v>415.35708252079263</v>
      </c>
      <c r="D6" s="94">
        <f>+'Historical College Expenses'!S51</f>
        <v>306.5872093525013</v>
      </c>
      <c r="E6" s="94">
        <f>+'Historical College Expenses'!S70</f>
        <v>222.69601813151769</v>
      </c>
      <c r="F6" s="94">
        <f>+'Historical College Expenses'!S89</f>
        <v>274.09415788944096</v>
      </c>
      <c r="G6" s="94">
        <f>+'Historical College Expenses'!S108</f>
        <v>370.71131469430634</v>
      </c>
      <c r="H6" s="94">
        <f>+'Historical College Expenses'!S127</f>
        <v>145.07766499542544</v>
      </c>
      <c r="I6" s="94">
        <f>+'Historical College Expenses'!S146</f>
        <v>256.69716237401002</v>
      </c>
      <c r="J6" s="94">
        <f>+'Historical College Expenses'!S165</f>
        <v>647.32679538597893</v>
      </c>
      <c r="K6" s="94">
        <f>+'Historical College Expenses'!S184</f>
        <v>246.39156228884627</v>
      </c>
    </row>
    <row r="7" spans="1:11" x14ac:dyDescent="0.25">
      <c r="A7">
        <v>2015</v>
      </c>
      <c r="B7" s="94">
        <f>+'Historical College Expenses'!S14</f>
        <v>245.03725225905353</v>
      </c>
      <c r="C7" s="94">
        <f>+'Historical College Expenses'!S33</f>
        <v>431.66277860517761</v>
      </c>
      <c r="D7" s="94">
        <f>+'Historical College Expenses'!S52</f>
        <v>331.12889456290799</v>
      </c>
      <c r="E7" s="94">
        <f>+'Historical College Expenses'!S71</f>
        <v>226.26248231062249</v>
      </c>
      <c r="F7" s="94">
        <f>+'Historical College Expenses'!S90</f>
        <v>263.78853936286282</v>
      </c>
      <c r="G7" s="94">
        <f>+'Historical College Expenses'!S109</f>
        <v>397.1715987604174</v>
      </c>
      <c r="H7" s="94">
        <f>+'Historical College Expenses'!S128</f>
        <v>159.60412426911833</v>
      </c>
      <c r="I7" s="94">
        <f>+'Historical College Expenses'!S147</f>
        <v>257.09268944044214</v>
      </c>
      <c r="J7" s="94">
        <f>+'Historical College Expenses'!S166</f>
        <v>704.341193638184</v>
      </c>
      <c r="K7" s="94">
        <f>+'Historical College Expenses'!S185</f>
        <v>253.5198655809952</v>
      </c>
    </row>
    <row r="8" spans="1:11" x14ac:dyDescent="0.25">
      <c r="A8">
        <v>2016</v>
      </c>
      <c r="B8" s="94">
        <f>+'Historical College Expenses'!S15</f>
        <v>239.74062714136426</v>
      </c>
      <c r="C8" s="94">
        <f>+'Historical College Expenses'!S34</f>
        <v>436.64444444691509</v>
      </c>
      <c r="D8" s="94">
        <f>+'Historical College Expenses'!S53</f>
        <v>327.57377877175583</v>
      </c>
      <c r="E8" s="94">
        <f>+'Historical College Expenses'!S72</f>
        <v>241.22152157766541</v>
      </c>
      <c r="F8" s="94">
        <f>+'Historical College Expenses'!S91</f>
        <v>272.92570529844511</v>
      </c>
      <c r="G8" s="94">
        <f>+'Historical College Expenses'!S110</f>
        <v>451.75608037402833</v>
      </c>
      <c r="H8" s="94">
        <f>+'Historical College Expenses'!S129</f>
        <v>165.76354863299724</v>
      </c>
      <c r="I8" s="94">
        <f>+'Historical College Expenses'!S148</f>
        <v>246.32650245380947</v>
      </c>
      <c r="J8" s="94">
        <f>+'Historical College Expenses'!S167</f>
        <v>702.34001105004688</v>
      </c>
      <c r="K8" s="94">
        <f>+'Historical College Expenses'!S186</f>
        <v>262.68809964687415</v>
      </c>
    </row>
    <row r="9" spans="1:11" x14ac:dyDescent="0.25">
      <c r="A9">
        <v>2017</v>
      </c>
      <c r="B9" s="94">
        <f>+'Historical College Expenses'!S16</f>
        <v>231.56841839403975</v>
      </c>
      <c r="C9" s="94">
        <f>+'Historical College Expenses'!S35</f>
        <v>415.60882954836654</v>
      </c>
      <c r="D9" s="94">
        <f>+'Historical College Expenses'!S54</f>
        <v>345.87990858074227</v>
      </c>
      <c r="E9" s="94">
        <f>+'Historical College Expenses'!S73</f>
        <v>255.34355969711712</v>
      </c>
      <c r="F9" s="94">
        <f>+'Historical College Expenses'!S92</f>
        <v>277.8470642801164</v>
      </c>
      <c r="G9" s="94">
        <f>+'Historical College Expenses'!S111</f>
        <v>417.14325325814031</v>
      </c>
      <c r="H9" s="94">
        <f>+'Historical College Expenses'!S130</f>
        <v>155.36889294157257</v>
      </c>
      <c r="I9" s="94">
        <f>+'Historical College Expenses'!S149</f>
        <v>231.96719125302184</v>
      </c>
      <c r="J9" s="94">
        <f>+'Historical College Expenses'!S168</f>
        <v>657.85946503459411</v>
      </c>
      <c r="K9" s="94">
        <f>+'Historical College Expenses'!S187</f>
        <v>265.45490119831641</v>
      </c>
    </row>
    <row r="10" spans="1:11" x14ac:dyDescent="0.25">
      <c r="A10">
        <v>2018</v>
      </c>
      <c r="B10" s="94">
        <f>+'Historical College Expenses'!S17</f>
        <v>213.85582711126844</v>
      </c>
      <c r="C10" s="94">
        <f>+'Historical College Expenses'!S36</f>
        <v>383.94912335881622</v>
      </c>
      <c r="D10" s="94">
        <f>+'Historical College Expenses'!S55</f>
        <v>378.09979458484281</v>
      </c>
      <c r="E10" s="94">
        <f>+'Historical College Expenses'!S74</f>
        <v>246.62356077871186</v>
      </c>
      <c r="F10" s="94">
        <f>+'Historical College Expenses'!S93</f>
        <v>275.63279227102356</v>
      </c>
      <c r="G10" s="94">
        <f>+'Historical College Expenses'!S112</f>
        <v>376.53768858371109</v>
      </c>
      <c r="H10" s="94">
        <f>+'Historical College Expenses'!S131</f>
        <v>161.14401401234332</v>
      </c>
      <c r="I10" s="94">
        <f>+'Historical College Expenses'!S150</f>
        <v>243.06362867684936</v>
      </c>
      <c r="J10" s="94">
        <f>+'Historical College Expenses'!S169</f>
        <v>627.06945712063703</v>
      </c>
      <c r="K10" s="94">
        <f>+'Historical College Expenses'!S188</f>
        <v>259.89603554958876</v>
      </c>
    </row>
    <row r="11" spans="1:11" x14ac:dyDescent="0.25">
      <c r="A11">
        <v>2019</v>
      </c>
      <c r="B11" s="94">
        <f>+'Historical College Expenses'!S18</f>
        <v>241.57771980826669</v>
      </c>
      <c r="C11" s="94">
        <f>+'Historical College Expenses'!S37</f>
        <v>386.87856256498884</v>
      </c>
      <c r="D11" s="94">
        <f>+'Historical College Expenses'!S56</f>
        <v>314.62655418765451</v>
      </c>
      <c r="E11" s="94">
        <f>+'Historical College Expenses'!S75</f>
        <v>259.83300282658587</v>
      </c>
      <c r="F11" s="94">
        <f>+'Historical College Expenses'!S94</f>
        <v>267.81191818802978</v>
      </c>
      <c r="G11" s="94">
        <f>+'Historical College Expenses'!S113</f>
        <v>158.44874642412861</v>
      </c>
      <c r="H11" s="94">
        <f>+'Historical College Expenses'!S132</f>
        <v>166.98432890496659</v>
      </c>
      <c r="I11" s="94">
        <f>+'Historical College Expenses'!S151</f>
        <v>268.0504948622148</v>
      </c>
      <c r="J11" s="94">
        <f>+'Historical College Expenses'!S170</f>
        <v>541.92583458565866</v>
      </c>
      <c r="K11" s="94">
        <f>+'Historical College Expenses'!S189</f>
        <v>267.83512716857331</v>
      </c>
    </row>
    <row r="12" spans="1:11" x14ac:dyDescent="0.25">
      <c r="A12" s="68" t="s">
        <v>12</v>
      </c>
      <c r="B12" s="94">
        <f>+'Historical College Expenses'!S19</f>
        <v>249.47454518816619</v>
      </c>
      <c r="C12" s="94">
        <f>+'Historical College Expenses'!S38</f>
        <v>343.98437302235004</v>
      </c>
      <c r="D12" s="94">
        <f>+'Historical College Expenses'!S57</f>
        <v>333.1574616502653</v>
      </c>
      <c r="E12" s="94">
        <f>+'Historical College Expenses'!S76</f>
        <v>283.43926253559522</v>
      </c>
      <c r="F12" s="94">
        <f>+'Historical College Expenses'!S95</f>
        <v>284.67324419597611</v>
      </c>
      <c r="G12" s="94">
        <f>+'Historical College Expenses'!S114</f>
        <v>281.73037373191818</v>
      </c>
      <c r="H12" s="94">
        <f>+'Historical College Expenses'!S133</f>
        <v>178.52465318937536</v>
      </c>
      <c r="I12" s="94">
        <f>+'Historical College Expenses'!S152</f>
        <v>307.07412517689613</v>
      </c>
      <c r="J12" s="94">
        <f>+'Historical College Expenses'!S171</f>
        <v>546.93380995653672</v>
      </c>
      <c r="K12" s="94">
        <f>+'Historical College Expenses'!S190</f>
        <v>289.4196681748092</v>
      </c>
    </row>
    <row r="13" spans="1:11" x14ac:dyDescent="0.25">
      <c r="A13">
        <v>2021</v>
      </c>
      <c r="B13" s="94">
        <f>+'Historical College Expenses'!S20</f>
        <v>0</v>
      </c>
      <c r="C13" s="94"/>
      <c r="D13" s="94"/>
      <c r="E13" s="94"/>
      <c r="F13" s="94"/>
      <c r="G13" s="94"/>
      <c r="H13" s="94"/>
      <c r="I13" s="94"/>
      <c r="J13" s="94"/>
      <c r="K13" s="94"/>
    </row>
    <row r="14" spans="1:11" x14ac:dyDescent="0.25">
      <c r="A14">
        <v>2022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1:11" x14ac:dyDescent="0.25">
      <c r="A15">
        <v>2023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1:11" x14ac:dyDescent="0.25">
      <c r="A16" s="68"/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2:5" x14ac:dyDescent="0.25">
      <c r="B17" s="1"/>
      <c r="E17" s="242"/>
    </row>
    <row r="18" spans="2:5" x14ac:dyDescent="0.25">
      <c r="B18" s="1"/>
    </row>
    <row r="19" spans="2:5" x14ac:dyDescent="0.25">
      <c r="B19" s="1"/>
    </row>
    <row r="20" spans="2:5" x14ac:dyDescent="0.25">
      <c r="B20" s="1"/>
    </row>
    <row r="21" spans="2:5" x14ac:dyDescent="0.25">
      <c r="B21" s="1"/>
    </row>
    <row r="22" spans="2:5" x14ac:dyDescent="0.25">
      <c r="B22" s="1"/>
    </row>
    <row r="23" spans="2:5" x14ac:dyDescent="0.25">
      <c r="B23" s="1"/>
    </row>
    <row r="24" spans="2:5" x14ac:dyDescent="0.25">
      <c r="B24" s="1"/>
    </row>
    <row r="25" spans="2:5" x14ac:dyDescent="0.25">
      <c r="B25" s="1"/>
    </row>
    <row r="26" spans="2:5" x14ac:dyDescent="0.25">
      <c r="B26" s="1"/>
    </row>
    <row r="27" spans="2:5" x14ac:dyDescent="0.25">
      <c r="B27" s="1"/>
    </row>
    <row r="28" spans="2:5" x14ac:dyDescent="0.25">
      <c r="B28" s="1"/>
    </row>
    <row r="29" spans="2:5" x14ac:dyDescent="0.25">
      <c r="B29" s="1"/>
    </row>
    <row r="30" spans="2:5" x14ac:dyDescent="0.25">
      <c r="B30" s="1"/>
    </row>
    <row r="31" spans="2:5" x14ac:dyDescent="0.25">
      <c r="B31" s="1"/>
    </row>
  </sheetData>
  <pageMargins left="0.7" right="0.7" top="0.75" bottom="0.75" header="0.3" footer="0.3"/>
  <pageSetup paperSize="5" scale="51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8"/>
  <sheetViews>
    <sheetView topLeftCell="C66" zoomScale="70" zoomScaleNormal="70" workbookViewId="0">
      <selection activeCell="G92" sqref="G92"/>
    </sheetView>
  </sheetViews>
  <sheetFormatPr defaultRowHeight="15" x14ac:dyDescent="0.25"/>
  <cols>
    <col min="1" max="1" width="5.5703125" bestFit="1" customWidth="1"/>
    <col min="2" max="2" width="17.85546875" bestFit="1" customWidth="1"/>
    <col min="3" max="3" width="15.140625" bestFit="1" customWidth="1"/>
    <col min="4" max="4" width="16.42578125" bestFit="1" customWidth="1"/>
    <col min="5" max="5" width="30.28515625" bestFit="1" customWidth="1"/>
    <col min="6" max="6" width="22.42578125" bestFit="1" customWidth="1"/>
    <col min="7" max="7" width="29.5703125" bestFit="1" customWidth="1"/>
    <col min="8" max="8" width="14.7109375" bestFit="1" customWidth="1"/>
    <col min="9" max="9" width="16.7109375" bestFit="1" customWidth="1"/>
    <col min="10" max="10" width="12.28515625" bestFit="1" customWidth="1"/>
    <col min="11" max="11" width="19.42578125" bestFit="1" customWidth="1"/>
    <col min="25" max="33" width="13.28515625" customWidth="1"/>
    <col min="39" max="39" width="15" style="245" bestFit="1" customWidth="1"/>
    <col min="40" max="40" width="35.140625" style="245" bestFit="1" customWidth="1"/>
    <col min="41" max="41" width="9.140625" style="245"/>
    <col min="42" max="42" width="11.140625" style="245" bestFit="1" customWidth="1"/>
    <col min="43" max="43" width="10.5703125" style="245" customWidth="1"/>
    <col min="44" max="44" width="15.7109375" style="245" customWidth="1"/>
    <col min="45" max="45" width="15.85546875" style="245" customWidth="1"/>
    <col min="46" max="46" width="13.5703125" style="245" bestFit="1" customWidth="1"/>
    <col min="47" max="47" width="15.28515625" style="245" customWidth="1"/>
    <col min="51" max="51" width="34.42578125" bestFit="1" customWidth="1"/>
    <col min="52" max="52" width="18" bestFit="1" customWidth="1"/>
    <col min="53" max="53" width="17" bestFit="1" customWidth="1"/>
  </cols>
  <sheetData>
    <row r="1" spans="1:53" x14ac:dyDescent="0.25">
      <c r="B1" s="474" t="s">
        <v>2992</v>
      </c>
      <c r="C1" s="474"/>
      <c r="D1" s="474"/>
      <c r="E1" s="474"/>
      <c r="F1" s="474"/>
      <c r="G1" s="474"/>
      <c r="H1" s="474"/>
      <c r="I1" s="474"/>
      <c r="J1" s="474"/>
      <c r="K1" s="474"/>
      <c r="M1" s="474" t="s">
        <v>2993</v>
      </c>
      <c r="N1" s="474"/>
      <c r="O1" s="474"/>
      <c r="P1" s="474"/>
      <c r="Q1" s="474"/>
      <c r="R1" s="474"/>
      <c r="S1" s="474"/>
      <c r="T1" s="474"/>
      <c r="U1" s="474"/>
      <c r="V1" s="474"/>
      <c r="W1" s="13"/>
      <c r="X1" s="13"/>
      <c r="Y1" s="474" t="s">
        <v>2994</v>
      </c>
      <c r="Z1" s="474"/>
      <c r="AA1" s="474"/>
      <c r="AB1" s="474"/>
      <c r="AC1" s="474"/>
      <c r="AD1" s="474"/>
      <c r="AE1" s="474"/>
      <c r="AF1" s="474"/>
      <c r="AG1" s="474"/>
      <c r="AH1" s="13"/>
      <c r="AI1" s="13"/>
      <c r="AM1" s="473" t="s">
        <v>232</v>
      </c>
      <c r="AN1" s="473"/>
      <c r="AO1" s="17"/>
      <c r="AP1" s="17"/>
      <c r="AQ1" s="473" t="s">
        <v>2995</v>
      </c>
      <c r="AR1" s="473"/>
      <c r="AS1" s="17"/>
      <c r="AT1" s="473" t="s">
        <v>2996</v>
      </c>
      <c r="AU1" s="473"/>
    </row>
    <row r="2" spans="1:53" x14ac:dyDescent="0.25">
      <c r="B2" s="48" t="s">
        <v>75</v>
      </c>
      <c r="C2" s="48" t="s">
        <v>77</v>
      </c>
      <c r="D2" s="48" t="s">
        <v>79</v>
      </c>
      <c r="E2" s="48" t="s">
        <v>2997</v>
      </c>
      <c r="F2" s="48" t="s">
        <v>83</v>
      </c>
      <c r="G2" s="48" t="s">
        <v>1286</v>
      </c>
      <c r="H2" s="48" t="s">
        <v>91</v>
      </c>
      <c r="I2" s="48" t="s">
        <v>87</v>
      </c>
      <c r="J2" s="48" t="s">
        <v>89</v>
      </c>
      <c r="K2" s="48" t="s">
        <v>2998</v>
      </c>
      <c r="M2" s="48" t="s">
        <v>76</v>
      </c>
      <c r="N2" s="48" t="s">
        <v>78</v>
      </c>
      <c r="O2" s="48" t="s">
        <v>80</v>
      </c>
      <c r="P2" s="48" t="s">
        <v>232</v>
      </c>
      <c r="Q2" s="48" t="s">
        <v>438</v>
      </c>
      <c r="R2" s="48" t="s">
        <v>439</v>
      </c>
      <c r="S2" s="48" t="s">
        <v>130</v>
      </c>
      <c r="T2" s="48" t="s">
        <v>237</v>
      </c>
      <c r="U2" s="48" t="s">
        <v>90</v>
      </c>
      <c r="V2" s="48" t="s">
        <v>2991</v>
      </c>
      <c r="Y2" s="48" t="s">
        <v>91</v>
      </c>
      <c r="Z2" s="48" t="s">
        <v>75</v>
      </c>
      <c r="AA2" s="48" t="s">
        <v>83</v>
      </c>
      <c r="AB2" s="48" t="s">
        <v>2998</v>
      </c>
      <c r="AC2" s="48" t="s">
        <v>87</v>
      </c>
      <c r="AD2" s="48" t="s">
        <v>2997</v>
      </c>
      <c r="AE2" s="48" t="s">
        <v>79</v>
      </c>
      <c r="AF2" s="48" t="s">
        <v>77</v>
      </c>
      <c r="AG2" s="48" t="s">
        <v>89</v>
      </c>
      <c r="AM2" s="28" t="s">
        <v>2999</v>
      </c>
      <c r="AN2" s="28" t="s">
        <v>3000</v>
      </c>
      <c r="AO2" s="17"/>
      <c r="AP2" s="17"/>
      <c r="AQ2" s="28" t="s">
        <v>2999</v>
      </c>
      <c r="AR2" s="28" t="s">
        <v>3000</v>
      </c>
      <c r="AS2" s="17"/>
      <c r="AT2" s="28" t="s">
        <v>2999</v>
      </c>
      <c r="AU2" s="28" t="s">
        <v>3000</v>
      </c>
    </row>
    <row r="3" spans="1:53" x14ac:dyDescent="0.25">
      <c r="A3">
        <v>2010</v>
      </c>
      <c r="B3" s="94">
        <f>+'Historical College Expenses'!P9</f>
        <v>198.88618976511012</v>
      </c>
      <c r="C3" s="94">
        <f>+'Historical College Expenses'!P28</f>
        <v>355.33262977220744</v>
      </c>
      <c r="D3" s="94">
        <f>+'Historical College Expenses'!P47</f>
        <v>265.78530375298078</v>
      </c>
      <c r="E3" s="94">
        <f>+'Historical College Expenses'!P66</f>
        <v>176.90694595953667</v>
      </c>
      <c r="F3" s="94">
        <f>+'Historical College Expenses'!P85</f>
        <v>214.77160793935118</v>
      </c>
      <c r="G3" s="94">
        <f>+'Historical College Expenses'!P104</f>
        <v>743.05151273054639</v>
      </c>
      <c r="H3" s="94">
        <f>+'Historical College Expenses'!P123</f>
        <v>118.62913986752423</v>
      </c>
      <c r="I3" s="94">
        <f>+'Historical College Expenses'!P142</f>
        <v>218.62930180995465</v>
      </c>
      <c r="J3" s="94">
        <f>+'Historical College Expenses'!P161</f>
        <v>652.7270478385409</v>
      </c>
      <c r="K3" s="94">
        <f>+'Historical College Expenses'!P180</f>
        <v>203.43418683650586</v>
      </c>
      <c r="X3">
        <v>2010</v>
      </c>
      <c r="Y3" s="110">
        <f>+'Historical College Expenses'!L123</f>
        <v>99.492488240376304</v>
      </c>
      <c r="Z3" s="110">
        <f>+'Historical College Expenses'!L9</f>
        <v>174.06344411061855</v>
      </c>
      <c r="AA3" s="110">
        <f>+'Historical College Expenses'!L85</f>
        <v>189.18998915222517</v>
      </c>
      <c r="AB3" s="110">
        <f>+'Historical College Expenses'!L180</f>
        <v>180.43333687484028</v>
      </c>
      <c r="AC3" s="110">
        <f>+'Historical College Expenses'!L142</f>
        <v>188.7766626818223</v>
      </c>
      <c r="AD3" s="110">
        <f>+'Historical College Expenses'!L66</f>
        <v>169.70873547897463</v>
      </c>
      <c r="AE3" s="110">
        <f>+'Historical College Expenses'!L47</f>
        <v>222.70957407441821</v>
      </c>
      <c r="AF3" s="110">
        <f>+'Historical College Expenses'!L28</f>
        <v>323.43526772336844</v>
      </c>
      <c r="AG3" s="110">
        <f>+'Historical College Expenses'!L161</f>
        <v>394.40208989317944</v>
      </c>
      <c r="AL3">
        <v>2010</v>
      </c>
      <c r="AM3" s="246">
        <f>+'Historical College Expenses'!J66</f>
        <v>179955.42135062121</v>
      </c>
      <c r="AN3" s="246">
        <f>+'Historical College Expenses'!B66</f>
        <v>30540007</v>
      </c>
      <c r="AO3" s="246"/>
      <c r="AP3" s="247">
        <v>2010</v>
      </c>
      <c r="AQ3" s="246">
        <f>+'Historical College Expenses'!J180</f>
        <v>348251</v>
      </c>
      <c r="AR3" s="246">
        <f>+'Historical College Expenses'!B180</f>
        <v>62836090</v>
      </c>
      <c r="AS3" s="246">
        <v>2010</v>
      </c>
      <c r="AT3" s="246">
        <f t="shared" ref="AT3:AT13" si="0">+AQ3-AM3</f>
        <v>168295.57864937879</v>
      </c>
      <c r="AU3" s="246">
        <f t="shared" ref="AU3:AU13" si="1">+AR3-AN3</f>
        <v>32296083</v>
      </c>
      <c r="AZ3" s="42" t="s">
        <v>3001</v>
      </c>
      <c r="BA3" s="42" t="s">
        <v>3002</v>
      </c>
    </row>
    <row r="4" spans="1:53" x14ac:dyDescent="0.25">
      <c r="A4">
        <v>2011</v>
      </c>
      <c r="B4" s="94">
        <f>+'Historical College Expenses'!P10</f>
        <v>168.88046475337248</v>
      </c>
      <c r="C4" s="94">
        <f>+'Historical College Expenses'!P29</f>
        <v>332.37355858528883</v>
      </c>
      <c r="D4" s="94">
        <f>+'Historical College Expenses'!P48</f>
        <v>227.51461774895091</v>
      </c>
      <c r="E4" s="94">
        <f>+'Historical College Expenses'!P67</f>
        <v>161.45424095397775</v>
      </c>
      <c r="F4" s="94">
        <f>+'Historical College Expenses'!P86</f>
        <v>209.12773346693717</v>
      </c>
      <c r="G4" s="94">
        <f>+'Historical College Expenses'!P105</f>
        <v>350.49010949770008</v>
      </c>
      <c r="H4" s="94">
        <f>+'Historical College Expenses'!P124</f>
        <v>99.189074892959923</v>
      </c>
      <c r="I4" s="94">
        <f>+'Historical College Expenses'!P143</f>
        <v>215.03776121237672</v>
      </c>
      <c r="J4" s="94">
        <f>+'Historical College Expenses'!P162</f>
        <v>673.72983810455275</v>
      </c>
      <c r="K4" s="94">
        <f>+'Historical College Expenses'!P181</f>
        <v>183.64947594092425</v>
      </c>
      <c r="M4" s="4">
        <f>+B4/B$3-1</f>
        <v>-0.15086882124482948</v>
      </c>
      <c r="N4" s="4">
        <f t="shared" ref="N4:V13" si="2">+C4/C$3-1</f>
        <v>-6.461289862863695E-2</v>
      </c>
      <c r="O4" s="4">
        <f t="shared" si="2"/>
        <v>-0.14399097867201271</v>
      </c>
      <c r="P4" s="4">
        <f t="shared" si="2"/>
        <v>-8.7349340195457148E-2</v>
      </c>
      <c r="Q4" s="4">
        <f t="shared" si="2"/>
        <v>-2.6278494287791387E-2</v>
      </c>
      <c r="R4" s="4">
        <f t="shared" si="2"/>
        <v>-0.52830980962581164</v>
      </c>
      <c r="S4" s="4">
        <f t="shared" si="2"/>
        <v>-0.16387259484704564</v>
      </c>
      <c r="T4" s="4">
        <f t="shared" si="2"/>
        <v>-1.6427535411972838E-2</v>
      </c>
      <c r="U4" s="4">
        <f t="shared" si="2"/>
        <v>3.2176987816823432E-2</v>
      </c>
      <c r="V4" s="4">
        <f t="shared" si="2"/>
        <v>-9.7253618987264923E-2</v>
      </c>
      <c r="X4">
        <v>2020</v>
      </c>
      <c r="Y4" s="110">
        <f>+'Historical College Expenses'!L133</f>
        <v>156.54131291448999</v>
      </c>
      <c r="Z4" s="110">
        <f>+'Historical College Expenses'!L19</f>
        <v>209.49506037453381</v>
      </c>
      <c r="AA4" s="110">
        <f>+'Historical College Expenses'!L95</f>
        <v>254.37908437056817</v>
      </c>
      <c r="AB4" s="110">
        <f>+'Historical College Expenses'!L190</f>
        <v>256.42585957555457</v>
      </c>
      <c r="AC4" s="110">
        <f>+'Historical College Expenses'!L152</f>
        <v>253.22662297032269</v>
      </c>
      <c r="AD4" s="110">
        <f>+'Historical College Expenses'!L76</f>
        <v>265.59022413339636</v>
      </c>
      <c r="AE4" s="110">
        <f>+'Historical College Expenses'!L57</f>
        <v>287.09984314433717</v>
      </c>
      <c r="AF4" s="110">
        <f>+'Historical College Expenses'!L38</f>
        <v>319.400344482957</v>
      </c>
      <c r="AG4" s="110">
        <f>+'Historical College Expenses'!L171</f>
        <v>373.73137764301049</v>
      </c>
      <c r="AL4">
        <v>2011</v>
      </c>
      <c r="AM4" s="246">
        <f>+'Historical College Expenses'!J67</f>
        <v>198186.20936145601</v>
      </c>
      <c r="AN4" s="246">
        <f>+'Historical College Expenses'!B67</f>
        <v>30837172</v>
      </c>
      <c r="AO4" s="246"/>
      <c r="AP4" s="247">
        <v>2011</v>
      </c>
      <c r="AQ4" s="246">
        <f>+'Historical College Expenses'!J181</f>
        <v>394612</v>
      </c>
      <c r="AR4" s="246">
        <f>+'Historical College Expenses'!B181</f>
        <v>64457632</v>
      </c>
      <c r="AS4" s="246">
        <v>2011</v>
      </c>
      <c r="AT4" s="246">
        <f t="shared" si="0"/>
        <v>196425.79063854399</v>
      </c>
      <c r="AU4" s="246">
        <f t="shared" si="1"/>
        <v>33620460</v>
      </c>
      <c r="AY4" t="s">
        <v>85</v>
      </c>
      <c r="AZ4" s="1">
        <v>689739.63806197443</v>
      </c>
      <c r="BA4" s="1">
        <v>572648.90078976471</v>
      </c>
    </row>
    <row r="5" spans="1:53" x14ac:dyDescent="0.25">
      <c r="A5">
        <v>2012</v>
      </c>
      <c r="B5" s="94">
        <f>+'Historical College Expenses'!P11</f>
        <v>174.4941544276532</v>
      </c>
      <c r="C5" s="94">
        <f>+'Historical College Expenses'!P30</f>
        <v>351.85524065577653</v>
      </c>
      <c r="D5" s="94">
        <f>+'Historical College Expenses'!P49</f>
        <v>256.98717559331931</v>
      </c>
      <c r="E5" s="94">
        <f>+'Historical College Expenses'!P68</f>
        <v>173.55061065578909</v>
      </c>
      <c r="F5" s="94">
        <f>+'Historical College Expenses'!P87</f>
        <v>233.35345520111099</v>
      </c>
      <c r="G5" s="94">
        <f>+'Historical College Expenses'!P106</f>
        <v>321.74219665166544</v>
      </c>
      <c r="H5" s="94">
        <f>+'Historical College Expenses'!P125</f>
        <v>94.985767827364739</v>
      </c>
      <c r="I5" s="94">
        <f>+'Historical College Expenses'!P144</f>
        <v>218.70491580734821</v>
      </c>
      <c r="J5" s="94">
        <f>+'Historical College Expenses'!P163</f>
        <v>675.42745461351888</v>
      </c>
      <c r="K5" s="94">
        <f>+'Historical College Expenses'!P182</f>
        <v>193.16326151128467</v>
      </c>
      <c r="M5" s="4">
        <f t="shared" ref="M5:M13" si="3">+B5/B$3-1</f>
        <v>-0.12264318284876674</v>
      </c>
      <c r="N5" s="4">
        <f t="shared" si="2"/>
        <v>-9.7862926876717271E-3</v>
      </c>
      <c r="O5" s="4">
        <f t="shared" si="2"/>
        <v>-3.3102387661879118E-2</v>
      </c>
      <c r="P5" s="4">
        <f t="shared" si="2"/>
        <v>-1.8972320648818819E-2</v>
      </c>
      <c r="Q5" s="4">
        <f t="shared" si="2"/>
        <v>8.6519104829755111E-2</v>
      </c>
      <c r="R5" s="4">
        <f t="shared" si="2"/>
        <v>-0.56699880003024883</v>
      </c>
      <c r="S5" s="4">
        <f t="shared" si="2"/>
        <v>-0.19930492682120571</v>
      </c>
      <c r="T5" s="4">
        <f t="shared" si="2"/>
        <v>3.4585481803017792E-4</v>
      </c>
      <c r="U5" s="4">
        <f t="shared" si="2"/>
        <v>3.4777793949475111E-2</v>
      </c>
      <c r="V5" s="4">
        <f t="shared" si="2"/>
        <v>-5.0487705556960472E-2</v>
      </c>
      <c r="AL5">
        <v>2012</v>
      </c>
      <c r="AM5" s="246">
        <f>+'Historical College Expenses'!J68</f>
        <v>190533.97089788332</v>
      </c>
      <c r="AN5" s="246">
        <f>+'Historical College Expenses'!B68</f>
        <v>31837114</v>
      </c>
      <c r="AO5" s="246"/>
      <c r="AP5" s="247">
        <v>2012</v>
      </c>
      <c r="AQ5" s="246">
        <f>+'Historical College Expenses'!J182</f>
        <v>387207</v>
      </c>
      <c r="AR5" s="246">
        <f>+'Historical College Expenses'!B182</f>
        <v>66483197.060000002</v>
      </c>
      <c r="AS5" s="246">
        <v>2012</v>
      </c>
      <c r="AT5" s="246">
        <f t="shared" si="0"/>
        <v>196673.02910211668</v>
      </c>
      <c r="AU5" s="246">
        <f t="shared" si="1"/>
        <v>34646083.060000002</v>
      </c>
      <c r="AY5" t="s">
        <v>75</v>
      </c>
      <c r="AZ5" s="1">
        <v>3429540.2852613833</v>
      </c>
      <c r="BA5" s="1">
        <v>3400922.9948679302</v>
      </c>
    </row>
    <row r="6" spans="1:53" x14ac:dyDescent="0.25">
      <c r="A6">
        <v>2013</v>
      </c>
      <c r="B6" s="94">
        <f>+'Historical College Expenses'!P12</f>
        <v>191.75757652817808</v>
      </c>
      <c r="C6" s="94">
        <f>+'Historical College Expenses'!P31</f>
        <v>385.29455685318817</v>
      </c>
      <c r="D6" s="94">
        <f>+'Historical College Expenses'!P50</f>
        <v>249.65861302308608</v>
      </c>
      <c r="E6" s="94">
        <f>+'Historical College Expenses'!P69</f>
        <v>193.7121675806419</v>
      </c>
      <c r="F6" s="94">
        <f>+'Historical College Expenses'!P88</f>
        <v>245.36115097649181</v>
      </c>
      <c r="G6" s="94">
        <f>+'Historical College Expenses'!P107</f>
        <v>344.82618751179382</v>
      </c>
      <c r="H6" s="94">
        <f>+'Historical College Expenses'!P126</f>
        <v>113.843266558037</v>
      </c>
      <c r="I6" s="94">
        <f>+'Historical College Expenses'!P145</f>
        <v>233.9302149896011</v>
      </c>
      <c r="J6" s="94">
        <f>+'Historical College Expenses'!P164</f>
        <v>689.36146040159292</v>
      </c>
      <c r="K6" s="94">
        <f>+'Historical College Expenses'!P183</f>
        <v>213.91241901577612</v>
      </c>
      <c r="M6" s="4">
        <f t="shared" si="3"/>
        <v>-3.5842675880869979E-2</v>
      </c>
      <c r="N6" s="4">
        <f t="shared" si="2"/>
        <v>8.4320787258373553E-2</v>
      </c>
      <c r="O6" s="4">
        <f t="shared" si="2"/>
        <v>-6.0675629924530128E-2</v>
      </c>
      <c r="P6" s="4">
        <f t="shared" si="2"/>
        <v>9.4994696392243672E-2</v>
      </c>
      <c r="Q6" s="4">
        <f t="shared" si="2"/>
        <v>0.14242824426671308</v>
      </c>
      <c r="R6" s="4">
        <f t="shared" si="2"/>
        <v>-0.53593232554680426</v>
      </c>
      <c r="S6" s="4">
        <f t="shared" si="2"/>
        <v>-4.0343151057419147E-2</v>
      </c>
      <c r="T6" s="4">
        <f t="shared" si="2"/>
        <v>6.9985647179841015E-2</v>
      </c>
      <c r="U6" s="4">
        <f t="shared" si="2"/>
        <v>5.6125163932403632E-2</v>
      </c>
      <c r="V6" s="4">
        <f t="shared" si="2"/>
        <v>5.1506742019183482E-2</v>
      </c>
      <c r="Y6" s="474" t="s">
        <v>3003</v>
      </c>
      <c r="Z6" s="474"/>
      <c r="AA6" s="474"/>
      <c r="AB6" s="474"/>
      <c r="AC6" s="474"/>
      <c r="AD6" s="474"/>
      <c r="AE6" s="474"/>
      <c r="AF6" s="474"/>
      <c r="AG6" s="474"/>
      <c r="AH6" s="13"/>
      <c r="AI6" s="13"/>
      <c r="AL6">
        <v>2013</v>
      </c>
      <c r="AM6" s="246">
        <f>+'Historical College Expenses'!J69</f>
        <v>177210.48413600249</v>
      </c>
      <c r="AN6" s="246">
        <f>+'Historical College Expenses'!B69</f>
        <v>33097759</v>
      </c>
      <c r="AO6" s="246"/>
      <c r="AP6" s="247">
        <v>2013</v>
      </c>
      <c r="AQ6" s="246">
        <f>+'Historical College Expenses'!J183</f>
        <v>360101</v>
      </c>
      <c r="AR6" s="246">
        <f>+'Historical College Expenses'!B183</f>
        <v>68699445</v>
      </c>
      <c r="AS6" s="246">
        <v>2013</v>
      </c>
      <c r="AT6" s="246">
        <f t="shared" si="0"/>
        <v>182890.51586399751</v>
      </c>
      <c r="AU6" s="246">
        <f t="shared" si="1"/>
        <v>35601686</v>
      </c>
      <c r="AY6" t="s">
        <v>89</v>
      </c>
      <c r="AZ6" s="1">
        <v>4210330.0093300743</v>
      </c>
      <c r="BA6" s="1">
        <v>4783934.7096989229</v>
      </c>
    </row>
    <row r="7" spans="1:53" ht="16.5" customHeight="1" x14ac:dyDescent="0.25">
      <c r="A7">
        <v>2014</v>
      </c>
      <c r="B7" s="94">
        <f>+'Historical College Expenses'!P13</f>
        <v>200.28144272804684</v>
      </c>
      <c r="C7" s="94">
        <f>+'Historical College Expenses'!P32</f>
        <v>384.02097126552576</v>
      </c>
      <c r="D7" s="94">
        <f>+'Historical College Expenses'!P51</f>
        <v>283.45710923862919</v>
      </c>
      <c r="E7" s="94">
        <f>+'Historical College Expenses'!P70</f>
        <v>205.89498717780853</v>
      </c>
      <c r="F7" s="94">
        <f>+'Historical College Expenses'!P89</f>
        <v>253.4154566285512</v>
      </c>
      <c r="G7" s="94">
        <f>+'Historical College Expenses'!P108</f>
        <v>342.74344923659982</v>
      </c>
      <c r="H7" s="94">
        <f>+'Historical College Expenses'!P127</f>
        <v>134.13245654162856</v>
      </c>
      <c r="I7" s="94">
        <f>+'Historical College Expenses'!P146</f>
        <v>237.33095633691758</v>
      </c>
      <c r="J7" s="94">
        <f>+'Historical College Expenses'!P165</f>
        <v>598.49001052697758</v>
      </c>
      <c r="K7" s="94">
        <f>+'Historical College Expenses'!P184</f>
        <v>227.80284974930316</v>
      </c>
      <c r="M7" s="4">
        <f t="shared" si="3"/>
        <v>7.0153335663203364E-3</v>
      </c>
      <c r="N7" s="4">
        <f t="shared" si="2"/>
        <v>8.0736580571588723E-2</v>
      </c>
      <c r="O7" s="4">
        <f t="shared" si="2"/>
        <v>6.6489024171451083E-2</v>
      </c>
      <c r="P7" s="4">
        <f t="shared" si="2"/>
        <v>0.16386039033708832</v>
      </c>
      <c r="Q7" s="4">
        <f t="shared" si="2"/>
        <v>0.17992996867683075</v>
      </c>
      <c r="R7" s="4">
        <f t="shared" si="2"/>
        <v>-0.53873527828899093</v>
      </c>
      <c r="S7" s="4">
        <f t="shared" si="2"/>
        <v>0.13068725518382096</v>
      </c>
      <c r="T7" s="4">
        <f t="shared" si="2"/>
        <v>8.5540475920375503E-2</v>
      </c>
      <c r="U7" s="4">
        <f t="shared" si="2"/>
        <v>-8.3092982727106857E-2</v>
      </c>
      <c r="V7" s="4">
        <f t="shared" si="2"/>
        <v>0.11978646898901846</v>
      </c>
      <c r="Y7" s="244" t="s">
        <v>89</v>
      </c>
      <c r="Z7" s="244" t="s">
        <v>77</v>
      </c>
      <c r="AA7" s="244" t="s">
        <v>75</v>
      </c>
      <c r="AB7" s="244" t="s">
        <v>79</v>
      </c>
      <c r="AC7" s="244" t="s">
        <v>83</v>
      </c>
      <c r="AD7" s="244" t="s">
        <v>87</v>
      </c>
      <c r="AE7" s="244" t="s">
        <v>2998</v>
      </c>
      <c r="AF7" s="244" t="s">
        <v>91</v>
      </c>
      <c r="AG7" s="244" t="s">
        <v>2997</v>
      </c>
      <c r="AL7">
        <v>2014</v>
      </c>
      <c r="AM7" s="246">
        <f>+'Historical College Expenses'!J70</f>
        <v>167405.65893541567</v>
      </c>
      <c r="AN7" s="246">
        <f>+'Historical College Expenses'!B70</f>
        <v>33325629</v>
      </c>
      <c r="AO7" s="246"/>
      <c r="AP7" s="247">
        <v>2014</v>
      </c>
      <c r="AQ7" s="246">
        <f>+'Historical College Expenses'!J184</f>
        <v>340450.99999999994</v>
      </c>
      <c r="AR7" s="246">
        <f>+'Historical College Expenses'!B184</f>
        <v>69123550</v>
      </c>
      <c r="AS7" s="246">
        <v>2014</v>
      </c>
      <c r="AT7" s="246">
        <f t="shared" si="0"/>
        <v>173045.34106458427</v>
      </c>
      <c r="AU7" s="246">
        <f t="shared" si="1"/>
        <v>35797921</v>
      </c>
      <c r="AY7" t="s">
        <v>79</v>
      </c>
      <c r="AZ7" s="1">
        <v>5776298.0363608608</v>
      </c>
      <c r="BA7" s="1">
        <v>4832858.8814613596</v>
      </c>
    </row>
    <row r="8" spans="1:53" x14ac:dyDescent="0.25">
      <c r="A8">
        <v>2015</v>
      </c>
      <c r="B8" s="94">
        <f>+'Historical College Expenses'!P14</f>
        <v>226.82333820147508</v>
      </c>
      <c r="C8" s="94">
        <f>+'Historical College Expenses'!P33</f>
        <v>399.57676442208424</v>
      </c>
      <c r="D8" s="94">
        <f>+'Historical College Expenses'!P52</f>
        <v>306.51568505314077</v>
      </c>
      <c r="E8" s="94">
        <f>+'Historical College Expenses'!P71</f>
        <v>209.44411951367442</v>
      </c>
      <c r="F8" s="94">
        <f>+'Historical College Expenses'!P90</f>
        <v>244.18081955277498</v>
      </c>
      <c r="G8" s="94">
        <f>+'Historical College Expenses'!P109</f>
        <v>367.64935551274402</v>
      </c>
      <c r="H8" s="94">
        <f>+'Historical College Expenses'!P128</f>
        <v>147.74055750172946</v>
      </c>
      <c r="I8" s="94">
        <f>+'Historical College Expenses'!P147</f>
        <v>237.98268021886713</v>
      </c>
      <c r="J8" s="94">
        <f>+'Historical College Expenses'!P166</f>
        <v>651.98666448040728</v>
      </c>
      <c r="K8" s="94">
        <f>+'Historical College Expenses'!P185</f>
        <v>234.67542865962713</v>
      </c>
      <c r="M8" s="4">
        <f t="shared" si="3"/>
        <v>0.14046801574990941</v>
      </c>
      <c r="N8" s="4">
        <f t="shared" si="2"/>
        <v>0.124514696773669</v>
      </c>
      <c r="O8" s="4">
        <f t="shared" si="2"/>
        <v>0.15324542299755795</v>
      </c>
      <c r="P8" s="4">
        <f t="shared" si="2"/>
        <v>0.183922532705866</v>
      </c>
      <c r="Q8" s="4">
        <f t="shared" si="2"/>
        <v>0.13693249259338125</v>
      </c>
      <c r="R8" s="4">
        <f t="shared" si="2"/>
        <v>-0.50521686691449463</v>
      </c>
      <c r="S8" s="4">
        <f t="shared" si="2"/>
        <v>0.24539853923508659</v>
      </c>
      <c r="T8" s="4">
        <f t="shared" si="2"/>
        <v>8.8521429875559665E-2</v>
      </c>
      <c r="U8" s="4">
        <f t="shared" si="2"/>
        <v>-1.1342924436567037E-3</v>
      </c>
      <c r="V8" s="4">
        <f t="shared" si="2"/>
        <v>0.15356928109742407</v>
      </c>
      <c r="Y8" s="243">
        <f>+AG4/AG3-1</f>
        <v>-5.2410250300061634E-2</v>
      </c>
      <c r="Z8" s="243">
        <f>+AF4/AF3-1</f>
        <v>-1.2475211094983285E-2</v>
      </c>
      <c r="AA8" s="243">
        <f>+Z4/Z3-1</f>
        <v>0.20355575775806334</v>
      </c>
      <c r="AB8" s="243">
        <f>+AE4/AE3-1</f>
        <v>0.28912214186356899</v>
      </c>
      <c r="AC8" s="243">
        <f>+AA4/AA3-1</f>
        <v>0.34456947489907019</v>
      </c>
      <c r="AD8" s="243">
        <f>+AC4/AC3-1</f>
        <v>0.34140851614232082</v>
      </c>
      <c r="AE8" s="243">
        <f>+AB4/AB3-1</f>
        <v>0.42116675342222054</v>
      </c>
      <c r="AF8" s="243">
        <f>+Y4/Y3-1</f>
        <v>0.57339831059689983</v>
      </c>
      <c r="AG8" s="243">
        <f>+AD4/AD3-1</f>
        <v>0.56497674314649871</v>
      </c>
      <c r="AL8">
        <v>2015</v>
      </c>
      <c r="AM8" s="246">
        <f>+'Historical College Expenses'!J71</f>
        <v>172741.54511479544</v>
      </c>
      <c r="AN8" s="246">
        <f>+'Historical College Expenses'!B71</f>
        <v>35844156</v>
      </c>
      <c r="AO8" s="246"/>
      <c r="AP8" s="247">
        <v>2015</v>
      </c>
      <c r="AQ8" s="246">
        <f>+'Historical College Expenses'!J185</f>
        <v>349839.89150000026</v>
      </c>
      <c r="AR8" s="246">
        <f>+'Historical College Expenses'!B185</f>
        <v>74632073</v>
      </c>
      <c r="AS8" s="246">
        <v>2015</v>
      </c>
      <c r="AT8" s="246">
        <f t="shared" si="0"/>
        <v>177098.34638520482</v>
      </c>
      <c r="AU8" s="246">
        <f t="shared" si="1"/>
        <v>38787917</v>
      </c>
      <c r="AY8" t="s">
        <v>91</v>
      </c>
      <c r="AZ8" s="1">
        <v>2217435.8433925719</v>
      </c>
      <c r="BA8" s="1">
        <v>5290812.8508824874</v>
      </c>
    </row>
    <row r="9" spans="1:53" x14ac:dyDescent="0.25">
      <c r="A9">
        <v>2016</v>
      </c>
      <c r="B9" s="94">
        <f>+'Historical College Expenses'!P15</f>
        <v>224.14045170284615</v>
      </c>
      <c r="C9" s="94">
        <f>+'Historical College Expenses'!P34</f>
        <v>408.23152996158848</v>
      </c>
      <c r="D9" s="94">
        <f>+'Historical College Expenses'!P53</f>
        <v>306.25820752781954</v>
      </c>
      <c r="E9" s="94">
        <f>+'Historical College Expenses'!P72</f>
        <v>225.52498277642613</v>
      </c>
      <c r="F9" s="94">
        <f>+'Historical College Expenses'!P91</f>
        <v>255.1661418272673</v>
      </c>
      <c r="G9" s="94">
        <f>+'Historical College Expenses'!P110</f>
        <v>422.35983580219551</v>
      </c>
      <c r="H9" s="94">
        <f>+'Historical College Expenses'!P129</f>
        <v>154.97713970923451</v>
      </c>
      <c r="I9" s="94">
        <f>+'Historical College Expenses'!P148</f>
        <v>230.29777716324742</v>
      </c>
      <c r="J9" s="94">
        <f>+'Historical College Expenses'!P167</f>
        <v>656.63800584334967</v>
      </c>
      <c r="K9" s="94">
        <f>+'Historical College Expenses'!P186</f>
        <v>245.59470797202141</v>
      </c>
      <c r="M9" s="4">
        <f t="shared" si="3"/>
        <v>0.12697845922616335</v>
      </c>
      <c r="N9" s="4">
        <f t="shared" si="2"/>
        <v>0.14887149604947014</v>
      </c>
      <c r="O9" s="4">
        <f t="shared" si="2"/>
        <v>0.15227668047611109</v>
      </c>
      <c r="P9" s="4">
        <f t="shared" si="2"/>
        <v>0.27482265635861292</v>
      </c>
      <c r="Q9" s="4">
        <f t="shared" si="2"/>
        <v>0.18808134965084866</v>
      </c>
      <c r="R9" s="4">
        <f t="shared" si="2"/>
        <v>-0.43158740872470802</v>
      </c>
      <c r="S9" s="4">
        <f t="shared" si="2"/>
        <v>0.30640026457496772</v>
      </c>
      <c r="T9" s="4">
        <f t="shared" si="2"/>
        <v>5.3371049793845549E-2</v>
      </c>
      <c r="U9" s="4">
        <f t="shared" si="2"/>
        <v>5.9917204561379389E-3</v>
      </c>
      <c r="V9" s="4">
        <f t="shared" si="2"/>
        <v>0.20724403204363462</v>
      </c>
      <c r="AG9">
        <f>+AG8/AD8</f>
        <v>1.6548408034173945</v>
      </c>
      <c r="AL9">
        <v>2016</v>
      </c>
      <c r="AM9" s="246">
        <f>+'Historical College Expenses'!J72</f>
        <v>157644.93659332319</v>
      </c>
      <c r="AN9" s="246">
        <f>+'Historical College Expenses'!B72</f>
        <v>35035678</v>
      </c>
      <c r="AO9" s="246"/>
      <c r="AP9" s="247">
        <v>2016</v>
      </c>
      <c r="AQ9" s="246">
        <f>+'Historical College Expenses'!J186</f>
        <v>329341.88186666678</v>
      </c>
      <c r="AR9" s="246">
        <f>+'Historical College Expenses'!B186</f>
        <v>74019225</v>
      </c>
      <c r="AS9" s="246">
        <v>2016</v>
      </c>
      <c r="AT9" s="246">
        <f t="shared" si="0"/>
        <v>171696.94527334359</v>
      </c>
      <c r="AU9" s="246">
        <f t="shared" si="1"/>
        <v>38983547</v>
      </c>
      <c r="AY9" t="s">
        <v>87</v>
      </c>
      <c r="AZ9" s="1">
        <v>5218602.3373464132</v>
      </c>
      <c r="BA9" s="1">
        <v>5780175.56400399</v>
      </c>
    </row>
    <row r="10" spans="1:53" x14ac:dyDescent="0.25">
      <c r="A10">
        <v>2017</v>
      </c>
      <c r="B10" s="94">
        <f>+'Historical College Expenses'!P16</f>
        <v>220.03840592364097</v>
      </c>
      <c r="C10" s="94">
        <f>+'Historical College Expenses'!P35</f>
        <v>394.91526943022285</v>
      </c>
      <c r="D10" s="94">
        <f>+'Historical College Expenses'!P54</f>
        <v>328.65821795965627</v>
      </c>
      <c r="E10" s="94">
        <f>+'Historical College Expenses'!P73</f>
        <v>242.62976025951835</v>
      </c>
      <c r="F10" s="94">
        <f>+'Historical College Expenses'!P92</f>
        <v>264.01279388076432</v>
      </c>
      <c r="G10" s="94">
        <f>+'Historical College Expenses'!P111</f>
        <v>396.37329271963159</v>
      </c>
      <c r="H10" s="94">
        <f>+'Historical College Expenses'!P130</f>
        <v>147.63292753855242</v>
      </c>
      <c r="I10" s="94">
        <f>+'Historical College Expenses'!P149</f>
        <v>220.41732350154109</v>
      </c>
      <c r="J10" s="94">
        <f>+'Historical College Expenses'!P168</f>
        <v>625.10401466609096</v>
      </c>
      <c r="K10" s="94">
        <f>+'Historical College Expenses'!P187</f>
        <v>252.23764842105322</v>
      </c>
      <c r="M10" s="4">
        <f t="shared" si="3"/>
        <v>0.10635336814241447</v>
      </c>
      <c r="N10" s="4">
        <f t="shared" si="2"/>
        <v>0.11139601697539181</v>
      </c>
      <c r="O10" s="4">
        <f t="shared" si="2"/>
        <v>0.23655526968153651</v>
      </c>
      <c r="P10" s="4">
        <f t="shared" si="2"/>
        <v>0.37151064896578023</v>
      </c>
      <c r="Q10" s="4">
        <f t="shared" si="2"/>
        <v>0.22927232521031482</v>
      </c>
      <c r="R10" s="4">
        <f t="shared" si="2"/>
        <v>-0.46656014296633441</v>
      </c>
      <c r="S10" s="4">
        <f t="shared" si="2"/>
        <v>0.24449125824748763</v>
      </c>
      <c r="T10" s="4">
        <f t="shared" si="2"/>
        <v>8.178325946174736E-3</v>
      </c>
      <c r="U10" s="4">
        <f t="shared" si="2"/>
        <v>-4.2319424733388344E-2</v>
      </c>
      <c r="V10" s="4">
        <f t="shared" si="2"/>
        <v>0.23989803456077552</v>
      </c>
      <c r="AG10">
        <f>+AG8/Z8</f>
        <v>-45.287950548082947</v>
      </c>
      <c r="AL10">
        <v>2017</v>
      </c>
      <c r="AM10" s="246">
        <f>+'Historical College Expenses'!J73</f>
        <v>143701.13531294314</v>
      </c>
      <c r="AN10" s="246">
        <f>+'Historical College Expenses'!B73</f>
        <v>34332443</v>
      </c>
      <c r="AO10" s="246"/>
      <c r="AP10" s="247">
        <v>2017</v>
      </c>
      <c r="AQ10" s="246">
        <f>+'Historical College Expenses'!J187</f>
        <v>311222.2419666666</v>
      </c>
      <c r="AR10" s="246">
        <f>+'Historical College Expenses'!B187</f>
        <v>72426320</v>
      </c>
      <c r="AS10" s="246">
        <v>2017</v>
      </c>
      <c r="AT10" s="246">
        <f t="shared" si="0"/>
        <v>167521.10665372346</v>
      </c>
      <c r="AU10" s="246">
        <f t="shared" si="1"/>
        <v>38093877</v>
      </c>
      <c r="AY10" t="s">
        <v>83</v>
      </c>
      <c r="AZ10" s="1">
        <v>7244938.3610369833</v>
      </c>
      <c r="BA10" s="1">
        <v>6923543.4581250241</v>
      </c>
    </row>
    <row r="11" spans="1:53" x14ac:dyDescent="0.25">
      <c r="A11">
        <v>2018</v>
      </c>
      <c r="B11" s="94">
        <f>+'Historical College Expenses'!P17</f>
        <v>209.04772933652831</v>
      </c>
      <c r="C11" s="94">
        <f>+'Historical College Expenses'!P36</f>
        <v>375.31683612787515</v>
      </c>
      <c r="D11" s="94">
        <f>+'Historical College Expenses'!P55</f>
        <v>369.5990171894847</v>
      </c>
      <c r="E11" s="94">
        <f>+'Historical College Expenses'!P74</f>
        <v>241.07874953930781</v>
      </c>
      <c r="F11" s="94">
        <f>+'Historical College Expenses'!P93</f>
        <v>269.43576957089306</v>
      </c>
      <c r="G11" s="94">
        <f>+'Historical College Expenses'!P112</f>
        <v>368.07203185113502</v>
      </c>
      <c r="H11" s="94">
        <f>+'Historical College Expenses'!P131</f>
        <v>157.52103031509611</v>
      </c>
      <c r="I11" s="94">
        <f>+'Historical College Expenses'!P150</f>
        <v>237.59885501158297</v>
      </c>
      <c r="J11" s="94">
        <f>+'Historical College Expenses'!P169</f>
        <v>612.971121330046</v>
      </c>
      <c r="K11" s="94">
        <f>+'Historical College Expenses'!P188</f>
        <v>254.05282067408484</v>
      </c>
      <c r="M11" s="4">
        <f t="shared" si="3"/>
        <v>5.1092233117941754E-2</v>
      </c>
      <c r="N11" s="4">
        <f t="shared" si="2"/>
        <v>5.6240842189131168E-2</v>
      </c>
      <c r="O11" s="4">
        <f t="shared" si="2"/>
        <v>0.3905923765182584</v>
      </c>
      <c r="P11" s="4">
        <f t="shared" si="2"/>
        <v>0.36274326726802997</v>
      </c>
      <c r="Q11" s="4">
        <f t="shared" si="2"/>
        <v>0.25452229070696508</v>
      </c>
      <c r="R11" s="4">
        <f t="shared" si="2"/>
        <v>-0.50464802837349265</v>
      </c>
      <c r="S11" s="4">
        <f t="shared" si="2"/>
        <v>0.32784432636874294</v>
      </c>
      <c r="T11" s="4">
        <f t="shared" si="2"/>
        <v>8.676583168214913E-2</v>
      </c>
      <c r="U11" s="4">
        <f t="shared" si="2"/>
        <v>-6.0907429284788761E-2</v>
      </c>
      <c r="V11" s="4">
        <f t="shared" si="2"/>
        <v>0.24882068557267467</v>
      </c>
      <c r="AG11">
        <f>+AG8/Y8</f>
        <v>-10.779890191553507</v>
      </c>
      <c r="AL11">
        <v>2018</v>
      </c>
      <c r="AM11" s="246">
        <f>+'Historical College Expenses'!J74</f>
        <v>134275.02499436162</v>
      </c>
      <c r="AN11" s="246">
        <f>+'Historical College Expenses'!B74</f>
        <v>32185443</v>
      </c>
      <c r="AO11" s="246"/>
      <c r="AP11" s="247">
        <v>2018</v>
      </c>
      <c r="AQ11" s="246">
        <f>+'Historical College Expenses'!J188</f>
        <v>291193.88319999998</v>
      </c>
      <c r="AR11" s="246">
        <f>+'Historical College Expenses'!B188</f>
        <v>68383298</v>
      </c>
      <c r="AS11" s="246">
        <v>2018</v>
      </c>
      <c r="AT11" s="246">
        <f t="shared" si="0"/>
        <v>156918.85820563836</v>
      </c>
      <c r="AU11" s="246">
        <f t="shared" si="1"/>
        <v>36197855</v>
      </c>
      <c r="AY11" t="s">
        <v>77</v>
      </c>
      <c r="AZ11" s="1">
        <v>15340411.604265846</v>
      </c>
      <c r="BA11" s="1">
        <v>10674889.159881931</v>
      </c>
    </row>
    <row r="12" spans="1:53" x14ac:dyDescent="0.25">
      <c r="A12">
        <v>2019</v>
      </c>
      <c r="B12" s="94">
        <f>+'Historical College Expenses'!P18</f>
        <v>240.01760537333999</v>
      </c>
      <c r="C12" s="94">
        <f>+'Historical College Expenses'!P37</f>
        <v>384.38009196720202</v>
      </c>
      <c r="D12" s="94">
        <f>+'Historical College Expenses'!P56</f>
        <v>312.5946887110328</v>
      </c>
      <c r="E12" s="94">
        <f>+'Historical College Expenses'!P75</f>
        <v>258.1549953567669</v>
      </c>
      <c r="F12" s="94">
        <f>+'Historical College Expenses'!P94</f>
        <v>266.08238270047667</v>
      </c>
      <c r="G12" s="94">
        <f>+'Historical College Expenses'!P113</f>
        <v>157.42548079893555</v>
      </c>
      <c r="H12" s="94">
        <f>+'Historical College Expenses'!P132</f>
        <v>165.90594029306169</v>
      </c>
      <c r="I12" s="94">
        <f>+'Historical College Expenses'!P151</f>
        <v>266.319418641048</v>
      </c>
      <c r="J12" s="94">
        <f>+'Historical College Expenses'!P170</f>
        <v>538.42606516210503</v>
      </c>
      <c r="K12" s="94">
        <f>+'Historical College Expenses'!P189</f>
        <v>266.1054417968935</v>
      </c>
      <c r="M12" s="4">
        <f t="shared" si="3"/>
        <v>0.20680880686993475</v>
      </c>
      <c r="N12" s="4">
        <f t="shared" si="2"/>
        <v>8.1747241207811294E-2</v>
      </c>
      <c r="O12" s="4">
        <f t="shared" si="2"/>
        <v>0.17611728074158828</v>
      </c>
      <c r="P12" s="4">
        <f t="shared" si="2"/>
        <v>0.45926997923424562</v>
      </c>
      <c r="Q12" s="4">
        <f t="shared" si="2"/>
        <v>0.23890855617943219</v>
      </c>
      <c r="R12" s="4">
        <f t="shared" si="2"/>
        <v>-0.78813651799128637</v>
      </c>
      <c r="S12" s="4">
        <f t="shared" si="2"/>
        <v>0.39852603229132821</v>
      </c>
      <c r="T12" s="4">
        <f t="shared" si="2"/>
        <v>0.21813232003342531</v>
      </c>
      <c r="U12" s="4">
        <f t="shared" si="2"/>
        <v>-0.17511298643887274</v>
      </c>
      <c r="V12" s="4">
        <f t="shared" si="2"/>
        <v>0.30806648545632465</v>
      </c>
      <c r="AL12">
        <v>2019</v>
      </c>
      <c r="AM12" s="246">
        <f>+'Historical College Expenses'!J75</f>
        <v>117473.25256321083</v>
      </c>
      <c r="AN12" s="246">
        <f>+'Historical College Expenses'!B75</f>
        <v>29334333</v>
      </c>
      <c r="AO12" s="246"/>
      <c r="AP12" s="247">
        <v>2019</v>
      </c>
      <c r="AQ12" s="246">
        <f>+'Historical College Expenses'!J189</f>
        <v>274262.60999090923</v>
      </c>
      <c r="AR12" s="246">
        <f>+'Historical College Expenses'!B189</f>
        <v>66369800</v>
      </c>
      <c r="AS12" s="246">
        <v>2019</v>
      </c>
      <c r="AT12" s="246">
        <f t="shared" si="0"/>
        <v>156789.35742769839</v>
      </c>
      <c r="AU12" s="246">
        <f t="shared" si="1"/>
        <v>37035467</v>
      </c>
      <c r="AY12" t="s">
        <v>81</v>
      </c>
      <c r="AZ12" s="1">
        <v>22005428.451202363</v>
      </c>
      <c r="BA12" s="1">
        <v>23196966.937999949</v>
      </c>
    </row>
    <row r="13" spans="1:53" x14ac:dyDescent="0.25">
      <c r="A13" s="68" t="s">
        <v>12</v>
      </c>
      <c r="B13" s="94">
        <f>+'Historical College Expenses'!P19</f>
        <v>249.47454518816619</v>
      </c>
      <c r="C13" s="94">
        <f>+'Historical College Expenses'!P38</f>
        <v>343.98437302235004</v>
      </c>
      <c r="D13" s="94">
        <f>+'Historical College Expenses'!P57</f>
        <v>333.1574616502653</v>
      </c>
      <c r="E13" s="94">
        <f>+'Historical College Expenses'!P76</f>
        <v>283.43926253559522</v>
      </c>
      <c r="F13" s="94">
        <f>+'Historical College Expenses'!P95</f>
        <v>284.67324419597611</v>
      </c>
      <c r="G13" s="94">
        <f>+'Historical College Expenses'!P114</f>
        <v>281.73037373191818</v>
      </c>
      <c r="H13" s="94">
        <f>+'Historical College Expenses'!P133</f>
        <v>178.52465318937536</v>
      </c>
      <c r="I13" s="94">
        <f>+'Historical College Expenses'!P152</f>
        <v>307.07412517689613</v>
      </c>
      <c r="J13" s="94">
        <f>+'Historical College Expenses'!P171</f>
        <v>546.93380995653672</v>
      </c>
      <c r="K13" s="94">
        <f>+'Historical College Expenses'!P190</f>
        <v>289.4196681748092</v>
      </c>
      <c r="M13" s="4">
        <f t="shared" si="3"/>
        <v>0.25435831156905508</v>
      </c>
      <c r="N13" s="4">
        <f t="shared" si="2"/>
        <v>-3.1936995927259515E-2</v>
      </c>
      <c r="O13" s="4">
        <f t="shared" si="2"/>
        <v>0.25348338281299321</v>
      </c>
      <c r="P13" s="4">
        <f t="shared" si="2"/>
        <v>0.60219408569986466</v>
      </c>
      <c r="Q13" s="4">
        <f t="shared" si="2"/>
        <v>0.32546963226333103</v>
      </c>
      <c r="R13" s="4">
        <f t="shared" si="2"/>
        <v>-0.62084677992697612</v>
      </c>
      <c r="S13" s="4">
        <f t="shared" si="2"/>
        <v>0.50489713900596223</v>
      </c>
      <c r="T13" s="4">
        <f t="shared" si="2"/>
        <v>0.40454240412761733</v>
      </c>
      <c r="U13" s="4">
        <f t="shared" si="2"/>
        <v>-0.16207883254161282</v>
      </c>
      <c r="V13" s="4">
        <f t="shared" si="2"/>
        <v>0.42266977185799837</v>
      </c>
      <c r="AL13">
        <v>2020</v>
      </c>
      <c r="AM13" s="246">
        <f>+'Historical College Expenses'!J76</f>
        <v>108361.24369376262</v>
      </c>
      <c r="AN13" s="246">
        <f>+'Historical College Expenses'!B76</f>
        <v>28779687</v>
      </c>
      <c r="AO13" s="246"/>
      <c r="AP13" s="247">
        <v>2020</v>
      </c>
      <c r="AQ13" s="246">
        <f>+'Historical College Expenses'!J190</f>
        <v>257947.88056666669</v>
      </c>
      <c r="AR13" s="246">
        <f>+'Historical College Expenses'!B190</f>
        <v>66144507</v>
      </c>
      <c r="AS13" s="246">
        <v>2020</v>
      </c>
      <c r="AT13" s="246">
        <f t="shared" si="0"/>
        <v>149586.63687290408</v>
      </c>
      <c r="AU13" s="246">
        <f t="shared" si="1"/>
        <v>37364820</v>
      </c>
      <c r="AZ13" s="32">
        <f>SUM(AZ4:AZ12)</f>
        <v>66132724.566258468</v>
      </c>
      <c r="BA13" s="32">
        <f>SUM(BA4:BA12)</f>
        <v>65456753.457711354</v>
      </c>
    </row>
    <row r="14" spans="1:53" x14ac:dyDescent="0.25">
      <c r="A14">
        <v>2021</v>
      </c>
      <c r="B14" s="94">
        <f>+'Historical College Expenses'!P20</f>
        <v>248.16759162107411</v>
      </c>
      <c r="C14" s="94">
        <f>+'Historical College Expenses'!P39</f>
        <v>365.70733626812313</v>
      </c>
      <c r="D14" s="94">
        <f>+'Historical College Expenses'!P58</f>
        <v>344.29503687712167</v>
      </c>
      <c r="E14" s="94">
        <f>+'Historical College Expenses'!P77</f>
        <v>292.54967829612377</v>
      </c>
      <c r="F14" s="94">
        <f>+'Historical College Expenses'!P96</f>
        <v>319.92558130443365</v>
      </c>
      <c r="G14" s="94">
        <f>+'Historical College Expenses'!P115</f>
        <v>293.54093372000989</v>
      </c>
      <c r="H14" s="94">
        <f>+'Historical College Expenses'!P134</f>
        <v>193.82249226525417</v>
      </c>
      <c r="I14" s="94">
        <f>+'Historical College Expenses'!P153</f>
        <v>279.92209831980529</v>
      </c>
      <c r="J14" s="94">
        <f>+'Historical College Expenses'!P172</f>
        <v>510.57590071058064</v>
      </c>
      <c r="K14" s="94">
        <f>+'Historical College Expenses'!P191</f>
        <v>301.39566235451207</v>
      </c>
      <c r="M14" s="4">
        <f t="shared" ref="M14:M17" si="4">+B14/B$3-1</f>
        <v>0.24778694747064467</v>
      </c>
      <c r="N14" s="4">
        <f t="shared" ref="N14:N17" si="5">+C14/C$3-1</f>
        <v>2.9197168024131637E-2</v>
      </c>
      <c r="O14" s="4">
        <f t="shared" ref="O14:O17" si="6">+D14/D$3-1</f>
        <v>0.29538778862320902</v>
      </c>
      <c r="P14" s="4">
        <f t="shared" ref="P14:P17" si="7">+E14/E$3-1</f>
        <v>0.65369243536111732</v>
      </c>
      <c r="Q14" s="4">
        <f t="shared" ref="Q14:Q17" si="8">+F14/F$3-1</f>
        <v>0.48960835360871635</v>
      </c>
      <c r="R14" s="4">
        <f t="shared" ref="R14:R17" si="9">+G14/G$3-1</f>
        <v>-0.60495210804253219</v>
      </c>
      <c r="S14" s="4">
        <f t="shared" ref="S14:S17" si="10">+H14/H$3-1</f>
        <v>0.6338522936413431</v>
      </c>
      <c r="T14" s="4">
        <f t="shared" ref="T14:T17" si="11">+I14/I$3-1</f>
        <v>0.28035032816932248</v>
      </c>
      <c r="U14" s="4">
        <f t="shared" ref="U14:U17" si="12">+J14/J$3-1</f>
        <v>-0.2177803840038246</v>
      </c>
      <c r="V14" s="4">
        <f t="shared" ref="V14:V17" si="13">+K14/K$3-1</f>
        <v>0.48153890475023742</v>
      </c>
      <c r="AM14" s="246"/>
      <c r="AN14" s="246"/>
      <c r="AO14" s="246"/>
      <c r="AP14" s="247"/>
      <c r="AQ14" s="246"/>
      <c r="AR14" s="246"/>
      <c r="AS14" s="246"/>
      <c r="AT14" s="246"/>
      <c r="AU14" s="246"/>
      <c r="AZ14" s="5"/>
      <c r="BA14" s="5"/>
    </row>
    <row r="15" spans="1:53" x14ac:dyDescent="0.25">
      <c r="A15">
        <v>2022</v>
      </c>
      <c r="B15" s="94">
        <f>+'Historical College Expenses'!P21</f>
        <v>288.15767860960034</v>
      </c>
      <c r="C15" s="94">
        <f>+'Historical College Expenses'!P40</f>
        <v>384.69467680810283</v>
      </c>
      <c r="D15" s="94">
        <f>+'Historical College Expenses'!P59</f>
        <v>362.96304566056131</v>
      </c>
      <c r="E15" s="94">
        <f>+'Historical College Expenses'!P78</f>
        <v>322.51774823361899</v>
      </c>
      <c r="F15" s="94">
        <f>+'Historical College Expenses'!P97</f>
        <v>325.37125404641665</v>
      </c>
      <c r="G15" s="94">
        <f>+'Historical College Expenses'!P116</f>
        <v>249.01112121981225</v>
      </c>
      <c r="H15" s="94">
        <f>+'Historical College Expenses'!P135</f>
        <v>187.21475916924419</v>
      </c>
      <c r="I15" s="94">
        <f>+'Historical College Expenses'!P154</f>
        <v>287.030122455021</v>
      </c>
      <c r="J15" s="94">
        <f>+'Historical College Expenses'!P173</f>
        <v>497.72824727615739</v>
      </c>
      <c r="K15" s="94">
        <f>+'Historical College Expenses'!P192</f>
        <v>318.6108991895606</v>
      </c>
      <c r="M15" s="4">
        <f t="shared" si="4"/>
        <v>0.44885715267571991</v>
      </c>
      <c r="N15" s="4">
        <f t="shared" si="5"/>
        <v>8.2632566152786024E-2</v>
      </c>
      <c r="O15" s="4">
        <f t="shared" si="6"/>
        <v>0.36562496321428251</v>
      </c>
      <c r="P15" s="4">
        <f t="shared" si="7"/>
        <v>0.82309262355016499</v>
      </c>
      <c r="Q15" s="4">
        <f t="shared" si="8"/>
        <v>0.51496399905101709</v>
      </c>
      <c r="R15" s="4">
        <f t="shared" si="9"/>
        <v>-0.6648804060639717</v>
      </c>
      <c r="S15" s="4">
        <f t="shared" si="10"/>
        <v>0.57815153492903204</v>
      </c>
      <c r="T15" s="4">
        <f t="shared" si="11"/>
        <v>0.31286209158058931</v>
      </c>
      <c r="U15" s="4">
        <f t="shared" si="12"/>
        <v>-0.23746342529492381</v>
      </c>
      <c r="V15" s="4">
        <f t="shared" si="13"/>
        <v>0.5661620307977977</v>
      </c>
      <c r="AM15" s="246"/>
      <c r="AN15" s="246"/>
      <c r="AO15" s="246"/>
      <c r="AP15" s="247"/>
      <c r="AQ15" s="246"/>
      <c r="AR15" s="246"/>
      <c r="AS15" s="246"/>
      <c r="AT15" s="246"/>
      <c r="AU15" s="246"/>
      <c r="AZ15" s="5"/>
      <c r="BA15" s="5"/>
    </row>
    <row r="16" spans="1:53" x14ac:dyDescent="0.25">
      <c r="A16">
        <v>2023</v>
      </c>
      <c r="B16" s="94">
        <f>+'Historical College Expenses'!P22</f>
        <v>367.27515256805242</v>
      </c>
      <c r="C16" s="94">
        <f>+'Historical College Expenses'!P41</f>
        <v>412.13889702156251</v>
      </c>
      <c r="D16" s="94">
        <f>+'Historical College Expenses'!P60</f>
        <v>411.37248472437892</v>
      </c>
      <c r="E16" s="94">
        <f>+'Historical College Expenses'!P79</f>
        <v>305.69513935403933</v>
      </c>
      <c r="F16" s="94">
        <f>+'Historical College Expenses'!P98</f>
        <v>340.55276940612248</v>
      </c>
      <c r="G16" s="94">
        <f>+'Historical College Expenses'!P117</f>
        <v>333.73824927725872</v>
      </c>
      <c r="H16" s="94">
        <f>+'Historical College Expenses'!P136</f>
        <v>199.19218771662275</v>
      </c>
      <c r="I16" s="94">
        <f>+'Historical College Expenses'!P155</f>
        <v>315.4574860917412</v>
      </c>
      <c r="J16" s="94">
        <f>+'Historical College Expenses'!P174</f>
        <v>551.87888082040342</v>
      </c>
      <c r="K16" s="94">
        <f>+'Historical College Expenses'!P193</f>
        <v>327.68204908996825</v>
      </c>
      <c r="M16" s="4">
        <f t="shared" si="4"/>
        <v>0.84665990636058819</v>
      </c>
      <c r="N16" s="4">
        <f t="shared" si="5"/>
        <v>0.15986786039258982</v>
      </c>
      <c r="O16" s="4">
        <f t="shared" si="6"/>
        <v>0.5477623439507624</v>
      </c>
      <c r="P16" s="4">
        <f t="shared" si="7"/>
        <v>0.72799964238803794</v>
      </c>
      <c r="Q16" s="4">
        <f t="shared" si="8"/>
        <v>0.58565078817257032</v>
      </c>
      <c r="R16" s="4">
        <f t="shared" si="9"/>
        <v>-0.55085449183617685</v>
      </c>
      <c r="S16" s="4">
        <f t="shared" si="10"/>
        <v>0.67911685053996895</v>
      </c>
      <c r="T16" s="4">
        <f t="shared" si="11"/>
        <v>0.44288749714782183</v>
      </c>
      <c r="U16" s="4">
        <f t="shared" si="12"/>
        <v>-0.15450281607310279</v>
      </c>
      <c r="V16" s="4">
        <f t="shared" si="13"/>
        <v>0.61075212669794188</v>
      </c>
      <c r="AM16" s="246"/>
      <c r="AN16" s="246"/>
      <c r="AO16" s="246"/>
      <c r="AP16" s="247"/>
      <c r="AQ16" s="246"/>
      <c r="AR16" s="246"/>
      <c r="AS16" s="246"/>
      <c r="AT16" s="246"/>
      <c r="AU16" s="246"/>
      <c r="AZ16" s="5"/>
      <c r="BA16" s="5"/>
    </row>
    <row r="17" spans="1:53" x14ac:dyDescent="0.25">
      <c r="A17" s="68" t="s">
        <v>397</v>
      </c>
      <c r="B17" s="94">
        <f>+'Historical College Expenses'!P23</f>
        <v>379.00695300249532</v>
      </c>
      <c r="C17" s="94">
        <f>+'Historical College Expenses'!P42</f>
        <v>467.87680308556094</v>
      </c>
      <c r="D17" s="94">
        <f>+'Historical College Expenses'!P61</f>
        <v>399.01384087690667</v>
      </c>
      <c r="E17" s="94">
        <f>+'Historical College Expenses'!P80</f>
        <v>276.29529882133704</v>
      </c>
      <c r="F17" s="94">
        <f>+'Historical College Expenses'!P99</f>
        <v>289.93157609390806</v>
      </c>
      <c r="G17" s="94">
        <f>+'Historical College Expenses'!P118</f>
        <v>223.61065831410735</v>
      </c>
      <c r="H17" s="94">
        <f>+'Historical College Expenses'!P137</f>
        <v>183.23602647270823</v>
      </c>
      <c r="I17" s="94">
        <f>+'Historical College Expenses'!P156</f>
        <v>299.54698946628054</v>
      </c>
      <c r="J17" s="94">
        <f>+'Historical College Expenses'!P175</f>
        <v>638.51158087646138</v>
      </c>
      <c r="K17" s="94">
        <f>+'Historical College Expenses'!P194</f>
        <v>313.03859858516864</v>
      </c>
      <c r="M17" s="4">
        <f t="shared" si="4"/>
        <v>0.90564741297579587</v>
      </c>
      <c r="N17" s="4">
        <f t="shared" si="5"/>
        <v>0.31672906984506888</v>
      </c>
      <c r="O17" s="4">
        <f t="shared" si="6"/>
        <v>0.50126374650024919</v>
      </c>
      <c r="P17" s="4">
        <f t="shared" si="7"/>
        <v>0.56181147847373469</v>
      </c>
      <c r="Q17" s="4">
        <f t="shared" si="8"/>
        <v>0.34995299833011972</v>
      </c>
      <c r="R17" s="4">
        <f t="shared" si="9"/>
        <v>-0.69906439259858488</v>
      </c>
      <c r="S17" s="4">
        <f t="shared" si="10"/>
        <v>0.54461228225486535</v>
      </c>
      <c r="T17" s="4">
        <f t="shared" si="11"/>
        <v>0.3701136443579931</v>
      </c>
      <c r="U17" s="4">
        <f t="shared" si="12"/>
        <v>-2.1778578058245013E-2</v>
      </c>
      <c r="V17" s="4">
        <f t="shared" si="13"/>
        <v>0.53877085977072614</v>
      </c>
      <c r="AM17" s="246"/>
      <c r="AN17" s="246"/>
      <c r="AO17" s="246"/>
      <c r="AP17" s="247"/>
      <c r="AQ17" s="246"/>
      <c r="AR17" s="246"/>
      <c r="AS17" s="246"/>
      <c r="AT17" s="246"/>
      <c r="AU17" s="246"/>
      <c r="AZ17" s="5"/>
      <c r="BA17" s="5"/>
    </row>
    <row r="18" spans="1:53" x14ac:dyDescent="0.25">
      <c r="A18" s="68"/>
      <c r="B18" s="94"/>
      <c r="C18" s="94"/>
      <c r="D18" s="94"/>
      <c r="E18" s="94"/>
      <c r="F18" s="94"/>
      <c r="G18" s="94"/>
      <c r="H18" s="94"/>
      <c r="I18" s="94"/>
      <c r="J18" s="94"/>
      <c r="K18" s="94"/>
      <c r="M18" s="4"/>
      <c r="N18" s="4"/>
      <c r="O18" s="4"/>
      <c r="P18" s="4"/>
      <c r="Q18" s="4"/>
      <c r="R18" s="4"/>
      <c r="S18" s="4"/>
      <c r="T18" s="4"/>
      <c r="U18" s="4"/>
      <c r="V18" s="4"/>
      <c r="AM18" s="246"/>
      <c r="AN18" s="246"/>
      <c r="AO18" s="246"/>
      <c r="AP18" s="247"/>
      <c r="AQ18" s="246"/>
      <c r="AR18" s="246"/>
      <c r="AS18" s="246"/>
      <c r="AT18" s="246"/>
      <c r="AU18" s="246"/>
      <c r="AZ18" s="5"/>
      <c r="BA18" s="5"/>
    </row>
    <row r="19" spans="1:53" x14ac:dyDescent="0.25">
      <c r="A19" s="68"/>
      <c r="B19" s="94"/>
      <c r="C19" s="94"/>
      <c r="D19" s="94"/>
      <c r="E19" s="94"/>
      <c r="F19" s="94"/>
      <c r="G19" s="94"/>
      <c r="H19" s="94"/>
      <c r="I19" s="94"/>
      <c r="J19" s="94"/>
      <c r="K19" s="94"/>
      <c r="M19" s="4"/>
      <c r="N19" s="4"/>
      <c r="O19" s="4"/>
      <c r="P19" s="4"/>
      <c r="Q19" s="4"/>
      <c r="R19" s="4"/>
      <c r="S19" s="4"/>
      <c r="T19" s="4"/>
      <c r="U19" s="4"/>
      <c r="V19" s="4"/>
      <c r="AZ19" s="1"/>
      <c r="BA19" s="1"/>
    </row>
    <row r="20" spans="1:53" x14ac:dyDescent="0.25">
      <c r="A20" s="68"/>
      <c r="B20" s="94"/>
      <c r="C20" s="94"/>
      <c r="D20" s="94"/>
      <c r="E20" s="94"/>
      <c r="F20" s="94"/>
      <c r="G20" s="94"/>
      <c r="H20" s="94"/>
      <c r="I20" s="94"/>
      <c r="J20" s="94"/>
      <c r="K20" s="94"/>
      <c r="M20" s="4"/>
      <c r="N20" s="4"/>
      <c r="O20" s="4"/>
      <c r="P20" s="4"/>
      <c r="Q20" s="4"/>
      <c r="R20" s="4"/>
      <c r="S20" s="4"/>
      <c r="T20" s="4"/>
      <c r="U20" s="4"/>
      <c r="V20" s="4"/>
      <c r="AZ20" s="1"/>
      <c r="BA20" s="1"/>
    </row>
    <row r="21" spans="1:53" x14ac:dyDescent="0.25">
      <c r="A21" s="68"/>
      <c r="B21" s="94"/>
      <c r="C21" s="94"/>
      <c r="D21" s="94"/>
      <c r="E21" s="94"/>
      <c r="F21" s="94"/>
      <c r="G21" s="94"/>
      <c r="H21" s="94"/>
      <c r="I21" s="94"/>
      <c r="J21" s="94"/>
      <c r="K21" s="94"/>
      <c r="M21" s="4"/>
      <c r="N21" s="4"/>
      <c r="O21" s="4"/>
      <c r="P21" s="4"/>
      <c r="Q21" s="4"/>
      <c r="R21" s="4"/>
      <c r="S21" s="4"/>
      <c r="T21" s="4"/>
      <c r="U21" s="4"/>
      <c r="V21" s="4"/>
      <c r="AM21" s="473" t="s">
        <v>76</v>
      </c>
      <c r="AN21" s="473"/>
      <c r="AQ21" s="473" t="s">
        <v>80</v>
      </c>
      <c r="AR21" s="473"/>
      <c r="AT21" s="473" t="s">
        <v>78</v>
      </c>
      <c r="AU21" s="473"/>
      <c r="AZ21" s="1"/>
      <c r="BA21" s="1"/>
    </row>
    <row r="22" spans="1:53" x14ac:dyDescent="0.25">
      <c r="A22" s="68"/>
      <c r="B22" s="94"/>
      <c r="C22" s="94"/>
      <c r="D22" s="94"/>
      <c r="E22" s="94"/>
      <c r="F22" s="94"/>
      <c r="G22" s="94"/>
      <c r="H22" s="94"/>
      <c r="I22" s="94"/>
      <c r="J22" s="94"/>
      <c r="K22" s="94"/>
      <c r="M22" s="4"/>
      <c r="N22" s="4"/>
      <c r="O22" s="4"/>
      <c r="P22" s="4"/>
      <c r="Q22" s="4"/>
      <c r="R22" s="4"/>
      <c r="S22" s="4"/>
      <c r="T22" s="4"/>
      <c r="U22" s="4"/>
      <c r="V22" s="4"/>
      <c r="AM22" s="28" t="s">
        <v>2999</v>
      </c>
      <c r="AN22" s="28" t="s">
        <v>3000</v>
      </c>
      <c r="AQ22" s="28" t="s">
        <v>2999</v>
      </c>
      <c r="AR22" s="28" t="s">
        <v>3000</v>
      </c>
      <c r="AT22" s="28" t="s">
        <v>2999</v>
      </c>
      <c r="AU22" s="28" t="s">
        <v>3000</v>
      </c>
      <c r="AZ22" s="1"/>
      <c r="BA22" s="1"/>
    </row>
    <row r="23" spans="1:53" x14ac:dyDescent="0.25">
      <c r="A23" s="68"/>
      <c r="B23" s="94"/>
      <c r="C23" s="94"/>
      <c r="D23" s="94"/>
      <c r="E23" s="94"/>
      <c r="F23" s="94"/>
      <c r="G23" s="94"/>
      <c r="H23" s="94"/>
      <c r="I23" s="94"/>
      <c r="J23" s="94"/>
      <c r="K23" s="94"/>
      <c r="M23" s="4"/>
      <c r="N23" s="4"/>
      <c r="O23" s="4"/>
      <c r="P23" s="4"/>
      <c r="Q23" s="4"/>
      <c r="R23" s="4"/>
      <c r="S23" s="4"/>
      <c r="T23" s="4"/>
      <c r="U23" s="4"/>
      <c r="V23" s="4"/>
      <c r="AL23">
        <v>2010</v>
      </c>
      <c r="AM23" s="245">
        <f>+'Historical College Expenses'!J9</f>
        <v>26417.988127809767</v>
      </c>
      <c r="AN23" s="245">
        <f>+'Historical College Expenses'!B9</f>
        <v>4598406</v>
      </c>
      <c r="AP23" s="245">
        <v>2010</v>
      </c>
      <c r="AQ23" s="245">
        <f>+'Historical College Expenses'!J47</f>
        <v>10491.035285350041</v>
      </c>
      <c r="AR23" s="245">
        <f>+'Historical College Expenses'!B47</f>
        <v>2336454</v>
      </c>
      <c r="AS23" s="245">
        <v>2010</v>
      </c>
      <c r="AT23" s="245">
        <f>+'Historical College Expenses'!J28</f>
        <v>20976.781684188009</v>
      </c>
      <c r="AU23" s="245">
        <f>+'Historical College Expenses'!B28</f>
        <v>6784631</v>
      </c>
      <c r="AZ23" s="1"/>
      <c r="BA23" s="1"/>
    </row>
    <row r="24" spans="1:53" x14ac:dyDescent="0.25">
      <c r="A24" s="68"/>
      <c r="B24" s="94"/>
      <c r="C24" s="94"/>
      <c r="D24" s="94"/>
      <c r="E24" s="94"/>
      <c r="F24" s="94"/>
      <c r="G24" s="94"/>
      <c r="H24" s="94"/>
      <c r="I24" s="94"/>
      <c r="J24" s="94"/>
      <c r="K24" s="94"/>
      <c r="M24" s="4"/>
      <c r="N24" s="4"/>
      <c r="O24" s="4"/>
      <c r="P24" s="4"/>
      <c r="Q24" s="4"/>
      <c r="R24" s="4"/>
      <c r="S24" s="4"/>
      <c r="T24" s="4"/>
      <c r="U24" s="4"/>
      <c r="V24" s="4"/>
      <c r="AL24">
        <v>2011</v>
      </c>
      <c r="AM24" s="245">
        <f>+'Historical College Expenses'!J10</f>
        <v>31437.579282798473</v>
      </c>
      <c r="AN24" s="245">
        <f>+'Historical College Expenses'!B10</f>
        <v>4634744</v>
      </c>
      <c r="AP24" s="245">
        <v>2011</v>
      </c>
      <c r="AQ24" s="245">
        <f>+'Historical College Expenses'!J48</f>
        <v>13023.84888196338</v>
      </c>
      <c r="AR24" s="245">
        <f>+'Historical College Expenses'!B48</f>
        <v>2386502</v>
      </c>
      <c r="AS24" s="245">
        <v>2011</v>
      </c>
      <c r="AT24" s="245">
        <f>+'Historical College Expenses'!J29</f>
        <v>22966.613326556795</v>
      </c>
      <c r="AU24" s="245">
        <f>+'Historical College Expenses'!B29</f>
        <v>6957170</v>
      </c>
      <c r="AZ24" s="1"/>
      <c r="BA24" s="1"/>
    </row>
    <row r="25" spans="1:53" x14ac:dyDescent="0.25">
      <c r="A25" s="68"/>
      <c r="B25" s="94"/>
      <c r="C25" s="94"/>
      <c r="D25" s="94"/>
      <c r="E25" s="94"/>
      <c r="F25" s="94"/>
      <c r="G25" s="94"/>
      <c r="H25" s="94"/>
      <c r="I25" s="94"/>
      <c r="J25" s="94"/>
      <c r="K25" s="94"/>
      <c r="M25" s="4"/>
      <c r="N25" s="4"/>
      <c r="O25" s="4"/>
      <c r="P25" s="4"/>
      <c r="Q25" s="4"/>
      <c r="R25" s="4"/>
      <c r="S25" s="4"/>
      <c r="T25" s="4"/>
      <c r="U25" s="4"/>
      <c r="V25" s="4"/>
      <c r="AL25">
        <v>2012</v>
      </c>
      <c r="AM25" s="245">
        <f>+'Historical College Expenses'!J11</f>
        <v>31286.669848092191</v>
      </c>
      <c r="AN25" s="245">
        <f>+'Historical College Expenses'!B11</f>
        <v>4810935.0599999996</v>
      </c>
      <c r="AP25" s="245">
        <v>2012</v>
      </c>
      <c r="AQ25" s="245">
        <f>+'Historical College Expenses'!J49</f>
        <v>12901.137935562372</v>
      </c>
      <c r="AR25" s="245">
        <f>+'Historical College Expenses'!B49</f>
        <v>2635583</v>
      </c>
      <c r="AS25" s="245">
        <v>2012</v>
      </c>
      <c r="AT25" s="245">
        <f>+'Historical College Expenses'!J30</f>
        <v>22666.611374427073</v>
      </c>
      <c r="AU25" s="245">
        <f>+'Historical College Expenses'!B30</f>
        <v>7226274</v>
      </c>
      <c r="AZ25" s="1"/>
      <c r="BA25" s="1"/>
    </row>
    <row r="26" spans="1:53" x14ac:dyDescent="0.25">
      <c r="A26" s="68"/>
      <c r="B26" s="94"/>
      <c r="C26" s="94"/>
      <c r="D26" s="94"/>
      <c r="E26" s="94"/>
      <c r="F26" s="94"/>
      <c r="G26" s="94"/>
      <c r="H26" s="94"/>
      <c r="I26" s="94"/>
      <c r="J26" s="94"/>
      <c r="K26" s="94"/>
      <c r="M26" s="4"/>
      <c r="N26" s="4"/>
      <c r="O26" s="4"/>
      <c r="P26" s="4"/>
      <c r="Q26" s="4"/>
      <c r="R26" s="4"/>
      <c r="S26" s="4"/>
      <c r="T26" s="4"/>
      <c r="U26" s="4"/>
      <c r="V26" s="4"/>
      <c r="AL26">
        <v>2013</v>
      </c>
      <c r="AM26" s="245">
        <f>+'Historical College Expenses'!J12</f>
        <v>29985.438406680471</v>
      </c>
      <c r="AN26" s="245">
        <f>+'Historical College Expenses'!B12</f>
        <v>5079592</v>
      </c>
      <c r="AP26" s="245">
        <v>2013</v>
      </c>
      <c r="AQ26" s="245">
        <f>+'Historical College Expenses'!J50</f>
        <v>13014.147441809086</v>
      </c>
      <c r="AR26" s="245">
        <f>+'Historical College Expenses'!B50</f>
        <v>2592821</v>
      </c>
      <c r="AS26" s="245">
        <v>2013</v>
      </c>
      <c r="AT26" s="245">
        <f>+'Historical College Expenses'!J31</f>
        <v>21696.579542350803</v>
      </c>
      <c r="AU26" s="245">
        <f>+'Historical College Expenses'!B31</f>
        <v>7644032</v>
      </c>
      <c r="AZ26" s="1"/>
      <c r="BA26" s="1"/>
    </row>
    <row r="27" spans="1:53" x14ac:dyDescent="0.25">
      <c r="A27" s="68"/>
      <c r="B27" s="94"/>
      <c r="C27" s="94"/>
      <c r="D27" s="94"/>
      <c r="E27" s="94"/>
      <c r="F27" s="94"/>
      <c r="G27" s="94"/>
      <c r="H27" s="94"/>
      <c r="I27" s="94"/>
      <c r="J27" s="94"/>
      <c r="K27" s="94"/>
      <c r="M27" s="4"/>
      <c r="N27" s="4"/>
      <c r="O27" s="4"/>
      <c r="P27" s="4"/>
      <c r="Q27" s="4"/>
      <c r="R27" s="4"/>
      <c r="S27" s="4"/>
      <c r="T27" s="4"/>
      <c r="U27" s="4"/>
      <c r="V27" s="4"/>
      <c r="AL27">
        <v>2014</v>
      </c>
      <c r="AM27" s="245">
        <f>+'Historical College Expenses'!J13</f>
        <v>28472.478140389576</v>
      </c>
      <c r="AN27" s="245">
        <f>+'Historical College Expenses'!B13</f>
        <v>5027751</v>
      </c>
      <c r="AP27" s="245">
        <v>2014</v>
      </c>
      <c r="AQ27" s="245">
        <f>+'Historical College Expenses'!J51</f>
        <v>11765.000387386748</v>
      </c>
      <c r="AR27" s="245">
        <f>+'Historical College Expenses'!B51</f>
        <v>2664602</v>
      </c>
      <c r="AS27" s="245">
        <v>2014</v>
      </c>
      <c r="AT27" s="245">
        <f>+'Historical College Expenses'!J32</f>
        <v>22010.766683248592</v>
      </c>
      <c r="AU27" s="245">
        <f>+'Historical College Expenses'!B32</f>
        <v>7780386</v>
      </c>
      <c r="AZ27" s="1"/>
      <c r="BA27" s="1"/>
    </row>
    <row r="28" spans="1:53" x14ac:dyDescent="0.25">
      <c r="A28" s="68"/>
      <c r="B28" s="94"/>
      <c r="C28" s="94"/>
      <c r="D28" s="94"/>
      <c r="E28" s="94"/>
      <c r="F28" s="94"/>
      <c r="G28" s="94"/>
      <c r="H28" s="94"/>
      <c r="I28" s="94"/>
      <c r="J28" s="94"/>
      <c r="K28" s="94"/>
      <c r="M28" s="4"/>
      <c r="N28" s="4"/>
      <c r="O28" s="4"/>
      <c r="P28" s="4"/>
      <c r="Q28" s="4"/>
      <c r="R28" s="4"/>
      <c r="S28" s="4"/>
      <c r="T28" s="4"/>
      <c r="U28" s="4"/>
      <c r="V28" s="4"/>
      <c r="AL28">
        <v>2015</v>
      </c>
      <c r="AM28" s="245">
        <f>+'Historical College Expenses'!J14</f>
        <v>29131.182233685286</v>
      </c>
      <c r="AN28" s="245">
        <f>+'Historical College Expenses'!B14</f>
        <v>5949726</v>
      </c>
      <c r="AP28" s="245">
        <v>2015</v>
      </c>
      <c r="AQ28" s="245">
        <f>+'Historical College Expenses'!J52</f>
        <v>11329.077660081128</v>
      </c>
      <c r="AR28" s="245">
        <f>+'Historical College Expenses'!B52</f>
        <v>2795733</v>
      </c>
      <c r="AS28" s="245">
        <v>2015</v>
      </c>
      <c r="AT28" s="245">
        <f>+'Historical College Expenses'!J33</f>
        <v>22073.693430990003</v>
      </c>
      <c r="AU28" s="245">
        <f>+'Historical College Expenses'!B33</f>
        <v>8246383</v>
      </c>
      <c r="AZ28" s="1"/>
      <c r="BA28" s="1"/>
    </row>
    <row r="29" spans="1:53" x14ac:dyDescent="0.25">
      <c r="A29" s="68"/>
      <c r="B29" s="94"/>
      <c r="C29" s="94"/>
      <c r="D29" s="94"/>
      <c r="E29" s="94"/>
      <c r="F29" s="94"/>
      <c r="G29" s="94"/>
      <c r="H29" s="94"/>
      <c r="I29" s="94"/>
      <c r="J29" s="94"/>
      <c r="K29" s="94"/>
      <c r="M29" s="4"/>
      <c r="N29" s="4"/>
      <c r="O29" s="4"/>
      <c r="P29" s="4"/>
      <c r="Q29" s="4"/>
      <c r="R29" s="4"/>
      <c r="S29" s="4"/>
      <c r="T29" s="4"/>
      <c r="U29" s="4"/>
      <c r="V29" s="4"/>
      <c r="AL29">
        <v>2016</v>
      </c>
      <c r="AM29" s="245">
        <f>+'Historical College Expenses'!J15</f>
        <v>29912.231143749701</v>
      </c>
      <c r="AN29" s="245">
        <f>+'Historical College Expenses'!B15</f>
        <v>6069821</v>
      </c>
      <c r="AP29" s="245">
        <v>2016</v>
      </c>
      <c r="AQ29" s="245">
        <f>+'Historical College Expenses'!J53</f>
        <v>10806.178964850689</v>
      </c>
      <c r="AR29" s="245">
        <f>+'Historical College Expenses'!B53</f>
        <v>3034066</v>
      </c>
      <c r="AS29" s="245">
        <v>2016</v>
      </c>
      <c r="AT29" s="245">
        <f>+'Historical College Expenses'!J34</f>
        <v>21397.32568138944</v>
      </c>
      <c r="AU29" s="245">
        <f>+'Historical College Expenses'!B34</f>
        <v>8166513</v>
      </c>
      <c r="AZ29" s="1"/>
      <c r="BA29" s="1"/>
    </row>
    <row r="30" spans="1:53" x14ac:dyDescent="0.25">
      <c r="A30" s="68"/>
      <c r="B30" s="94"/>
      <c r="C30" s="94"/>
      <c r="D30" s="94"/>
      <c r="E30" s="94"/>
      <c r="F30" s="94"/>
      <c r="G30" s="94"/>
      <c r="H30" s="94"/>
      <c r="I30" s="94"/>
      <c r="J30" s="94"/>
      <c r="K30" s="94"/>
      <c r="M30" s="4"/>
      <c r="N30" s="4"/>
      <c r="O30" s="4"/>
      <c r="P30" s="4"/>
      <c r="Q30" s="4"/>
      <c r="R30" s="4"/>
      <c r="S30" s="4"/>
      <c r="T30" s="4"/>
      <c r="U30" s="4"/>
      <c r="V30" s="4"/>
      <c r="AL30">
        <v>2017</v>
      </c>
      <c r="AM30" s="245">
        <f>+'Historical College Expenses'!J16</f>
        <v>29104.155581923118</v>
      </c>
      <c r="AN30" s="245">
        <f>+'Historical College Expenses'!B16</f>
        <v>5886916</v>
      </c>
      <c r="AP30" s="245">
        <v>2017</v>
      </c>
      <c r="AQ30" s="245">
        <f>+'Historical College Expenses'!J54</f>
        <v>10657.764840768332</v>
      </c>
      <c r="AR30" s="245">
        <f>+'Historical College Expenses'!B54</f>
        <v>3236544</v>
      </c>
      <c r="AS30" s="245">
        <v>2017</v>
      </c>
      <c r="AT30" s="245">
        <f>+'Historical College Expenses'!J35</f>
        <v>21201.043991233539</v>
      </c>
      <c r="AU30" s="245">
        <f>+'Historical College Expenses'!B35</f>
        <v>7870487</v>
      </c>
      <c r="AZ30" s="1"/>
      <c r="BA30" s="1"/>
    </row>
    <row r="31" spans="1:53" x14ac:dyDescent="0.25">
      <c r="A31" s="68"/>
      <c r="B31" s="94"/>
      <c r="C31" s="94"/>
      <c r="D31" s="94"/>
      <c r="E31" s="94"/>
      <c r="F31" s="94"/>
      <c r="G31" s="94"/>
      <c r="H31" s="94"/>
      <c r="I31" s="94"/>
      <c r="J31" s="94"/>
      <c r="K31" s="94"/>
      <c r="M31" s="4"/>
      <c r="N31" s="4"/>
      <c r="O31" s="4"/>
      <c r="P31" s="4"/>
      <c r="Q31" s="4"/>
      <c r="R31" s="4"/>
      <c r="S31" s="4"/>
      <c r="T31" s="4"/>
      <c r="U31" s="4"/>
      <c r="V31" s="4"/>
      <c r="AL31">
        <v>2018</v>
      </c>
      <c r="AM31" s="245">
        <f>+'Historical College Expenses'!J17</f>
        <v>28012.928045598892</v>
      </c>
      <c r="AN31" s="245">
        <f>+'Historical College Expenses'!B17</f>
        <v>5543377</v>
      </c>
      <c r="AP31" s="245">
        <v>2018</v>
      </c>
      <c r="AQ31" s="245">
        <f>+'Historical College Expenses'!J55</f>
        <v>10133.357573512929</v>
      </c>
      <c r="AR31" s="245">
        <f>+'Historical College Expenses'!B55</f>
        <v>3324935</v>
      </c>
      <c r="AS31" s="245">
        <v>2018</v>
      </c>
      <c r="AT31" s="245">
        <f>+'Historical College Expenses'!J36</f>
        <v>20916.367837347207</v>
      </c>
      <c r="AU31" s="245">
        <f>+'Historical College Expenses'!B36</f>
        <v>7277633</v>
      </c>
      <c r="AZ31" s="1"/>
      <c r="BA31" s="1"/>
    </row>
    <row r="32" spans="1:53" x14ac:dyDescent="0.25">
      <c r="A32" s="68"/>
      <c r="B32" s="94"/>
      <c r="C32" s="94"/>
      <c r="D32" s="94"/>
      <c r="E32" s="94"/>
      <c r="F32" s="94"/>
      <c r="G32" s="94"/>
      <c r="H32" s="94"/>
      <c r="I32" s="94"/>
      <c r="J32" s="94"/>
      <c r="K32" s="94"/>
      <c r="M32" s="4"/>
      <c r="N32" s="4"/>
      <c r="O32" s="4"/>
      <c r="P32" s="4"/>
      <c r="Q32" s="4"/>
      <c r="R32" s="4"/>
      <c r="S32" s="4"/>
      <c r="T32" s="4"/>
      <c r="U32" s="4"/>
      <c r="V32" s="4"/>
      <c r="AL32">
        <v>2019</v>
      </c>
      <c r="AM32" s="245">
        <f>+'Historical College Expenses'!J18</f>
        <v>26996.807129714558</v>
      </c>
      <c r="AN32" s="245">
        <f>+'Historical College Expenses'!B18</f>
        <v>5930101</v>
      </c>
      <c r="AP32" s="245">
        <v>2019</v>
      </c>
      <c r="AQ32" s="245">
        <f>+'Historical College Expenses'!J56</f>
        <v>11282.216644634645</v>
      </c>
      <c r="AR32" s="245">
        <f>+'Historical College Expenses'!B56</f>
        <v>2995336</v>
      </c>
      <c r="AS32" s="245">
        <v>2019</v>
      </c>
      <c r="AT32" s="245">
        <f>+'Historical College Expenses'!J37</f>
        <v>21676.309918545259</v>
      </c>
      <c r="AU32" s="245">
        <f>+'Historical College Expenses'!B37</f>
        <v>7737488</v>
      </c>
      <c r="AZ32" s="1"/>
      <c r="BA32" s="1"/>
    </row>
    <row r="33" spans="1:53" x14ac:dyDescent="0.25">
      <c r="A33" s="68"/>
      <c r="B33" s="94"/>
      <c r="C33" s="94"/>
      <c r="D33" s="94"/>
      <c r="E33" s="94"/>
      <c r="F33" s="94"/>
      <c r="G33" s="94"/>
      <c r="H33" s="94"/>
      <c r="I33" s="94"/>
      <c r="J33" s="94"/>
      <c r="K33" s="94"/>
      <c r="M33" s="4"/>
      <c r="N33" s="4"/>
      <c r="O33" s="4"/>
      <c r="P33" s="4"/>
      <c r="Q33" s="4"/>
      <c r="R33" s="4"/>
      <c r="S33" s="4"/>
      <c r="T33" s="4"/>
      <c r="U33" s="4"/>
      <c r="V33" s="4"/>
      <c r="AL33">
        <v>2020</v>
      </c>
      <c r="AM33" s="245">
        <f>+'Historical College Expenses'!J19</f>
        <v>15594.047869956943</v>
      </c>
      <c r="AN33" s="245">
        <f>+'Historical College Expenses'!B19</f>
        <v>3266876</v>
      </c>
      <c r="AP33" s="245">
        <v>2020</v>
      </c>
      <c r="AQ33" s="245">
        <f>+'Historical College Expenses'!J57</f>
        <v>12912.803989712394</v>
      </c>
      <c r="AR33" s="245">
        <f>+'Historical College Expenses'!B57</f>
        <v>3707264</v>
      </c>
      <c r="AS33" s="245">
        <v>2020</v>
      </c>
      <c r="AT33" s="245">
        <f>+'Historical College Expenses'!J38</f>
        <v>29787.550841253615</v>
      </c>
      <c r="AU33" s="245">
        <f>+'Historical College Expenses'!B38</f>
        <v>9514154</v>
      </c>
      <c r="AZ33" s="1"/>
      <c r="BA33" s="1"/>
    </row>
    <row r="34" spans="1:53" x14ac:dyDescent="0.25">
      <c r="A34" s="68"/>
      <c r="B34" s="94"/>
      <c r="C34" s="94"/>
      <c r="D34" s="94"/>
      <c r="E34" s="94"/>
      <c r="F34" s="94"/>
      <c r="G34" s="94"/>
      <c r="H34" s="94"/>
      <c r="I34" s="94"/>
      <c r="J34" s="94"/>
      <c r="K34" s="94"/>
      <c r="M34" s="4"/>
      <c r="N34" s="4"/>
      <c r="O34" s="4"/>
      <c r="P34" s="4"/>
      <c r="Q34" s="4"/>
      <c r="R34" s="4"/>
      <c r="S34" s="4"/>
      <c r="T34" s="4"/>
      <c r="U34" s="4"/>
      <c r="V34" s="4"/>
      <c r="AZ34" s="1"/>
      <c r="BA34" s="1"/>
    </row>
    <row r="35" spans="1:53" x14ac:dyDescent="0.25">
      <c r="A35" s="68"/>
      <c r="B35" s="94"/>
      <c r="C35" s="94"/>
      <c r="D35" s="94"/>
      <c r="E35" s="94"/>
      <c r="F35" s="94"/>
      <c r="G35" s="94"/>
      <c r="H35" s="94"/>
      <c r="I35" s="94"/>
      <c r="J35" s="94"/>
      <c r="K35" s="94"/>
      <c r="M35" s="4"/>
      <c r="N35" s="4"/>
      <c r="O35" s="4"/>
      <c r="P35" s="4"/>
      <c r="Q35" s="4"/>
      <c r="R35" s="4"/>
      <c r="S35" s="4"/>
      <c r="T35" s="4"/>
      <c r="U35" s="4"/>
      <c r="V35" s="4"/>
      <c r="AZ35" s="1"/>
      <c r="BA35" s="1"/>
    </row>
    <row r="36" spans="1:53" x14ac:dyDescent="0.25">
      <c r="A36" s="68"/>
      <c r="B36" s="94"/>
      <c r="C36" s="94"/>
      <c r="D36" s="94"/>
      <c r="E36" s="94"/>
      <c r="F36" s="94"/>
      <c r="G36" s="94"/>
      <c r="H36" s="94"/>
      <c r="I36" s="94"/>
      <c r="J36" s="94"/>
      <c r="K36" s="94"/>
      <c r="M36" s="4"/>
      <c r="N36" s="4"/>
      <c r="O36" s="4"/>
      <c r="P36" s="4"/>
      <c r="Q36" s="4"/>
      <c r="R36" s="4"/>
      <c r="S36" s="4"/>
      <c r="T36" s="4"/>
      <c r="U36" s="4"/>
      <c r="V36" s="4"/>
      <c r="AM36" s="473" t="s">
        <v>234</v>
      </c>
      <c r="AN36" s="473"/>
      <c r="AQ36" s="473" t="s">
        <v>86</v>
      </c>
      <c r="AR36" s="473"/>
      <c r="AT36" s="473" t="s">
        <v>88</v>
      </c>
      <c r="AU36" s="473"/>
      <c r="AZ36" s="1"/>
      <c r="BA36" s="1"/>
    </row>
    <row r="37" spans="1:53" x14ac:dyDescent="0.25">
      <c r="A37" s="68"/>
      <c r="B37" s="94"/>
      <c r="C37" s="94"/>
      <c r="D37" s="94"/>
      <c r="E37" s="94"/>
      <c r="F37" s="94"/>
      <c r="G37" s="94"/>
      <c r="H37" s="94"/>
      <c r="I37" s="94"/>
      <c r="J37" s="94"/>
      <c r="K37" s="94"/>
      <c r="M37" s="4"/>
      <c r="N37" s="4"/>
      <c r="O37" s="4"/>
      <c r="P37" s="4"/>
      <c r="Q37" s="4"/>
      <c r="R37" s="4"/>
      <c r="S37" s="4"/>
      <c r="T37" s="4"/>
      <c r="U37" s="4"/>
      <c r="V37" s="4"/>
      <c r="AM37" s="28" t="s">
        <v>2999</v>
      </c>
      <c r="AN37" s="28" t="s">
        <v>3000</v>
      </c>
      <c r="AQ37" s="28" t="s">
        <v>2999</v>
      </c>
      <c r="AR37" s="28" t="s">
        <v>3000</v>
      </c>
      <c r="AT37" s="28" t="s">
        <v>2999</v>
      </c>
      <c r="AU37" s="28" t="s">
        <v>3000</v>
      </c>
      <c r="AZ37" s="1"/>
      <c r="BA37" s="1"/>
    </row>
    <row r="38" spans="1:53" x14ac:dyDescent="0.25">
      <c r="A38" s="68"/>
      <c r="B38" s="94"/>
      <c r="C38" s="94"/>
      <c r="D38" s="94"/>
      <c r="E38" s="94"/>
      <c r="F38" s="94"/>
      <c r="G38" s="94"/>
      <c r="H38" s="94"/>
      <c r="I38" s="94"/>
      <c r="J38" s="94"/>
      <c r="K38" s="94"/>
      <c r="M38" s="4"/>
      <c r="N38" s="4"/>
      <c r="O38" s="4"/>
      <c r="P38" s="4"/>
      <c r="Q38" s="4"/>
      <c r="R38" s="4"/>
      <c r="S38" s="4"/>
      <c r="T38" s="4"/>
      <c r="U38" s="4"/>
      <c r="V38" s="4"/>
      <c r="AL38">
        <v>2010</v>
      </c>
      <c r="AM38" s="245">
        <f>+'Historical College Expenses'!J85</f>
        <v>33795.984812153038</v>
      </c>
      <c r="AN38" s="245">
        <f>+'Historical College Expenses'!B85</f>
        <v>6393862</v>
      </c>
      <c r="AP38" s="245">
        <v>2010</v>
      </c>
      <c r="AQ38" s="245">
        <f>+'Historical College Expenses'!J104</f>
        <v>685.43969196479406</v>
      </c>
      <c r="AR38" s="245">
        <f>+'Historical College Expenses'!B104</f>
        <v>0</v>
      </c>
      <c r="AS38" s="245">
        <v>2010</v>
      </c>
      <c r="AT38" s="245">
        <f>+'Historical College Expenses'!J142</f>
        <v>26627.428033687902</v>
      </c>
      <c r="AU38" s="245">
        <f>+'Historical College Expenses'!B142</f>
        <v>5026637</v>
      </c>
      <c r="AZ38" s="1"/>
      <c r="BA38" s="1"/>
    </row>
    <row r="39" spans="1:53" x14ac:dyDescent="0.25">
      <c r="A39" s="68"/>
      <c r="B39" s="94"/>
      <c r="C39" s="94"/>
      <c r="D39" s="94"/>
      <c r="E39" s="94"/>
      <c r="F39" s="94"/>
      <c r="G39" s="94"/>
      <c r="H39" s="94"/>
      <c r="I39" s="94"/>
      <c r="J39" s="94"/>
      <c r="K39" s="94"/>
      <c r="M39" s="4"/>
      <c r="N39" s="4"/>
      <c r="O39" s="4"/>
      <c r="P39" s="4"/>
      <c r="Q39" s="4"/>
      <c r="R39" s="4"/>
      <c r="S39" s="4"/>
      <c r="T39" s="4"/>
      <c r="U39" s="4"/>
      <c r="V39" s="4"/>
      <c r="AL39">
        <v>2011</v>
      </c>
      <c r="AM39" s="245">
        <f>+'Historical College Expenses'!J86</f>
        <v>35663.031757474295</v>
      </c>
      <c r="AN39" s="245">
        <f>+'Historical College Expenses'!B86</f>
        <v>6588831</v>
      </c>
      <c r="AP39" s="245">
        <v>2011</v>
      </c>
      <c r="AQ39" s="245">
        <f>+'Historical College Expenses'!J105</f>
        <v>1470.5379296969352</v>
      </c>
      <c r="AR39" s="245">
        <f>+'Historical College Expenses'!B105</f>
        <v>0</v>
      </c>
      <c r="AS39" s="245">
        <v>2011</v>
      </c>
      <c r="AT39" s="245">
        <f>+'Historical College Expenses'!J143</f>
        <v>27375.159445536421</v>
      </c>
      <c r="AU39" s="245">
        <f>+'Historical College Expenses'!B143</f>
        <v>5120692</v>
      </c>
      <c r="AZ39" s="1"/>
      <c r="BA39" s="1"/>
    </row>
    <row r="40" spans="1:53" x14ac:dyDescent="0.25">
      <c r="A40" s="68"/>
      <c r="B40" s="94"/>
      <c r="C40" s="94"/>
      <c r="D40" s="94"/>
      <c r="E40" s="94"/>
      <c r="F40" s="94"/>
      <c r="G40" s="94"/>
      <c r="H40" s="94"/>
      <c r="I40" s="94"/>
      <c r="J40" s="94"/>
      <c r="K40" s="94"/>
      <c r="M40" s="4"/>
      <c r="N40" s="4"/>
      <c r="O40" s="4"/>
      <c r="P40" s="4"/>
      <c r="Q40" s="4"/>
      <c r="R40" s="4"/>
      <c r="S40" s="4"/>
      <c r="T40" s="4"/>
      <c r="U40" s="4"/>
      <c r="V40" s="4"/>
      <c r="AL40">
        <v>2012</v>
      </c>
      <c r="AM40" s="245">
        <f>+'Historical College Expenses'!J87</f>
        <v>32443.466472245986</v>
      </c>
      <c r="AN40" s="245">
        <f>+'Historical College Expenses'!B87</f>
        <v>6689882</v>
      </c>
      <c r="AP40" s="245">
        <v>2012</v>
      </c>
      <c r="AQ40" s="245">
        <f>+'Historical College Expenses'!J106</f>
        <v>1715.796080666631</v>
      </c>
      <c r="AR40" s="245">
        <f>+'Historical College Expenses'!B106</f>
        <v>57295</v>
      </c>
      <c r="AS40" s="245">
        <v>2012</v>
      </c>
      <c r="AT40" s="245">
        <f>+'Historical College Expenses'!J144</f>
        <v>27590.998481787468</v>
      </c>
      <c r="AU40" s="245">
        <f>+'Historical College Expenses'!B144</f>
        <v>5374010</v>
      </c>
      <c r="AZ40" s="1"/>
      <c r="BA40" s="1"/>
    </row>
    <row r="41" spans="1:53" x14ac:dyDescent="0.25">
      <c r="A41" s="68"/>
      <c r="B41" s="94"/>
      <c r="C41" s="94"/>
      <c r="D41" s="94"/>
      <c r="E41" s="94"/>
      <c r="F41" s="94"/>
      <c r="G41" s="94"/>
      <c r="H41" s="94"/>
      <c r="I41" s="94"/>
      <c r="J41" s="94"/>
      <c r="K41" s="94"/>
      <c r="M41" s="4"/>
      <c r="N41" s="4"/>
      <c r="O41" s="4"/>
      <c r="P41" s="4"/>
      <c r="Q41" s="4"/>
      <c r="R41" s="4"/>
      <c r="S41" s="4"/>
      <c r="T41" s="4"/>
      <c r="U41" s="4"/>
      <c r="V41" s="4"/>
      <c r="AL41">
        <v>2013</v>
      </c>
      <c r="AM41" s="245">
        <f>+'Historical College Expenses'!J88</f>
        <v>31094.559874847411</v>
      </c>
      <c r="AN41" s="245">
        <f>+'Historical College Expenses'!B88</f>
        <v>6773257</v>
      </c>
      <c r="AP41" s="245">
        <v>2013</v>
      </c>
      <c r="AQ41" s="245">
        <f>+'Historical College Expenses'!J107</f>
        <v>1689.3641524255634</v>
      </c>
      <c r="AR41" s="245">
        <f>+'Historical College Expenses'!B107</f>
        <v>90832</v>
      </c>
      <c r="AS41" s="245">
        <v>2013</v>
      </c>
      <c r="AT41" s="245">
        <f>+'Historical College Expenses'!J145</f>
        <v>25744.912859023872</v>
      </c>
      <c r="AU41" s="245">
        <f>+'Historical College Expenses'!B145</f>
        <v>5355616</v>
      </c>
      <c r="AZ41" s="1"/>
      <c r="BA41" s="1"/>
    </row>
    <row r="42" spans="1:53" x14ac:dyDescent="0.25">
      <c r="A42" s="68"/>
      <c r="B42" s="94"/>
      <c r="C42" s="94"/>
      <c r="D42" s="94"/>
      <c r="E42" s="94"/>
      <c r="F42" s="94"/>
      <c r="G42" s="94"/>
      <c r="H42" s="94"/>
      <c r="I42" s="94"/>
      <c r="J42" s="94"/>
      <c r="K42" s="94"/>
      <c r="M42" s="4"/>
      <c r="N42" s="4"/>
      <c r="O42" s="4"/>
      <c r="P42" s="4"/>
      <c r="Q42" s="4"/>
      <c r="R42" s="4"/>
      <c r="S42" s="4"/>
      <c r="T42" s="4"/>
      <c r="U42" s="4"/>
      <c r="V42" s="4"/>
      <c r="AL42">
        <v>2014</v>
      </c>
      <c r="AM42" s="245">
        <f>+'Historical College Expenses'!J89</f>
        <v>31275.519281435365</v>
      </c>
      <c r="AN42" s="245">
        <f>+'Historical College Expenses'!B89</f>
        <v>6967414</v>
      </c>
      <c r="AP42" s="245">
        <v>2014</v>
      </c>
      <c r="AQ42" s="245">
        <f>+'Historical College Expenses'!J108</f>
        <v>1777.0055163900763</v>
      </c>
      <c r="AR42" s="245">
        <f>+'Historical College Expenses'!B108</f>
        <v>100253</v>
      </c>
      <c r="AS42" s="245">
        <v>2014</v>
      </c>
      <c r="AT42" s="245">
        <f>+'Historical College Expenses'!J146</f>
        <v>25375.661451641787</v>
      </c>
      <c r="AU42" s="245">
        <f>+'Historical College Expenses'!B146</f>
        <v>5268289</v>
      </c>
      <c r="AZ42" s="1"/>
      <c r="BA42" s="1"/>
    </row>
    <row r="43" spans="1:53" x14ac:dyDescent="0.25">
      <c r="A43" s="68"/>
      <c r="B43" s="94"/>
      <c r="C43" s="94"/>
      <c r="D43" s="94"/>
      <c r="E43" s="94"/>
      <c r="F43" s="94"/>
      <c r="G43" s="94"/>
      <c r="H43" s="94"/>
      <c r="I43" s="94"/>
      <c r="J43" s="94"/>
      <c r="K43" s="94"/>
      <c r="M43" s="4"/>
      <c r="N43" s="4"/>
      <c r="O43" s="4"/>
      <c r="P43" s="4"/>
      <c r="Q43" s="4"/>
      <c r="R43" s="4"/>
      <c r="S43" s="4"/>
      <c r="T43" s="4"/>
      <c r="U43" s="4"/>
      <c r="V43" s="4"/>
      <c r="AL43">
        <v>2015</v>
      </c>
      <c r="AM43" s="245">
        <f>+'Historical College Expenses'!J90</f>
        <v>35730.648361241641</v>
      </c>
      <c r="AN43" s="245">
        <f>+'Historical College Expenses'!B90</f>
        <v>7738305</v>
      </c>
      <c r="AP43" s="245">
        <v>2015</v>
      </c>
      <c r="AQ43" s="245">
        <f>+'Historical College Expenses'!J109</f>
        <v>1710.6435536188492</v>
      </c>
      <c r="AR43" s="245">
        <f>+'Historical College Expenses'!B109</f>
        <v>100740</v>
      </c>
      <c r="AS43" s="245">
        <v>2015</v>
      </c>
      <c r="AT43" s="245">
        <f>+'Historical College Expenses'!J147</f>
        <v>25938.958601200786</v>
      </c>
      <c r="AU43" s="245">
        <f>+'Historical College Expenses'!B147</f>
        <v>5462129</v>
      </c>
      <c r="AZ43" s="1"/>
      <c r="BA43" s="1"/>
    </row>
    <row r="44" spans="1:53" x14ac:dyDescent="0.25">
      <c r="A44" s="68"/>
      <c r="B44" s="94"/>
      <c r="C44" s="94"/>
      <c r="D44" s="94"/>
      <c r="E44" s="94"/>
      <c r="F44" s="94"/>
      <c r="G44" s="94"/>
      <c r="H44" s="94"/>
      <c r="I44" s="94"/>
      <c r="J44" s="94"/>
      <c r="K44" s="94"/>
      <c r="M44" s="4"/>
      <c r="N44" s="4"/>
      <c r="O44" s="4"/>
      <c r="P44" s="4"/>
      <c r="Q44" s="4"/>
      <c r="R44" s="4"/>
      <c r="S44" s="4"/>
      <c r="T44" s="4"/>
      <c r="U44" s="4"/>
      <c r="V44" s="4"/>
      <c r="AL44">
        <v>2016</v>
      </c>
      <c r="AM44" s="245">
        <f>+'Historical College Expenses'!J91</f>
        <v>34469.972924362715</v>
      </c>
      <c r="AN44" s="245">
        <f>+'Historical College Expenses'!B91</f>
        <v>7846123</v>
      </c>
      <c r="AP44" s="245">
        <v>2016</v>
      </c>
      <c r="AQ44" s="245">
        <f>+'Historical College Expenses'!J110</f>
        <v>1474.92717629464</v>
      </c>
      <c r="AR44" s="245">
        <f>+'Historical College Expenses'!B110</f>
        <v>130227</v>
      </c>
      <c r="AS44" s="245">
        <v>2016</v>
      </c>
      <c r="AT44" s="245">
        <f>+'Historical College Expenses'!J148</f>
        <v>26696.233614282384</v>
      </c>
      <c r="AU44" s="245">
        <f>+'Historical College Expenses'!B148</f>
        <v>5467283</v>
      </c>
      <c r="AZ44" s="1"/>
      <c r="BA44" s="1"/>
    </row>
    <row r="45" spans="1:53" x14ac:dyDescent="0.25">
      <c r="A45" s="68"/>
      <c r="B45" s="94"/>
      <c r="C45" s="94"/>
      <c r="D45" s="94"/>
      <c r="E45" s="94"/>
      <c r="F45" s="94"/>
      <c r="G45" s="94"/>
      <c r="H45" s="94"/>
      <c r="I45" s="94"/>
      <c r="J45" s="94"/>
      <c r="K45" s="94"/>
      <c r="M45" s="4"/>
      <c r="N45" s="4"/>
      <c r="O45" s="4"/>
      <c r="P45" s="4"/>
      <c r="Q45" s="4"/>
      <c r="R45" s="4"/>
      <c r="S45" s="4"/>
      <c r="T45" s="4"/>
      <c r="U45" s="4"/>
      <c r="V45" s="4"/>
      <c r="AL45">
        <v>2017</v>
      </c>
      <c r="AM45" s="245">
        <f>+'Historical College Expenses'!J92</f>
        <v>33095.729459028385</v>
      </c>
      <c r="AN45" s="245">
        <f>+'Historical College Expenses'!B92</f>
        <v>7815008</v>
      </c>
      <c r="AP45" s="245">
        <v>2017</v>
      </c>
      <c r="AQ45" s="245">
        <f>+'Historical College Expenses'!J111</f>
        <v>1344.9089779544506</v>
      </c>
      <c r="AR45" s="245">
        <f>+'Historical College Expenses'!B111</f>
        <v>193690</v>
      </c>
      <c r="AS45" s="245">
        <v>2017</v>
      </c>
      <c r="AT45" s="245">
        <f>+'Historical College Expenses'!J149</f>
        <v>27425.580503239049</v>
      </c>
      <c r="AU45" s="245">
        <f>+'Historical College Expenses'!B149</f>
        <v>5467165</v>
      </c>
      <c r="AZ45" s="1"/>
      <c r="BA45" s="1"/>
    </row>
    <row r="46" spans="1:53" x14ac:dyDescent="0.25">
      <c r="A46" s="68"/>
      <c r="B46" s="94"/>
      <c r="C46" s="94"/>
      <c r="D46" s="94"/>
      <c r="E46" s="94"/>
      <c r="F46" s="94"/>
      <c r="G46" s="94"/>
      <c r="H46" s="94"/>
      <c r="I46" s="94"/>
      <c r="J46" s="94"/>
      <c r="K46" s="94"/>
      <c r="M46" s="4"/>
      <c r="N46" s="4"/>
      <c r="O46" s="4"/>
      <c r="P46" s="4"/>
      <c r="Q46" s="4"/>
      <c r="R46" s="4"/>
      <c r="S46" s="4"/>
      <c r="T46" s="4"/>
      <c r="U46" s="4"/>
      <c r="V46" s="4"/>
      <c r="AL46">
        <v>2018</v>
      </c>
      <c r="AM46" s="245">
        <f>+'Historical College Expenses'!J93</f>
        <v>30826.526905569652</v>
      </c>
      <c r="AN46" s="245">
        <f>+'Historical College Expenses'!B93</f>
        <v>7245906</v>
      </c>
      <c r="AP46" s="245">
        <v>2018</v>
      </c>
      <c r="AQ46" s="245">
        <f>+'Historical College Expenses'!J112</f>
        <v>1570.7876447233982</v>
      </c>
      <c r="AR46" s="245">
        <f>+'Historical College Expenses'!B112</f>
        <v>227833</v>
      </c>
      <c r="AS46" s="245">
        <v>2018</v>
      </c>
      <c r="AT46" s="245">
        <f>+'Historical College Expenses'!J150</f>
        <v>23541.177249054181</v>
      </c>
      <c r="AU46" s="245">
        <f>+'Historical College Expenses'!B150</f>
        <v>5022022</v>
      </c>
      <c r="AZ46" s="1"/>
      <c r="BA46" s="1"/>
    </row>
    <row r="47" spans="1:53" x14ac:dyDescent="0.25">
      <c r="A47" s="68"/>
      <c r="B47" s="94"/>
      <c r="C47" s="94"/>
      <c r="D47" s="94"/>
      <c r="E47" s="94"/>
      <c r="F47" s="94"/>
      <c r="G47" s="94"/>
      <c r="H47" s="94"/>
      <c r="I47" s="94"/>
      <c r="J47" s="94"/>
      <c r="K47" s="94"/>
      <c r="M47" s="4"/>
      <c r="N47" s="4"/>
      <c r="O47" s="4"/>
      <c r="P47" s="4"/>
      <c r="Q47" s="4"/>
      <c r="R47" s="4"/>
      <c r="S47" s="4"/>
      <c r="T47" s="4"/>
      <c r="U47" s="4"/>
      <c r="V47" s="4"/>
      <c r="AL47">
        <v>2019</v>
      </c>
      <c r="AM47" s="245">
        <f>+'Historical College Expenses'!J94</f>
        <v>31451.984588624957</v>
      </c>
      <c r="AN47" s="245">
        <f>+'Historical College Expenses'!B94</f>
        <v>7241954</v>
      </c>
      <c r="AP47" s="245">
        <v>2019</v>
      </c>
      <c r="AQ47" s="245">
        <f>+'Historical College Expenses'!J113</f>
        <v>2954.6551018260898</v>
      </c>
      <c r="AR47" s="245">
        <f>+'Historical College Expenses'!B113</f>
        <v>192371</v>
      </c>
      <c r="AS47" s="245">
        <v>2019</v>
      </c>
      <c r="AT47" s="245">
        <f>+'Historical College Expenses'!J151</f>
        <v>21589.905307467419</v>
      </c>
      <c r="AU47" s="245">
        <f>+'Historical College Expenses'!B151</f>
        <v>4937543</v>
      </c>
      <c r="AZ47" s="1"/>
      <c r="BA47" s="1"/>
    </row>
    <row r="48" spans="1:53" x14ac:dyDescent="0.25">
      <c r="A48" s="68"/>
      <c r="B48" s="94"/>
      <c r="C48" s="94"/>
      <c r="D48" s="94"/>
      <c r="E48" s="94"/>
      <c r="F48" s="94"/>
      <c r="G48" s="94"/>
      <c r="H48" s="94"/>
      <c r="I48" s="94"/>
      <c r="J48" s="94"/>
      <c r="K48" s="94"/>
      <c r="M48" s="4"/>
      <c r="N48" s="4"/>
      <c r="O48" s="4"/>
      <c r="P48" s="4"/>
      <c r="Q48" s="4"/>
      <c r="R48" s="4"/>
      <c r="S48" s="4"/>
      <c r="T48" s="4"/>
      <c r="U48" s="4"/>
      <c r="V48" s="4"/>
      <c r="AL48">
        <v>2020</v>
      </c>
      <c r="AM48" s="245">
        <f>+'Historical College Expenses'!J95</f>
        <v>29473.700711486108</v>
      </c>
      <c r="AN48" s="245">
        <f>+'Historical College Expenses'!B95</f>
        <v>7497493</v>
      </c>
      <c r="AP48" s="245">
        <v>2020</v>
      </c>
      <c r="AQ48" s="245">
        <f>+'Historical College Expenses'!J114</f>
        <v>2007.8949688906462</v>
      </c>
      <c r="AR48" s="245">
        <f>+'Historical College Expenses'!B114</f>
        <v>149646</v>
      </c>
      <c r="AS48" s="245">
        <v>2020</v>
      </c>
      <c r="AT48" s="245">
        <f>+'Historical College Expenses'!J152</f>
        <v>19456.259939056286</v>
      </c>
      <c r="AU48" s="245">
        <f>+'Historical College Expenses'!B152</f>
        <v>4926843</v>
      </c>
      <c r="AZ48" s="1"/>
      <c r="BA48" s="1"/>
    </row>
    <row r="49" spans="1:53" x14ac:dyDescent="0.25">
      <c r="A49" s="68"/>
      <c r="B49" s="94"/>
      <c r="C49" s="94"/>
      <c r="D49" s="94"/>
      <c r="E49" s="94"/>
      <c r="F49" s="94"/>
      <c r="G49" s="94"/>
      <c r="H49" s="94"/>
      <c r="I49" s="94"/>
      <c r="J49" s="94"/>
      <c r="K49" s="94"/>
      <c r="M49" s="4"/>
      <c r="N49" s="4"/>
      <c r="O49" s="4"/>
      <c r="P49" s="4"/>
      <c r="Q49" s="4"/>
      <c r="R49" s="4"/>
      <c r="S49" s="4"/>
      <c r="T49" s="4"/>
      <c r="U49" s="4"/>
      <c r="V49" s="4"/>
      <c r="AZ49" s="1"/>
      <c r="BA49" s="1"/>
    </row>
    <row r="50" spans="1:53" x14ac:dyDescent="0.25">
      <c r="A50" s="68"/>
      <c r="B50" s="94"/>
      <c r="C50" s="94"/>
      <c r="D50" s="94"/>
      <c r="E50" s="94"/>
      <c r="F50" s="94"/>
      <c r="G50" s="94"/>
      <c r="H50" s="94"/>
      <c r="I50" s="94"/>
      <c r="J50" s="94"/>
      <c r="K50" s="94"/>
      <c r="M50" s="4"/>
      <c r="N50" s="4"/>
      <c r="O50" s="4"/>
      <c r="P50" s="4"/>
      <c r="Q50" s="4"/>
      <c r="R50" s="4"/>
      <c r="S50" s="4"/>
      <c r="T50" s="4"/>
      <c r="U50" s="4"/>
      <c r="V50" s="4"/>
      <c r="AZ50" s="1"/>
      <c r="BA50" s="1"/>
    </row>
    <row r="51" spans="1:53" x14ac:dyDescent="0.25">
      <c r="A51" s="68"/>
      <c r="B51" s="94"/>
      <c r="C51" s="94"/>
      <c r="D51" s="94"/>
      <c r="E51" s="94"/>
      <c r="F51" s="94"/>
      <c r="G51" s="94"/>
      <c r="H51" s="94"/>
      <c r="I51" s="94"/>
      <c r="J51" s="94"/>
      <c r="K51" s="94"/>
      <c r="M51" s="4"/>
      <c r="N51" s="4"/>
      <c r="O51" s="4"/>
      <c r="P51" s="4"/>
      <c r="Q51" s="4"/>
      <c r="R51" s="4"/>
      <c r="S51" s="4"/>
      <c r="T51" s="4"/>
      <c r="U51" s="4"/>
      <c r="V51" s="4"/>
      <c r="AM51" s="473" t="s">
        <v>90</v>
      </c>
      <c r="AN51" s="473"/>
      <c r="AQ51" s="100" t="s">
        <v>91</v>
      </c>
      <c r="AR51" s="100"/>
      <c r="AZ51" s="1"/>
      <c r="BA51" s="1"/>
    </row>
    <row r="52" spans="1:53" x14ac:dyDescent="0.25">
      <c r="A52" s="68"/>
      <c r="B52" s="94"/>
      <c r="C52" s="94"/>
      <c r="D52" s="94"/>
      <c r="E52" s="94"/>
      <c r="F52" s="94"/>
      <c r="G52" s="94"/>
      <c r="H52" s="94"/>
      <c r="I52" s="94"/>
      <c r="J52" s="94"/>
      <c r="K52" s="94"/>
      <c r="M52" s="4"/>
      <c r="N52" s="4"/>
      <c r="O52" s="4"/>
      <c r="P52" s="4"/>
      <c r="Q52" s="4"/>
      <c r="R52" s="4"/>
      <c r="S52" s="4"/>
      <c r="T52" s="4"/>
      <c r="U52" s="4"/>
      <c r="V52" s="4"/>
      <c r="AM52" s="28" t="s">
        <v>2999</v>
      </c>
      <c r="AN52" s="28" t="s">
        <v>3000</v>
      </c>
      <c r="AQ52" s="28" t="s">
        <v>2999</v>
      </c>
      <c r="AR52" s="28" t="s">
        <v>3000</v>
      </c>
      <c r="AZ52" s="1"/>
      <c r="BA52" s="1"/>
    </row>
    <row r="53" spans="1:53" x14ac:dyDescent="0.25">
      <c r="A53" s="68"/>
      <c r="B53" s="94"/>
      <c r="C53" s="94"/>
      <c r="D53" s="94"/>
      <c r="E53" s="94"/>
      <c r="F53" s="94"/>
      <c r="G53" s="94"/>
      <c r="H53" s="94"/>
      <c r="I53" s="94"/>
      <c r="J53" s="94"/>
      <c r="K53" s="94"/>
      <c r="M53" s="4"/>
      <c r="N53" s="4"/>
      <c r="O53" s="4"/>
      <c r="P53" s="4"/>
      <c r="Q53" s="4"/>
      <c r="R53" s="4"/>
      <c r="S53" s="4"/>
      <c r="T53" s="4"/>
      <c r="U53" s="4"/>
      <c r="V53" s="4"/>
      <c r="AL53">
        <v>2010</v>
      </c>
      <c r="AM53" s="245">
        <f>+'Historical College Expenses'!J161</f>
        <v>7632.9210142252368</v>
      </c>
      <c r="AN53" s="245">
        <f>+'Historical College Expenses'!B161</f>
        <v>3010440</v>
      </c>
      <c r="AP53" s="245">
        <v>2010</v>
      </c>
      <c r="AQ53" s="245">
        <f>+'Historical College Expenses'!J123</f>
        <v>41668</v>
      </c>
      <c r="AR53" s="245">
        <f>+'Historical College Expenses'!B123</f>
        <v>4145653</v>
      </c>
      <c r="AZ53" s="1"/>
      <c r="BA53" s="1"/>
    </row>
    <row r="54" spans="1:53" x14ac:dyDescent="0.25">
      <c r="A54" s="68"/>
      <c r="B54" s="94"/>
      <c r="C54" s="94"/>
      <c r="D54" s="94"/>
      <c r="E54" s="94"/>
      <c r="F54" s="94"/>
      <c r="G54" s="94"/>
      <c r="H54" s="94"/>
      <c r="I54" s="94"/>
      <c r="J54" s="94"/>
      <c r="K54" s="94"/>
      <c r="M54" s="4"/>
      <c r="N54" s="4"/>
      <c r="O54" s="4"/>
      <c r="P54" s="4"/>
      <c r="Q54" s="4"/>
      <c r="R54" s="4"/>
      <c r="S54" s="4"/>
      <c r="T54" s="4"/>
      <c r="U54" s="4"/>
      <c r="V54" s="4"/>
      <c r="AL54">
        <v>2011</v>
      </c>
      <c r="AM54" s="245">
        <f>+'Historical College Expenses'!J162</f>
        <v>7501.0200145176705</v>
      </c>
      <c r="AN54" s="245">
        <f>+'Historical College Expenses'!B162</f>
        <v>3066783</v>
      </c>
      <c r="AP54" s="245">
        <v>2011</v>
      </c>
      <c r="AQ54" s="245">
        <f>+'Historical College Expenses'!J124</f>
        <v>56988</v>
      </c>
      <c r="AR54" s="245">
        <f>+'Historical College Expenses'!B124</f>
        <v>4865738</v>
      </c>
      <c r="AZ54" s="1"/>
      <c r="BA54" s="1"/>
    </row>
    <row r="55" spans="1:53" x14ac:dyDescent="0.25">
      <c r="A55" s="68"/>
      <c r="B55" s="94"/>
      <c r="C55" s="94"/>
      <c r="D55" s="94"/>
      <c r="E55" s="94"/>
      <c r="F55" s="94"/>
      <c r="G55" s="94"/>
      <c r="H55" s="94"/>
      <c r="I55" s="94"/>
      <c r="J55" s="94"/>
      <c r="K55" s="94"/>
      <c r="M55" s="4"/>
      <c r="N55" s="4"/>
      <c r="O55" s="4"/>
      <c r="P55" s="4"/>
      <c r="Q55" s="4"/>
      <c r="R55" s="4"/>
      <c r="S55" s="4"/>
      <c r="T55" s="4"/>
      <c r="U55" s="4"/>
      <c r="V55" s="4"/>
      <c r="AL55">
        <v>2012</v>
      </c>
      <c r="AM55" s="245">
        <f>+'Historical College Expenses'!J163</f>
        <v>7501.348909334949</v>
      </c>
      <c r="AN55" s="245">
        <f>+'Historical College Expenses'!B163</f>
        <v>2910561</v>
      </c>
      <c r="AP55" s="245">
        <v>2012</v>
      </c>
      <c r="AQ55" s="245">
        <f>+'Historical College Expenses'!J125</f>
        <v>60567</v>
      </c>
      <c r="AR55" s="245">
        <f>+'Historical College Expenses'!B125</f>
        <v>4941543</v>
      </c>
      <c r="AZ55" s="1"/>
      <c r="BA55" s="1"/>
    </row>
    <row r="56" spans="1:53" x14ac:dyDescent="0.25">
      <c r="A56" s="68"/>
      <c r="B56" s="94"/>
      <c r="C56" s="94"/>
      <c r="D56" s="94"/>
      <c r="E56" s="94"/>
      <c r="F56" s="94"/>
      <c r="G56" s="94"/>
      <c r="H56" s="94"/>
      <c r="I56" s="94"/>
      <c r="J56" s="94"/>
      <c r="K56" s="94"/>
      <c r="M56" s="4"/>
      <c r="N56" s="4"/>
      <c r="O56" s="4"/>
      <c r="P56" s="4"/>
      <c r="Q56" s="4"/>
      <c r="R56" s="4"/>
      <c r="S56" s="4"/>
      <c r="T56" s="4"/>
      <c r="U56" s="4"/>
      <c r="V56" s="4"/>
      <c r="AL56">
        <v>2013</v>
      </c>
      <c r="AM56" s="245">
        <f>+'Historical College Expenses'!J164</f>
        <v>7500.5135868602902</v>
      </c>
      <c r="AN56" s="245">
        <f>+'Historical College Expenses'!B164</f>
        <v>3088672</v>
      </c>
      <c r="AP56" s="245">
        <v>2013</v>
      </c>
      <c r="AQ56" s="245">
        <f>+'Historical College Expenses'!J126</f>
        <v>52165</v>
      </c>
      <c r="AR56" s="245">
        <f>+'Historical College Expenses'!B126</f>
        <v>4976864</v>
      </c>
      <c r="AZ56" s="1"/>
      <c r="BA56" s="1"/>
    </row>
    <row r="57" spans="1:53" x14ac:dyDescent="0.25">
      <c r="A57" s="68"/>
      <c r="B57" s="94"/>
      <c r="C57" s="94"/>
      <c r="D57" s="94"/>
      <c r="E57" s="94"/>
      <c r="F57" s="94"/>
      <c r="G57" s="94"/>
      <c r="H57" s="94"/>
      <c r="I57" s="94"/>
      <c r="J57" s="94"/>
      <c r="K57" s="94"/>
      <c r="M57" s="4"/>
      <c r="N57" s="4"/>
      <c r="O57" s="4"/>
      <c r="P57" s="4"/>
      <c r="Q57" s="4"/>
      <c r="R57" s="4"/>
      <c r="S57" s="4"/>
      <c r="T57" s="4"/>
      <c r="U57" s="4"/>
      <c r="V57" s="4"/>
      <c r="AL57">
        <v>2014</v>
      </c>
      <c r="AM57" s="245">
        <f>+'Historical College Expenses'!J165</f>
        <v>8648.9096040921686</v>
      </c>
      <c r="AN57" s="245">
        <f>+'Historical College Expenses'!B165</f>
        <v>3053280</v>
      </c>
      <c r="AP57" s="245">
        <v>2014</v>
      </c>
      <c r="AQ57" s="245">
        <f>+'Historical College Expenses'!J127</f>
        <v>43720</v>
      </c>
      <c r="AR57" s="245">
        <f>+'Historical College Expenses'!B127</f>
        <v>4935946</v>
      </c>
      <c r="AZ57" s="1"/>
      <c r="BA57" s="1"/>
    </row>
    <row r="58" spans="1:53" x14ac:dyDescent="0.25">
      <c r="A58" s="68"/>
      <c r="B58" s="94"/>
      <c r="C58" s="94"/>
      <c r="D58" s="94"/>
      <c r="E58" s="94"/>
      <c r="F58" s="94"/>
      <c r="G58" s="94"/>
      <c r="H58" s="94"/>
      <c r="I58" s="94"/>
      <c r="J58" s="94"/>
      <c r="K58" s="94"/>
      <c r="M58" s="4"/>
      <c r="N58" s="4"/>
      <c r="O58" s="4"/>
      <c r="P58" s="4"/>
      <c r="Q58" s="4"/>
      <c r="R58" s="4"/>
      <c r="S58" s="4"/>
      <c r="T58" s="4"/>
      <c r="U58" s="4"/>
      <c r="V58" s="4"/>
      <c r="AL58">
        <v>2015</v>
      </c>
      <c r="AM58" s="245">
        <f>+'Historical College Expenses'!J166</f>
        <v>7794.1425443874368</v>
      </c>
      <c r="AN58" s="245">
        <f>+'Historical College Expenses'!B166</f>
        <v>3177729</v>
      </c>
      <c r="AP58" s="245">
        <v>2015</v>
      </c>
      <c r="AQ58" s="245">
        <f>+'Historical College Expenses'!J128</f>
        <v>43389.999999999724</v>
      </c>
      <c r="AR58" s="245">
        <f>+'Historical College Expenses'!B128</f>
        <v>5317172</v>
      </c>
      <c r="AZ58" s="1"/>
      <c r="BA58" s="1"/>
    </row>
    <row r="59" spans="1:53" x14ac:dyDescent="0.25">
      <c r="A59" s="68"/>
      <c r="B59" s="94"/>
      <c r="C59" s="94"/>
      <c r="D59" s="94"/>
      <c r="E59" s="94"/>
      <c r="F59" s="94"/>
      <c r="G59" s="94"/>
      <c r="H59" s="94"/>
      <c r="I59" s="94"/>
      <c r="J59" s="94"/>
      <c r="K59" s="94"/>
      <c r="M59" s="4"/>
      <c r="N59" s="4"/>
      <c r="O59" s="4"/>
      <c r="P59" s="4"/>
      <c r="Q59" s="4"/>
      <c r="R59" s="4"/>
      <c r="S59" s="4"/>
      <c r="T59" s="4"/>
      <c r="U59" s="4"/>
      <c r="V59" s="4"/>
      <c r="AL59">
        <v>2016</v>
      </c>
      <c r="AM59" s="245">
        <f>+'Historical College Expenses'!J167</f>
        <v>7458.0757684140362</v>
      </c>
      <c r="AN59" s="245">
        <f>+'Historical College Expenses'!B167</f>
        <v>3059427</v>
      </c>
      <c r="AP59" s="245">
        <v>2016</v>
      </c>
      <c r="AQ59" s="245">
        <f>+'Historical College Expenses'!J129</f>
        <v>39482.000000000022</v>
      </c>
      <c r="AR59" s="245">
        <f>+'Historical College Expenses'!B129</f>
        <v>5210087</v>
      </c>
      <c r="AZ59" s="1"/>
      <c r="BA59" s="1"/>
    </row>
    <row r="60" spans="1:53" x14ac:dyDescent="0.25">
      <c r="A60" s="68"/>
      <c r="B60" s="94"/>
      <c r="C60" s="94"/>
      <c r="D60" s="94"/>
      <c r="E60" s="94"/>
      <c r="F60" s="94"/>
      <c r="G60" s="94"/>
      <c r="H60" s="94"/>
      <c r="I60" s="94"/>
      <c r="J60" s="94"/>
      <c r="K60" s="94"/>
      <c r="M60" s="4"/>
      <c r="N60" s="4"/>
      <c r="O60" s="4"/>
      <c r="P60" s="4"/>
      <c r="Q60" s="4"/>
      <c r="R60" s="4"/>
      <c r="S60" s="4"/>
      <c r="T60" s="4"/>
      <c r="U60" s="4"/>
      <c r="V60" s="4"/>
      <c r="AL60">
        <v>2017</v>
      </c>
      <c r="AM60" s="245">
        <f>+'Historical College Expenses'!J168</f>
        <v>7209.9232995767252</v>
      </c>
      <c r="AN60" s="245">
        <f>+'Historical College Expenses'!B168</f>
        <v>2773779</v>
      </c>
      <c r="AP60" s="245">
        <v>2017</v>
      </c>
      <c r="AQ60" s="245">
        <f>+'Historical College Expenses'!J130</f>
        <v>37481.999999999847</v>
      </c>
      <c r="AR60" s="245">
        <f>+'Historical College Expenses'!B130</f>
        <v>4850288</v>
      </c>
      <c r="AZ60" s="1"/>
      <c r="BA60" s="1"/>
    </row>
    <row r="61" spans="1:53" x14ac:dyDescent="0.25">
      <c r="A61" s="68"/>
      <c r="B61" s="94"/>
      <c r="C61" s="94"/>
      <c r="D61" s="94"/>
      <c r="E61" s="94"/>
      <c r="F61" s="94"/>
      <c r="G61" s="94"/>
      <c r="H61" s="94"/>
      <c r="I61" s="94"/>
      <c r="J61" s="94"/>
      <c r="K61" s="94"/>
      <c r="M61" s="4"/>
      <c r="N61" s="4"/>
      <c r="O61" s="4"/>
      <c r="P61" s="4"/>
      <c r="Q61" s="4"/>
      <c r="R61" s="4"/>
      <c r="S61" s="4"/>
      <c r="T61" s="4"/>
      <c r="U61" s="4"/>
      <c r="V61" s="4"/>
      <c r="AL61">
        <v>2018</v>
      </c>
      <c r="AM61" s="245">
        <f>+'Historical College Expenses'!J169</f>
        <v>6753.7129498323684</v>
      </c>
      <c r="AN61" s="245">
        <f>+'Historical College Expenses'!B169</f>
        <v>2847210</v>
      </c>
      <c r="AP61" s="245">
        <v>2018</v>
      </c>
      <c r="AQ61" s="245">
        <f>+'Historical College Expenses'!J131</f>
        <v>35163.999999999745</v>
      </c>
      <c r="AR61" s="245">
        <f>+'Historical College Expenses'!B131</f>
        <v>4708939</v>
      </c>
      <c r="AZ61" s="1"/>
      <c r="BA61" s="1"/>
    </row>
    <row r="62" spans="1:53" x14ac:dyDescent="0.25">
      <c r="A62" s="68"/>
      <c r="B62" s="94"/>
      <c r="C62" s="94"/>
      <c r="D62" s="94"/>
      <c r="E62" s="94"/>
      <c r="F62" s="94"/>
      <c r="G62" s="94"/>
      <c r="H62" s="94"/>
      <c r="I62" s="94"/>
      <c r="J62" s="94"/>
      <c r="K62" s="94"/>
      <c r="M62" s="4"/>
      <c r="N62" s="4"/>
      <c r="O62" s="4"/>
      <c r="P62" s="4"/>
      <c r="Q62" s="4"/>
      <c r="R62" s="4"/>
      <c r="S62" s="4"/>
      <c r="T62" s="4"/>
      <c r="U62" s="4"/>
      <c r="V62" s="4"/>
      <c r="AL62">
        <v>2019</v>
      </c>
      <c r="AM62" s="245">
        <f>+'Historical College Expenses'!J170</f>
        <v>7943.4787368852994</v>
      </c>
      <c r="AN62" s="245">
        <f>+'Historical College Expenses'!B170</f>
        <v>3182092</v>
      </c>
      <c r="AP62" s="245">
        <v>2019</v>
      </c>
      <c r="AQ62" s="245">
        <f>+'Historical College Expenses'!J132</f>
        <v>32894.000000000175</v>
      </c>
      <c r="AR62" s="245">
        <f>+'Historical College Expenses'!B132</f>
        <v>4818582</v>
      </c>
      <c r="AZ62" s="1"/>
      <c r="BA62" s="1"/>
    </row>
    <row r="63" spans="1:53" x14ac:dyDescent="0.25">
      <c r="A63" s="68"/>
      <c r="B63" s="94"/>
      <c r="C63" s="94"/>
      <c r="D63" s="94"/>
      <c r="E63" s="94"/>
      <c r="F63" s="94"/>
      <c r="G63" s="94"/>
      <c r="H63" s="94"/>
      <c r="I63" s="94"/>
      <c r="J63" s="94"/>
      <c r="K63" s="94"/>
      <c r="M63" s="4"/>
      <c r="N63" s="4"/>
      <c r="O63" s="4"/>
      <c r="P63" s="4"/>
      <c r="Q63" s="4"/>
      <c r="R63" s="4"/>
      <c r="S63" s="4"/>
      <c r="T63" s="4"/>
      <c r="U63" s="4"/>
      <c r="V63" s="4"/>
      <c r="AL63">
        <v>2020</v>
      </c>
      <c r="AM63" s="245">
        <f>+'Historical College Expenses'!J171</f>
        <v>9141.3785525479107</v>
      </c>
      <c r="AN63" s="245">
        <f>+'Historical College Expenses'!B171</f>
        <v>3416420</v>
      </c>
      <c r="AP63" s="245">
        <v>2020</v>
      </c>
      <c r="AQ63" s="245">
        <f>+'Historical College Expenses'!J133</f>
        <v>31213.000000000153</v>
      </c>
      <c r="AR63" s="245">
        <f>+'Historical College Expenses'!B133</f>
        <v>4886124</v>
      </c>
      <c r="AZ63" s="1"/>
      <c r="BA63" s="1"/>
    </row>
    <row r="64" spans="1:53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</sheetData>
  <sortState ref="AY4:BA12">
    <sortCondition ref="BA4:BA12"/>
  </sortState>
  <mergeCells count="14">
    <mergeCell ref="B1:K1"/>
    <mergeCell ref="M1:V1"/>
    <mergeCell ref="AM1:AN1"/>
    <mergeCell ref="AM21:AN21"/>
    <mergeCell ref="AM51:AN51"/>
    <mergeCell ref="Y6:AG6"/>
    <mergeCell ref="Y1:AG1"/>
    <mergeCell ref="AQ21:AR21"/>
    <mergeCell ref="AT21:AU21"/>
    <mergeCell ref="AQ1:AR1"/>
    <mergeCell ref="AT1:AU1"/>
    <mergeCell ref="AM36:AN36"/>
    <mergeCell ref="AQ36:AR36"/>
    <mergeCell ref="AT36:AU36"/>
  </mergeCells>
  <conditionalFormatting sqref="M4:V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5" scale="51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opLeftCell="H8" workbookViewId="0">
      <selection activeCell="H15" sqref="H15"/>
    </sheetView>
  </sheetViews>
  <sheetFormatPr defaultRowHeight="15" x14ac:dyDescent="0.25"/>
  <cols>
    <col min="1" max="1" width="5" bestFit="1" customWidth="1"/>
    <col min="2" max="2" width="13.7109375" style="94" bestFit="1" customWidth="1"/>
    <col min="3" max="3" width="13.42578125" bestFit="1" customWidth="1"/>
    <col min="4" max="4" width="15.28515625" bestFit="1" customWidth="1"/>
    <col min="5" max="5" width="13.42578125" bestFit="1" customWidth="1"/>
    <col min="6" max="6" width="3.7109375" customWidth="1"/>
    <col min="7" max="10" width="12.5703125" bestFit="1" customWidth="1"/>
    <col min="11" max="11" width="2.28515625" customWidth="1"/>
    <col min="12" max="15" width="19" bestFit="1" customWidth="1"/>
    <col min="16" max="16" width="2.28515625" customWidth="1"/>
    <col min="17" max="19" width="13.42578125" bestFit="1" customWidth="1"/>
    <col min="20" max="20" width="12.28515625" bestFit="1" customWidth="1"/>
    <col min="21" max="21" width="2.5703125" customWidth="1"/>
  </cols>
  <sheetData>
    <row r="1" spans="1:20" x14ac:dyDescent="0.25">
      <c r="B1" s="112"/>
      <c r="C1" s="6"/>
      <c r="D1" s="6"/>
    </row>
    <row r="2" spans="1:20" x14ac:dyDescent="0.25">
      <c r="B2" s="112" t="s">
        <v>52</v>
      </c>
      <c r="C2" s="6"/>
      <c r="D2" s="6" t="s">
        <v>33</v>
      </c>
    </row>
    <row r="3" spans="1:20" x14ac:dyDescent="0.25">
      <c r="B3" s="114" t="s">
        <v>53</v>
      </c>
      <c r="C3" s="8" t="s">
        <v>327</v>
      </c>
      <c r="D3" s="8" t="s">
        <v>64</v>
      </c>
    </row>
    <row r="5" spans="1:20" x14ac:dyDescent="0.25">
      <c r="B5" s="94">
        <f>+'BAM - 2020'!J31</f>
        <v>46632076.660258316</v>
      </c>
      <c r="C5" s="1">
        <f>+'AY Credit Hour Allocation'!BO5</f>
        <v>103543.56976730116</v>
      </c>
      <c r="D5" s="94">
        <f>+'BAM - 2020'!V31</f>
        <v>30713831</v>
      </c>
    </row>
    <row r="6" spans="1:20" x14ac:dyDescent="0.25">
      <c r="C6" s="94"/>
      <c r="D6" s="1"/>
      <c r="E6" s="94"/>
    </row>
    <row r="7" spans="1:20" x14ac:dyDescent="0.25">
      <c r="C7" s="94"/>
      <c r="D7" s="1"/>
      <c r="E7" s="94"/>
    </row>
    <row r="8" spans="1:20" x14ac:dyDescent="0.25">
      <c r="B8" s="475" t="s">
        <v>3004</v>
      </c>
      <c r="C8" s="475"/>
      <c r="D8" s="475"/>
      <c r="E8" s="475"/>
      <c r="G8" s="476" t="s">
        <v>3005</v>
      </c>
      <c r="H8" s="476"/>
      <c r="I8" s="476"/>
      <c r="J8" s="476"/>
      <c r="L8" s="477" t="s">
        <v>3006</v>
      </c>
      <c r="M8" s="476"/>
      <c r="N8" s="476"/>
      <c r="O8" s="476"/>
      <c r="Q8" s="476" t="s">
        <v>3007</v>
      </c>
      <c r="R8" s="476"/>
      <c r="S8" s="476"/>
      <c r="T8" s="476"/>
    </row>
    <row r="9" spans="1:20" x14ac:dyDescent="0.25">
      <c r="B9" s="113" t="s">
        <v>3008</v>
      </c>
      <c r="C9" s="42" t="s">
        <v>3009</v>
      </c>
      <c r="D9" s="42" t="s">
        <v>3010</v>
      </c>
      <c r="E9" s="42" t="s">
        <v>3011</v>
      </c>
      <c r="F9" s="48"/>
      <c r="G9" s="113" t="s">
        <v>3008</v>
      </c>
      <c r="H9" s="42" t="s">
        <v>3009</v>
      </c>
      <c r="I9" s="42" t="s">
        <v>3010</v>
      </c>
      <c r="J9" s="42" t="s">
        <v>3011</v>
      </c>
      <c r="K9" s="48"/>
      <c r="L9" s="113" t="s">
        <v>3008</v>
      </c>
      <c r="M9" s="42" t="s">
        <v>3009</v>
      </c>
      <c r="N9" s="42" t="s">
        <v>3010</v>
      </c>
      <c r="O9" s="42" t="s">
        <v>3011</v>
      </c>
      <c r="P9" s="48"/>
      <c r="Q9" s="113" t="s">
        <v>3008</v>
      </c>
      <c r="R9" s="42" t="s">
        <v>3009</v>
      </c>
      <c r="S9" s="42" t="s">
        <v>3010</v>
      </c>
      <c r="T9" s="42" t="s">
        <v>3011</v>
      </c>
    </row>
    <row r="11" spans="1:20" x14ac:dyDescent="0.25">
      <c r="A11">
        <v>2010</v>
      </c>
      <c r="B11" s="94">
        <f>+'Charts Inflation Adj Exp SCH'!E2</f>
        <v>209.22784498634402</v>
      </c>
      <c r="G11" s="94">
        <f t="shared" ref="G11:G21" si="0">+B11*$C$5</f>
        <v>21664197.964605585</v>
      </c>
      <c r="H11" s="94"/>
      <c r="I11" s="94"/>
      <c r="J11" s="94"/>
      <c r="L11" s="51">
        <f>+G11/$B$5</f>
        <v>0.46457716482244216</v>
      </c>
      <c r="M11" s="51"/>
      <c r="N11" s="51"/>
      <c r="O11" s="51"/>
      <c r="Q11" s="94">
        <f t="shared" ref="Q11:Q21" si="1">+G11-$D$5</f>
        <v>-9049633.0353944153</v>
      </c>
      <c r="R11" s="94"/>
      <c r="S11" s="94"/>
      <c r="T11" s="94"/>
    </row>
    <row r="12" spans="1:20" x14ac:dyDescent="0.25">
      <c r="A12">
        <v>2011</v>
      </c>
      <c r="B12" s="94">
        <f>+'Charts Inflation Adj Exp SCH'!E3</f>
        <v>184.39688859353797</v>
      </c>
      <c r="G12" s="94">
        <f t="shared" si="0"/>
        <v>19093112.098958258</v>
      </c>
      <c r="H12" s="94"/>
      <c r="I12" s="94"/>
      <c r="J12" s="94"/>
      <c r="L12" s="51">
        <f t="shared" ref="L12:O21" si="2">+G12/$B$5</f>
        <v>0.40944160042587502</v>
      </c>
      <c r="M12" s="51"/>
      <c r="N12" s="51"/>
      <c r="O12" s="51"/>
      <c r="Q12" s="94">
        <f t="shared" si="1"/>
        <v>-11620718.901041742</v>
      </c>
      <c r="R12" s="94"/>
      <c r="S12" s="94"/>
      <c r="T12" s="94"/>
    </row>
    <row r="13" spans="1:20" x14ac:dyDescent="0.25">
      <c r="A13">
        <v>2012</v>
      </c>
      <c r="B13" s="94">
        <f>+'Charts Inflation Adj Exp SCH'!E4</f>
        <v>194.96675601071345</v>
      </c>
      <c r="C13" s="110">
        <f>AVERAGE(B11:B13)</f>
        <v>196.19716319686515</v>
      </c>
      <c r="G13" s="94">
        <f t="shared" si="0"/>
        <v>20187553.903299693</v>
      </c>
      <c r="H13" s="94">
        <f t="shared" ref="H13:H21" si="3">+C13*$C$5</f>
        <v>20314954.655621178</v>
      </c>
      <c r="I13" s="94"/>
      <c r="J13" s="94"/>
      <c r="L13" s="51">
        <f t="shared" si="2"/>
        <v>0.43291132089994006</v>
      </c>
      <c r="M13" s="51">
        <f t="shared" si="2"/>
        <v>0.43564336204941906</v>
      </c>
      <c r="N13" s="51"/>
      <c r="O13" s="51"/>
      <c r="Q13" s="94">
        <f t="shared" si="1"/>
        <v>-10526277.096700307</v>
      </c>
      <c r="R13" s="94">
        <f t="shared" ref="R13:R21" si="4">+H13-$D$5</f>
        <v>-10398876.344378822</v>
      </c>
      <c r="S13" s="94"/>
      <c r="T13" s="94"/>
    </row>
    <row r="14" spans="1:20" x14ac:dyDescent="0.25">
      <c r="A14">
        <v>2013</v>
      </c>
      <c r="B14" s="94">
        <f>+'Charts Inflation Adj Exp SCH'!E5</f>
        <v>215.09799088154477</v>
      </c>
      <c r="C14" s="110">
        <f t="shared" ref="C14:C21" si="5">AVERAGE(B12:B14)</f>
        <v>198.15387849526542</v>
      </c>
      <c r="G14" s="94">
        <f t="shared" si="0"/>
        <v>22272013.825649541</v>
      </c>
      <c r="H14" s="94">
        <f t="shared" si="3"/>
        <v>20517559.94263583</v>
      </c>
      <c r="I14" s="94"/>
      <c r="J14" s="94"/>
      <c r="L14" s="51">
        <f t="shared" si="2"/>
        <v>0.47761145161760776</v>
      </c>
      <c r="M14" s="51">
        <f t="shared" si="2"/>
        <v>0.43998812431447426</v>
      </c>
      <c r="N14" s="51"/>
      <c r="O14" s="51"/>
      <c r="Q14" s="94">
        <f t="shared" si="1"/>
        <v>-8441817.1743504591</v>
      </c>
      <c r="R14" s="94">
        <f t="shared" si="4"/>
        <v>-10196271.05736417</v>
      </c>
      <c r="S14" s="94"/>
      <c r="T14" s="94"/>
    </row>
    <row r="15" spans="1:20" x14ac:dyDescent="0.25">
      <c r="A15">
        <v>2014</v>
      </c>
      <c r="B15" s="94">
        <f>+'Charts Inflation Adj Exp SCH'!E6</f>
        <v>222.69601813151769</v>
      </c>
      <c r="C15" s="110">
        <f t="shared" si="5"/>
        <v>210.92025500792531</v>
      </c>
      <c r="D15" s="110">
        <f>AVERAGE(B11:B15)</f>
        <v>205.27709972073157</v>
      </c>
      <c r="G15" s="94">
        <f t="shared" si="0"/>
        <v>23058740.690300968</v>
      </c>
      <c r="H15" s="94">
        <f t="shared" si="3"/>
        <v>21839436.139750067</v>
      </c>
      <c r="I15" s="94">
        <f t="shared" ref="I15:I21" si="6">+D15*$C$5</f>
        <v>21255123.696562808</v>
      </c>
      <c r="J15" s="94"/>
      <c r="L15" s="51">
        <f t="shared" si="2"/>
        <v>0.49448238941399175</v>
      </c>
      <c r="M15" s="51">
        <f t="shared" si="2"/>
        <v>0.46833505397717984</v>
      </c>
      <c r="N15" s="51">
        <f t="shared" si="2"/>
        <v>0.4558047854359713</v>
      </c>
      <c r="O15" s="51"/>
      <c r="Q15" s="94">
        <f t="shared" si="1"/>
        <v>-7655090.3096990325</v>
      </c>
      <c r="R15" s="94">
        <f t="shared" si="4"/>
        <v>-8874394.8602499329</v>
      </c>
      <c r="S15" s="94">
        <f t="shared" ref="S15:S21" si="7">+I15-$D$5</f>
        <v>-9458707.303437192</v>
      </c>
      <c r="T15" s="94"/>
    </row>
    <row r="16" spans="1:20" x14ac:dyDescent="0.25">
      <c r="A16">
        <v>2015</v>
      </c>
      <c r="B16" s="94">
        <f>+'Charts Inflation Adj Exp SCH'!E7</f>
        <v>226.26248231062249</v>
      </c>
      <c r="C16" s="110">
        <f t="shared" si="5"/>
        <v>221.35216377456163</v>
      </c>
      <c r="D16" s="110">
        <f t="shared" ref="D16:D21" si="8">AVERAGE(B12:B16)</f>
        <v>208.68402718558727</v>
      </c>
      <c r="G16" s="94">
        <f t="shared" si="0"/>
        <v>23428025.122852683</v>
      </c>
      <c r="H16" s="94">
        <f t="shared" si="3"/>
        <v>22919593.212934393</v>
      </c>
      <c r="I16" s="94">
        <f t="shared" si="6"/>
        <v>21607889.128212228</v>
      </c>
      <c r="J16" s="94"/>
      <c r="L16" s="51">
        <f t="shared" si="2"/>
        <v>0.50240149701115422</v>
      </c>
      <c r="M16" s="51">
        <f t="shared" si="2"/>
        <v>0.49149844601425119</v>
      </c>
      <c r="N16" s="51">
        <f t="shared" si="2"/>
        <v>0.46336965187371376</v>
      </c>
      <c r="O16" s="51"/>
      <c r="Q16" s="94">
        <f t="shared" si="1"/>
        <v>-7285805.8771473169</v>
      </c>
      <c r="R16" s="94">
        <f t="shared" si="4"/>
        <v>-7794237.7870656066</v>
      </c>
      <c r="S16" s="94">
        <f t="shared" si="7"/>
        <v>-9105941.8717877716</v>
      </c>
      <c r="T16" s="94"/>
    </row>
    <row r="17" spans="1:20" x14ac:dyDescent="0.25">
      <c r="A17">
        <v>2016</v>
      </c>
      <c r="B17" s="94">
        <f>+'Charts Inflation Adj Exp SCH'!E8</f>
        <v>241.22152157766541</v>
      </c>
      <c r="C17" s="110">
        <f t="shared" si="5"/>
        <v>230.0600073399352</v>
      </c>
      <c r="D17" s="110">
        <f t="shared" si="8"/>
        <v>220.04895378241275</v>
      </c>
      <c r="G17" s="94">
        <f t="shared" si="0"/>
        <v>24976937.448851541</v>
      </c>
      <c r="H17" s="94">
        <f t="shared" si="3"/>
        <v>23821234.420668397</v>
      </c>
      <c r="I17" s="94">
        <f t="shared" si="6"/>
        <v>22784654.198190883</v>
      </c>
      <c r="J17" s="94"/>
      <c r="L17" s="51">
        <f t="shared" si="2"/>
        <v>0.53561709530594137</v>
      </c>
      <c r="M17" s="51">
        <f t="shared" si="2"/>
        <v>0.51083366057702906</v>
      </c>
      <c r="N17" s="51">
        <f t="shared" si="2"/>
        <v>0.48860475084972699</v>
      </c>
      <c r="O17" s="51"/>
      <c r="Q17" s="94">
        <f t="shared" si="1"/>
        <v>-5736893.5511484593</v>
      </c>
      <c r="R17" s="94">
        <f t="shared" si="4"/>
        <v>-6892596.5793316029</v>
      </c>
      <c r="S17" s="94">
        <f t="shared" si="7"/>
        <v>-7929176.8018091172</v>
      </c>
      <c r="T17" s="94"/>
    </row>
    <row r="18" spans="1:20" x14ac:dyDescent="0.25">
      <c r="A18">
        <v>2017</v>
      </c>
      <c r="B18" s="94">
        <f>+'Charts Inflation Adj Exp SCH'!E9</f>
        <v>255.34355969711712</v>
      </c>
      <c r="C18" s="110">
        <f t="shared" si="5"/>
        <v>240.94252119513501</v>
      </c>
      <c r="D18" s="110">
        <f t="shared" si="8"/>
        <v>232.12431451969346</v>
      </c>
      <c r="G18" s="94">
        <f t="shared" si="0"/>
        <v>26439183.688129473</v>
      </c>
      <c r="H18" s="94">
        <f t="shared" si="3"/>
        <v>24948048.753277902</v>
      </c>
      <c r="I18" s="94">
        <f t="shared" si="6"/>
        <v>24034980.155156836</v>
      </c>
      <c r="J18" s="94"/>
      <c r="L18" s="51">
        <f t="shared" si="2"/>
        <v>0.56697418561807222</v>
      </c>
      <c r="M18" s="51">
        <f t="shared" si="2"/>
        <v>0.53499759264505597</v>
      </c>
      <c r="N18" s="51">
        <f t="shared" si="2"/>
        <v>0.51541732379335337</v>
      </c>
      <c r="O18" s="51"/>
      <c r="Q18" s="94">
        <f t="shared" si="1"/>
        <v>-4274647.3118705265</v>
      </c>
      <c r="R18" s="94">
        <f t="shared" si="4"/>
        <v>-5765782.2467220984</v>
      </c>
      <c r="S18" s="94">
        <f t="shared" si="7"/>
        <v>-6678850.8448431641</v>
      </c>
      <c r="T18" s="94"/>
    </row>
    <row r="19" spans="1:20" x14ac:dyDescent="0.25">
      <c r="A19">
        <v>2018</v>
      </c>
      <c r="B19" s="94">
        <f>+'Charts Inflation Adj Exp SCH'!E10</f>
        <v>246.62356077871186</v>
      </c>
      <c r="C19" s="110">
        <f t="shared" si="5"/>
        <v>247.7295473511648</v>
      </c>
      <c r="D19" s="110">
        <f t="shared" si="8"/>
        <v>238.42942849912691</v>
      </c>
      <c r="G19" s="94">
        <f t="shared" si="0"/>
        <v>25536283.871750791</v>
      </c>
      <c r="H19" s="94">
        <f t="shared" si="3"/>
        <v>25650801.669577267</v>
      </c>
      <c r="I19" s="94">
        <f t="shared" si="6"/>
        <v>24687834.16437709</v>
      </c>
      <c r="J19" s="94"/>
      <c r="L19" s="51">
        <f t="shared" si="2"/>
        <v>0.54761198086453255</v>
      </c>
      <c r="M19" s="51">
        <f t="shared" si="2"/>
        <v>0.55006775392951535</v>
      </c>
      <c r="N19" s="51">
        <f t="shared" si="2"/>
        <v>0.52941742964273841</v>
      </c>
      <c r="O19" s="51"/>
      <c r="Q19" s="94">
        <f t="shared" si="1"/>
        <v>-5177547.1282492094</v>
      </c>
      <c r="R19" s="94">
        <f t="shared" si="4"/>
        <v>-5063029.330422733</v>
      </c>
      <c r="S19" s="94">
        <f t="shared" si="7"/>
        <v>-6025996.8356229104</v>
      </c>
      <c r="T19" s="94"/>
    </row>
    <row r="20" spans="1:20" x14ac:dyDescent="0.25">
      <c r="A20">
        <v>2019</v>
      </c>
      <c r="B20" s="94">
        <f>+'Charts Inflation Adj Exp SCH'!E11</f>
        <v>259.83300282658587</v>
      </c>
      <c r="C20" s="110">
        <f t="shared" si="5"/>
        <v>253.9333744341383</v>
      </c>
      <c r="D20" s="110">
        <f t="shared" si="8"/>
        <v>245.85682543814056</v>
      </c>
      <c r="E20" s="110">
        <f>AVERAGE(B11:B20)</f>
        <v>225.56696257943608</v>
      </c>
      <c r="G20" s="94">
        <f t="shared" si="0"/>
        <v>26904036.656021953</v>
      </c>
      <c r="H20" s="94">
        <f t="shared" si="3"/>
        <v>26293168.071967408</v>
      </c>
      <c r="I20" s="94">
        <f t="shared" si="6"/>
        <v>25456893.357521288</v>
      </c>
      <c r="J20" s="94">
        <f>+E20*$C$5</f>
        <v>23356008.52704205</v>
      </c>
      <c r="L20" s="51">
        <f t="shared" si="2"/>
        <v>0.5769427094579862</v>
      </c>
      <c r="M20" s="51">
        <f t="shared" si="2"/>
        <v>0.56384295864686373</v>
      </c>
      <c r="N20" s="51">
        <f t="shared" si="2"/>
        <v>0.54590949365153729</v>
      </c>
      <c r="O20" s="51">
        <f t="shared" si="2"/>
        <v>0.50085713954375433</v>
      </c>
      <c r="Q20" s="94">
        <f t="shared" si="1"/>
        <v>-3809794.3439780474</v>
      </c>
      <c r="R20" s="94">
        <f t="shared" si="4"/>
        <v>-4420662.9280325919</v>
      </c>
      <c r="S20" s="94">
        <f t="shared" si="7"/>
        <v>-5256937.6424787119</v>
      </c>
      <c r="T20" s="94">
        <f>+J20-$D$5</f>
        <v>-7357822.4729579501</v>
      </c>
    </row>
    <row r="21" spans="1:20" x14ac:dyDescent="0.25">
      <c r="A21" s="68" t="s">
        <v>12</v>
      </c>
      <c r="B21" s="94">
        <f>+'Charts Inflation Adj Exp SCH'!E12</f>
        <v>283.43926253559522</v>
      </c>
      <c r="C21" s="110">
        <f t="shared" si="5"/>
        <v>263.29860871363098</v>
      </c>
      <c r="D21" s="110">
        <f t="shared" si="8"/>
        <v>257.2921814831351</v>
      </c>
      <c r="E21" s="110">
        <f>AVERAGE(B12:B21)</f>
        <v>232.9881043343612</v>
      </c>
      <c r="G21" s="94">
        <f t="shared" si="0"/>
        <v>29348313.055146795</v>
      </c>
      <c r="H21" s="94">
        <f t="shared" si="3"/>
        <v>27262877.860973179</v>
      </c>
      <c r="I21" s="94">
        <f t="shared" si="6"/>
        <v>26640950.943980109</v>
      </c>
      <c r="J21" s="94">
        <f>+E21*$C$5</f>
        <v>24124420.036096171</v>
      </c>
      <c r="L21" s="51">
        <f t="shared" si="2"/>
        <v>0.62935891251350984</v>
      </c>
      <c r="M21" s="51">
        <f t="shared" si="2"/>
        <v>0.58463786761200953</v>
      </c>
      <c r="N21" s="51">
        <f t="shared" si="2"/>
        <v>0.57130097675200842</v>
      </c>
      <c r="O21" s="51">
        <f t="shared" si="2"/>
        <v>0.51733531431286117</v>
      </c>
      <c r="Q21" s="94">
        <f t="shared" si="1"/>
        <v>-1365517.9448532052</v>
      </c>
      <c r="R21" s="94">
        <f t="shared" si="4"/>
        <v>-3450953.1390268207</v>
      </c>
      <c r="S21" s="94">
        <f t="shared" si="7"/>
        <v>-4072880.0560198911</v>
      </c>
      <c r="T21" s="94">
        <f>+J21-$D$5</f>
        <v>-6589410.9639038295</v>
      </c>
    </row>
  </sheetData>
  <mergeCells count="4">
    <mergeCell ref="B8:E8"/>
    <mergeCell ref="Q8:T8"/>
    <mergeCell ref="G8:J8"/>
    <mergeCell ref="L8:O8"/>
  </mergeCells>
  <conditionalFormatting sqref="L11:O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5" scale="6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selection activeCell="F17" sqref="F17"/>
    </sheetView>
  </sheetViews>
  <sheetFormatPr defaultColWidth="9.140625" defaultRowHeight="15" x14ac:dyDescent="0.25"/>
  <cols>
    <col min="1" max="1" width="29.7109375" bestFit="1" customWidth="1"/>
    <col min="2" max="2" width="13.7109375" bestFit="1" customWidth="1"/>
    <col min="3" max="3" width="14.140625" bestFit="1" customWidth="1"/>
    <col min="4" max="4" width="13.42578125" bestFit="1" customWidth="1"/>
    <col min="5" max="5" width="9.85546875" bestFit="1" customWidth="1"/>
    <col min="6" max="6" width="21.5703125" bestFit="1" customWidth="1"/>
    <col min="7" max="7" width="11.5703125" bestFit="1" customWidth="1"/>
    <col min="8" max="8" width="26.5703125" bestFit="1" customWidth="1"/>
    <col min="9" max="9" width="10.5703125" bestFit="1" customWidth="1"/>
    <col min="10" max="10" width="15.7109375" bestFit="1" customWidth="1"/>
    <col min="11" max="11" width="11.5703125" bestFit="1" customWidth="1"/>
    <col min="12" max="12" width="7.7109375" bestFit="1" customWidth="1"/>
    <col min="13" max="13" width="4.5703125" bestFit="1" customWidth="1"/>
    <col min="14" max="15" width="11.5703125" bestFit="1" customWidth="1"/>
    <col min="16" max="16" width="11.28515625" bestFit="1" customWidth="1"/>
    <col min="18" max="18" width="14" bestFit="1" customWidth="1"/>
  </cols>
  <sheetData>
    <row r="1" spans="1:18" s="13" customFormat="1" x14ac:dyDescent="0.25">
      <c r="E1" s="48" t="s">
        <v>61</v>
      </c>
      <c r="F1" s="48" t="s">
        <v>3012</v>
      </c>
      <c r="N1" s="101" t="s">
        <v>3013</v>
      </c>
      <c r="O1" s="48" t="s">
        <v>3014</v>
      </c>
      <c r="R1" s="48" t="s">
        <v>3015</v>
      </c>
    </row>
    <row r="2" spans="1:18" s="13" customFormat="1" x14ac:dyDescent="0.25">
      <c r="B2" s="102" t="s">
        <v>3016</v>
      </c>
      <c r="C2" s="102" t="s">
        <v>3017</v>
      </c>
      <c r="D2" s="102" t="s">
        <v>3018</v>
      </c>
      <c r="E2" s="55" t="s">
        <v>31</v>
      </c>
      <c r="F2" s="55" t="s">
        <v>3019</v>
      </c>
      <c r="G2" s="102" t="s">
        <v>3020</v>
      </c>
      <c r="H2" s="102" t="s">
        <v>3021</v>
      </c>
      <c r="I2" s="55" t="s">
        <v>73</v>
      </c>
      <c r="J2" s="102" t="s">
        <v>258</v>
      </c>
      <c r="K2" s="102" t="s">
        <v>3022</v>
      </c>
      <c r="L2" s="102" t="s">
        <v>220</v>
      </c>
      <c r="M2" s="103">
        <v>0.33</v>
      </c>
      <c r="N2" s="55" t="s">
        <v>2917</v>
      </c>
      <c r="O2" s="42" t="s">
        <v>9</v>
      </c>
      <c r="P2" s="42" t="s">
        <v>173</v>
      </c>
      <c r="R2" s="42" t="s">
        <v>3023</v>
      </c>
    </row>
    <row r="3" spans="1:18" s="13" customFormat="1" x14ac:dyDescent="0.25">
      <c r="B3" s="104"/>
      <c r="C3" s="104"/>
      <c r="D3" s="104"/>
      <c r="E3" s="101"/>
      <c r="F3" s="101"/>
      <c r="G3" s="104"/>
      <c r="H3" s="104"/>
      <c r="I3" s="101"/>
      <c r="J3" s="104"/>
      <c r="K3" s="104"/>
      <c r="L3" s="104"/>
      <c r="M3" s="103"/>
      <c r="N3" s="101"/>
      <c r="O3" s="48"/>
      <c r="P3" s="48"/>
      <c r="R3" s="48"/>
    </row>
    <row r="4" spans="1:18" x14ac:dyDescent="0.25">
      <c r="A4" t="s">
        <v>75</v>
      </c>
      <c r="B4" s="45">
        <v>3629188</v>
      </c>
      <c r="C4" s="45">
        <f>2541718+18500</f>
        <v>2560218</v>
      </c>
      <c r="D4" s="45">
        <f>36040+2860880</f>
        <v>2896920</v>
      </c>
      <c r="E4" s="45"/>
      <c r="F4" s="45">
        <v>0</v>
      </c>
      <c r="G4" s="45">
        <v>986297</v>
      </c>
      <c r="H4" s="45">
        <f>4526+153+1775+647</f>
        <v>7101</v>
      </c>
      <c r="I4" s="81">
        <v>45850</v>
      </c>
      <c r="J4" s="14">
        <f>H4+G4+E4+F4+D4+I4</f>
        <v>3936168</v>
      </c>
      <c r="K4" s="14">
        <v>3936168</v>
      </c>
      <c r="L4" s="14">
        <f t="shared" ref="L4:L12" si="0">K4-J4</f>
        <v>0</v>
      </c>
      <c r="N4" s="14">
        <v>6551497</v>
      </c>
      <c r="O4" s="14">
        <f>'BAM - 2020'!V28</f>
        <v>3890318</v>
      </c>
      <c r="P4" s="3">
        <f t="shared" ref="P4:P12" si="1">N4-O4</f>
        <v>2661179</v>
      </c>
      <c r="R4" s="3">
        <f>B4-J4</f>
        <v>-306980</v>
      </c>
    </row>
    <row r="5" spans="1:18" x14ac:dyDescent="0.25">
      <c r="A5" t="s">
        <v>77</v>
      </c>
      <c r="B5" s="45">
        <v>10549259</v>
      </c>
      <c r="C5" s="45">
        <f>7612026+35851</f>
        <v>7647877</v>
      </c>
      <c r="D5" s="45">
        <f>92382+7473699</f>
        <v>7566081</v>
      </c>
      <c r="E5" s="45"/>
      <c r="F5" s="45">
        <v>0</v>
      </c>
      <c r="G5" s="45">
        <v>2369199</v>
      </c>
      <c r="H5" s="45">
        <f>444433-133261</f>
        <v>311172</v>
      </c>
      <c r="I5" s="81">
        <v>133261</v>
      </c>
      <c r="J5" s="14">
        <f t="shared" ref="J5:J12" si="2">H5+G5+E5+F5+D5+I5</f>
        <v>10379713</v>
      </c>
      <c r="K5" s="14">
        <v>10379713</v>
      </c>
      <c r="L5" s="14">
        <f t="shared" si="0"/>
        <v>0</v>
      </c>
      <c r="N5" s="14">
        <v>8421920</v>
      </c>
      <c r="O5" s="14">
        <f>'BAM - 2020'!V29</f>
        <v>10246452</v>
      </c>
      <c r="P5" s="3">
        <f t="shared" si="1"/>
        <v>-1824532</v>
      </c>
      <c r="R5" s="3">
        <f t="shared" ref="R5:R12" si="3">B5-J5</f>
        <v>169546</v>
      </c>
    </row>
    <row r="6" spans="1:18" x14ac:dyDescent="0.25">
      <c r="A6" t="s">
        <v>79</v>
      </c>
      <c r="B6" s="45">
        <v>4457382</v>
      </c>
      <c r="C6" s="45">
        <v>3273721</v>
      </c>
      <c r="D6" s="45">
        <f>11565+3227963</f>
        <v>3239528</v>
      </c>
      <c r="E6" s="45">
        <v>0</v>
      </c>
      <c r="F6" s="45">
        <v>0</v>
      </c>
      <c r="G6" s="45">
        <v>944393</v>
      </c>
      <c r="H6" s="45">
        <f>241216-123140</f>
        <v>118076</v>
      </c>
      <c r="I6" s="81">
        <v>123140</v>
      </c>
      <c r="J6" s="14">
        <f t="shared" si="2"/>
        <v>4425137</v>
      </c>
      <c r="K6" s="14">
        <v>4425137</v>
      </c>
      <c r="L6" s="14">
        <f t="shared" si="0"/>
        <v>0</v>
      </c>
      <c r="N6" s="14">
        <v>3629203</v>
      </c>
      <c r="O6" s="14">
        <f>'BAM - 2020'!V30</f>
        <v>4301997</v>
      </c>
      <c r="P6" s="3">
        <f t="shared" si="1"/>
        <v>-672794</v>
      </c>
      <c r="R6" s="3">
        <f t="shared" si="3"/>
        <v>32245</v>
      </c>
    </row>
    <row r="7" spans="1:18" x14ac:dyDescent="0.25">
      <c r="A7" t="s">
        <v>81</v>
      </c>
      <c r="B7" s="45">
        <v>30593239</v>
      </c>
      <c r="C7" s="45">
        <f>21832981+97090</f>
        <v>21930071</v>
      </c>
      <c r="D7" s="45">
        <f>102316+23020960</f>
        <v>23123276</v>
      </c>
      <c r="E7" s="45">
        <v>0</v>
      </c>
      <c r="F7" s="45">
        <v>0</v>
      </c>
      <c r="G7" s="45">
        <v>7368277</v>
      </c>
      <c r="H7" s="45">
        <f>1132466-910188</f>
        <v>222278</v>
      </c>
      <c r="I7" s="81">
        <v>910188</v>
      </c>
      <c r="J7" s="14">
        <f t="shared" si="2"/>
        <v>31624019</v>
      </c>
      <c r="K7" s="14">
        <v>31624019</v>
      </c>
      <c r="L7" s="14">
        <f t="shared" si="0"/>
        <v>0</v>
      </c>
      <c r="N7" s="14">
        <v>32215097</v>
      </c>
      <c r="O7" s="14">
        <f>'BAM - 2020'!V31</f>
        <v>30713831</v>
      </c>
      <c r="P7" s="3">
        <f t="shared" si="1"/>
        <v>1501266</v>
      </c>
      <c r="R7" s="3">
        <f t="shared" si="3"/>
        <v>-1030780</v>
      </c>
    </row>
    <row r="8" spans="1:18" x14ac:dyDescent="0.25">
      <c r="A8" t="s">
        <v>2900</v>
      </c>
      <c r="B8" s="45">
        <v>8632809</v>
      </c>
      <c r="C8" s="45">
        <f>5911181+105624</f>
        <v>6016805</v>
      </c>
      <c r="D8" s="45">
        <f>80857+5981827</f>
        <v>6062684</v>
      </c>
      <c r="E8" s="45">
        <v>0</v>
      </c>
      <c r="F8" s="45">
        <v>0</v>
      </c>
      <c r="G8" s="45">
        <v>2280245</v>
      </c>
      <c r="H8" s="45">
        <f>293978-246532</f>
        <v>47446</v>
      </c>
      <c r="I8" s="81">
        <v>246532</v>
      </c>
      <c r="J8" s="14">
        <f t="shared" si="2"/>
        <v>8636907</v>
      </c>
      <c r="K8" s="14">
        <v>8636906</v>
      </c>
      <c r="L8" s="14">
        <f t="shared" si="0"/>
        <v>-1</v>
      </c>
      <c r="N8" s="14">
        <v>8581030</v>
      </c>
      <c r="O8" s="14">
        <f>'BAM - 2020'!V32</f>
        <v>8390374</v>
      </c>
      <c r="P8" s="3">
        <f t="shared" si="1"/>
        <v>190656</v>
      </c>
      <c r="R8" s="3">
        <f t="shared" si="3"/>
        <v>-4098</v>
      </c>
    </row>
    <row r="9" spans="1:18" x14ac:dyDescent="0.25">
      <c r="A9" t="s">
        <v>85</v>
      </c>
      <c r="B9" s="45">
        <v>556403</v>
      </c>
      <c r="C9" s="45">
        <f>359985+13000</f>
        <v>372985</v>
      </c>
      <c r="D9" s="45">
        <f>8183+363724</f>
        <v>371907</v>
      </c>
      <c r="E9" s="45">
        <v>0</v>
      </c>
      <c r="F9" s="45">
        <v>0</v>
      </c>
      <c r="G9" s="45">
        <v>140428</v>
      </c>
      <c r="H9" s="45">
        <f>63350-10000</f>
        <v>53350</v>
      </c>
      <c r="I9" s="81">
        <v>10000</v>
      </c>
      <c r="J9" s="14">
        <f t="shared" si="2"/>
        <v>575685</v>
      </c>
      <c r="K9" s="14">
        <v>575685</v>
      </c>
      <c r="L9" s="14">
        <f t="shared" si="0"/>
        <v>0</v>
      </c>
      <c r="N9" s="14">
        <v>465138</v>
      </c>
      <c r="O9" s="14">
        <f>'BAM - 2020'!V33</f>
        <v>565685</v>
      </c>
      <c r="P9" s="3">
        <f t="shared" si="1"/>
        <v>-100547</v>
      </c>
      <c r="R9" s="3">
        <f t="shared" si="3"/>
        <v>-19282</v>
      </c>
    </row>
    <row r="10" spans="1:18" x14ac:dyDescent="0.25">
      <c r="A10" t="s">
        <v>87</v>
      </c>
      <c r="B10" s="45">
        <v>5988326</v>
      </c>
      <c r="C10" s="45">
        <f>4527363</f>
        <v>4527363</v>
      </c>
      <c r="D10" s="45">
        <f>14780+4550131</f>
        <v>4564911</v>
      </c>
      <c r="E10" s="45">
        <v>0</v>
      </c>
      <c r="F10" s="45">
        <v>0</v>
      </c>
      <c r="G10" s="45">
        <v>1334924</v>
      </c>
      <c r="H10" s="45">
        <f>126031-51352</f>
        <v>74679</v>
      </c>
      <c r="I10" s="81">
        <v>51352</v>
      </c>
      <c r="J10" s="14">
        <f t="shared" si="2"/>
        <v>6025866</v>
      </c>
      <c r="K10" s="14">
        <v>6025866</v>
      </c>
      <c r="L10" s="14">
        <f t="shared" si="0"/>
        <v>0</v>
      </c>
      <c r="N10" s="14">
        <v>5832603</v>
      </c>
      <c r="O10" s="14">
        <f>'BAM - 2020'!V34</f>
        <v>5974514</v>
      </c>
      <c r="P10" s="3">
        <f t="shared" si="1"/>
        <v>-141911</v>
      </c>
      <c r="R10" s="3">
        <f t="shared" si="3"/>
        <v>-37540</v>
      </c>
    </row>
    <row r="11" spans="1:18" x14ac:dyDescent="0.25">
      <c r="A11" t="s">
        <v>89</v>
      </c>
      <c r="B11" s="45">
        <v>4763856</v>
      </c>
      <c r="C11" s="45">
        <f>3006978+29599</f>
        <v>3036577</v>
      </c>
      <c r="D11" s="45">
        <f>50720+3264817</f>
        <v>3315537</v>
      </c>
      <c r="E11" s="45">
        <v>0</v>
      </c>
      <c r="F11" s="45">
        <v>0</v>
      </c>
      <c r="G11" s="45">
        <v>1026070</v>
      </c>
      <c r="H11" s="45">
        <f>1468855-810734</f>
        <v>658121</v>
      </c>
      <c r="I11" s="81">
        <v>810734</v>
      </c>
      <c r="J11" s="14">
        <f t="shared" si="2"/>
        <v>5810462</v>
      </c>
      <c r="K11" s="14">
        <v>5810463</v>
      </c>
      <c r="L11" s="14">
        <f t="shared" si="0"/>
        <v>1</v>
      </c>
      <c r="N11" s="14">
        <v>5327946</v>
      </c>
      <c r="O11" s="14">
        <f>'BAM - 2020'!V35</f>
        <v>4999729</v>
      </c>
      <c r="P11" s="3">
        <f t="shared" si="1"/>
        <v>328217</v>
      </c>
      <c r="R11" s="3">
        <f t="shared" si="3"/>
        <v>-1046606</v>
      </c>
    </row>
    <row r="12" spans="1:18" x14ac:dyDescent="0.25">
      <c r="A12" t="s">
        <v>91</v>
      </c>
      <c r="B12" s="77">
        <v>5406618</v>
      </c>
      <c r="C12" s="77">
        <f>5070462-1377369</f>
        <v>3693093</v>
      </c>
      <c r="D12" s="77">
        <f>21708+3832883</f>
        <v>3854591</v>
      </c>
      <c r="E12" s="77">
        <v>0</v>
      </c>
      <c r="F12" s="77">
        <v>0</v>
      </c>
      <c r="G12" s="77">
        <v>1547369</v>
      </c>
      <c r="H12" s="77">
        <f>170879-550</f>
        <v>170329</v>
      </c>
      <c r="I12" s="82">
        <v>550</v>
      </c>
      <c r="J12" s="21">
        <f t="shared" si="2"/>
        <v>5572839</v>
      </c>
      <c r="K12" s="21">
        <v>5572840</v>
      </c>
      <c r="L12" s="21">
        <f t="shared" si="0"/>
        <v>1</v>
      </c>
      <c r="N12" s="21">
        <v>5463337</v>
      </c>
      <c r="O12" s="21">
        <f>'BAM - 2020'!V36</f>
        <v>5572290</v>
      </c>
      <c r="P12" s="20">
        <f t="shared" si="1"/>
        <v>-108953</v>
      </c>
      <c r="R12" s="20">
        <f t="shared" si="3"/>
        <v>-166221</v>
      </c>
    </row>
    <row r="13" spans="1:18" x14ac:dyDescent="0.25">
      <c r="B13" s="14">
        <f t="shared" ref="B13:C13" si="4">SUM(B4:B12)</f>
        <v>74577080</v>
      </c>
      <c r="C13" s="14">
        <f t="shared" si="4"/>
        <v>53058710</v>
      </c>
      <c r="D13" s="14">
        <f t="shared" ref="D13:J13" si="5">SUM(D4:D12)</f>
        <v>54995435</v>
      </c>
      <c r="E13" s="14">
        <f t="shared" si="5"/>
        <v>0</v>
      </c>
      <c r="F13" s="14">
        <f t="shared" si="5"/>
        <v>0</v>
      </c>
      <c r="G13" s="14">
        <f t="shared" si="5"/>
        <v>17997202</v>
      </c>
      <c r="H13" s="14">
        <f t="shared" si="5"/>
        <v>1662552</v>
      </c>
      <c r="I13" s="14">
        <f t="shared" si="5"/>
        <v>2331607</v>
      </c>
      <c r="J13" s="14">
        <f t="shared" si="5"/>
        <v>76986796</v>
      </c>
      <c r="K13" s="14">
        <f>SUM(K4:K12)</f>
        <v>76986797</v>
      </c>
      <c r="L13" s="14">
        <f>SUM(L4:L12)</f>
        <v>1</v>
      </c>
      <c r="N13" s="3">
        <f>SUM(N4:N12)</f>
        <v>76487771</v>
      </c>
      <c r="O13" s="3">
        <f>SUM(O4:O12)</f>
        <v>74655190</v>
      </c>
      <c r="P13" s="3">
        <f>SUM(P4:P12)</f>
        <v>1832581</v>
      </c>
      <c r="R13" s="3">
        <f>SUM(R4:R12)</f>
        <v>-2409716</v>
      </c>
    </row>
    <row r="14" spans="1:18" x14ac:dyDescent="0.25">
      <c r="B14" s="14"/>
      <c r="C14" s="14"/>
      <c r="D14" s="14"/>
      <c r="E14" s="83"/>
      <c r="F14" s="14"/>
      <c r="G14" s="83">
        <f>G13/D13</f>
        <v>0.32724901621380031</v>
      </c>
      <c r="H14" s="14"/>
      <c r="I14" s="14"/>
      <c r="J14" s="14"/>
      <c r="K14" s="14"/>
      <c r="L14" s="14"/>
    </row>
    <row r="15" spans="1:18" x14ac:dyDescent="0.25">
      <c r="B15" s="71"/>
      <c r="C15" s="14"/>
      <c r="D15" s="14"/>
      <c r="E15" s="14"/>
      <c r="F15" s="14"/>
      <c r="G15" s="14"/>
      <c r="H15" s="18"/>
      <c r="I15" s="18"/>
      <c r="J15" s="14"/>
      <c r="K15" s="14"/>
      <c r="L15" s="14"/>
    </row>
    <row r="16" spans="1:18" x14ac:dyDescent="0.25">
      <c r="C16" s="14"/>
      <c r="D16" s="14"/>
      <c r="E16" s="14"/>
      <c r="F16" s="14"/>
      <c r="G16" s="22"/>
      <c r="H16" s="18"/>
      <c r="I16" s="18"/>
      <c r="J16" s="18"/>
      <c r="K16" s="18"/>
      <c r="L16" s="18"/>
    </row>
    <row r="17" spans="2:12" x14ac:dyDescent="0.25">
      <c r="B17" s="14"/>
      <c r="C17" s="14"/>
      <c r="D17" s="14"/>
      <c r="E17" s="14"/>
      <c r="F17" s="14"/>
      <c r="G17" s="14"/>
      <c r="H17" s="18"/>
      <c r="I17" s="18"/>
      <c r="J17" s="18"/>
      <c r="K17" s="18"/>
      <c r="L17" s="18"/>
    </row>
    <row r="18" spans="2:12" x14ac:dyDescent="0.25">
      <c r="B18" s="14"/>
      <c r="C18" s="14"/>
      <c r="D18" s="14"/>
      <c r="E18" s="14"/>
      <c r="F18" s="14"/>
      <c r="H18" s="18"/>
      <c r="I18" s="18"/>
      <c r="J18" s="18"/>
      <c r="K18" s="18"/>
      <c r="L18" s="18"/>
    </row>
    <row r="19" spans="2:12" x14ac:dyDescent="0.25">
      <c r="B19" s="14"/>
      <c r="C19" s="14"/>
      <c r="D19" s="14"/>
      <c r="E19" s="14"/>
      <c r="F19" s="14"/>
      <c r="G19" s="14"/>
      <c r="H19" s="18"/>
      <c r="I19" s="18"/>
      <c r="J19" s="18"/>
      <c r="K19" s="18"/>
      <c r="L19" s="18"/>
    </row>
    <row r="20" spans="2:12" x14ac:dyDescent="0.25">
      <c r="B20" s="14"/>
      <c r="C20" s="14"/>
      <c r="D20" s="14"/>
      <c r="E20" s="14"/>
      <c r="F20" s="14"/>
      <c r="G20" s="14"/>
      <c r="H20" s="18"/>
      <c r="I20" s="18"/>
      <c r="J20" s="18"/>
      <c r="K20" s="18"/>
      <c r="L20" s="18"/>
    </row>
    <row r="21" spans="2:12" x14ac:dyDescent="0.25">
      <c r="B21" s="14"/>
      <c r="C21" s="14"/>
      <c r="D21" s="14"/>
      <c r="E21" s="14"/>
      <c r="F21" s="14"/>
      <c r="G21" s="14"/>
      <c r="H21" s="18"/>
      <c r="I21" s="18"/>
      <c r="J21" s="18"/>
      <c r="K21" s="18"/>
      <c r="L21" s="18"/>
    </row>
    <row r="22" spans="2:12" x14ac:dyDescent="0.25">
      <c r="B22" s="14"/>
      <c r="C22" s="14"/>
      <c r="D22" s="14"/>
      <c r="E22" s="14"/>
      <c r="F22" s="14"/>
      <c r="G22" s="14"/>
      <c r="H22" s="18"/>
      <c r="I22" s="18"/>
      <c r="J22" s="18"/>
      <c r="K22" s="18"/>
      <c r="L22" s="18"/>
    </row>
  </sheetData>
  <pageMargins left="0.2" right="0.2" top="0.75" bottom="0.75" header="0.3" footer="0.3"/>
  <pageSetup scale="5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H19" sqref="H19"/>
    </sheetView>
  </sheetViews>
  <sheetFormatPr defaultRowHeight="15" x14ac:dyDescent="0.25"/>
  <cols>
    <col min="1" max="1" width="29.7109375" bestFit="1" customWidth="1"/>
    <col min="2" max="2" width="11.85546875" bestFit="1" customWidth="1"/>
    <col min="3" max="3" width="11.42578125" bestFit="1" customWidth="1"/>
    <col min="4" max="4" width="11.5703125" bestFit="1" customWidth="1"/>
    <col min="5" max="5" width="11.85546875" bestFit="1" customWidth="1"/>
    <col min="6" max="6" width="12.42578125" bestFit="1" customWidth="1"/>
    <col min="7" max="7" width="11.5703125" bestFit="1" customWidth="1"/>
    <col min="8" max="8" width="14.42578125" bestFit="1" customWidth="1"/>
    <col min="9" max="9" width="11.5703125" bestFit="1" customWidth="1"/>
    <col min="10" max="10" width="15" bestFit="1" customWidth="1"/>
    <col min="13" max="13" width="14.28515625" style="1" bestFit="1" customWidth="1"/>
  </cols>
  <sheetData>
    <row r="1" spans="1:13" x14ac:dyDescent="0.25">
      <c r="B1" s="6"/>
      <c r="C1" s="6"/>
      <c r="D1" s="6"/>
      <c r="E1" s="6"/>
      <c r="F1" s="48" t="s">
        <v>3014</v>
      </c>
      <c r="G1" s="6"/>
      <c r="H1" s="48" t="s">
        <v>3014</v>
      </c>
      <c r="I1" s="48" t="s">
        <v>3014</v>
      </c>
    </row>
    <row r="2" spans="1:13" x14ac:dyDescent="0.25">
      <c r="B2" s="48" t="s">
        <v>3024</v>
      </c>
      <c r="C2" s="48" t="s">
        <v>3025</v>
      </c>
      <c r="D2" s="106">
        <v>0.35</v>
      </c>
      <c r="E2" s="48" t="s">
        <v>3026</v>
      </c>
      <c r="F2" s="48" t="s">
        <v>63</v>
      </c>
      <c r="G2" s="48"/>
      <c r="H2" s="48" t="s">
        <v>63</v>
      </c>
      <c r="I2" s="48" t="s">
        <v>31</v>
      </c>
      <c r="J2" s="48" t="s">
        <v>3014</v>
      </c>
    </row>
    <row r="3" spans="1:13" x14ac:dyDescent="0.25">
      <c r="B3" s="42" t="s">
        <v>3027</v>
      </c>
      <c r="C3" s="42" t="s">
        <v>3028</v>
      </c>
      <c r="D3" s="42" t="s">
        <v>3020</v>
      </c>
      <c r="E3" s="42" t="s">
        <v>2989</v>
      </c>
      <c r="F3" s="42" t="s">
        <v>3029</v>
      </c>
      <c r="G3" s="42" t="s">
        <v>73</v>
      </c>
      <c r="H3" s="42" t="s">
        <v>3030</v>
      </c>
      <c r="I3" s="42" t="s">
        <v>53</v>
      </c>
      <c r="J3" s="42" t="s">
        <v>63</v>
      </c>
    </row>
    <row r="4" spans="1:13" x14ac:dyDescent="0.25">
      <c r="B4" s="13"/>
      <c r="C4" s="13"/>
      <c r="D4" s="13"/>
      <c r="E4" s="13"/>
      <c r="F4" s="13"/>
      <c r="G4" s="1"/>
      <c r="I4" s="1"/>
      <c r="M4"/>
    </row>
    <row r="5" spans="1:13" x14ac:dyDescent="0.25">
      <c r="A5" t="s">
        <v>75</v>
      </c>
      <c r="B5" s="14">
        <v>2411498</v>
      </c>
      <c r="C5" s="14">
        <f>B5*0.01</f>
        <v>24114.98</v>
      </c>
      <c r="D5" s="14">
        <f>(C5+B5)*0.35</f>
        <v>852464.54299999995</v>
      </c>
      <c r="E5" s="14">
        <v>25000</v>
      </c>
      <c r="F5" s="14">
        <f>SUM(B5:E5)</f>
        <v>3313077.523</v>
      </c>
      <c r="G5" s="1"/>
      <c r="H5" s="3">
        <f t="shared" ref="H5:H11" si="0">F5-G5</f>
        <v>3313077.523</v>
      </c>
      <c r="I5" s="1">
        <v>126000</v>
      </c>
      <c r="J5" s="3">
        <f>I5+H5</f>
        <v>3439077.523</v>
      </c>
      <c r="M5"/>
    </row>
    <row r="6" spans="1:13" x14ac:dyDescent="0.25">
      <c r="A6" t="s">
        <v>77</v>
      </c>
      <c r="B6" s="14">
        <f>6977028+12290</f>
        <v>6989318</v>
      </c>
      <c r="C6" s="14">
        <f t="shared" ref="C6:C13" si="1">B6*0.01</f>
        <v>69893.180000000008</v>
      </c>
      <c r="D6" s="14">
        <f t="shared" ref="D6:D13" si="2">(C6+B6)*0.35</f>
        <v>2470723.9129999997</v>
      </c>
      <c r="E6" s="14">
        <v>286402</v>
      </c>
      <c r="F6" s="14">
        <f t="shared" ref="F6:F13" si="3">SUM(B6:E6)</f>
        <v>9816337.0929999985</v>
      </c>
      <c r="G6" s="1"/>
      <c r="H6" s="3">
        <f t="shared" si="0"/>
        <v>9816337.0929999985</v>
      </c>
      <c r="I6" s="1">
        <v>189900</v>
      </c>
      <c r="J6" s="3">
        <f t="shared" ref="J6:J13" si="4">I6+H6</f>
        <v>10006237.092999998</v>
      </c>
      <c r="M6"/>
    </row>
    <row r="7" spans="1:13" x14ac:dyDescent="0.25">
      <c r="A7" t="s">
        <v>79</v>
      </c>
      <c r="B7" s="14">
        <f>2846752+3069</f>
        <v>2849821</v>
      </c>
      <c r="C7" s="14">
        <f t="shared" si="1"/>
        <v>28498.21</v>
      </c>
      <c r="D7" s="14">
        <f t="shared" si="2"/>
        <v>1007411.7235</v>
      </c>
      <c r="E7" s="14">
        <v>78622</v>
      </c>
      <c r="F7" s="14">
        <f t="shared" si="3"/>
        <v>3964352.9334999998</v>
      </c>
      <c r="G7" s="1"/>
      <c r="H7" s="3">
        <f t="shared" si="0"/>
        <v>3964352.9334999998</v>
      </c>
      <c r="I7" s="1">
        <v>1500</v>
      </c>
      <c r="J7" s="3">
        <f t="shared" si="4"/>
        <v>3965852.9334999998</v>
      </c>
      <c r="M7"/>
    </row>
    <row r="8" spans="1:13" x14ac:dyDescent="0.25">
      <c r="A8" t="s">
        <v>81</v>
      </c>
      <c r="B8" s="14">
        <v>18334294</v>
      </c>
      <c r="C8" s="14">
        <f t="shared" si="1"/>
        <v>183342.94</v>
      </c>
      <c r="D8" s="14">
        <f t="shared" si="2"/>
        <v>6481172.9290000005</v>
      </c>
      <c r="E8" s="14">
        <v>130508</v>
      </c>
      <c r="F8" s="14">
        <f t="shared" si="3"/>
        <v>25129317.869000003</v>
      </c>
      <c r="G8" s="1"/>
      <c r="H8" s="3">
        <f t="shared" si="0"/>
        <v>25129317.869000003</v>
      </c>
      <c r="I8" s="1">
        <v>586200</v>
      </c>
      <c r="J8" s="3">
        <f t="shared" si="4"/>
        <v>25715517.869000003</v>
      </c>
      <c r="M8"/>
    </row>
    <row r="9" spans="1:13" x14ac:dyDescent="0.25">
      <c r="A9" t="s">
        <v>2900</v>
      </c>
      <c r="B9" s="14">
        <f>5138359+43448</f>
        <v>5181807</v>
      </c>
      <c r="C9" s="14">
        <f t="shared" si="1"/>
        <v>51818.07</v>
      </c>
      <c r="D9" s="14">
        <f t="shared" si="2"/>
        <v>1831768.7745000001</v>
      </c>
      <c r="E9" s="14">
        <v>183945</v>
      </c>
      <c r="F9" s="14">
        <f t="shared" si="3"/>
        <v>7249338.8445000006</v>
      </c>
      <c r="G9" s="1">
        <v>136899</v>
      </c>
      <c r="H9" s="3">
        <f t="shared" si="0"/>
        <v>7112439.8445000006</v>
      </c>
      <c r="I9" s="1">
        <v>104900</v>
      </c>
      <c r="J9" s="3">
        <f t="shared" si="4"/>
        <v>7217339.8445000006</v>
      </c>
      <c r="M9"/>
    </row>
    <row r="10" spans="1:13" x14ac:dyDescent="0.25">
      <c r="A10" t="s">
        <v>85</v>
      </c>
      <c r="B10" s="14">
        <f>393311+10000</f>
        <v>403311</v>
      </c>
      <c r="C10" s="14">
        <f t="shared" si="1"/>
        <v>4033.11</v>
      </c>
      <c r="D10" s="14">
        <f t="shared" si="2"/>
        <v>142570.43849999999</v>
      </c>
      <c r="E10" s="14">
        <v>25334</v>
      </c>
      <c r="F10" s="14">
        <f t="shared" si="3"/>
        <v>575248.54850000003</v>
      </c>
      <c r="G10" s="1"/>
      <c r="H10" s="3">
        <f t="shared" si="0"/>
        <v>575248.54850000003</v>
      </c>
      <c r="I10" s="1">
        <v>2100</v>
      </c>
      <c r="J10" s="3">
        <f t="shared" si="4"/>
        <v>577348.54850000003</v>
      </c>
      <c r="M10"/>
    </row>
    <row r="11" spans="1:13" x14ac:dyDescent="0.25">
      <c r="A11" t="s">
        <v>87</v>
      </c>
      <c r="B11" s="14">
        <v>4030628</v>
      </c>
      <c r="C11" s="14">
        <f t="shared" si="1"/>
        <v>40306.28</v>
      </c>
      <c r="D11" s="14">
        <f t="shared" si="2"/>
        <v>1424826.9979999999</v>
      </c>
      <c r="E11" s="14">
        <v>0</v>
      </c>
      <c r="F11" s="14">
        <f t="shared" si="3"/>
        <v>5495761.2779999999</v>
      </c>
      <c r="G11" s="1"/>
      <c r="H11" s="3">
        <f t="shared" si="0"/>
        <v>5495761.2779999999</v>
      </c>
      <c r="I11" s="1">
        <v>190500</v>
      </c>
      <c r="J11" s="3">
        <f t="shared" si="4"/>
        <v>5686261.2779999999</v>
      </c>
      <c r="M11"/>
    </row>
    <row r="12" spans="1:13" x14ac:dyDescent="0.25">
      <c r="A12" t="s">
        <v>89</v>
      </c>
      <c r="B12" s="14">
        <f>3209229+29599</f>
        <v>3238828</v>
      </c>
      <c r="C12" s="14">
        <f t="shared" si="1"/>
        <v>32388.280000000002</v>
      </c>
      <c r="D12" s="14">
        <f t="shared" si="2"/>
        <v>1144925.6979999999</v>
      </c>
      <c r="E12" s="14">
        <v>1371461</v>
      </c>
      <c r="F12" s="14">
        <f t="shared" si="3"/>
        <v>5787602.9780000001</v>
      </c>
      <c r="G12" s="1">
        <v>990000</v>
      </c>
      <c r="H12" s="3">
        <f>F12-G12</f>
        <v>4797602.9780000001</v>
      </c>
      <c r="I12" s="1">
        <v>28900</v>
      </c>
      <c r="J12" s="3">
        <f t="shared" si="4"/>
        <v>4826502.9780000001</v>
      </c>
      <c r="M12"/>
    </row>
    <row r="13" spans="1:13" x14ac:dyDescent="0.25">
      <c r="A13" t="s">
        <v>91</v>
      </c>
      <c r="B13" s="21">
        <f>3768655+10000</f>
        <v>3778655</v>
      </c>
      <c r="C13" s="21">
        <f t="shared" si="1"/>
        <v>37786.550000000003</v>
      </c>
      <c r="D13" s="21">
        <f t="shared" si="2"/>
        <v>1335754.5424999997</v>
      </c>
      <c r="E13" s="21">
        <v>60000</v>
      </c>
      <c r="F13" s="21">
        <f t="shared" si="3"/>
        <v>5212196.0924999993</v>
      </c>
      <c r="G13" s="1"/>
      <c r="H13" s="20">
        <f>F13-G13</f>
        <v>5212196.0924999993</v>
      </c>
      <c r="I13" s="2">
        <v>125100</v>
      </c>
      <c r="J13" s="2">
        <f t="shared" si="4"/>
        <v>5337296.0924999993</v>
      </c>
      <c r="M13"/>
    </row>
    <row r="14" spans="1:13" x14ac:dyDescent="0.25">
      <c r="B14" s="14">
        <f t="shared" ref="B14:E14" si="5">SUM(B5:B13)</f>
        <v>47218160</v>
      </c>
      <c r="C14" s="14">
        <f t="shared" si="5"/>
        <v>472181.60000000003</v>
      </c>
      <c r="D14" s="14">
        <f t="shared" si="5"/>
        <v>16691619.559999999</v>
      </c>
      <c r="E14" s="14">
        <f t="shared" si="5"/>
        <v>2161272</v>
      </c>
      <c r="F14" s="14">
        <f>SUM(F5:F13)</f>
        <v>66543233.160000004</v>
      </c>
      <c r="G14" s="1"/>
      <c r="H14" s="3">
        <f>SUM(H5:H13)</f>
        <v>65416334.160000004</v>
      </c>
      <c r="I14" s="1">
        <f>SUM(I5:I13)</f>
        <v>1355100</v>
      </c>
      <c r="J14" s="1">
        <f>SUM(J5:J13)</f>
        <v>66771434.160000004</v>
      </c>
      <c r="M14"/>
    </row>
    <row r="15" spans="1:13" x14ac:dyDescent="0.25">
      <c r="B15" s="14"/>
      <c r="C15" s="14"/>
      <c r="D15" s="14"/>
      <c r="E15" s="14"/>
      <c r="F15" s="14"/>
      <c r="G15" s="1"/>
      <c r="H15" s="3"/>
      <c r="I15" s="1"/>
      <c r="J15" s="1"/>
      <c r="M15"/>
    </row>
    <row r="16" spans="1:13" x14ac:dyDescent="0.25">
      <c r="G16" s="1"/>
      <c r="H16" s="3"/>
      <c r="J16" s="2">
        <v>76986797</v>
      </c>
      <c r="K16" t="s">
        <v>3031</v>
      </c>
      <c r="M16"/>
    </row>
    <row r="17" spans="7:11" x14ac:dyDescent="0.25">
      <c r="G17" s="1"/>
      <c r="H17" s="3"/>
      <c r="J17" s="1">
        <f>J14-J16</f>
        <v>-10215362.839999996</v>
      </c>
      <c r="K17" t="s">
        <v>173</v>
      </c>
    </row>
    <row r="18" spans="7:11" x14ac:dyDescent="0.25">
      <c r="G18" s="1"/>
      <c r="J18" s="5">
        <v>2409716</v>
      </c>
      <c r="K18" t="s">
        <v>3032</v>
      </c>
    </row>
    <row r="19" spans="7:11" x14ac:dyDescent="0.25">
      <c r="G19" s="1"/>
      <c r="J19" s="5">
        <v>500000</v>
      </c>
      <c r="K19" t="s">
        <v>3033</v>
      </c>
    </row>
    <row r="20" spans="7:11" x14ac:dyDescent="0.25">
      <c r="G20" s="1"/>
      <c r="J20" s="2">
        <v>1126899</v>
      </c>
      <c r="K20" t="s">
        <v>73</v>
      </c>
    </row>
    <row r="21" spans="7:11" x14ac:dyDescent="0.25">
      <c r="G21" s="1"/>
      <c r="J21" s="1">
        <f>SUM(J17:J20)</f>
        <v>-6178747.8399999961</v>
      </c>
      <c r="K21" t="s">
        <v>3034</v>
      </c>
    </row>
    <row r="22" spans="7:11" x14ac:dyDescent="0.25">
      <c r="G22" s="1"/>
      <c r="J22" s="1"/>
    </row>
    <row r="23" spans="7:11" x14ac:dyDescent="0.25">
      <c r="G23" s="1"/>
      <c r="J23" s="1">
        <v>3474221</v>
      </c>
      <c r="K23" t="s">
        <v>3035</v>
      </c>
    </row>
    <row r="24" spans="7:11" x14ac:dyDescent="0.25">
      <c r="J24" s="1">
        <v>1542862</v>
      </c>
      <c r="K24" t="s">
        <v>3036</v>
      </c>
    </row>
    <row r="25" spans="7:11" x14ac:dyDescent="0.25">
      <c r="J25" s="2">
        <f>J23*0.35</f>
        <v>1215977.3499999999</v>
      </c>
      <c r="K25" t="s">
        <v>3037</v>
      </c>
    </row>
    <row r="26" spans="7:11" x14ac:dyDescent="0.25">
      <c r="J26" s="3">
        <f>SUM(J23:J25)</f>
        <v>6233060.3499999996</v>
      </c>
      <c r="K26" t="s">
        <v>3038</v>
      </c>
    </row>
    <row r="28" spans="7:11" x14ac:dyDescent="0.25">
      <c r="J28" s="3">
        <f>J21+J26</f>
        <v>54312.510000003502</v>
      </c>
      <c r="K28" t="s">
        <v>173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8"/>
  <sheetViews>
    <sheetView workbookViewId="0">
      <selection activeCell="B17" sqref="B17"/>
    </sheetView>
  </sheetViews>
  <sheetFormatPr defaultRowHeight="15" x14ac:dyDescent="0.25"/>
  <cols>
    <col min="1" max="1" width="38.7109375" customWidth="1"/>
    <col min="2" max="2" width="35.42578125" bestFit="1" customWidth="1"/>
    <col min="3" max="4" width="12.5703125" bestFit="1" customWidth="1"/>
    <col min="5" max="5" width="14.7109375" bestFit="1" customWidth="1"/>
  </cols>
  <sheetData>
    <row r="4" spans="1:5" x14ac:dyDescent="0.25">
      <c r="A4" t="s">
        <v>3039</v>
      </c>
    </row>
    <row r="6" spans="1:5" x14ac:dyDescent="0.25">
      <c r="A6" t="s">
        <v>3042</v>
      </c>
    </row>
    <row r="7" spans="1:5" x14ac:dyDescent="0.25">
      <c r="A7" t="s">
        <v>3040</v>
      </c>
    </row>
    <row r="8" spans="1:5" x14ac:dyDescent="0.25">
      <c r="B8" s="12"/>
      <c r="C8" s="12"/>
      <c r="E8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1"/>
  <sheetViews>
    <sheetView showGridLines="0" topLeftCell="B42" zoomScaleNormal="100" zoomScaleSheetLayoutView="100" workbookViewId="0">
      <selection activeCell="F78" sqref="F78"/>
    </sheetView>
  </sheetViews>
  <sheetFormatPr defaultRowHeight="15" x14ac:dyDescent="0.25"/>
  <cols>
    <col min="1" max="1" width="32.85546875" bestFit="1" customWidth="1"/>
    <col min="2" max="2" width="17" bestFit="1" customWidth="1"/>
    <col min="3" max="4" width="14.28515625" style="4" customWidth="1"/>
    <col min="5" max="5" width="20.28515625" customWidth="1"/>
    <col min="6" max="6" width="13.85546875" bestFit="1" customWidth="1"/>
    <col min="7" max="7" width="15.140625" style="1" bestFit="1" customWidth="1"/>
    <col min="8" max="8" width="10.5703125" bestFit="1" customWidth="1"/>
    <col min="9" max="9" width="14" bestFit="1" customWidth="1"/>
    <col min="10" max="10" width="16.42578125" bestFit="1" customWidth="1"/>
    <col min="11" max="11" width="2.140625" customWidth="1"/>
    <col min="12" max="12" width="17.7109375" bestFit="1" customWidth="1"/>
    <col min="13" max="13" width="17.7109375" customWidth="1"/>
    <col min="14" max="14" width="14.7109375" customWidth="1"/>
    <col min="15" max="15" width="16.140625" bestFit="1" customWidth="1"/>
    <col min="16" max="17" width="16.140625" customWidth="1"/>
    <col min="18" max="18" width="16.140625" bestFit="1" customWidth="1"/>
    <col min="19" max="19" width="10.140625" bestFit="1" customWidth="1"/>
    <col min="20" max="20" width="14.28515625" style="18" bestFit="1" customWidth="1"/>
    <col min="21" max="21" width="13.42578125" hidden="1" customWidth="1"/>
    <col min="22" max="22" width="14.28515625" hidden="1" customWidth="1"/>
    <col min="23" max="23" width="1.7109375" hidden="1" customWidth="1"/>
    <col min="24" max="24" width="25.28515625" style="108" hidden="1" customWidth="1"/>
    <col min="25" max="25" width="16" style="108" hidden="1" customWidth="1"/>
    <col min="26" max="26" width="15.28515625" style="108" hidden="1" customWidth="1"/>
    <col min="27" max="27" width="15" style="190" hidden="1" customWidth="1"/>
    <col min="28" max="28" width="16.140625" style="190" hidden="1" customWidth="1"/>
    <col min="29" max="29" width="1.7109375" style="108" hidden="1" customWidth="1"/>
    <col min="30" max="30" width="25.28515625" style="190" hidden="1" customWidth="1"/>
    <col min="31" max="31" width="18.85546875" style="108" hidden="1" customWidth="1"/>
    <col min="32" max="33" width="14.7109375" style="108" hidden="1" customWidth="1"/>
    <col min="34" max="34" width="1.7109375" style="189" hidden="1" customWidth="1"/>
    <col min="35" max="35" width="25.28515625" style="189" hidden="1" customWidth="1"/>
    <col min="36" max="36" width="14.7109375" style="161" hidden="1" customWidth="1"/>
    <col min="37" max="39" width="13" style="161" hidden="1" customWidth="1"/>
    <col min="40" max="40" width="14.140625" style="108" hidden="1" customWidth="1"/>
    <col min="41" max="41" width="13.7109375" style="161" hidden="1" customWidth="1"/>
    <col min="42" max="42" width="12.5703125" style="108" hidden="1" customWidth="1"/>
    <col min="43" max="43" width="14.28515625" bestFit="1" customWidth="1"/>
    <col min="44" max="44" width="15.28515625" style="18" bestFit="1" customWidth="1"/>
    <col min="45" max="45" width="14.42578125" style="18" bestFit="1" customWidth="1"/>
    <col min="46" max="47" width="14.42578125" style="18" customWidth="1"/>
    <col min="48" max="48" width="14.28515625" bestFit="1" customWidth="1"/>
    <col min="49" max="49" width="14" bestFit="1" customWidth="1"/>
  </cols>
  <sheetData>
    <row r="1" spans="1:49" ht="19.5" thickBot="1" x14ac:dyDescent="0.35">
      <c r="A1" s="73" t="s">
        <v>0</v>
      </c>
      <c r="B1" s="74"/>
      <c r="C1" s="73"/>
      <c r="D1" s="73"/>
      <c r="E1" s="75"/>
      <c r="F1" s="73"/>
      <c r="G1" s="73"/>
      <c r="H1" s="73"/>
      <c r="I1" s="73"/>
      <c r="J1" s="73"/>
      <c r="O1" s="4"/>
      <c r="P1" s="4"/>
      <c r="Q1" s="22"/>
      <c r="R1" s="4"/>
      <c r="S1" s="4"/>
      <c r="U1" s="4"/>
      <c r="V1" s="4"/>
      <c r="W1" s="4"/>
      <c r="X1" s="464" t="s">
        <v>1</v>
      </c>
      <c r="Y1" s="464"/>
      <c r="Z1" s="464"/>
      <c r="AA1" s="464"/>
      <c r="AB1" s="464"/>
      <c r="AD1" s="465" t="s">
        <v>2</v>
      </c>
      <c r="AE1" s="465"/>
      <c r="AF1" s="465"/>
      <c r="AG1" s="465"/>
      <c r="AI1" s="465" t="s">
        <v>3</v>
      </c>
      <c r="AJ1" s="465"/>
      <c r="AK1" s="465"/>
      <c r="AL1" s="465"/>
      <c r="AM1" s="465"/>
      <c r="AN1" s="465"/>
      <c r="AO1" s="465"/>
      <c r="AQ1" s="18"/>
      <c r="AT1"/>
      <c r="AU1"/>
    </row>
    <row r="2" spans="1:49" ht="18.75" x14ac:dyDescent="0.3">
      <c r="A2" s="73" t="s">
        <v>4</v>
      </c>
      <c r="B2" s="74"/>
      <c r="C2" s="73"/>
      <c r="D2" s="73"/>
      <c r="E2" s="75"/>
      <c r="F2" s="73"/>
      <c r="G2" s="73"/>
      <c r="H2" s="73"/>
      <c r="I2" s="73"/>
      <c r="J2" s="73"/>
      <c r="O2" s="4"/>
      <c r="P2" s="4"/>
      <c r="Q2" s="22"/>
      <c r="R2" s="4"/>
      <c r="S2" s="4"/>
      <c r="U2" s="4"/>
      <c r="V2" s="4"/>
      <c r="W2" s="4"/>
      <c r="X2" s="190"/>
      <c r="Y2" s="190"/>
      <c r="Z2" s="190"/>
      <c r="AB2" s="191" t="s">
        <v>5</v>
      </c>
      <c r="AD2" s="189"/>
      <c r="AE2" s="189"/>
      <c r="AL2" s="108"/>
      <c r="AO2" s="108"/>
      <c r="AQ2" s="18"/>
      <c r="AT2"/>
      <c r="AU2"/>
    </row>
    <row r="3" spans="1:49" ht="18.75" x14ac:dyDescent="0.3">
      <c r="A3" s="73"/>
      <c r="B3" s="74"/>
      <c r="C3" s="73"/>
      <c r="D3" s="73"/>
      <c r="E3" s="73"/>
      <c r="F3" s="75"/>
      <c r="G3" s="73"/>
      <c r="H3" s="73"/>
      <c r="I3" s="73"/>
      <c r="J3" s="73"/>
      <c r="K3" s="73"/>
      <c r="R3" s="4"/>
      <c r="S3" s="4"/>
      <c r="U3" s="4"/>
      <c r="V3" s="4"/>
      <c r="W3" s="4"/>
      <c r="X3" s="4"/>
      <c r="Y3" s="190"/>
      <c r="Z3" s="192" t="s">
        <v>6</v>
      </c>
      <c r="AC3" s="192" t="s">
        <v>7</v>
      </c>
      <c r="AD3" s="108"/>
      <c r="AE3" s="189"/>
      <c r="AF3" s="189"/>
      <c r="AH3" s="108"/>
      <c r="AJ3" s="189"/>
      <c r="AM3" s="108"/>
      <c r="AN3" s="161"/>
      <c r="AO3" s="193" t="s">
        <v>8</v>
      </c>
      <c r="AU3"/>
    </row>
    <row r="4" spans="1:49" x14ac:dyDescent="0.25">
      <c r="B4" s="9" t="s">
        <v>9</v>
      </c>
      <c r="C4" s="91" t="s">
        <v>168</v>
      </c>
      <c r="D4" s="91" t="s">
        <v>169</v>
      </c>
      <c r="F4" s="1"/>
      <c r="G4"/>
      <c r="R4" s="12"/>
      <c r="S4" s="12"/>
      <c r="U4" s="12"/>
      <c r="V4" s="12"/>
      <c r="W4" s="12"/>
      <c r="X4" s="12"/>
      <c r="Y4" s="194"/>
      <c r="Z4" s="195" t="s">
        <v>11</v>
      </c>
      <c r="AA4" s="196" t="s">
        <v>6</v>
      </c>
      <c r="AB4" s="194"/>
      <c r="AC4" s="197" t="s">
        <v>12</v>
      </c>
      <c r="AD4" s="108"/>
      <c r="AE4" s="161"/>
      <c r="AF4" s="198" t="s">
        <v>13</v>
      </c>
      <c r="AH4" s="198" t="s">
        <v>13</v>
      </c>
      <c r="AI4" s="161"/>
      <c r="AM4" s="108"/>
      <c r="AN4" s="161"/>
      <c r="AO4" s="196" t="s">
        <v>14</v>
      </c>
      <c r="AP4" s="161"/>
      <c r="AU4"/>
    </row>
    <row r="5" spans="1:49" x14ac:dyDescent="0.25">
      <c r="B5" s="1"/>
      <c r="C5"/>
      <c r="D5"/>
      <c r="E5" s="62" t="s">
        <v>15</v>
      </c>
      <c r="F5" s="27"/>
      <c r="G5" s="27"/>
      <c r="H5" s="27"/>
      <c r="I5" s="27"/>
      <c r="U5" s="26"/>
      <c r="V5" s="26"/>
      <c r="W5" s="26"/>
      <c r="X5" s="26"/>
      <c r="Y5" s="199"/>
      <c r="Z5" s="199"/>
      <c r="AA5" s="199"/>
      <c r="AB5" s="199"/>
      <c r="AC5" s="199"/>
      <c r="AD5" s="108"/>
      <c r="AH5" s="108"/>
      <c r="AI5" s="161"/>
      <c r="AO5" s="189"/>
      <c r="AP5" s="161"/>
      <c r="AU5"/>
    </row>
    <row r="6" spans="1:49" x14ac:dyDescent="0.25">
      <c r="A6" s="59" t="s">
        <v>16</v>
      </c>
      <c r="B6" s="14">
        <f>+'Net Tuition AY'!L33</f>
        <v>53652978.240000002</v>
      </c>
      <c r="C6" s="1">
        <f>+'Net Tuition AY'!M33</f>
        <v>49317810.269999996</v>
      </c>
      <c r="D6" s="1">
        <f>+'Net Tuition AY'!N33</f>
        <v>50858554.600000001</v>
      </c>
      <c r="E6" s="27"/>
      <c r="F6" s="27"/>
      <c r="G6" s="27"/>
      <c r="H6" s="27"/>
      <c r="I6" s="27"/>
      <c r="R6" s="6"/>
      <c r="S6" s="6"/>
      <c r="T6" s="39"/>
      <c r="U6" s="26"/>
      <c r="V6" s="26"/>
      <c r="W6" s="26"/>
      <c r="X6" s="26"/>
      <c r="Y6" s="200" t="s">
        <v>16</v>
      </c>
      <c r="Z6" s="199"/>
      <c r="AA6" s="201">
        <f>+B6</f>
        <v>53652978.240000002</v>
      </c>
      <c r="AB6" s="199"/>
      <c r="AC6" s="201">
        <f>+AA6</f>
        <v>53652978.240000002</v>
      </c>
      <c r="AD6" s="108"/>
      <c r="AE6" s="200" t="s">
        <v>16</v>
      </c>
      <c r="AF6" s="189">
        <f>34627554+267214+32305216+261451-17661479</f>
        <v>49799956</v>
      </c>
      <c r="AH6" s="189">
        <f>+AF6</f>
        <v>49799956</v>
      </c>
      <c r="AI6" s="161"/>
      <c r="AJ6" s="200" t="s">
        <v>16</v>
      </c>
      <c r="AO6" s="189">
        <f>+B6</f>
        <v>53652978.240000002</v>
      </c>
      <c r="AP6" s="161"/>
      <c r="AQ6" s="26"/>
      <c r="AV6" s="18"/>
      <c r="AW6" s="18"/>
    </row>
    <row r="7" spans="1:49" x14ac:dyDescent="0.25">
      <c r="A7" t="s">
        <v>17</v>
      </c>
      <c r="B7" s="14">
        <f>+'Net Tuition AY'!L55</f>
        <v>4799807</v>
      </c>
      <c r="C7" s="1">
        <f>+'Net Tuition AY'!M55</f>
        <v>5324996.5</v>
      </c>
      <c r="D7" s="1">
        <f>+'Net Tuition AY'!N55</f>
        <v>5747252</v>
      </c>
      <c r="E7" s="62" t="s">
        <v>18</v>
      </c>
      <c r="F7" s="27" t="s">
        <v>19</v>
      </c>
      <c r="G7" s="27"/>
      <c r="H7" s="27"/>
      <c r="I7" s="27"/>
      <c r="J7" s="27"/>
      <c r="O7" s="5"/>
      <c r="P7" s="5"/>
      <c r="Q7" s="18"/>
      <c r="R7" s="18"/>
      <c r="S7" s="18"/>
      <c r="T7" s="39"/>
      <c r="U7" s="18"/>
      <c r="V7" s="18"/>
      <c r="W7" s="18"/>
      <c r="X7" s="18"/>
      <c r="Y7" s="108" t="s">
        <v>17</v>
      </c>
      <c r="Z7" s="161"/>
      <c r="AA7" s="201">
        <f>+B7</f>
        <v>4799807</v>
      </c>
      <c r="AB7" s="161"/>
      <c r="AC7" s="201">
        <f>+AA7</f>
        <v>4799807</v>
      </c>
      <c r="AD7" s="108"/>
      <c r="AE7" s="108" t="s">
        <v>17</v>
      </c>
      <c r="AF7" s="189">
        <v>4814923</v>
      </c>
      <c r="AH7" s="189">
        <f>+AF7</f>
        <v>4814923</v>
      </c>
      <c r="AI7" s="161"/>
      <c r="AJ7" s="108" t="s">
        <v>17</v>
      </c>
      <c r="AO7" s="189">
        <f>+B7</f>
        <v>4799807</v>
      </c>
      <c r="AP7" s="161"/>
      <c r="AQ7" s="26"/>
      <c r="AV7" s="18"/>
      <c r="AW7" s="18"/>
    </row>
    <row r="8" spans="1:49" x14ac:dyDescent="0.25">
      <c r="B8" s="23">
        <f>SUM(B6:B7)</f>
        <v>58452785.240000002</v>
      </c>
      <c r="C8" s="23">
        <f>SUM(C6:C7)</f>
        <v>54642806.769999996</v>
      </c>
      <c r="D8" s="23">
        <f>SUM(D6:D7)</f>
        <v>56605806.600000001</v>
      </c>
      <c r="E8" s="62"/>
      <c r="F8" s="27" t="s">
        <v>20</v>
      </c>
      <c r="G8" s="27"/>
      <c r="H8" s="27"/>
      <c r="I8" s="27"/>
      <c r="J8" s="27"/>
      <c r="O8" s="5"/>
      <c r="P8" s="5"/>
      <c r="Q8" s="18"/>
      <c r="R8" s="18"/>
      <c r="S8" s="18"/>
      <c r="U8" s="18"/>
      <c r="V8" s="18"/>
      <c r="W8" s="18"/>
      <c r="X8" s="18"/>
      <c r="Z8" s="161"/>
      <c r="AA8" s="163">
        <f>SUM(AA6:AA7)</f>
        <v>58452785.240000002</v>
      </c>
      <c r="AB8" s="161"/>
      <c r="AC8" s="163">
        <f>SUM(AC6:AC7)</f>
        <v>58452785.240000002</v>
      </c>
      <c r="AD8" s="108"/>
      <c r="AF8" s="163">
        <f>SUM(AF6:AF7)</f>
        <v>54614879</v>
      </c>
      <c r="AH8" s="163">
        <f>SUM(AH6:AH7)</f>
        <v>54614879</v>
      </c>
      <c r="AI8" s="161"/>
      <c r="AJ8" s="108"/>
      <c r="AO8" s="163">
        <f>SUM(AO6:AO7)</f>
        <v>58452785.240000002</v>
      </c>
      <c r="AP8" s="161"/>
      <c r="AQ8" s="18"/>
      <c r="AV8" s="18"/>
      <c r="AW8" s="18"/>
    </row>
    <row r="9" spans="1:49" x14ac:dyDescent="0.25">
      <c r="B9" s="14"/>
      <c r="C9" s="1"/>
      <c r="D9" s="1"/>
      <c r="E9" s="62"/>
      <c r="F9" s="27" t="s">
        <v>21</v>
      </c>
      <c r="G9" s="27"/>
      <c r="H9" s="27"/>
      <c r="I9" s="27"/>
      <c r="J9" s="27"/>
      <c r="O9" s="5"/>
      <c r="P9" s="5"/>
      <c r="Q9" s="18"/>
      <c r="R9" s="18"/>
      <c r="S9" s="18"/>
      <c r="U9" s="18"/>
      <c r="V9" s="18"/>
      <c r="W9" s="18"/>
      <c r="X9" s="18"/>
      <c r="Z9" s="161"/>
      <c r="AA9" s="161"/>
      <c r="AB9" s="161"/>
      <c r="AC9" s="161"/>
      <c r="AD9" s="108"/>
      <c r="AF9" s="189"/>
      <c r="AI9" s="161"/>
      <c r="AJ9" s="108"/>
      <c r="AO9" s="189"/>
      <c r="AP9" s="161"/>
      <c r="AQ9" s="18"/>
      <c r="AV9" s="18"/>
      <c r="AW9" s="18"/>
    </row>
    <row r="10" spans="1:49" x14ac:dyDescent="0.25">
      <c r="A10" s="59" t="s">
        <v>22</v>
      </c>
      <c r="B10" s="14">
        <f>+'Net Tuition Summer'!J30</f>
        <v>4117101.129999999</v>
      </c>
      <c r="C10" s="1">
        <f>+'Net Tuition Summer'!K30</f>
        <v>2993739.5700000003</v>
      </c>
      <c r="D10" s="1">
        <f>+'Net Tuition Summer'!L30</f>
        <v>3950284.28</v>
      </c>
      <c r="G10" s="27"/>
      <c r="H10" s="27"/>
      <c r="I10" s="27"/>
      <c r="J10" s="27"/>
      <c r="O10" s="5"/>
      <c r="P10" s="5"/>
      <c r="Q10" s="18"/>
      <c r="R10" s="3"/>
      <c r="S10" s="3"/>
      <c r="U10" s="18"/>
      <c r="X10" s="18"/>
      <c r="Y10" s="200" t="s">
        <v>22</v>
      </c>
      <c r="Z10" s="161"/>
      <c r="AA10" s="201">
        <f>+B10</f>
        <v>4117101.129999999</v>
      </c>
      <c r="AB10" s="161"/>
      <c r="AC10" s="201">
        <f>+AA10</f>
        <v>4117101.129999999</v>
      </c>
      <c r="AD10" s="108"/>
      <c r="AE10" s="200" t="s">
        <v>22</v>
      </c>
      <c r="AF10" s="189">
        <f>3708021+56897</f>
        <v>3764918</v>
      </c>
      <c r="AH10" s="189">
        <f>+AF10</f>
        <v>3764918</v>
      </c>
      <c r="AI10" s="161"/>
      <c r="AJ10" s="200" t="s">
        <v>22</v>
      </c>
      <c r="AO10" s="189">
        <f>+B10</f>
        <v>4117101.129999999</v>
      </c>
      <c r="AP10" s="161"/>
      <c r="AQ10" s="18"/>
      <c r="AV10" s="18"/>
      <c r="AW10" s="18"/>
    </row>
    <row r="11" spans="1:49" x14ac:dyDescent="0.25">
      <c r="A11" t="s">
        <v>23</v>
      </c>
      <c r="B11" s="14">
        <f>+'Net Tuition Summer'!J51</f>
        <v>159341.5</v>
      </c>
      <c r="C11" s="1">
        <f>+'Net Tuition Summer'!K51</f>
        <v>168185</v>
      </c>
      <c r="D11" s="1">
        <f>'Net Tuition Summer'!L51</f>
        <v>180241</v>
      </c>
      <c r="G11" s="27"/>
      <c r="H11" s="27"/>
      <c r="I11" s="27"/>
      <c r="J11" s="27"/>
      <c r="O11" s="5"/>
      <c r="P11" s="5"/>
      <c r="Q11" s="18"/>
      <c r="R11" s="3"/>
      <c r="S11" s="3"/>
      <c r="U11" s="18"/>
      <c r="X11" s="18"/>
      <c r="Y11" s="108" t="s">
        <v>23</v>
      </c>
      <c r="AA11" s="201">
        <f>+B11</f>
        <v>159341.5</v>
      </c>
      <c r="AB11" s="161"/>
      <c r="AC11" s="201">
        <f>+AA11</f>
        <v>159341.5</v>
      </c>
      <c r="AD11" s="108"/>
      <c r="AE11" s="108" t="s">
        <v>23</v>
      </c>
      <c r="AF11" s="189"/>
      <c r="AI11" s="161"/>
      <c r="AJ11" s="108" t="s">
        <v>23</v>
      </c>
      <c r="AO11" s="189">
        <f>+B11</f>
        <v>159341.5</v>
      </c>
      <c r="AP11" s="161"/>
      <c r="AQ11" s="18"/>
      <c r="AV11" s="18"/>
      <c r="AW11" s="18"/>
    </row>
    <row r="12" spans="1:49" x14ac:dyDescent="0.25">
      <c r="B12" s="23">
        <f>SUM(B10:B11)</f>
        <v>4276442.629999999</v>
      </c>
      <c r="C12" s="23">
        <f>SUM(C10:C11)</f>
        <v>3161924.5700000003</v>
      </c>
      <c r="D12" s="23">
        <f>SUM(D10:D11)</f>
        <v>4130525.28</v>
      </c>
      <c r="G12" s="27"/>
      <c r="H12" s="27"/>
      <c r="I12" s="27"/>
      <c r="J12" s="27"/>
      <c r="O12" s="5"/>
      <c r="P12" s="5"/>
      <c r="Q12" s="18"/>
      <c r="R12" s="3"/>
      <c r="S12" s="3"/>
      <c r="U12" s="18"/>
      <c r="X12" s="18"/>
      <c r="AA12" s="163">
        <f>SUM(AA10:AA11)</f>
        <v>4276442.629999999</v>
      </c>
      <c r="AB12" s="161"/>
      <c r="AC12" s="163">
        <f>SUM(AC10:AC11)</f>
        <v>4276442.629999999</v>
      </c>
      <c r="AD12" s="108"/>
      <c r="AF12" s="163">
        <f>SUM(AF10:AF11)</f>
        <v>3764918</v>
      </c>
      <c r="AH12" s="163">
        <f>SUM(AH10:AH11)</f>
        <v>3764918</v>
      </c>
      <c r="AI12" s="161"/>
      <c r="AJ12" s="108"/>
      <c r="AO12" s="163">
        <f>SUM(AO10:AO11)</f>
        <v>4276442.629999999</v>
      </c>
      <c r="AP12" s="161"/>
      <c r="AQ12" s="18"/>
      <c r="AV12" s="18"/>
      <c r="AW12" s="18"/>
    </row>
    <row r="13" spans="1:49" x14ac:dyDescent="0.25">
      <c r="B13" s="18"/>
      <c r="C13" s="1"/>
      <c r="D13" s="1"/>
      <c r="E13" s="27"/>
      <c r="G13" s="27"/>
      <c r="H13" s="27"/>
      <c r="I13" s="27"/>
      <c r="J13" s="27"/>
      <c r="O13" s="5"/>
      <c r="P13" s="5"/>
      <c r="Q13" s="18"/>
      <c r="R13" s="3"/>
      <c r="S13" s="3"/>
      <c r="U13" s="18"/>
      <c r="X13" s="18"/>
      <c r="Z13" s="161"/>
      <c r="AA13" s="161"/>
      <c r="AB13" s="161"/>
      <c r="AC13" s="161"/>
      <c r="AD13" s="108"/>
      <c r="AF13" s="189"/>
      <c r="AI13" s="161"/>
      <c r="AJ13" s="108"/>
      <c r="AP13" s="161"/>
      <c r="AQ13" s="18"/>
      <c r="AV13" s="18"/>
      <c r="AW13" s="18"/>
    </row>
    <row r="14" spans="1:49" x14ac:dyDescent="0.25">
      <c r="A14" t="s">
        <v>24</v>
      </c>
      <c r="B14" s="19">
        <f>+B12+B8</f>
        <v>62729227.870000005</v>
      </c>
      <c r="C14" s="23">
        <f>+C12+C8</f>
        <v>57804731.339999996</v>
      </c>
      <c r="D14" s="23">
        <f>+D12+D8</f>
        <v>60736331.880000003</v>
      </c>
      <c r="E14" s="27"/>
      <c r="F14" s="27"/>
      <c r="G14" s="27"/>
      <c r="H14" s="27"/>
      <c r="I14" s="27"/>
      <c r="J14" s="27"/>
      <c r="O14" s="5"/>
      <c r="P14" s="5"/>
      <c r="Q14" s="18"/>
      <c r="R14" s="3"/>
      <c r="S14" s="3"/>
      <c r="U14" s="18"/>
      <c r="X14" s="18"/>
      <c r="Y14" s="108" t="s">
        <v>24</v>
      </c>
      <c r="Z14" s="161">
        <v>64305703</v>
      </c>
      <c r="AA14" s="161">
        <f>+AA12+AA8</f>
        <v>62729227.870000005</v>
      </c>
      <c r="AB14" s="161"/>
      <c r="AC14" s="161">
        <f>+AC12+AC8</f>
        <v>62729227.870000005</v>
      </c>
      <c r="AD14" s="108"/>
      <c r="AE14" s="108" t="s">
        <v>24</v>
      </c>
      <c r="AF14" s="163">
        <f>+AF12+AF8</f>
        <v>58379797</v>
      </c>
      <c r="AH14" s="163">
        <f>+AH12+AH8</f>
        <v>58379797</v>
      </c>
      <c r="AI14" s="161"/>
      <c r="AJ14" s="108" t="s">
        <v>24</v>
      </c>
      <c r="AO14" s="202">
        <f>+AO12+AO8</f>
        <v>62729227.870000005</v>
      </c>
      <c r="AP14" s="161"/>
      <c r="AQ14" s="18"/>
      <c r="AV14" s="18"/>
      <c r="AW14" s="18"/>
    </row>
    <row r="15" spans="1:49" x14ac:dyDescent="0.25">
      <c r="B15" s="14"/>
      <c r="C15" s="1"/>
      <c r="D15" s="10"/>
      <c r="E15" s="3"/>
      <c r="F15" s="1"/>
      <c r="G15"/>
      <c r="J15" s="27"/>
      <c r="O15" s="5"/>
      <c r="P15" s="5"/>
      <c r="Q15" s="18"/>
      <c r="R15" s="3"/>
      <c r="S15" s="3"/>
      <c r="U15" s="18"/>
      <c r="X15" s="18"/>
      <c r="Z15" s="161"/>
      <c r="AA15" s="161"/>
      <c r="AB15" s="161"/>
      <c r="AC15" s="161"/>
      <c r="AD15" s="108"/>
      <c r="AF15" s="189"/>
      <c r="AI15" s="161"/>
      <c r="AJ15" s="108"/>
      <c r="AO15" s="189"/>
      <c r="AP15" s="161"/>
      <c r="AQ15" s="18"/>
      <c r="AV15" s="18"/>
      <c r="AW15" s="18"/>
    </row>
    <row r="16" spans="1:49" x14ac:dyDescent="0.25">
      <c r="A16" s="59" t="s">
        <v>25</v>
      </c>
      <c r="B16" s="14">
        <f>+Appropriations!H4</f>
        <v>60147648</v>
      </c>
      <c r="C16" s="14">
        <f>+Appropriations!I4</f>
        <v>61862743</v>
      </c>
      <c r="D16" s="14">
        <f>+Appropriations!J6</f>
        <v>60854268</v>
      </c>
      <c r="F16" s="1"/>
      <c r="G16"/>
      <c r="J16" s="27"/>
      <c r="O16" s="5"/>
      <c r="P16" s="5"/>
      <c r="Q16" s="18"/>
      <c r="R16" s="3"/>
      <c r="S16" s="3"/>
      <c r="U16" s="18"/>
      <c r="X16" s="18"/>
      <c r="Y16" s="200" t="s">
        <v>25</v>
      </c>
      <c r="Z16" s="161">
        <v>60336444</v>
      </c>
      <c r="AA16" s="161">
        <f>+B16</f>
        <v>60147648</v>
      </c>
      <c r="AB16" s="161"/>
      <c r="AC16" s="161">
        <f>+AA16</f>
        <v>60147648</v>
      </c>
      <c r="AD16" s="108"/>
      <c r="AE16" s="200" t="s">
        <v>25</v>
      </c>
      <c r="AF16" s="189">
        <v>61862743</v>
      </c>
      <c r="AH16" s="189">
        <f>+AF16</f>
        <v>61862743</v>
      </c>
      <c r="AI16" s="161"/>
      <c r="AJ16" s="200" t="s">
        <v>25</v>
      </c>
      <c r="AO16" s="189">
        <f>+B16</f>
        <v>60147648</v>
      </c>
      <c r="AP16" s="161"/>
      <c r="AQ16" s="18"/>
      <c r="AV16" s="18"/>
      <c r="AW16" s="18"/>
    </row>
    <row r="17" spans="1:51" x14ac:dyDescent="0.25">
      <c r="B17" s="22"/>
      <c r="C17" s="1"/>
      <c r="D17" s="1"/>
      <c r="F17" s="1"/>
      <c r="G17"/>
      <c r="O17" s="5"/>
      <c r="P17" s="5"/>
      <c r="Q17" s="18"/>
      <c r="R17" s="3"/>
      <c r="S17" s="3"/>
      <c r="U17" s="18"/>
      <c r="X17" s="18"/>
      <c r="Z17" s="161"/>
      <c r="AA17" s="161"/>
      <c r="AB17" s="161"/>
      <c r="AC17" s="161"/>
      <c r="AD17" s="108"/>
      <c r="AF17" s="189"/>
      <c r="AI17" s="161"/>
      <c r="AJ17" s="108"/>
      <c r="AO17" s="190"/>
      <c r="AP17" s="161"/>
      <c r="AQ17" s="18"/>
      <c r="AV17" s="18"/>
      <c r="AW17" s="18"/>
    </row>
    <row r="18" spans="1:51" x14ac:dyDescent="0.25">
      <c r="A18" t="s">
        <v>26</v>
      </c>
      <c r="B18" s="45">
        <f>123470642-122813092</f>
        <v>657550</v>
      </c>
      <c r="C18" s="45">
        <v>725980</v>
      </c>
      <c r="D18" s="45">
        <v>350000</v>
      </c>
      <c r="F18" s="1"/>
      <c r="G18"/>
      <c r="O18" s="5"/>
      <c r="P18" s="5"/>
      <c r="Q18" s="18"/>
      <c r="R18" s="3"/>
      <c r="S18" s="3"/>
      <c r="U18" s="18"/>
      <c r="X18" s="18"/>
      <c r="Y18" s="108" t="s">
        <v>26</v>
      </c>
      <c r="Z18" s="161">
        <v>339925</v>
      </c>
      <c r="AA18" s="161">
        <f>+B18</f>
        <v>657550</v>
      </c>
      <c r="AB18" s="161"/>
      <c r="AC18" s="161">
        <f>+AA18</f>
        <v>657550</v>
      </c>
      <c r="AD18" s="108"/>
      <c r="AE18" s="108" t="s">
        <v>26</v>
      </c>
      <c r="AF18" s="189">
        <v>725980</v>
      </c>
      <c r="AH18" s="189">
        <f>+AF18</f>
        <v>725980</v>
      </c>
      <c r="AI18" s="161"/>
      <c r="AJ18" s="108" t="s">
        <v>26</v>
      </c>
      <c r="AO18" s="203">
        <f>123470642-122813092</f>
        <v>657550</v>
      </c>
      <c r="AP18" s="161"/>
      <c r="AQ18" s="18"/>
      <c r="AV18" s="18"/>
      <c r="AW18" s="18"/>
    </row>
    <row r="19" spans="1:51" x14ac:dyDescent="0.25">
      <c r="B19" s="4"/>
      <c r="C19" s="1"/>
      <c r="D19" s="1"/>
      <c r="F19" s="1"/>
      <c r="G19"/>
      <c r="O19" s="53"/>
      <c r="P19" s="53"/>
      <c r="Q19" s="138"/>
      <c r="R19" s="3"/>
      <c r="S19" s="3"/>
      <c r="U19" s="18"/>
      <c r="V19" s="18"/>
      <c r="X19" s="18"/>
      <c r="Z19" s="161"/>
      <c r="AA19" s="161"/>
      <c r="AB19" s="161"/>
      <c r="AC19" s="161"/>
      <c r="AD19" s="108"/>
      <c r="AF19" s="189"/>
      <c r="AI19" s="161"/>
      <c r="AJ19" s="108"/>
      <c r="AO19" s="190"/>
      <c r="AP19" s="161"/>
      <c r="AQ19" s="18"/>
      <c r="AV19" s="18"/>
      <c r="AW19" s="18"/>
    </row>
    <row r="20" spans="1:51" ht="15.75" thickBot="1" x14ac:dyDescent="0.3">
      <c r="A20" t="s">
        <v>27</v>
      </c>
      <c r="B20" s="19">
        <f>SUM(B14:B19)</f>
        <v>123534425.87</v>
      </c>
      <c r="C20" s="19">
        <f>SUM(C14:C19)</f>
        <v>120393454.34</v>
      </c>
      <c r="D20" s="19">
        <f>SUM(D14:D19)</f>
        <v>121940599.88</v>
      </c>
      <c r="E20" s="3"/>
      <c r="F20" s="1"/>
      <c r="G20"/>
      <c r="O20" s="18"/>
      <c r="P20" s="18"/>
      <c r="Q20" s="18"/>
      <c r="R20" s="3"/>
      <c r="S20" s="3"/>
      <c r="U20" s="18"/>
      <c r="V20" s="18"/>
      <c r="X20" s="18"/>
      <c r="Y20" s="108" t="s">
        <v>27</v>
      </c>
      <c r="Z20" s="163">
        <f>SUM(Z13:Z19)</f>
        <v>124982072</v>
      </c>
      <c r="AA20" s="163">
        <f>SUM(AA13:AA19)</f>
        <v>123534425.87</v>
      </c>
      <c r="AB20" s="161"/>
      <c r="AC20" s="163">
        <f>SUM(AC13:AC19)</f>
        <v>123534425.87</v>
      </c>
      <c r="AD20" s="108"/>
      <c r="AE20" s="108" t="s">
        <v>27</v>
      </c>
      <c r="AF20" s="202">
        <f>SUM(AF14:AF19)</f>
        <v>120968520</v>
      </c>
      <c r="AH20" s="202">
        <f>SUM(AH14:AH19)</f>
        <v>120968520</v>
      </c>
      <c r="AI20" s="161"/>
      <c r="AJ20" s="200" t="s">
        <v>28</v>
      </c>
      <c r="AO20" s="202">
        <f>SUM(AO14:AO19)</f>
        <v>123534425.87</v>
      </c>
      <c r="AP20" s="161"/>
      <c r="AQ20" s="18"/>
      <c r="AV20" s="18"/>
      <c r="AW20" s="18"/>
    </row>
    <row r="21" spans="1:51" ht="15.75" thickBot="1" x14ac:dyDescent="0.3">
      <c r="A21" s="59" t="s">
        <v>29</v>
      </c>
      <c r="B21" s="18">
        <f>+B20*-E21</f>
        <v>-617672.12935000006</v>
      </c>
      <c r="C21" s="1">
        <f>+C20*-E21</f>
        <v>-601967.27170000004</v>
      </c>
      <c r="D21" s="1">
        <f>+D20*-E21</f>
        <v>-609702.99939999997</v>
      </c>
      <c r="E21" s="98">
        <v>5.0000000000000001E-3</v>
      </c>
      <c r="F21" s="1"/>
      <c r="G21"/>
      <c r="O21" s="18"/>
      <c r="P21" s="18"/>
      <c r="Q21" s="18"/>
      <c r="R21" s="3"/>
      <c r="S21" s="3"/>
      <c r="U21" s="18"/>
      <c r="V21" s="18"/>
      <c r="X21" s="18"/>
      <c r="Y21" s="161"/>
      <c r="Z21" s="161"/>
      <c r="AA21" s="161"/>
      <c r="AB21" s="161"/>
      <c r="AC21" s="161"/>
      <c r="AD21" s="108"/>
      <c r="AF21" s="161"/>
      <c r="AH21" s="108"/>
      <c r="AI21" s="161"/>
      <c r="AP21" s="204"/>
      <c r="AQ21" s="18"/>
      <c r="AV21" s="18"/>
      <c r="AW21" s="18"/>
    </row>
    <row r="22" spans="1:51" ht="15.75" thickBot="1" x14ac:dyDescent="0.3">
      <c r="A22" t="s">
        <v>30</v>
      </c>
      <c r="B22" s="24">
        <f>B21+B20</f>
        <v>122916753.74065</v>
      </c>
      <c r="C22" s="24">
        <f>C21+C20</f>
        <v>119791487.06830001</v>
      </c>
      <c r="D22" s="24">
        <f>D21+D20</f>
        <v>121330896.88059999</v>
      </c>
      <c r="O22" s="18"/>
      <c r="P22" s="18"/>
      <c r="Q22" s="18"/>
      <c r="U22" s="18"/>
      <c r="V22" s="18"/>
      <c r="X22" s="18"/>
      <c r="Y22" s="161"/>
      <c r="Z22" s="161"/>
      <c r="AA22" s="161"/>
      <c r="AB22" s="161"/>
      <c r="AC22" s="161"/>
      <c r="AD22" s="108"/>
      <c r="AF22" s="161"/>
      <c r="AH22" s="108"/>
      <c r="AI22" s="161"/>
      <c r="AM22" s="108"/>
      <c r="AN22" s="161"/>
      <c r="AO22" s="204"/>
      <c r="AP22" s="161"/>
      <c r="AQ22" s="18"/>
      <c r="AV22" s="18"/>
      <c r="AW22" s="18"/>
    </row>
    <row r="23" spans="1:51" ht="15.75" thickTop="1" x14ac:dyDescent="0.25">
      <c r="B23" s="6"/>
      <c r="C23" s="6"/>
      <c r="D23" s="3"/>
      <c r="F23" s="6" t="s">
        <v>31</v>
      </c>
      <c r="G23"/>
      <c r="N23" s="105"/>
      <c r="R23" s="18"/>
      <c r="S23" s="18"/>
      <c r="U23" s="38"/>
      <c r="W23" s="38"/>
      <c r="X23" s="205"/>
      <c r="Y23" s="205"/>
      <c r="Z23" s="205"/>
      <c r="AA23" s="206"/>
      <c r="AB23" s="206"/>
      <c r="AD23" s="194"/>
      <c r="AH23" s="204"/>
      <c r="AI23" s="204"/>
      <c r="AJ23" s="108"/>
      <c r="AN23" s="161"/>
      <c r="AP23" s="161"/>
      <c r="AQ23" s="18"/>
    </row>
    <row r="24" spans="1:51" x14ac:dyDescent="0.25">
      <c r="C24"/>
      <c r="D24" s="6" t="s">
        <v>32</v>
      </c>
      <c r="E24" s="6"/>
      <c r="F24" s="6" t="s">
        <v>32</v>
      </c>
      <c r="G24"/>
      <c r="R24" s="3"/>
      <c r="S24" s="3"/>
      <c r="Y24" s="191" t="s">
        <v>33</v>
      </c>
      <c r="Z24" s="191" t="s">
        <v>33</v>
      </c>
      <c r="AA24" s="191"/>
      <c r="AB24" s="191" t="s">
        <v>33</v>
      </c>
      <c r="AD24" s="207"/>
      <c r="AH24" s="208"/>
      <c r="AI24" s="208"/>
      <c r="AJ24" s="191" t="s">
        <v>33</v>
      </c>
      <c r="AK24" s="193" t="s">
        <v>34</v>
      </c>
      <c r="AL24" s="193" t="s">
        <v>34</v>
      </c>
      <c r="AM24" s="209" t="s">
        <v>35</v>
      </c>
      <c r="AN24" s="193" t="s">
        <v>35</v>
      </c>
      <c r="AO24" s="193" t="s">
        <v>35</v>
      </c>
      <c r="AQ24" s="3"/>
      <c r="AS24" s="3"/>
      <c r="AT24"/>
      <c r="AV24" s="18"/>
      <c r="AW24" s="18"/>
      <c r="AX24" s="18"/>
      <c r="AY24" s="18"/>
    </row>
    <row r="25" spans="1:51" x14ac:dyDescent="0.25">
      <c r="B25" s="58" t="s">
        <v>36</v>
      </c>
      <c r="C25" s="58"/>
      <c r="D25" s="6" t="s">
        <v>37</v>
      </c>
      <c r="E25" s="15" t="s">
        <v>31</v>
      </c>
      <c r="F25" s="6" t="s">
        <v>37</v>
      </c>
      <c r="G25" s="6"/>
      <c r="H25" s="6"/>
      <c r="I25" s="6"/>
      <c r="J25" s="6" t="s">
        <v>38</v>
      </c>
      <c r="K25" s="6"/>
      <c r="L25" s="69" t="s">
        <v>39</v>
      </c>
      <c r="M25" s="69" t="s">
        <v>40</v>
      </c>
      <c r="N25" s="7" t="s">
        <v>41</v>
      </c>
      <c r="O25" s="6"/>
      <c r="P25" s="7"/>
      <c r="Q25" s="39" t="s">
        <v>170</v>
      </c>
      <c r="R25" s="39"/>
      <c r="S25" s="7" t="s">
        <v>5</v>
      </c>
      <c r="T25" s="7" t="s">
        <v>171</v>
      </c>
      <c r="U25" s="210"/>
      <c r="V25" s="191" t="s">
        <v>11</v>
      </c>
      <c r="W25" s="191"/>
      <c r="X25" s="191" t="s">
        <v>42</v>
      </c>
      <c r="Y25" s="191" t="s">
        <v>43</v>
      </c>
      <c r="Z25" s="191" t="s">
        <v>5</v>
      </c>
      <c r="AA25" s="108"/>
      <c r="AB25" s="193"/>
      <c r="AC25" s="161"/>
      <c r="AD25" s="108"/>
      <c r="AF25" s="191"/>
      <c r="AG25" s="191"/>
      <c r="AH25" s="191" t="s">
        <v>42</v>
      </c>
      <c r="AI25" s="191" t="s">
        <v>11</v>
      </c>
      <c r="AJ25" s="211" t="s">
        <v>11</v>
      </c>
      <c r="AK25" s="212" t="s">
        <v>44</v>
      </c>
      <c r="AL25" s="211" t="s">
        <v>44</v>
      </c>
      <c r="AM25" s="191" t="s">
        <v>45</v>
      </c>
      <c r="AN25" s="161"/>
      <c r="AP25" s="18"/>
      <c r="AQ25" s="6" t="s">
        <v>172</v>
      </c>
      <c r="AR25" s="3"/>
      <c r="AS25"/>
      <c r="AV25" s="18"/>
      <c r="AW25" s="18"/>
      <c r="AX25" s="18"/>
    </row>
    <row r="26" spans="1:51" x14ac:dyDescent="0.25">
      <c r="B26" s="6" t="s">
        <v>46</v>
      </c>
      <c r="C26" s="6"/>
      <c r="D26" s="6" t="s">
        <v>47</v>
      </c>
      <c r="E26" s="15" t="s">
        <v>48</v>
      </c>
      <c r="F26" s="6" t="s">
        <v>47</v>
      </c>
      <c r="G26" s="6" t="s">
        <v>49</v>
      </c>
      <c r="H26" s="6" t="s">
        <v>50</v>
      </c>
      <c r="I26" s="6" t="s">
        <v>51</v>
      </c>
      <c r="J26" s="6" t="s">
        <v>52</v>
      </c>
      <c r="K26" s="6"/>
      <c r="L26" s="6" t="s">
        <v>53</v>
      </c>
      <c r="M26" s="6" t="s">
        <v>52</v>
      </c>
      <c r="N26" s="6" t="s">
        <v>40</v>
      </c>
      <c r="O26" s="6" t="s">
        <v>40</v>
      </c>
      <c r="P26" s="6" t="s">
        <v>5</v>
      </c>
      <c r="Q26" s="39" t="s">
        <v>41</v>
      </c>
      <c r="R26" s="39"/>
      <c r="S26" s="6" t="s">
        <v>55</v>
      </c>
      <c r="T26" s="6" t="s">
        <v>56</v>
      </c>
      <c r="U26" s="191"/>
      <c r="V26" s="191" t="s">
        <v>57</v>
      </c>
      <c r="W26" s="191"/>
      <c r="X26" s="191" t="s">
        <v>57</v>
      </c>
      <c r="Y26" s="191" t="s">
        <v>58</v>
      </c>
      <c r="Z26" s="191" t="s">
        <v>57</v>
      </c>
      <c r="AA26" s="108"/>
      <c r="AB26" s="199"/>
      <c r="AC26" s="192" t="s">
        <v>13</v>
      </c>
      <c r="AD26" s="108"/>
      <c r="AE26" s="193" t="s">
        <v>59</v>
      </c>
      <c r="AF26" s="191"/>
      <c r="AG26" s="191"/>
      <c r="AH26" s="191" t="s">
        <v>57</v>
      </c>
      <c r="AI26" s="191" t="s">
        <v>60</v>
      </c>
      <c r="AJ26" s="211" t="s">
        <v>61</v>
      </c>
      <c r="AK26" s="213" t="s">
        <v>62</v>
      </c>
      <c r="AL26" s="211" t="s">
        <v>63</v>
      </c>
      <c r="AM26" s="191" t="s">
        <v>33</v>
      </c>
      <c r="AP26" s="18"/>
      <c r="AQ26" s="39" t="s">
        <v>63</v>
      </c>
      <c r="AV26" s="18"/>
    </row>
    <row r="27" spans="1:51" x14ac:dyDescent="0.25">
      <c r="B27" s="8" t="s">
        <v>64</v>
      </c>
      <c r="C27" s="8" t="s">
        <v>65</v>
      </c>
      <c r="D27" s="8" t="s">
        <v>64</v>
      </c>
      <c r="E27" s="16" t="s">
        <v>66</v>
      </c>
      <c r="F27" s="8" t="s">
        <v>64</v>
      </c>
      <c r="G27" s="8" t="s">
        <v>64</v>
      </c>
      <c r="H27" s="8" t="s">
        <v>53</v>
      </c>
      <c r="I27" s="8" t="s">
        <v>67</v>
      </c>
      <c r="J27" s="8" t="s">
        <v>53</v>
      </c>
      <c r="K27" s="6"/>
      <c r="L27" s="8" t="s">
        <v>68</v>
      </c>
      <c r="M27" s="8" t="s">
        <v>53</v>
      </c>
      <c r="N27" s="8" t="s">
        <v>68</v>
      </c>
      <c r="O27" s="8" t="s">
        <v>57</v>
      </c>
      <c r="P27" s="8" t="s">
        <v>64</v>
      </c>
      <c r="Q27" s="40" t="s">
        <v>64</v>
      </c>
      <c r="R27" s="40" t="s">
        <v>173</v>
      </c>
      <c r="S27" s="8" t="s">
        <v>69</v>
      </c>
      <c r="T27" s="8" t="s">
        <v>70</v>
      </c>
      <c r="U27" s="191"/>
      <c r="V27" s="198" t="s">
        <v>71</v>
      </c>
      <c r="W27" s="198"/>
      <c r="X27" s="198" t="s">
        <v>71</v>
      </c>
      <c r="Y27" s="214" t="s">
        <v>64</v>
      </c>
      <c r="Z27" s="214" t="s">
        <v>71</v>
      </c>
      <c r="AA27" s="108"/>
      <c r="AB27" s="215"/>
      <c r="AC27" s="195" t="s">
        <v>11</v>
      </c>
      <c r="AD27" s="216"/>
      <c r="AE27" s="214" t="s">
        <v>72</v>
      </c>
      <c r="AF27" s="191"/>
      <c r="AG27" s="191"/>
      <c r="AH27" s="198" t="s">
        <v>71</v>
      </c>
      <c r="AI27" s="214" t="s">
        <v>64</v>
      </c>
      <c r="AJ27" s="217" t="s">
        <v>73</v>
      </c>
      <c r="AK27" s="218" t="s">
        <v>74</v>
      </c>
      <c r="AL27" s="217" t="s">
        <v>74</v>
      </c>
      <c r="AM27" s="217" t="s">
        <v>74</v>
      </c>
      <c r="AP27" s="18"/>
      <c r="AQ27" s="257" t="s">
        <v>64</v>
      </c>
      <c r="AV27" s="18"/>
    </row>
    <row r="28" spans="1:51" x14ac:dyDescent="0.25">
      <c r="A28" s="270" t="s">
        <v>75</v>
      </c>
      <c r="B28" s="271">
        <f>+'Wtd Rev Alloc - Revised'!I61</f>
        <v>2670679.4708335432</v>
      </c>
      <c r="C28" s="272">
        <f>+B28/$B$41</f>
        <v>5.2511902704241283E-2</v>
      </c>
      <c r="D28" s="271">
        <f>C51</f>
        <v>0</v>
      </c>
      <c r="E28" s="271">
        <f>+'Summer Credit Hour Allocation'!AV46</f>
        <v>491292.27221843012</v>
      </c>
      <c r="F28" s="271">
        <f>D51</f>
        <v>0</v>
      </c>
      <c r="G28" s="271">
        <f t="shared" ref="G28:G40" si="0">$D$16*C28</f>
        <v>3195573.4003538238</v>
      </c>
      <c r="H28" s="271"/>
      <c r="I28" s="271">
        <f t="shared" ref="I28:I40" si="1">-(+B28+SUM(D28:H28))*$E$21</f>
        <v>-31787.725717028985</v>
      </c>
      <c r="J28" s="271">
        <f>+B28+SUM(D28:I28)</f>
        <v>6325757.4176887684</v>
      </c>
      <c r="K28" s="271"/>
      <c r="L28" s="271">
        <f t="shared" ref="L28:L40" si="2">+D28+F28</f>
        <v>0</v>
      </c>
      <c r="M28" s="271">
        <f>+J28-L28</f>
        <v>6325757.4176887684</v>
      </c>
      <c r="N28" s="273">
        <v>0.47547011381927662</v>
      </c>
      <c r="O28" s="271">
        <f>+M28*N28</f>
        <v>3007708.5993816121</v>
      </c>
      <c r="P28" s="271">
        <f t="shared" ref="P28:P36" si="3">+O28+L28</f>
        <v>3007708.5993816121</v>
      </c>
      <c r="Q28" s="270">
        <v>3380000</v>
      </c>
      <c r="R28" s="270">
        <f t="shared" ref="R28:R36" si="4">+P28-Q28</f>
        <v>-372291.40061838785</v>
      </c>
      <c r="S28" s="274">
        <f t="shared" ref="S28:S36" si="5">+P28/J28</f>
        <v>0.47547011381927662</v>
      </c>
      <c r="T28" s="270">
        <f t="shared" ref="T28:T39" si="6">+J28-P28</f>
        <v>3318048.8183071562</v>
      </c>
      <c r="U28" s="270" t="s">
        <v>76</v>
      </c>
      <c r="V28" s="270">
        <v>3586407.2499999995</v>
      </c>
      <c r="W28" s="270"/>
      <c r="X28" s="271">
        <f>+'Historical College Expenses'!F19</f>
        <v>3890318</v>
      </c>
      <c r="Y28" s="271">
        <f t="shared" ref="Y28:Y36" si="7">+P28-X28</f>
        <v>-882609.40061838785</v>
      </c>
      <c r="Z28" s="275">
        <f t="shared" ref="Z28:Z36" si="8">+P28</f>
        <v>3007708.5993816121</v>
      </c>
      <c r="AA28" s="276"/>
      <c r="AB28" s="270" t="s">
        <v>76</v>
      </c>
      <c r="AC28" s="270">
        <v>3439077.523</v>
      </c>
      <c r="AD28" s="277">
        <f t="shared" ref="AD28:AD36" si="9">+AE28-AC28</f>
        <v>-431368.9236183879</v>
      </c>
      <c r="AE28" s="278">
        <f t="shared" ref="AE28:AE36" si="10">+P28</f>
        <v>3007708.5993816121</v>
      </c>
      <c r="AF28" s="276"/>
      <c r="AG28" s="270" t="s">
        <v>76</v>
      </c>
      <c r="AH28" s="270">
        <f t="shared" ref="AH28:AH36" si="11">+X28</f>
        <v>3890318</v>
      </c>
      <c r="AI28" s="270">
        <f>+AJ28-AH28</f>
        <v>-451240.47699999996</v>
      </c>
      <c r="AJ28" s="270">
        <f t="shared" ref="AJ28:AJ36" si="12">+AC28</f>
        <v>3439077.523</v>
      </c>
      <c r="AK28" s="279">
        <f>+AL28-AJ28</f>
        <v>-431368.9236183879</v>
      </c>
      <c r="AL28" s="270">
        <f t="shared" ref="AL28:AL36" si="13">+AE28</f>
        <v>3007708.5993816121</v>
      </c>
      <c r="AM28" s="278">
        <f>+AK28+AI28</f>
        <v>-882609.40061838785</v>
      </c>
      <c r="AN28" s="280"/>
      <c r="AO28" s="270"/>
      <c r="AP28" s="280"/>
      <c r="AQ28" s="270">
        <v>3439077.523</v>
      </c>
    </row>
    <row r="29" spans="1:51" x14ac:dyDescent="0.25">
      <c r="A29" s="5" t="s">
        <v>77</v>
      </c>
      <c r="B29" s="1">
        <f>+'Wtd Rev Alloc - Revised'!I62</f>
        <v>7147517.2122043008</v>
      </c>
      <c r="C29" s="51">
        <f t="shared" ref="C29:C40" si="14">+B29/$B$41</f>
        <v>0.14053716760964141</v>
      </c>
      <c r="D29" s="14">
        <f>C47+C56+C57+C58+C59+C60</f>
        <v>2976456</v>
      </c>
      <c r="E29" s="1">
        <f>+'Summer Credit Hour Allocation'!AV47</f>
        <v>598682.5532832765</v>
      </c>
      <c r="F29" s="14">
        <f>D47+D56+D57+D58+D59+D60</f>
        <v>72704</v>
      </c>
      <c r="G29" s="1">
        <f t="shared" si="0"/>
        <v>8552286.4616780374</v>
      </c>
      <c r="H29" s="14"/>
      <c r="I29" s="14">
        <f t="shared" si="1"/>
        <v>-96738.231135828071</v>
      </c>
      <c r="J29" s="14">
        <f t="shared" ref="J29:J40" si="15">+B29+SUM(D29:I29)</f>
        <v>19250907.996029787</v>
      </c>
      <c r="K29" s="14"/>
      <c r="L29" s="1">
        <f t="shared" si="2"/>
        <v>3049160</v>
      </c>
      <c r="M29" s="1">
        <f t="shared" ref="M29:M40" si="16">+J29-L29</f>
        <v>16201747.996029787</v>
      </c>
      <c r="N29" s="111">
        <v>0.44760199133675427</v>
      </c>
      <c r="O29" s="1">
        <f t="shared" ref="O29:O36" si="17">+M29*N29</f>
        <v>7251934.6661592005</v>
      </c>
      <c r="P29" s="14">
        <f t="shared" si="3"/>
        <v>10301094.666159201</v>
      </c>
      <c r="Q29" s="18">
        <v>10535000</v>
      </c>
      <c r="R29" s="18">
        <f t="shared" si="4"/>
        <v>-233905.33384079859</v>
      </c>
      <c r="S29" s="118">
        <f t="shared" si="5"/>
        <v>0.53509656107045178</v>
      </c>
      <c r="T29" s="18">
        <f t="shared" si="6"/>
        <v>8949813.3298705854</v>
      </c>
      <c r="U29" s="161" t="s">
        <v>78</v>
      </c>
      <c r="V29" s="161">
        <v>10400802.720000001</v>
      </c>
      <c r="W29" s="161"/>
      <c r="X29" s="189">
        <f>+'Historical College Expenses'!F38</f>
        <v>10246452</v>
      </c>
      <c r="Y29" s="189">
        <f t="shared" si="7"/>
        <v>54642.666159201413</v>
      </c>
      <c r="Z29" s="219">
        <f t="shared" si="8"/>
        <v>10301094.666159201</v>
      </c>
      <c r="AA29" s="194"/>
      <c r="AB29" s="161" t="s">
        <v>78</v>
      </c>
      <c r="AC29" s="161">
        <v>10006237.092999998</v>
      </c>
      <c r="AD29" s="220">
        <f t="shared" si="9"/>
        <v>294857.57315920293</v>
      </c>
      <c r="AE29" s="204">
        <f t="shared" si="10"/>
        <v>10301094.666159201</v>
      </c>
      <c r="AF29" s="194"/>
      <c r="AG29" s="161" t="s">
        <v>78</v>
      </c>
      <c r="AH29" s="161">
        <f t="shared" si="11"/>
        <v>10246452</v>
      </c>
      <c r="AI29" s="161">
        <f t="shared" ref="AI29:AI36" si="18">+AJ29-AH29</f>
        <v>-240214.90700000152</v>
      </c>
      <c r="AJ29" s="161">
        <f t="shared" si="12"/>
        <v>10006237.092999998</v>
      </c>
      <c r="AK29" s="221">
        <f t="shared" ref="AK29:AK36" si="19">+AL29-AJ29</f>
        <v>294857.57315920293</v>
      </c>
      <c r="AL29" s="161">
        <f t="shared" si="13"/>
        <v>10301094.666159201</v>
      </c>
      <c r="AM29" s="204">
        <f t="shared" ref="AM29:AM36" si="20">+AK29+AI29</f>
        <v>54642.666159201413</v>
      </c>
      <c r="AP29" s="12"/>
      <c r="AQ29" s="18">
        <v>10006237.092999998</v>
      </c>
    </row>
    <row r="30" spans="1:51" x14ac:dyDescent="0.25">
      <c r="A30" s="270" t="s">
        <v>79</v>
      </c>
      <c r="B30" s="271">
        <f>+'Wtd Rev Alloc - Revised'!I63</f>
        <v>3594408.3208272625</v>
      </c>
      <c r="C30" s="272">
        <f t="shared" si="14"/>
        <v>7.0674606250553218E-2</v>
      </c>
      <c r="D30" s="271">
        <f>C52</f>
        <v>149584</v>
      </c>
      <c r="E30" s="271">
        <f>+'Summer Credit Hour Allocation'!AV48</f>
        <v>8401.280491467578</v>
      </c>
      <c r="F30" s="271">
        <f>D52</f>
        <v>4294.8999999999996</v>
      </c>
      <c r="G30" s="271">
        <f t="shared" si="0"/>
        <v>4300851.4295656411</v>
      </c>
      <c r="H30" s="271"/>
      <c r="I30" s="271">
        <f t="shared" si="1"/>
        <v>-40287.699654421856</v>
      </c>
      <c r="J30" s="271">
        <f t="shared" si="15"/>
        <v>8017252.2312299497</v>
      </c>
      <c r="K30" s="271"/>
      <c r="L30" s="271">
        <f t="shared" si="2"/>
        <v>153878.9</v>
      </c>
      <c r="M30" s="271">
        <f t="shared" si="16"/>
        <v>7863373.3312299494</v>
      </c>
      <c r="N30" s="273">
        <v>0.59551161988393908</v>
      </c>
      <c r="O30" s="271">
        <f t="shared" si="17"/>
        <v>4682730.190232913</v>
      </c>
      <c r="P30" s="271">
        <f t="shared" si="3"/>
        <v>4836609.0902329134</v>
      </c>
      <c r="Q30" s="270">
        <v>4355000</v>
      </c>
      <c r="R30" s="270">
        <f t="shared" si="4"/>
        <v>481609.09023291338</v>
      </c>
      <c r="S30" s="274">
        <f t="shared" si="5"/>
        <v>0.6032751559683579</v>
      </c>
      <c r="T30" s="270">
        <f t="shared" si="6"/>
        <v>3180643.1409970364</v>
      </c>
      <c r="U30" s="270" t="s">
        <v>80</v>
      </c>
      <c r="V30" s="270">
        <v>4333909.6300000008</v>
      </c>
      <c r="W30" s="270"/>
      <c r="X30" s="271">
        <f>+'Historical College Expenses'!F57</f>
        <v>4301997</v>
      </c>
      <c r="Y30" s="271">
        <f t="shared" si="7"/>
        <v>534612.09023291338</v>
      </c>
      <c r="Z30" s="275">
        <f t="shared" si="8"/>
        <v>4836609.0902329134</v>
      </c>
      <c r="AA30" s="276"/>
      <c r="AB30" s="270" t="s">
        <v>80</v>
      </c>
      <c r="AC30" s="270">
        <v>3965852.9334999998</v>
      </c>
      <c r="AD30" s="277">
        <f t="shared" si="9"/>
        <v>870756.15673291357</v>
      </c>
      <c r="AE30" s="278">
        <f t="shared" si="10"/>
        <v>4836609.0902329134</v>
      </c>
      <c r="AF30" s="276"/>
      <c r="AG30" s="270" t="s">
        <v>80</v>
      </c>
      <c r="AH30" s="270">
        <f t="shared" si="11"/>
        <v>4301997</v>
      </c>
      <c r="AI30" s="270">
        <f t="shared" si="18"/>
        <v>-336144.06650000019</v>
      </c>
      <c r="AJ30" s="270">
        <f t="shared" si="12"/>
        <v>3965852.9334999998</v>
      </c>
      <c r="AK30" s="279">
        <f t="shared" si="19"/>
        <v>870756.15673291357</v>
      </c>
      <c r="AL30" s="270">
        <f t="shared" si="13"/>
        <v>4836609.0902329134</v>
      </c>
      <c r="AM30" s="278">
        <f t="shared" si="20"/>
        <v>534612.09023291338</v>
      </c>
      <c r="AN30" s="280"/>
      <c r="AO30" s="270"/>
      <c r="AP30" s="276"/>
      <c r="AQ30" s="281">
        <v>3965852.9334999998</v>
      </c>
    </row>
    <row r="31" spans="1:51" x14ac:dyDescent="0.25">
      <c r="A31" s="5" t="s">
        <v>81</v>
      </c>
      <c r="B31" s="1">
        <f>+'Wtd Rev Alloc - Revised'!I64</f>
        <v>19633632.176514484</v>
      </c>
      <c r="C31" s="51">
        <f t="shared" si="14"/>
        <v>0.38604384908167405</v>
      </c>
      <c r="D31" s="14">
        <f>C61</f>
        <v>97313</v>
      </c>
      <c r="E31" s="1">
        <f>+'Summer Credit Hour Allocation'!AV49</f>
        <v>1641902.4264846416</v>
      </c>
      <c r="F31" s="14">
        <f>D61</f>
        <v>3558.38</v>
      </c>
      <c r="G31" s="1">
        <f t="shared" si="0"/>
        <v>23492415.851767745</v>
      </c>
      <c r="H31" s="14"/>
      <c r="I31" s="14">
        <f t="shared" si="1"/>
        <v>-224344.10917383435</v>
      </c>
      <c r="J31" s="14">
        <f t="shared" si="15"/>
        <v>44644477.725593038</v>
      </c>
      <c r="K31" s="14"/>
      <c r="L31" s="1">
        <f t="shared" si="2"/>
        <v>100871.38</v>
      </c>
      <c r="M31" s="1">
        <f t="shared" si="16"/>
        <v>44543606.345593035</v>
      </c>
      <c r="N31" s="111">
        <v>0.49678722035890399</v>
      </c>
      <c r="O31" s="1">
        <f t="shared" si="17"/>
        <v>22128694.3811884</v>
      </c>
      <c r="P31" s="14">
        <f t="shared" si="3"/>
        <v>22229565.761188399</v>
      </c>
      <c r="Q31" s="18">
        <v>25765000</v>
      </c>
      <c r="R31" s="18">
        <f t="shared" si="4"/>
        <v>-3535434.238811601</v>
      </c>
      <c r="S31" s="118">
        <f t="shared" si="5"/>
        <v>0.49792419787778158</v>
      </c>
      <c r="T31" s="18">
        <f t="shared" si="6"/>
        <v>22414911.964404639</v>
      </c>
      <c r="U31" s="161" t="s">
        <v>82</v>
      </c>
      <c r="V31" s="161">
        <v>29768561.050000001</v>
      </c>
      <c r="W31" s="161"/>
      <c r="X31" s="189">
        <f>+'Historical College Expenses'!F76</f>
        <v>30713831</v>
      </c>
      <c r="Y31" s="189">
        <f t="shared" si="7"/>
        <v>-8484265.238811601</v>
      </c>
      <c r="Z31" s="219">
        <f t="shared" si="8"/>
        <v>22229565.761188399</v>
      </c>
      <c r="AA31" s="194"/>
      <c r="AB31" s="161" t="s">
        <v>82</v>
      </c>
      <c r="AC31" s="161">
        <v>25715517.869000003</v>
      </c>
      <c r="AD31" s="220">
        <f t="shared" si="9"/>
        <v>-3485952.1078116037</v>
      </c>
      <c r="AE31" s="204">
        <f t="shared" si="10"/>
        <v>22229565.761188399</v>
      </c>
      <c r="AF31" s="194"/>
      <c r="AG31" s="161" t="s">
        <v>82</v>
      </c>
      <c r="AH31" s="161">
        <f t="shared" si="11"/>
        <v>30713831</v>
      </c>
      <c r="AI31" s="161">
        <f t="shared" si="18"/>
        <v>-4998313.1309999973</v>
      </c>
      <c r="AJ31" s="161">
        <f t="shared" si="12"/>
        <v>25715517.869000003</v>
      </c>
      <c r="AK31" s="221">
        <f t="shared" si="19"/>
        <v>-3485952.1078116037</v>
      </c>
      <c r="AL31" s="161">
        <f t="shared" si="13"/>
        <v>22229565.761188399</v>
      </c>
      <c r="AM31" s="204">
        <f t="shared" si="20"/>
        <v>-8484265.238811601</v>
      </c>
      <c r="AP31" s="12"/>
      <c r="AQ31" s="18">
        <v>25715517.869000003</v>
      </c>
    </row>
    <row r="32" spans="1:51" x14ac:dyDescent="0.25">
      <c r="A32" s="270" t="s">
        <v>83</v>
      </c>
      <c r="B32" s="271">
        <f>+'Wtd Rev Alloc - Revised'!I65</f>
        <v>4722536.0474487431</v>
      </c>
      <c r="C32" s="272">
        <f t="shared" si="14"/>
        <v>9.2856277269207768E-2</v>
      </c>
      <c r="D32" s="271">
        <f>C46</f>
        <v>0</v>
      </c>
      <c r="E32" s="271">
        <f>+'Summer Credit Hour Allocation'!AV50</f>
        <v>337512.31191808876</v>
      </c>
      <c r="F32" s="271">
        <f>D46</f>
        <v>0</v>
      </c>
      <c r="G32" s="271">
        <f t="shared" si="0"/>
        <v>5650700.7824226776</v>
      </c>
      <c r="H32" s="271"/>
      <c r="I32" s="271">
        <f t="shared" si="1"/>
        <v>-53553.745708947557</v>
      </c>
      <c r="J32" s="271">
        <f t="shared" si="15"/>
        <v>10657195.396080561</v>
      </c>
      <c r="K32" s="271"/>
      <c r="L32" s="271">
        <f t="shared" si="2"/>
        <v>0</v>
      </c>
      <c r="M32" s="271">
        <f t="shared" si="16"/>
        <v>10657195.396080561</v>
      </c>
      <c r="N32" s="273">
        <v>0.57480106629727035</v>
      </c>
      <c r="O32" s="271">
        <f t="shared" si="17"/>
        <v>6125767.2774054669</v>
      </c>
      <c r="P32" s="271">
        <f t="shared" si="3"/>
        <v>6125767.2774054669</v>
      </c>
      <c r="Q32" s="270">
        <v>7560000</v>
      </c>
      <c r="R32" s="270">
        <f t="shared" si="4"/>
        <v>-1434232.7225945331</v>
      </c>
      <c r="S32" s="274">
        <f t="shared" si="5"/>
        <v>0.57480106629727035</v>
      </c>
      <c r="T32" s="270">
        <f t="shared" si="6"/>
        <v>4531428.1186750941</v>
      </c>
      <c r="U32" s="270" t="s">
        <v>84</v>
      </c>
      <c r="V32" s="270">
        <v>8395462.7100000009</v>
      </c>
      <c r="W32" s="270"/>
      <c r="X32" s="271">
        <f>+'Historical College Expenses'!F95</f>
        <v>8390374</v>
      </c>
      <c r="Y32" s="271">
        <f t="shared" si="7"/>
        <v>-2264606.7225945331</v>
      </c>
      <c r="Z32" s="275">
        <f t="shared" si="8"/>
        <v>6125767.2774054669</v>
      </c>
      <c r="AA32" s="276"/>
      <c r="AB32" s="270" t="s">
        <v>84</v>
      </c>
      <c r="AC32" s="270">
        <v>7217339.8445000006</v>
      </c>
      <c r="AD32" s="277">
        <f t="shared" si="9"/>
        <v>-1091572.5670945337</v>
      </c>
      <c r="AE32" s="278">
        <f t="shared" si="10"/>
        <v>6125767.2774054669</v>
      </c>
      <c r="AF32" s="276"/>
      <c r="AG32" s="270" t="s">
        <v>84</v>
      </c>
      <c r="AH32" s="270">
        <f t="shared" si="11"/>
        <v>8390374</v>
      </c>
      <c r="AI32" s="270">
        <f t="shared" si="18"/>
        <v>-1173034.1554999994</v>
      </c>
      <c r="AJ32" s="270">
        <f t="shared" si="12"/>
        <v>7217339.8445000006</v>
      </c>
      <c r="AK32" s="279">
        <f t="shared" si="19"/>
        <v>-1091572.5670945337</v>
      </c>
      <c r="AL32" s="270">
        <f t="shared" si="13"/>
        <v>6125767.2774054669</v>
      </c>
      <c r="AM32" s="278">
        <f t="shared" si="20"/>
        <v>-2264606.7225945331</v>
      </c>
      <c r="AN32" s="280"/>
      <c r="AO32" s="270"/>
      <c r="AP32" s="276"/>
      <c r="AQ32" s="270">
        <v>7217339.8445000006</v>
      </c>
    </row>
    <row r="33" spans="1:49" x14ac:dyDescent="0.25">
      <c r="A33" s="5" t="s">
        <v>85</v>
      </c>
      <c r="B33" s="1">
        <f>+'Wtd Rev Alloc - Revised'!I66</f>
        <v>391509.72517377441</v>
      </c>
      <c r="C33" s="51">
        <f t="shared" si="14"/>
        <v>7.6980112441845591E-3</v>
      </c>
      <c r="D33" s="14"/>
      <c r="E33" s="1">
        <f>+'Summer Credit Hour Allocation'!AV51</f>
        <v>3287.4575836177478</v>
      </c>
      <c r="F33" s="14"/>
      <c r="G33" s="1">
        <f t="shared" si="0"/>
        <v>468456.83932062058</v>
      </c>
      <c r="H33" s="14"/>
      <c r="I33" s="14">
        <f t="shared" si="1"/>
        <v>-4316.2701103900645</v>
      </c>
      <c r="J33" s="14">
        <f t="shared" si="15"/>
        <v>858937.75196762267</v>
      </c>
      <c r="K33" s="14"/>
      <c r="L33" s="1">
        <f t="shared" si="2"/>
        <v>0</v>
      </c>
      <c r="M33" s="1">
        <f t="shared" si="16"/>
        <v>858937.75196762267</v>
      </c>
      <c r="N33" s="111">
        <v>0.83023922243875892</v>
      </c>
      <c r="O33" s="1">
        <f t="shared" si="17"/>
        <v>713123.8113168946</v>
      </c>
      <c r="P33" s="14">
        <f t="shared" si="3"/>
        <v>713123.8113168946</v>
      </c>
      <c r="Q33" s="18">
        <v>520000</v>
      </c>
      <c r="R33" s="18">
        <f t="shared" si="4"/>
        <v>193123.8113168946</v>
      </c>
      <c r="S33" s="118">
        <f t="shared" si="5"/>
        <v>0.83023922243875892</v>
      </c>
      <c r="T33" s="18">
        <f t="shared" si="6"/>
        <v>145813.94065072807</v>
      </c>
      <c r="U33" s="161" t="s">
        <v>86</v>
      </c>
      <c r="V33" s="161">
        <v>556666.54999999993</v>
      </c>
      <c r="W33" s="161"/>
      <c r="X33" s="189">
        <f>+'Historical College Expenses'!F114</f>
        <v>565685</v>
      </c>
      <c r="Y33" s="189">
        <f t="shared" si="7"/>
        <v>147438.8113168946</v>
      </c>
      <c r="Z33" s="219">
        <f t="shared" si="8"/>
        <v>713123.8113168946</v>
      </c>
      <c r="AA33" s="194"/>
      <c r="AB33" s="161" t="s">
        <v>86</v>
      </c>
      <c r="AC33" s="161">
        <v>577348.54850000003</v>
      </c>
      <c r="AD33" s="220">
        <f t="shared" si="9"/>
        <v>135775.26281689457</v>
      </c>
      <c r="AE33" s="204">
        <f t="shared" si="10"/>
        <v>713123.8113168946</v>
      </c>
      <c r="AF33" s="194"/>
      <c r="AG33" s="161" t="s">
        <v>86</v>
      </c>
      <c r="AH33" s="161">
        <f t="shared" si="11"/>
        <v>565685</v>
      </c>
      <c r="AI33" s="161">
        <f t="shared" si="18"/>
        <v>11663.548500000034</v>
      </c>
      <c r="AJ33" s="161">
        <f t="shared" si="12"/>
        <v>577348.54850000003</v>
      </c>
      <c r="AK33" s="221">
        <f t="shared" si="19"/>
        <v>135775.26281689457</v>
      </c>
      <c r="AL33" s="161">
        <f t="shared" si="13"/>
        <v>713123.8113168946</v>
      </c>
      <c r="AM33" s="204">
        <f t="shared" si="20"/>
        <v>147438.8113168946</v>
      </c>
      <c r="AP33" s="12"/>
      <c r="AQ33" s="18">
        <v>577348.54850000003</v>
      </c>
    </row>
    <row r="34" spans="1:49" x14ac:dyDescent="0.25">
      <c r="A34" s="270" t="s">
        <v>87</v>
      </c>
      <c r="B34" s="271">
        <f>+'Wtd Rev Alloc - Revised'!I67</f>
        <v>4461361.928464978</v>
      </c>
      <c r="C34" s="272">
        <f t="shared" si="14"/>
        <v>8.7720973660249821E-2</v>
      </c>
      <c r="D34" s="271">
        <f>C48</f>
        <v>431386</v>
      </c>
      <c r="E34" s="271">
        <f>+'Summer Credit Hour Allocation'!AV52</f>
        <v>542430.50129692839</v>
      </c>
      <c r="F34" s="271">
        <f>D48</f>
        <v>21276</v>
      </c>
      <c r="G34" s="271">
        <f t="shared" si="0"/>
        <v>5338195.6403417839</v>
      </c>
      <c r="H34" s="271"/>
      <c r="I34" s="271">
        <f t="shared" si="1"/>
        <v>-53973.25035051845</v>
      </c>
      <c r="J34" s="271">
        <f t="shared" si="15"/>
        <v>10740676.819753172</v>
      </c>
      <c r="K34" s="271"/>
      <c r="L34" s="271">
        <f t="shared" si="2"/>
        <v>452662</v>
      </c>
      <c r="M34" s="271">
        <f t="shared" si="16"/>
        <v>10288014.819753172</v>
      </c>
      <c r="N34" s="273">
        <v>0.58623047758368829</v>
      </c>
      <c r="O34" s="271">
        <f t="shared" si="17"/>
        <v>6031147.841171965</v>
      </c>
      <c r="P34" s="271">
        <f t="shared" si="3"/>
        <v>6483809.841171965</v>
      </c>
      <c r="Q34" s="270">
        <v>5985000</v>
      </c>
      <c r="R34" s="270">
        <f t="shared" si="4"/>
        <v>498809.841171965</v>
      </c>
      <c r="S34" s="274">
        <f t="shared" si="5"/>
        <v>0.60366864676978216</v>
      </c>
      <c r="T34" s="270">
        <f t="shared" si="6"/>
        <v>4256866.9785812069</v>
      </c>
      <c r="U34" s="270" t="s">
        <v>88</v>
      </c>
      <c r="V34" s="270">
        <v>5407794.1900000013</v>
      </c>
      <c r="W34" s="270"/>
      <c r="X34" s="271">
        <f>+'Historical College Expenses'!F152</f>
        <v>5974514</v>
      </c>
      <c r="Y34" s="271">
        <f t="shared" si="7"/>
        <v>509295.841171965</v>
      </c>
      <c r="Z34" s="275">
        <f t="shared" si="8"/>
        <v>6483809.841171965</v>
      </c>
      <c r="AA34" s="276"/>
      <c r="AB34" s="270" t="s">
        <v>88</v>
      </c>
      <c r="AC34" s="270">
        <v>5686261.2779999999</v>
      </c>
      <c r="AD34" s="277">
        <f t="shared" si="9"/>
        <v>797548.56317196507</v>
      </c>
      <c r="AE34" s="278">
        <f t="shared" si="10"/>
        <v>6483809.841171965</v>
      </c>
      <c r="AF34" s="276"/>
      <c r="AG34" s="270" t="s">
        <v>88</v>
      </c>
      <c r="AH34" s="270">
        <f t="shared" si="11"/>
        <v>5974514</v>
      </c>
      <c r="AI34" s="270">
        <f t="shared" si="18"/>
        <v>-288252.72200000007</v>
      </c>
      <c r="AJ34" s="270">
        <f t="shared" si="12"/>
        <v>5686261.2779999999</v>
      </c>
      <c r="AK34" s="279">
        <f t="shared" si="19"/>
        <v>797548.56317196507</v>
      </c>
      <c r="AL34" s="270">
        <f t="shared" si="13"/>
        <v>6483809.841171965</v>
      </c>
      <c r="AM34" s="278">
        <f t="shared" si="20"/>
        <v>509295.841171965</v>
      </c>
      <c r="AN34" s="280"/>
      <c r="AO34" s="270"/>
      <c r="AP34" s="280"/>
      <c r="AQ34" s="270">
        <v>5686261.2779999999</v>
      </c>
    </row>
    <row r="35" spans="1:49" x14ac:dyDescent="0.25">
      <c r="A35" s="5" t="s">
        <v>89</v>
      </c>
      <c r="B35" s="1">
        <f>+'Wtd Rev Alloc - Revised'!I68</f>
        <v>1961258.2050607046</v>
      </c>
      <c r="C35" s="51">
        <f t="shared" si="14"/>
        <v>3.8562995360090398E-2</v>
      </c>
      <c r="D35" s="14">
        <f>C53+C54</f>
        <v>1801438.5</v>
      </c>
      <c r="E35" s="1">
        <f>+'Summer Credit Hour Allocation'!AV53</f>
        <v>122366.47672354949</v>
      </c>
      <c r="F35" s="14">
        <f>D53+D54</f>
        <v>41932</v>
      </c>
      <c r="G35" s="1">
        <f t="shared" si="0"/>
        <v>2346722.8545256974</v>
      </c>
      <c r="H35" s="14"/>
      <c r="I35" s="14">
        <f t="shared" si="1"/>
        <v>-31368.590181549756</v>
      </c>
      <c r="J35" s="14">
        <f t="shared" si="15"/>
        <v>6242349.446128401</v>
      </c>
      <c r="K35" s="14"/>
      <c r="L35" s="1">
        <f t="shared" si="2"/>
        <v>1843370.5</v>
      </c>
      <c r="M35" s="1">
        <f t="shared" si="16"/>
        <v>4398978.946128401</v>
      </c>
      <c r="N35" s="111">
        <v>0.89802092031493796</v>
      </c>
      <c r="O35" s="1">
        <f t="shared" si="17"/>
        <v>3950375.1216482627</v>
      </c>
      <c r="P35" s="14">
        <f t="shared" si="3"/>
        <v>5793745.6216482632</v>
      </c>
      <c r="Q35" s="18">
        <v>4950000</v>
      </c>
      <c r="R35" s="18">
        <f t="shared" si="4"/>
        <v>843745.62164826319</v>
      </c>
      <c r="S35" s="118">
        <f t="shared" si="5"/>
        <v>0.92813541946800682</v>
      </c>
      <c r="T35" s="18">
        <f t="shared" si="6"/>
        <v>448603.82448013779</v>
      </c>
      <c r="U35" s="161" t="s">
        <v>90</v>
      </c>
      <c r="V35" s="161">
        <v>5938188.6999999983</v>
      </c>
      <c r="W35" s="161"/>
      <c r="X35" s="189">
        <f>+'Historical College Expenses'!F171</f>
        <v>4999729</v>
      </c>
      <c r="Y35" s="189">
        <f t="shared" si="7"/>
        <v>794016.62164826319</v>
      </c>
      <c r="Z35" s="219">
        <f t="shared" si="8"/>
        <v>5793745.6216482632</v>
      </c>
      <c r="AA35" s="194"/>
      <c r="AB35" s="161" t="s">
        <v>90</v>
      </c>
      <c r="AC35" s="161">
        <v>4826502.9780000001</v>
      </c>
      <c r="AD35" s="220">
        <f t="shared" si="9"/>
        <v>967242.64364826307</v>
      </c>
      <c r="AE35" s="204">
        <f t="shared" si="10"/>
        <v>5793745.6216482632</v>
      </c>
      <c r="AF35" s="194"/>
      <c r="AG35" s="161" t="s">
        <v>90</v>
      </c>
      <c r="AH35" s="161">
        <f t="shared" si="11"/>
        <v>4999729</v>
      </c>
      <c r="AI35" s="161">
        <f t="shared" si="18"/>
        <v>-173226.02199999988</v>
      </c>
      <c r="AJ35" s="161">
        <f t="shared" si="12"/>
        <v>4826502.9780000001</v>
      </c>
      <c r="AK35" s="221">
        <f t="shared" si="19"/>
        <v>967242.64364826307</v>
      </c>
      <c r="AL35" s="161">
        <f t="shared" si="13"/>
        <v>5793745.6216482632</v>
      </c>
      <c r="AM35" s="204">
        <f t="shared" si="20"/>
        <v>794016.62164826319</v>
      </c>
      <c r="AP35" s="12"/>
      <c r="AQ35" s="18">
        <v>4826502.9780000001</v>
      </c>
    </row>
    <row r="36" spans="1:49" x14ac:dyDescent="0.25">
      <c r="A36" s="270" t="s">
        <v>91</v>
      </c>
      <c r="B36" s="271">
        <f>+'Wtd Rev Alloc - Revised'!I69</f>
        <v>2770749.2609999999</v>
      </c>
      <c r="C36" s="272">
        <f t="shared" si="14"/>
        <v>5.4479512498768486E-2</v>
      </c>
      <c r="D36" s="271">
        <f>C45+C49+C50+C55</f>
        <v>23161</v>
      </c>
      <c r="E36" s="271">
        <f>+'Summer Credit Hour Allocation'!AV56</f>
        <v>204409</v>
      </c>
      <c r="F36" s="271">
        <f>D45+D49+D50+D55</f>
        <v>6000</v>
      </c>
      <c r="G36" s="271">
        <f t="shared" si="0"/>
        <v>3315310.8541094069</v>
      </c>
      <c r="H36" s="271"/>
      <c r="I36" s="271">
        <f t="shared" si="1"/>
        <v>-31598.150575547032</v>
      </c>
      <c r="J36" s="271">
        <f t="shared" si="15"/>
        <v>6288031.9645338599</v>
      </c>
      <c r="K36" s="271"/>
      <c r="L36" s="271">
        <f t="shared" si="2"/>
        <v>29161</v>
      </c>
      <c r="M36" s="271">
        <f t="shared" si="16"/>
        <v>6258870.9645338599</v>
      </c>
      <c r="N36" s="273">
        <v>0.70767577942586568</v>
      </c>
      <c r="O36" s="271">
        <f t="shared" si="17"/>
        <v>4429251.3881524187</v>
      </c>
      <c r="P36" s="271">
        <f t="shared" si="3"/>
        <v>4458412.3881524187</v>
      </c>
      <c r="Q36" s="270">
        <v>4980000</v>
      </c>
      <c r="R36" s="270">
        <f t="shared" si="4"/>
        <v>-521587.61184758134</v>
      </c>
      <c r="S36" s="274">
        <f t="shared" si="5"/>
        <v>0.7090314447030529</v>
      </c>
      <c r="T36" s="270">
        <f t="shared" si="6"/>
        <v>1829619.5763814412</v>
      </c>
      <c r="U36" s="270" t="s">
        <v>91</v>
      </c>
      <c r="V36" s="270">
        <v>4751531.91</v>
      </c>
      <c r="W36" s="270"/>
      <c r="X36" s="271">
        <f>+'Historical College Expenses'!F133</f>
        <v>5572290</v>
      </c>
      <c r="Y36" s="271">
        <f t="shared" si="7"/>
        <v>-1113877.6118475813</v>
      </c>
      <c r="Z36" s="275">
        <f t="shared" si="8"/>
        <v>4458412.3881524187</v>
      </c>
      <c r="AA36" s="276"/>
      <c r="AB36" s="270" t="s">
        <v>91</v>
      </c>
      <c r="AC36" s="270">
        <v>5337296.0924999993</v>
      </c>
      <c r="AD36" s="277">
        <f t="shared" si="9"/>
        <v>-878883.70434758067</v>
      </c>
      <c r="AE36" s="278">
        <f t="shared" si="10"/>
        <v>4458412.3881524187</v>
      </c>
      <c r="AF36" s="276"/>
      <c r="AG36" s="270" t="s">
        <v>91</v>
      </c>
      <c r="AH36" s="270">
        <f t="shared" si="11"/>
        <v>5572290</v>
      </c>
      <c r="AI36" s="270">
        <f t="shared" si="18"/>
        <v>-234993.90750000067</v>
      </c>
      <c r="AJ36" s="270">
        <f t="shared" si="12"/>
        <v>5337296.0924999993</v>
      </c>
      <c r="AK36" s="279">
        <f t="shared" si="19"/>
        <v>-878883.70434758067</v>
      </c>
      <c r="AL36" s="270">
        <f t="shared" si="13"/>
        <v>4458412.3881524187</v>
      </c>
      <c r="AM36" s="278">
        <f t="shared" si="20"/>
        <v>-1113877.6118475813</v>
      </c>
      <c r="AN36" s="280"/>
      <c r="AO36" s="270"/>
      <c r="AP36" s="276"/>
      <c r="AQ36" s="281">
        <v>5337296.0924999993</v>
      </c>
    </row>
    <row r="37" spans="1:49" x14ac:dyDescent="0.25">
      <c r="A37" s="5" t="s">
        <v>92</v>
      </c>
      <c r="B37" s="1">
        <f>+'Wtd Rev Alloc - Revised'!I70</f>
        <v>1004654.3344669166</v>
      </c>
      <c r="C37" s="51">
        <f t="shared" si="14"/>
        <v>1.9753890812833214E-2</v>
      </c>
      <c r="D37" s="14"/>
      <c r="E37" s="1"/>
      <c r="F37" s="14"/>
      <c r="G37" s="1">
        <f t="shared" si="0"/>
        <v>1202108.5655668902</v>
      </c>
      <c r="H37" s="14"/>
      <c r="I37" s="14">
        <f t="shared" si="1"/>
        <v>-11033.814500169035</v>
      </c>
      <c r="J37" s="14">
        <f t="shared" si="15"/>
        <v>2195729.0855336376</v>
      </c>
      <c r="K37" s="14"/>
      <c r="L37" s="1">
        <f t="shared" si="2"/>
        <v>0</v>
      </c>
      <c r="M37" s="1">
        <f t="shared" si="16"/>
        <v>2195729.0855336376</v>
      </c>
      <c r="N37" s="111"/>
      <c r="O37" s="1"/>
      <c r="P37" s="14"/>
      <c r="Q37" s="18"/>
      <c r="R37" s="18"/>
      <c r="S37" s="118"/>
      <c r="T37" s="18">
        <f t="shared" si="6"/>
        <v>2195729.0855336376</v>
      </c>
      <c r="U37" s="161" t="s">
        <v>92</v>
      </c>
      <c r="V37" s="161"/>
      <c r="W37" s="161"/>
      <c r="X37" s="189"/>
      <c r="Y37" s="189"/>
      <c r="Z37" s="219"/>
      <c r="AA37" s="194"/>
      <c r="AB37" s="161" t="s">
        <v>92</v>
      </c>
      <c r="AC37" s="161"/>
      <c r="AD37" s="220"/>
      <c r="AE37" s="204"/>
      <c r="AF37" s="194"/>
      <c r="AG37" s="161" t="s">
        <v>92</v>
      </c>
      <c r="AH37" s="161"/>
      <c r="AI37" s="161"/>
      <c r="AK37" s="221"/>
      <c r="AM37" s="204"/>
      <c r="AP37" s="12"/>
      <c r="AQ37" s="18"/>
    </row>
    <row r="38" spans="1:49" x14ac:dyDescent="0.25">
      <c r="A38" s="270" t="s">
        <v>93</v>
      </c>
      <c r="B38" s="271">
        <f>+'Wtd Rev Alloc - Revised'!I71</f>
        <v>0</v>
      </c>
      <c r="C38" s="272">
        <f t="shared" si="14"/>
        <v>0</v>
      </c>
      <c r="D38" s="271"/>
      <c r="E38" s="271"/>
      <c r="F38" s="271"/>
      <c r="G38" s="271">
        <f t="shared" si="0"/>
        <v>0</v>
      </c>
      <c r="H38" s="271"/>
      <c r="I38" s="271">
        <f t="shared" si="1"/>
        <v>0</v>
      </c>
      <c r="J38" s="271">
        <f t="shared" si="15"/>
        <v>0</v>
      </c>
      <c r="K38" s="271"/>
      <c r="L38" s="271">
        <f t="shared" si="2"/>
        <v>0</v>
      </c>
      <c r="M38" s="271">
        <f t="shared" si="16"/>
        <v>0</v>
      </c>
      <c r="N38" s="273"/>
      <c r="O38" s="271"/>
      <c r="P38" s="271"/>
      <c r="Q38" s="270"/>
      <c r="R38" s="270"/>
      <c r="S38" s="274"/>
      <c r="T38" s="270">
        <f t="shared" si="6"/>
        <v>0</v>
      </c>
      <c r="U38" s="270" t="s">
        <v>94</v>
      </c>
      <c r="V38" s="270"/>
      <c r="W38" s="270"/>
      <c r="X38" s="271"/>
      <c r="Y38" s="271"/>
      <c r="Z38" s="275"/>
      <c r="AA38" s="276"/>
      <c r="AB38" s="270" t="s">
        <v>94</v>
      </c>
      <c r="AC38" s="270"/>
      <c r="AD38" s="277"/>
      <c r="AE38" s="278"/>
      <c r="AF38" s="276"/>
      <c r="AG38" s="270" t="s">
        <v>94</v>
      </c>
      <c r="AH38" s="270"/>
      <c r="AI38" s="270"/>
      <c r="AJ38" s="270"/>
      <c r="AK38" s="279"/>
      <c r="AL38" s="270"/>
      <c r="AM38" s="278"/>
      <c r="AN38" s="280"/>
      <c r="AO38" s="270"/>
      <c r="AP38" s="276"/>
      <c r="AQ38" s="270"/>
    </row>
    <row r="39" spans="1:49" x14ac:dyDescent="0.25">
      <c r="A39" s="5" t="s">
        <v>95</v>
      </c>
      <c r="B39" s="1">
        <f>+'Wtd Rev Alloc - Revised'!I72</f>
        <v>2500247.9180052965</v>
      </c>
      <c r="C39" s="51">
        <f t="shared" si="14"/>
        <v>4.9160813508555667E-2</v>
      </c>
      <c r="D39" s="18">
        <f>C62</f>
        <v>267913.5</v>
      </c>
      <c r="E39" s="5"/>
      <c r="F39" s="18">
        <f>D62</f>
        <v>30475.72</v>
      </c>
      <c r="G39" s="1">
        <f t="shared" si="0"/>
        <v>2991645.3203476667</v>
      </c>
      <c r="H39" s="18"/>
      <c r="I39" s="14">
        <f t="shared" si="1"/>
        <v>-28951.412291764813</v>
      </c>
      <c r="J39" s="14">
        <f t="shared" si="15"/>
        <v>5761331.0460611982</v>
      </c>
      <c r="K39" s="14"/>
      <c r="L39" s="1">
        <f t="shared" si="2"/>
        <v>298389.21999999997</v>
      </c>
      <c r="M39" s="1">
        <f t="shared" si="16"/>
        <v>5462941.8260611985</v>
      </c>
      <c r="N39" s="111"/>
      <c r="O39" s="5"/>
      <c r="P39" s="1"/>
      <c r="Q39" s="18"/>
      <c r="R39" s="18"/>
      <c r="S39" s="1"/>
      <c r="T39" s="18">
        <f t="shared" si="6"/>
        <v>5761331.0460611982</v>
      </c>
      <c r="U39" s="161" t="s">
        <v>96</v>
      </c>
      <c r="V39" s="161"/>
      <c r="W39" s="161"/>
      <c r="X39" s="161"/>
      <c r="Y39" s="161"/>
      <c r="Z39" s="161"/>
      <c r="AA39" s="108"/>
      <c r="AB39" s="161" t="s">
        <v>96</v>
      </c>
      <c r="AC39" s="161"/>
      <c r="AD39" s="108"/>
      <c r="AF39" s="194"/>
      <c r="AG39" s="161" t="s">
        <v>96</v>
      </c>
      <c r="AH39" s="161"/>
      <c r="AI39" s="161"/>
      <c r="AK39" s="221"/>
      <c r="AL39" s="204"/>
      <c r="AM39" s="108"/>
      <c r="AP39" s="12"/>
      <c r="AQ39" s="18"/>
    </row>
    <row r="40" spans="1:49" x14ac:dyDescent="0.25">
      <c r="A40" s="281" t="s">
        <v>97</v>
      </c>
      <c r="B40" s="271">
        <f>+'Wtd Rev Alloc - Revised'!I73</f>
        <v>0</v>
      </c>
      <c r="C40" s="272">
        <f t="shared" si="14"/>
        <v>0</v>
      </c>
      <c r="D40" s="270"/>
      <c r="E40" s="270"/>
      <c r="F40" s="270"/>
      <c r="G40" s="271">
        <f t="shared" si="0"/>
        <v>0</v>
      </c>
      <c r="H40" s="270">
        <f>+D18</f>
        <v>350000</v>
      </c>
      <c r="I40" s="271">
        <f t="shared" si="1"/>
        <v>-1750</v>
      </c>
      <c r="J40" s="271">
        <f t="shared" si="15"/>
        <v>348250</v>
      </c>
      <c r="K40" s="271"/>
      <c r="L40" s="271">
        <f t="shared" si="2"/>
        <v>0</v>
      </c>
      <c r="M40" s="271">
        <f t="shared" si="16"/>
        <v>348250</v>
      </c>
      <c r="N40" s="273"/>
      <c r="O40" s="270"/>
      <c r="P40" s="270"/>
      <c r="Q40" s="270"/>
      <c r="R40" s="270"/>
      <c r="S40" s="270"/>
      <c r="T40" s="270">
        <f>+J40-P40-D21</f>
        <v>957952.99939999997</v>
      </c>
      <c r="U40" s="281" t="s">
        <v>98</v>
      </c>
      <c r="V40" s="270"/>
      <c r="W40" s="270"/>
      <c r="X40" s="270"/>
      <c r="Y40" s="270"/>
      <c r="Z40" s="270"/>
      <c r="AA40" s="280"/>
      <c r="AB40" s="281" t="s">
        <v>98</v>
      </c>
      <c r="AC40" s="270">
        <v>4700000</v>
      </c>
      <c r="AD40" s="280"/>
      <c r="AE40" s="278">
        <f>+AC40</f>
        <v>4700000</v>
      </c>
      <c r="AF40" s="276"/>
      <c r="AG40" s="281" t="s">
        <v>98</v>
      </c>
      <c r="AH40" s="270"/>
      <c r="AI40" s="270"/>
      <c r="AJ40" s="270">
        <v>4700000</v>
      </c>
      <c r="AK40" s="279"/>
      <c r="AL40" s="278">
        <v>4700000</v>
      </c>
      <c r="AM40" s="280"/>
      <c r="AN40" s="280"/>
      <c r="AO40" s="270"/>
      <c r="AP40" s="276"/>
      <c r="AQ40" s="270"/>
    </row>
    <row r="41" spans="1:49" x14ac:dyDescent="0.25">
      <c r="B41" s="25">
        <f t="shared" ref="B41:J41" si="21">SUM(B28:B40)</f>
        <v>50858554.600000009</v>
      </c>
      <c r="C41" s="258">
        <f>SUM(C28:C40)</f>
        <v>0.99999999999999978</v>
      </c>
      <c r="D41" s="19">
        <f t="shared" si="21"/>
        <v>5747252</v>
      </c>
      <c r="E41" s="19">
        <f t="shared" si="21"/>
        <v>3950284.28</v>
      </c>
      <c r="F41" s="19">
        <f t="shared" si="21"/>
        <v>180241</v>
      </c>
      <c r="G41" s="19">
        <f t="shared" si="21"/>
        <v>60854267.999999993</v>
      </c>
      <c r="H41" s="19">
        <f t="shared" si="21"/>
        <v>350000</v>
      </c>
      <c r="I41" s="25">
        <f t="shared" si="21"/>
        <v>-609702.99939999997</v>
      </c>
      <c r="J41" s="25">
        <f t="shared" si="21"/>
        <v>121330896.88059999</v>
      </c>
      <c r="K41" s="3"/>
      <c r="L41" s="25">
        <f>SUM(L28:L40)</f>
        <v>5927492.9999999991</v>
      </c>
      <c r="M41" s="25">
        <f>SUM(M28:M40)</f>
        <v>115403403.88059999</v>
      </c>
      <c r="N41" s="3"/>
      <c r="O41" s="25">
        <f>SUM(O28:O40)</f>
        <v>58320733.276657127</v>
      </c>
      <c r="P41" s="25">
        <f>SUM(P28:P40)</f>
        <v>63949837.056657135</v>
      </c>
      <c r="Q41" s="25">
        <f>SUM(Q28:Q40)</f>
        <v>68030000</v>
      </c>
      <c r="R41" s="25">
        <f>SUM(R28:R40)</f>
        <v>-4080162.9433428664</v>
      </c>
      <c r="S41" s="3"/>
      <c r="T41" s="78">
        <f>SUM(T28:T40)</f>
        <v>57990762.823342845</v>
      </c>
      <c r="U41" s="204" t="s">
        <v>99</v>
      </c>
      <c r="V41" s="224">
        <f>SUM(V28:V40)</f>
        <v>73139324.710000008</v>
      </c>
      <c r="W41" s="224"/>
      <c r="X41" s="224">
        <f>SUM(X28:X40)</f>
        <v>74655190</v>
      </c>
      <c r="Y41" s="224">
        <f t="shared" ref="Y41:Z41" si="22">SUM(Y28:Y40)</f>
        <v>-10705352.943342866</v>
      </c>
      <c r="Z41" s="224">
        <f t="shared" si="22"/>
        <v>63949837.056657135</v>
      </c>
      <c r="AA41" s="108"/>
      <c r="AB41" s="204" t="s">
        <v>99</v>
      </c>
      <c r="AC41" s="163">
        <f>SUM(AC28:AC40)</f>
        <v>71471434.159999996</v>
      </c>
      <c r="AD41" s="163">
        <f>SUM(AD28:AD40)</f>
        <v>-2821597.1033428665</v>
      </c>
      <c r="AE41" s="163">
        <f>SUM(AE28:AE40)</f>
        <v>68649837.056657135</v>
      </c>
      <c r="AF41" s="161"/>
      <c r="AG41" s="204" t="s">
        <v>99</v>
      </c>
      <c r="AH41" s="163">
        <f t="shared" ref="AH41:AM41" si="23">SUM(AH28:AH40)</f>
        <v>74655190</v>
      </c>
      <c r="AI41" s="163">
        <f t="shared" si="23"/>
        <v>-7883755.8399999989</v>
      </c>
      <c r="AJ41" s="163">
        <f t="shared" si="23"/>
        <v>71471434.159999996</v>
      </c>
      <c r="AK41" s="225">
        <f t="shared" si="23"/>
        <v>-2821597.1033428665</v>
      </c>
      <c r="AL41" s="163">
        <f t="shared" si="23"/>
        <v>68649837.056657135</v>
      </c>
      <c r="AM41" s="163">
        <f t="shared" si="23"/>
        <v>-10705352.943342866</v>
      </c>
      <c r="AP41" s="12"/>
      <c r="AQ41" s="18">
        <f>SUM(AQ28:AQ40)</f>
        <v>66771434.160000004</v>
      </c>
    </row>
    <row r="42" spans="1:49" x14ac:dyDescent="0.25">
      <c r="B42" s="424"/>
      <c r="C42" s="296"/>
      <c r="D42" s="424"/>
      <c r="E42" s="424"/>
      <c r="F42" s="424"/>
      <c r="G42" s="424"/>
      <c r="H42" s="424"/>
      <c r="I42" s="424"/>
      <c r="J42" s="424"/>
      <c r="K42" s="3"/>
      <c r="L42" s="424"/>
      <c r="M42" s="424"/>
      <c r="N42" s="3"/>
      <c r="O42" s="35"/>
      <c r="P42" s="35"/>
      <c r="Q42" s="35"/>
      <c r="R42" s="139">
        <f>+P41/D20</f>
        <v>0.52443433212227308</v>
      </c>
      <c r="S42" s="139"/>
      <c r="U42" s="12"/>
      <c r="W42" s="12"/>
      <c r="X42" s="194"/>
      <c r="Y42" s="226">
        <f>+V41/Z20</f>
        <v>0.58519852919385118</v>
      </c>
      <c r="Z42" s="226">
        <f>+X41/AA20</f>
        <v>0.60432700823463181</v>
      </c>
      <c r="AA42" s="204"/>
      <c r="AB42" s="204"/>
      <c r="AD42" s="161"/>
      <c r="AE42" s="226">
        <f>+AC41/AF20</f>
        <v>0.59082672219185617</v>
      </c>
      <c r="AG42" s="226">
        <f>+AE41/AH20</f>
        <v>0.56750166949762748</v>
      </c>
      <c r="AH42" s="161"/>
      <c r="AI42" s="161"/>
      <c r="AJ42" s="108"/>
      <c r="AK42" s="204"/>
      <c r="AL42" s="194"/>
      <c r="AM42" s="194"/>
      <c r="AN42" s="226">
        <f>+AL41/AO20</f>
        <v>0.5557142195237138</v>
      </c>
      <c r="AQ42" s="18"/>
      <c r="AR42" s="12"/>
      <c r="AV42" s="18"/>
      <c r="AW42" s="18"/>
    </row>
    <row r="43" spans="1:49" x14ac:dyDescent="0.25">
      <c r="B43" s="1"/>
      <c r="C43" s="48"/>
      <c r="D43" s="187"/>
      <c r="E43" s="48">
        <v>2022</v>
      </c>
      <c r="F43" s="425"/>
      <c r="G43" s="426"/>
      <c r="H43" s="425"/>
      <c r="N43" s="3"/>
      <c r="U43" s="35"/>
      <c r="V43" s="3"/>
      <c r="W43" s="35"/>
      <c r="X43" s="200" t="s">
        <v>102</v>
      </c>
      <c r="Y43" s="204">
        <f>SUM(V28:V36)</f>
        <v>73139324.710000008</v>
      </c>
      <c r="Z43" s="204">
        <f>SUM(X28:X36)</f>
        <v>74655190</v>
      </c>
      <c r="AA43" s="227"/>
      <c r="AB43" s="227"/>
      <c r="AD43" s="200" t="s">
        <v>102</v>
      </c>
      <c r="AE43" s="204">
        <f>SUM(AC28:AC36)</f>
        <v>66771434.160000004</v>
      </c>
      <c r="AG43" s="204">
        <f>SUM(AE28:AE36)</f>
        <v>63949837.056657135</v>
      </c>
      <c r="AH43" s="161"/>
      <c r="AI43" s="200" t="s">
        <v>102</v>
      </c>
      <c r="AJ43" s="204">
        <f>SUM(AH28:AH36)</f>
        <v>74655190</v>
      </c>
      <c r="AK43" s="204"/>
      <c r="AL43" s="204">
        <f>SUM(AJ28:AJ36)</f>
        <v>66771434.160000004</v>
      </c>
      <c r="AM43" s="204"/>
      <c r="AN43" s="204">
        <f>SUM(AL28:AL36)</f>
        <v>63949837.056657135</v>
      </c>
      <c r="AO43" s="204"/>
      <c r="AP43" s="161"/>
      <c r="AQ43" s="18"/>
      <c r="AR43"/>
      <c r="AS43"/>
      <c r="AT43"/>
      <c r="AU43"/>
    </row>
    <row r="44" spans="1:49" x14ac:dyDescent="0.25">
      <c r="A44" s="13" t="s">
        <v>100</v>
      </c>
      <c r="C44" s="42" t="s">
        <v>101</v>
      </c>
      <c r="D44" s="42" t="s">
        <v>31</v>
      </c>
      <c r="E44" s="42" t="s">
        <v>38</v>
      </c>
      <c r="F44" s="427"/>
      <c r="G44" s="425"/>
      <c r="H44" s="425"/>
      <c r="O44" s="5" t="s">
        <v>144</v>
      </c>
      <c r="P44" s="5"/>
      <c r="Q44" s="18">
        <v>69778.509258476755</v>
      </c>
      <c r="Y44" s="204"/>
      <c r="AD44" s="228"/>
      <c r="AH44" s="161"/>
      <c r="AI44" s="228"/>
      <c r="AN44" s="161"/>
      <c r="AO44" s="108"/>
      <c r="AP44" s="161"/>
      <c r="AQ44" s="18">
        <v>61650.652499999997</v>
      </c>
      <c r="AR44" s="3"/>
      <c r="AS44" s="3"/>
      <c r="AT44"/>
      <c r="AU44"/>
    </row>
    <row r="45" spans="1:49" x14ac:dyDescent="0.25">
      <c r="A45" s="1" t="s">
        <v>134</v>
      </c>
      <c r="B45" t="s">
        <v>130</v>
      </c>
      <c r="C45" s="1">
        <f>'Net Tuition AY'!N37</f>
        <v>0</v>
      </c>
      <c r="D45" s="1">
        <f>'Net Tuition Summer'!L33</f>
        <v>0</v>
      </c>
      <c r="E45" s="1">
        <f>SUM(C45:D45)</f>
        <v>0</v>
      </c>
      <c r="F45" s="1"/>
      <c r="G45" s="5"/>
      <c r="H45" s="5"/>
      <c r="O45" s="5" t="s">
        <v>147</v>
      </c>
      <c r="P45" s="5"/>
      <c r="Q45" s="18">
        <v>5969954.508916826</v>
      </c>
      <c r="R45" s="6"/>
      <c r="S45" s="6"/>
      <c r="U45" s="6"/>
      <c r="X45" s="108" t="s">
        <v>109</v>
      </c>
      <c r="Y45" s="161">
        <v>3442921.2899999996</v>
      </c>
      <c r="Z45" s="161">
        <v>3040576.2300000004</v>
      </c>
      <c r="AB45" s="189">
        <f t="shared" ref="AB45" si="24">MAX(Z45,Y45)</f>
        <v>3442921.2899999996</v>
      </c>
      <c r="AD45" s="108" t="s">
        <v>109</v>
      </c>
      <c r="AE45" s="161">
        <v>3322431.0779999997</v>
      </c>
      <c r="AH45" s="161"/>
      <c r="AI45" s="108" t="s">
        <v>109</v>
      </c>
      <c r="AL45" s="108"/>
      <c r="AN45" s="161">
        <f>+AE45</f>
        <v>3322431.0779999997</v>
      </c>
      <c r="AO45" s="108"/>
      <c r="AQ45" s="18">
        <v>5808070.1485000001</v>
      </c>
      <c r="AU45"/>
    </row>
    <row r="46" spans="1:49" x14ac:dyDescent="0.25">
      <c r="A46" s="1" t="s">
        <v>234</v>
      </c>
      <c r="B46" t="s">
        <v>235</v>
      </c>
      <c r="C46" s="1">
        <f>'Net Tuition AY'!N38</f>
        <v>0</v>
      </c>
      <c r="D46" s="1">
        <f>'Net Tuition Summer'!L34</f>
        <v>0</v>
      </c>
      <c r="E46" s="1"/>
      <c r="F46" s="1"/>
      <c r="G46" s="5"/>
      <c r="H46" s="5"/>
      <c r="O46" s="5" t="s">
        <v>156</v>
      </c>
      <c r="Q46" s="18"/>
      <c r="AR46"/>
    </row>
    <row r="47" spans="1:49" x14ac:dyDescent="0.25">
      <c r="A47" s="1" t="s">
        <v>106</v>
      </c>
      <c r="B47" t="s">
        <v>104</v>
      </c>
      <c r="C47" s="1">
        <f>'Net Tuition AY'!N39</f>
        <v>35898</v>
      </c>
      <c r="D47" s="1">
        <f>'Net Tuition Summer'!L35</f>
        <v>19108</v>
      </c>
      <c r="E47" s="1">
        <f>SUM(C47:D47)</f>
        <v>55006</v>
      </c>
      <c r="F47" s="1"/>
      <c r="G47" s="5"/>
      <c r="H47" s="5"/>
      <c r="O47" s="5" t="s">
        <v>156</v>
      </c>
      <c r="P47" s="5"/>
      <c r="Q47" s="18">
        <v>5747262</v>
      </c>
      <c r="R47" s="6"/>
      <c r="S47" s="6"/>
      <c r="U47" s="6"/>
      <c r="X47" s="108" t="s">
        <v>114</v>
      </c>
      <c r="Y47" s="161">
        <v>4259976.7900000019</v>
      </c>
      <c r="Z47" s="161">
        <v>4484819.37</v>
      </c>
      <c r="AB47" s="189">
        <f t="shared" ref="AB47:AB68" si="25">MAX(Z47,Y47)</f>
        <v>4484819.37</v>
      </c>
      <c r="AD47" s="108" t="s">
        <v>114</v>
      </c>
      <c r="AE47" s="161">
        <v>4035388.71</v>
      </c>
      <c r="AH47" s="161"/>
      <c r="AI47" s="108" t="s">
        <v>114</v>
      </c>
      <c r="AM47" s="229"/>
      <c r="AN47" s="161">
        <f>+AE47</f>
        <v>4035388.71</v>
      </c>
      <c r="AO47" s="108"/>
      <c r="AQ47" s="18">
        <v>5143941.9000000004</v>
      </c>
      <c r="AT47"/>
      <c r="AU47"/>
    </row>
    <row r="48" spans="1:49" x14ac:dyDescent="0.25">
      <c r="A48" s="1" t="s">
        <v>88</v>
      </c>
      <c r="B48" t="s">
        <v>123</v>
      </c>
      <c r="C48" s="1">
        <f>'Net Tuition AY'!N40</f>
        <v>431386</v>
      </c>
      <c r="D48" s="1">
        <f>'Net Tuition Summer'!L36</f>
        <v>21276</v>
      </c>
      <c r="E48" s="1">
        <f>SUM(C48:D48)</f>
        <v>452662</v>
      </c>
      <c r="F48" s="1"/>
      <c r="G48" s="5"/>
      <c r="H48" s="5"/>
      <c r="O48" s="5" t="s">
        <v>174</v>
      </c>
      <c r="P48" s="5"/>
      <c r="Q48" s="18">
        <v>4105326.8782453523</v>
      </c>
      <c r="W48" s="6"/>
      <c r="X48" s="108" t="s">
        <v>116</v>
      </c>
      <c r="Y48" s="161">
        <v>1017442.7300000001</v>
      </c>
      <c r="Z48" s="161">
        <v>1017450.4400000001</v>
      </c>
      <c r="AB48" s="189">
        <f t="shared" si="25"/>
        <v>1017450.4400000001</v>
      </c>
      <c r="AD48" s="108" t="s">
        <v>116</v>
      </c>
      <c r="AE48" s="161">
        <v>1072323.6639999999</v>
      </c>
      <c r="AI48" s="108" t="s">
        <v>116</v>
      </c>
      <c r="AN48" s="161">
        <f t="shared" ref="AN48:AN54" si="26">+AE48</f>
        <v>1072323.6639999999</v>
      </c>
      <c r="AO48" s="108"/>
      <c r="AQ48" s="18">
        <v>3862397.8935000002</v>
      </c>
      <c r="AR48"/>
    </row>
    <row r="49" spans="1:47" x14ac:dyDescent="0.25">
      <c r="A49" s="1" t="s">
        <v>129</v>
      </c>
      <c r="B49" t="s">
        <v>130</v>
      </c>
      <c r="C49" s="1">
        <f>'Net Tuition AY'!N41</f>
        <v>23000</v>
      </c>
      <c r="D49" s="1">
        <f>'Net Tuition Summer'!L37</f>
        <v>6000</v>
      </c>
      <c r="E49" s="1">
        <f>SUM(C49:D49)</f>
        <v>29000</v>
      </c>
      <c r="F49" s="1"/>
      <c r="G49" s="5"/>
      <c r="H49" s="5"/>
      <c r="O49" s="5" t="s">
        <v>114</v>
      </c>
      <c r="P49" s="5"/>
      <c r="Q49" s="14">
        <v>4088974.5489284848</v>
      </c>
      <c r="R49" s="126"/>
      <c r="S49" s="126"/>
      <c r="U49" s="126"/>
      <c r="W49" s="1"/>
      <c r="X49" s="108" t="s">
        <v>118</v>
      </c>
      <c r="Y49" s="161">
        <v>753374.54000000015</v>
      </c>
      <c r="Z49" s="161">
        <v>749788.52</v>
      </c>
      <c r="AB49" s="189">
        <f t="shared" si="25"/>
        <v>753374.54000000015</v>
      </c>
      <c r="AD49" s="108" t="s">
        <v>118</v>
      </c>
      <c r="AE49" s="161">
        <v>755210.01699999999</v>
      </c>
      <c r="AI49" s="108" t="s">
        <v>118</v>
      </c>
      <c r="AN49" s="161">
        <f t="shared" si="26"/>
        <v>755210.01699999999</v>
      </c>
      <c r="AO49" s="108"/>
      <c r="AQ49" s="18">
        <v>4035388.71</v>
      </c>
      <c r="AR49"/>
    </row>
    <row r="50" spans="1:47" x14ac:dyDescent="0.25">
      <c r="A50" s="1" t="s">
        <v>132</v>
      </c>
      <c r="B50" t="s">
        <v>130</v>
      </c>
      <c r="C50" s="1">
        <f>'Net Tuition AY'!N42</f>
        <v>161</v>
      </c>
      <c r="D50" s="1">
        <f>'Net Tuition Summer'!L38</f>
        <v>0</v>
      </c>
      <c r="E50" s="1">
        <f>SUM(C50:D50)</f>
        <v>161</v>
      </c>
      <c r="F50" s="1"/>
      <c r="G50" s="5"/>
      <c r="H50" s="5"/>
      <c r="O50" s="5" t="s">
        <v>131</v>
      </c>
      <c r="P50" s="5"/>
      <c r="Q50" s="18">
        <v>7199076.0856543789</v>
      </c>
      <c r="R50" s="126"/>
      <c r="S50" s="126"/>
      <c r="U50" s="126"/>
      <c r="W50" s="1"/>
      <c r="X50" s="108" t="s">
        <v>120</v>
      </c>
      <c r="Y50" s="161">
        <v>481530.19</v>
      </c>
      <c r="Z50" s="161">
        <v>482233.68999999994</v>
      </c>
      <c r="AB50" s="189">
        <f t="shared" si="25"/>
        <v>482233.68999999994</v>
      </c>
      <c r="AD50" s="108" t="s">
        <v>120</v>
      </c>
      <c r="AE50" s="161">
        <v>478643.59050000005</v>
      </c>
      <c r="AI50" s="108" t="s">
        <v>120</v>
      </c>
      <c r="AN50" s="161">
        <f t="shared" si="26"/>
        <v>478643.59050000005</v>
      </c>
      <c r="AO50" s="108"/>
      <c r="AQ50" s="18">
        <v>7130635.6255000001</v>
      </c>
      <c r="AR50"/>
    </row>
    <row r="51" spans="1:47" x14ac:dyDescent="0.25">
      <c r="A51" s="1" t="s">
        <v>76</v>
      </c>
      <c r="B51" t="s">
        <v>222</v>
      </c>
      <c r="C51" s="1">
        <f>'Net Tuition AY'!N43</f>
        <v>0</v>
      </c>
      <c r="D51" s="1">
        <f>'Net Tuition Summer'!L39</f>
        <v>0</v>
      </c>
      <c r="E51" s="1"/>
      <c r="F51" s="1"/>
      <c r="G51" s="5"/>
      <c r="H51" s="5"/>
      <c r="O51" s="5" t="s">
        <v>137</v>
      </c>
      <c r="P51" s="5"/>
      <c r="Q51" s="18">
        <v>404423.76088069851</v>
      </c>
      <c r="R51" s="126"/>
      <c r="S51" s="126"/>
      <c r="U51" s="126"/>
      <c r="W51" s="1"/>
      <c r="X51" s="108" t="s">
        <v>122</v>
      </c>
      <c r="Y51" s="161">
        <v>4350543.9399999985</v>
      </c>
      <c r="Z51" s="161">
        <v>4953955.2699999996</v>
      </c>
      <c r="AB51" s="189">
        <f t="shared" si="25"/>
        <v>4953955.2699999996</v>
      </c>
      <c r="AD51" s="108" t="s">
        <v>122</v>
      </c>
      <c r="AE51" s="161">
        <v>4243926.6694999998</v>
      </c>
      <c r="AI51" s="108" t="s">
        <v>122</v>
      </c>
      <c r="AN51" s="161">
        <f t="shared" si="26"/>
        <v>4243926.6694999998</v>
      </c>
      <c r="AO51" s="108"/>
      <c r="AQ51" s="18">
        <v>405637.90350000001</v>
      </c>
      <c r="AR51"/>
    </row>
    <row r="52" spans="1:47" x14ac:dyDescent="0.25">
      <c r="A52" s="1" t="s">
        <v>80</v>
      </c>
      <c r="B52" t="s">
        <v>121</v>
      </c>
      <c r="C52" s="1">
        <f>'Net Tuition AY'!N44</f>
        <v>149584</v>
      </c>
      <c r="D52" s="1">
        <f>'Net Tuition Summer'!L40</f>
        <v>4294.8999999999996</v>
      </c>
      <c r="E52" s="1">
        <f>SUM(C52:D52)</f>
        <v>153878.9</v>
      </c>
      <c r="F52" s="1"/>
      <c r="G52" s="5"/>
      <c r="H52" s="5"/>
      <c r="O52" s="5" t="s">
        <v>140</v>
      </c>
      <c r="P52" s="5"/>
      <c r="Q52" s="18">
        <v>406283</v>
      </c>
      <c r="R52" s="126"/>
      <c r="S52" s="126"/>
      <c r="U52" s="126"/>
      <c r="W52" s="1"/>
      <c r="X52" s="108" t="s">
        <v>124</v>
      </c>
      <c r="Y52" s="161">
        <v>2319299.6100000003</v>
      </c>
      <c r="Z52" s="161">
        <v>2285519.8200000008</v>
      </c>
      <c r="AB52" s="189">
        <f t="shared" si="25"/>
        <v>2319299.6100000003</v>
      </c>
      <c r="AD52" s="108" t="s">
        <v>124</v>
      </c>
      <c r="AE52" s="161">
        <v>2425054.2864999999</v>
      </c>
      <c r="AI52" s="108" t="s">
        <v>124</v>
      </c>
      <c r="AN52" s="161">
        <f t="shared" si="26"/>
        <v>2425054.2864999999</v>
      </c>
      <c r="AO52" s="108"/>
      <c r="AQ52" s="18">
        <v>415297.34849999996</v>
      </c>
      <c r="AS52"/>
      <c r="AT52"/>
      <c r="AU52"/>
    </row>
    <row r="53" spans="1:47" x14ac:dyDescent="0.25">
      <c r="A53" s="1" t="s">
        <v>90</v>
      </c>
      <c r="B53" t="s">
        <v>125</v>
      </c>
      <c r="C53" s="1">
        <f>'Net Tuition AY'!N45</f>
        <v>1695514</v>
      </c>
      <c r="D53" s="1">
        <f>'Net Tuition Summer'!L41</f>
        <v>16145</v>
      </c>
      <c r="E53" s="1">
        <f>SUM(C53:D53)</f>
        <v>1711659</v>
      </c>
      <c r="F53" s="1"/>
      <c r="G53" s="5"/>
      <c r="H53" s="5"/>
      <c r="O53" s="5" t="s">
        <v>155</v>
      </c>
      <c r="P53" s="5"/>
      <c r="Q53" s="18">
        <v>1442549.534630727</v>
      </c>
      <c r="R53" s="126"/>
      <c r="S53" s="126"/>
      <c r="U53" s="126"/>
      <c r="W53" s="1"/>
      <c r="X53" s="108" t="s">
        <v>126</v>
      </c>
      <c r="Y53" s="161">
        <v>14246688.899999993</v>
      </c>
      <c r="Z53" s="161">
        <v>14087750.239999996</v>
      </c>
      <c r="AB53" s="189">
        <f t="shared" si="25"/>
        <v>14246688.899999993</v>
      </c>
      <c r="AD53" s="108" t="s">
        <v>126</v>
      </c>
      <c r="AE53" s="161">
        <v>13539246.513499999</v>
      </c>
      <c r="AI53" s="108" t="s">
        <v>126</v>
      </c>
      <c r="AN53" s="161">
        <f t="shared" si="26"/>
        <v>13539246.513499999</v>
      </c>
      <c r="AO53" s="108"/>
      <c r="AQ53" s="18">
        <v>1596671.2425000002</v>
      </c>
      <c r="AR53"/>
      <c r="AS53"/>
      <c r="AT53"/>
      <c r="AU53"/>
    </row>
    <row r="54" spans="1:47" x14ac:dyDescent="0.25">
      <c r="A54" s="1" t="s">
        <v>127</v>
      </c>
      <c r="B54" t="s">
        <v>125</v>
      </c>
      <c r="C54" s="1">
        <f>'Net Tuition AY'!N46</f>
        <v>105924.5</v>
      </c>
      <c r="D54" s="1">
        <f>'Net Tuition Summer'!L42</f>
        <v>25787</v>
      </c>
      <c r="E54" s="1">
        <f>SUM(C54:D54)</f>
        <v>131711.5</v>
      </c>
      <c r="F54" s="1"/>
      <c r="G54" s="5"/>
      <c r="H54" s="5"/>
      <c r="O54" s="5" t="s">
        <v>133</v>
      </c>
      <c r="P54" s="5"/>
      <c r="Q54" s="18">
        <v>-7556391</v>
      </c>
      <c r="R54" s="126"/>
      <c r="S54" s="126"/>
      <c r="U54" s="126"/>
      <c r="W54" s="1"/>
      <c r="X54" s="108" t="s">
        <v>128</v>
      </c>
      <c r="Y54" s="161">
        <v>1041224.8800000008</v>
      </c>
      <c r="Z54" s="161">
        <v>852449.90000000224</v>
      </c>
      <c r="AB54" s="189">
        <f t="shared" si="25"/>
        <v>1041224.8800000008</v>
      </c>
      <c r="AD54" s="108" t="s">
        <v>128</v>
      </c>
      <c r="AE54" s="161">
        <v>1041199.5490000006</v>
      </c>
      <c r="AI54" s="108" t="s">
        <v>128</v>
      </c>
      <c r="AN54" s="161">
        <f t="shared" si="26"/>
        <v>1041199.5490000006</v>
      </c>
      <c r="AO54" s="108"/>
      <c r="AQ54" s="18">
        <v>-7383641</v>
      </c>
      <c r="AR54"/>
      <c r="AS54"/>
      <c r="AT54"/>
      <c r="AU54"/>
    </row>
    <row r="55" spans="1:47" x14ac:dyDescent="0.25">
      <c r="A55" s="1" t="s">
        <v>242</v>
      </c>
      <c r="B55" t="s">
        <v>130</v>
      </c>
      <c r="C55" s="1">
        <f>'Net Tuition AY'!N47</f>
        <v>0</v>
      </c>
      <c r="D55" s="1">
        <f>'Net Tuition Summer'!L43</f>
        <v>0</v>
      </c>
      <c r="E55" s="1"/>
      <c r="F55" s="1"/>
      <c r="G55" s="5"/>
      <c r="H55" s="5"/>
      <c r="O55" s="5" t="s">
        <v>135</v>
      </c>
      <c r="P55" s="5"/>
      <c r="Q55" s="18">
        <v>172750</v>
      </c>
      <c r="U55" s="126"/>
      <c r="W55" s="1"/>
      <c r="X55" s="108" t="s">
        <v>131</v>
      </c>
      <c r="Y55" s="161">
        <v>5767585.7199999979</v>
      </c>
      <c r="Z55" s="161">
        <v>4441745.2799999984</v>
      </c>
      <c r="AB55" s="189">
        <f t="shared" si="25"/>
        <v>5767585.7199999979</v>
      </c>
      <c r="AD55" s="108" t="s">
        <v>131</v>
      </c>
      <c r="AE55" s="161">
        <v>7130635.6255000001</v>
      </c>
      <c r="AH55" s="161"/>
      <c r="AI55" s="108" t="s">
        <v>131</v>
      </c>
      <c r="AN55" s="161">
        <f>+AE55</f>
        <v>7130635.6255000001</v>
      </c>
      <c r="AO55" s="108"/>
      <c r="AQ55" s="18">
        <v>172750</v>
      </c>
      <c r="AT55"/>
      <c r="AU55"/>
    </row>
    <row r="56" spans="1:47" x14ac:dyDescent="0.25">
      <c r="A56" s="1" t="s">
        <v>110</v>
      </c>
      <c r="B56" t="s">
        <v>104</v>
      </c>
      <c r="C56" s="1">
        <f>'Net Tuition AY'!N48</f>
        <v>1450678</v>
      </c>
      <c r="D56" s="1">
        <f>'Net Tuition Summer'!L44</f>
        <v>0</v>
      </c>
      <c r="E56" s="1">
        <f>SUM(C56:D56)</f>
        <v>1450678</v>
      </c>
      <c r="F56" s="1"/>
      <c r="G56" s="5"/>
      <c r="H56" s="5"/>
      <c r="O56" s="5" t="s">
        <v>122</v>
      </c>
      <c r="P56" s="5"/>
      <c r="Q56" s="18">
        <v>4942527.1669999994</v>
      </c>
      <c r="R56" s="188"/>
      <c r="S56" s="188"/>
      <c r="U56" s="126"/>
      <c r="W56" s="1"/>
      <c r="X56" s="108" t="s">
        <v>133</v>
      </c>
      <c r="Y56" s="161">
        <v>-5857320.7600000007</v>
      </c>
      <c r="Z56" s="161">
        <v>-6212764.3200000003</v>
      </c>
      <c r="AB56" s="189">
        <f t="shared" si="25"/>
        <v>-5857320.7600000007</v>
      </c>
      <c r="AD56" s="108" t="s">
        <v>133</v>
      </c>
      <c r="AE56" s="161">
        <v>-7383641</v>
      </c>
      <c r="AH56" s="161"/>
      <c r="AI56" s="108" t="s">
        <v>133</v>
      </c>
      <c r="AN56" s="161">
        <f>+AE56</f>
        <v>-7383641</v>
      </c>
      <c r="AO56" s="108"/>
      <c r="AQ56" s="18">
        <v>4243926.6694999998</v>
      </c>
      <c r="AU56"/>
    </row>
    <row r="57" spans="1:47" x14ac:dyDescent="0.25">
      <c r="A57" s="1" t="s">
        <v>115</v>
      </c>
      <c r="B57" t="s">
        <v>104</v>
      </c>
      <c r="C57" s="1">
        <f>'Net Tuition AY'!N49</f>
        <v>772474</v>
      </c>
      <c r="D57" s="1">
        <f>'Net Tuition Summer'!L45</f>
        <v>0</v>
      </c>
      <c r="E57" s="1">
        <f>SUM(C57:D57)</f>
        <v>772474</v>
      </c>
      <c r="F57" s="1"/>
      <c r="G57" s="5"/>
      <c r="H57" s="5"/>
      <c r="O57" s="5" t="s">
        <v>175</v>
      </c>
      <c r="P57" s="5"/>
      <c r="Q57" s="18">
        <v>2458054.8757711016</v>
      </c>
      <c r="R57" s="126"/>
      <c r="S57" s="126"/>
      <c r="U57" s="126"/>
      <c r="W57" s="1"/>
      <c r="X57" s="108" t="s">
        <v>135</v>
      </c>
      <c r="Y57" s="161">
        <v>309451</v>
      </c>
      <c r="Z57" s="161">
        <v>172750</v>
      </c>
      <c r="AB57" s="189">
        <f t="shared" si="25"/>
        <v>309451</v>
      </c>
      <c r="AD57" s="108" t="s">
        <v>135</v>
      </c>
      <c r="AE57" s="161">
        <v>172750</v>
      </c>
      <c r="AH57" s="161"/>
      <c r="AI57" s="108" t="s">
        <v>135</v>
      </c>
      <c r="AN57" s="161">
        <f>+AE57</f>
        <v>172750</v>
      </c>
      <c r="AO57" s="108"/>
      <c r="AQ57" s="18">
        <v>2425054.2864999999</v>
      </c>
      <c r="AU57"/>
    </row>
    <row r="58" spans="1:47" x14ac:dyDescent="0.25">
      <c r="A58" s="1" t="s">
        <v>103</v>
      </c>
      <c r="B58" t="s">
        <v>104</v>
      </c>
      <c r="C58" s="1">
        <f>'Net Tuition AY'!N50</f>
        <v>306554</v>
      </c>
      <c r="D58" s="1">
        <f>'Net Tuition Summer'!L46</f>
        <v>52172</v>
      </c>
      <c r="E58" s="1">
        <f>SUM(C58:D58)</f>
        <v>358726</v>
      </c>
      <c r="F58" s="1"/>
      <c r="G58" s="5"/>
      <c r="H58" s="5"/>
      <c r="O58" s="5" t="s">
        <v>176</v>
      </c>
      <c r="P58" s="5"/>
      <c r="Q58" s="18">
        <v>14135880.972205067</v>
      </c>
      <c r="R58" s="126"/>
      <c r="S58" s="126"/>
      <c r="W58" s="1"/>
      <c r="X58" s="108" t="s">
        <v>137</v>
      </c>
      <c r="Y58" s="161">
        <v>471066.13</v>
      </c>
      <c r="Z58" s="161">
        <v>316111.2</v>
      </c>
      <c r="AB58" s="189">
        <f t="shared" si="25"/>
        <v>471066.13</v>
      </c>
      <c r="AD58" s="108" t="s">
        <v>137</v>
      </c>
      <c r="AE58" s="161">
        <v>405637.90350000001</v>
      </c>
      <c r="AH58" s="161"/>
      <c r="AI58" s="108" t="s">
        <v>137</v>
      </c>
      <c r="AN58" s="161">
        <f t="shared" ref="AN58:AN60" si="27">+AE58</f>
        <v>405637.90350000001</v>
      </c>
      <c r="AO58" s="108"/>
      <c r="AQ58" s="18">
        <v>13539246.513499999</v>
      </c>
      <c r="AU58"/>
    </row>
    <row r="59" spans="1:47" x14ac:dyDescent="0.25">
      <c r="A59" s="1" t="s">
        <v>117</v>
      </c>
      <c r="B59" t="s">
        <v>104</v>
      </c>
      <c r="C59" s="1">
        <f>'Net Tuition AY'!N51</f>
        <v>410852</v>
      </c>
      <c r="D59" s="1">
        <f>'Net Tuition Summer'!L47</f>
        <v>1424</v>
      </c>
      <c r="E59" s="1">
        <f>SUM(C59:D59)</f>
        <v>412276</v>
      </c>
      <c r="F59" s="1"/>
      <c r="G59" s="5"/>
      <c r="H59" s="5"/>
      <c r="O59" s="5" t="s">
        <v>177</v>
      </c>
      <c r="P59" s="5"/>
      <c r="Q59" s="18">
        <v>1706683.1636097115</v>
      </c>
      <c r="R59" s="126"/>
      <c r="S59" s="126"/>
      <c r="U59" s="6"/>
      <c r="W59" s="1"/>
      <c r="X59" s="108" t="s">
        <v>140</v>
      </c>
      <c r="Y59" s="161">
        <v>551357.9</v>
      </c>
      <c r="Z59" s="161">
        <v>563719.57999999996</v>
      </c>
      <c r="AB59" s="189">
        <f t="shared" si="25"/>
        <v>563719.57999999996</v>
      </c>
      <c r="AD59" s="108" t="s">
        <v>140</v>
      </c>
      <c r="AE59" s="161">
        <v>415297.34849999996</v>
      </c>
      <c r="AH59" s="161"/>
      <c r="AI59" s="108" t="s">
        <v>140</v>
      </c>
      <c r="AN59" s="161">
        <f t="shared" si="27"/>
        <v>415297.34849999996</v>
      </c>
      <c r="AO59" s="108"/>
      <c r="AQ59" s="18">
        <v>1778107.5530000001</v>
      </c>
      <c r="AU59"/>
    </row>
    <row r="60" spans="1:47" x14ac:dyDescent="0.25">
      <c r="A60" s="1" t="s">
        <v>119</v>
      </c>
      <c r="B60" t="s">
        <v>104</v>
      </c>
      <c r="C60" s="1">
        <f>'Net Tuition AY'!N52</f>
        <v>0</v>
      </c>
      <c r="D60" s="1">
        <f>'Net Tuition Summer'!L48</f>
        <v>0</v>
      </c>
      <c r="E60" s="1">
        <f>SUM(C60:D60)</f>
        <v>0</v>
      </c>
      <c r="F60" s="1"/>
      <c r="G60" s="34"/>
      <c r="H60" s="428"/>
      <c r="O60" s="5" t="s">
        <v>109</v>
      </c>
      <c r="P60" s="5"/>
      <c r="Q60" s="18">
        <v>3406261.9685595953</v>
      </c>
      <c r="R60" s="126"/>
      <c r="S60" s="126"/>
      <c r="U60" s="6"/>
      <c r="W60" s="1"/>
      <c r="X60" s="108" t="s">
        <v>144</v>
      </c>
      <c r="Y60" s="161">
        <v>76021.66</v>
      </c>
      <c r="Z60" s="161">
        <v>71362.53</v>
      </c>
      <c r="AB60" s="189">
        <f t="shared" si="25"/>
        <v>76021.66</v>
      </c>
      <c r="AD60" s="108" t="s">
        <v>144</v>
      </c>
      <c r="AE60" s="161">
        <v>61650.652499999997</v>
      </c>
      <c r="AH60" s="161"/>
      <c r="AI60" s="108" t="s">
        <v>144</v>
      </c>
      <c r="AN60" s="161">
        <f t="shared" si="27"/>
        <v>61650.652499999997</v>
      </c>
      <c r="AO60" s="108"/>
      <c r="AQ60" s="18">
        <v>3322431.0779999997</v>
      </c>
      <c r="AR60"/>
      <c r="AS60"/>
      <c r="AT60"/>
      <c r="AU60"/>
    </row>
    <row r="61" spans="1:47" x14ac:dyDescent="0.25">
      <c r="A61" s="1" t="s">
        <v>231</v>
      </c>
      <c r="B61" t="s">
        <v>232</v>
      </c>
      <c r="C61" s="1">
        <f>'Net Tuition AY'!N53</f>
        <v>97313</v>
      </c>
      <c r="D61" s="1">
        <f>'Net Tuition Summer'!L49</f>
        <v>3558.38</v>
      </c>
      <c r="F61" s="1"/>
      <c r="G61" s="63"/>
      <c r="H61" s="63"/>
      <c r="O61" s="5" t="s">
        <v>118</v>
      </c>
      <c r="P61" s="5"/>
      <c r="Q61" s="18">
        <v>768231.62788744131</v>
      </c>
      <c r="R61" s="126"/>
      <c r="S61" s="126"/>
      <c r="U61" s="126"/>
      <c r="W61" s="1"/>
      <c r="X61" s="108" t="s">
        <v>147</v>
      </c>
      <c r="Y61" s="161">
        <v>6611500.3099999996</v>
      </c>
      <c r="Z61" s="161">
        <v>6611866.7300000004</v>
      </c>
      <c r="AB61" s="189">
        <f t="shared" si="25"/>
        <v>6611866.7300000004</v>
      </c>
      <c r="AD61" s="108" t="s">
        <v>147</v>
      </c>
      <c r="AE61" s="161">
        <v>5808070.1485000001</v>
      </c>
      <c r="AH61" s="161"/>
      <c r="AI61" s="108" t="s">
        <v>147</v>
      </c>
      <c r="AN61" s="161">
        <f>+AE61</f>
        <v>5808070.1485000001</v>
      </c>
      <c r="AO61" s="108"/>
      <c r="AQ61" s="18">
        <v>755210.01699999999</v>
      </c>
      <c r="AS61"/>
      <c r="AT61"/>
      <c r="AU61"/>
    </row>
    <row r="62" spans="1:47" x14ac:dyDescent="0.25">
      <c r="A62" s="1" t="s">
        <v>3041</v>
      </c>
      <c r="B62" t="s">
        <v>50</v>
      </c>
      <c r="C62" s="1">
        <f>'Net Tuition AY'!N54</f>
        <v>267913.5</v>
      </c>
      <c r="D62" s="1">
        <f>'Net Tuition Summer'!L50</f>
        <v>30475.72</v>
      </c>
      <c r="F62" s="1"/>
      <c r="G62" s="63"/>
      <c r="H62" s="63"/>
      <c r="O62" s="5" t="s">
        <v>128</v>
      </c>
      <c r="P62" s="5"/>
      <c r="Q62" s="18">
        <v>1109912.0561705078</v>
      </c>
      <c r="R62" s="126"/>
      <c r="S62" s="126"/>
      <c r="U62" s="126"/>
      <c r="W62" s="63"/>
      <c r="X62" s="108" t="s">
        <v>155</v>
      </c>
      <c r="Y62" s="161">
        <v>1195464.1200000003</v>
      </c>
      <c r="Z62" s="161">
        <v>1124877.5499999998</v>
      </c>
      <c r="AB62" s="189">
        <f t="shared" si="25"/>
        <v>1195464.1200000003</v>
      </c>
      <c r="AD62" s="108" t="s">
        <v>155</v>
      </c>
      <c r="AE62" s="161">
        <v>1596671.2425000002</v>
      </c>
      <c r="AH62" s="161"/>
      <c r="AI62" s="108" t="s">
        <v>155</v>
      </c>
      <c r="AN62" s="161">
        <f t="shared" ref="AN62:AN67" si="28">+AE62</f>
        <v>1596671.2425000002</v>
      </c>
      <c r="AO62" s="108"/>
      <c r="AQ62" s="18">
        <v>1041199.5490000006</v>
      </c>
      <c r="AT62"/>
      <c r="AU62"/>
    </row>
    <row r="63" spans="1:47" ht="15.75" thickBot="1" x14ac:dyDescent="0.3">
      <c r="C63" s="60">
        <f>SUM(C45:C62)</f>
        <v>5747252</v>
      </c>
      <c r="D63" s="60">
        <f t="shared" ref="D63:E63" si="29">SUM(D45:D62)</f>
        <v>180241</v>
      </c>
      <c r="E63" s="60">
        <f t="shared" si="29"/>
        <v>5528232.4000000004</v>
      </c>
      <c r="G63" s="63"/>
      <c r="H63" s="63"/>
      <c r="O63" s="5" t="s">
        <v>178</v>
      </c>
      <c r="P63" s="5"/>
      <c r="Q63" s="18">
        <v>2150757.6417502956</v>
      </c>
      <c r="R63" s="126"/>
      <c r="S63" s="126"/>
      <c r="U63" s="126"/>
      <c r="X63" s="108" t="s">
        <v>156</v>
      </c>
      <c r="Y63" s="161">
        <v>5440886.3200000003</v>
      </c>
      <c r="Z63" s="161">
        <v>4593094.0600000005</v>
      </c>
      <c r="AB63" s="189">
        <f t="shared" si="25"/>
        <v>5440886.3200000003</v>
      </c>
      <c r="AD63" s="108" t="s">
        <v>156</v>
      </c>
      <c r="AE63" s="161">
        <v>5143941.9000000004</v>
      </c>
      <c r="AH63" s="161"/>
      <c r="AI63" s="108" t="s">
        <v>156</v>
      </c>
      <c r="AN63" s="161">
        <f>+Z63</f>
        <v>4593094.0600000005</v>
      </c>
      <c r="AO63" s="108"/>
      <c r="AQ63" s="18">
        <f>2108400.98</f>
        <v>2108400.98</v>
      </c>
      <c r="AT63"/>
      <c r="AU63"/>
    </row>
    <row r="64" spans="1:47" ht="15.75" thickTop="1" x14ac:dyDescent="0.25">
      <c r="C64" s="63">
        <f>C63-'Net Tuition AY'!N55</f>
        <v>0</v>
      </c>
      <c r="D64" s="63">
        <f>D63-'Net Tuition Summer'!L51</f>
        <v>0</v>
      </c>
      <c r="E64" s="63"/>
      <c r="G64" s="63"/>
      <c r="H64" s="63"/>
      <c r="O64" s="5" t="s">
        <v>116</v>
      </c>
      <c r="P64" s="5"/>
      <c r="Q64" s="18">
        <v>1068918.8662854659</v>
      </c>
      <c r="U64" s="126"/>
      <c r="W64" s="3"/>
      <c r="X64" s="230" t="s">
        <v>157</v>
      </c>
      <c r="Y64" s="224">
        <v>1981850.06</v>
      </c>
      <c r="Z64" s="224">
        <v>2013186.0000000009</v>
      </c>
      <c r="AA64" s="231"/>
      <c r="AB64" s="224">
        <f t="shared" si="25"/>
        <v>2013186.0000000009</v>
      </c>
      <c r="AC64" s="232"/>
      <c r="AD64" s="230" t="s">
        <v>157</v>
      </c>
      <c r="AE64" s="233">
        <f>6746487.8485-4700000</f>
        <v>2046487.8485000003</v>
      </c>
      <c r="AF64" s="232"/>
      <c r="AG64" s="232"/>
      <c r="AH64" s="224"/>
      <c r="AI64" s="230" t="s">
        <v>157</v>
      </c>
      <c r="AJ64" s="224"/>
      <c r="AK64" s="224"/>
      <c r="AL64" s="224"/>
      <c r="AM64" s="224"/>
      <c r="AN64" s="233">
        <f t="shared" si="28"/>
        <v>2046487.8485000003</v>
      </c>
      <c r="AO64" s="108"/>
      <c r="AQ64" s="18">
        <v>1072323.6639999999</v>
      </c>
      <c r="AT64"/>
      <c r="AU64"/>
    </row>
    <row r="65" spans="1:47" x14ac:dyDescent="0.25">
      <c r="C65" s="63"/>
      <c r="D65" s="63"/>
      <c r="E65" s="63"/>
      <c r="G65" s="63"/>
      <c r="H65" s="63"/>
      <c r="O65" s="5" t="s">
        <v>179</v>
      </c>
      <c r="P65" s="5"/>
      <c r="Q65" s="18">
        <v>489514.35610892472</v>
      </c>
      <c r="U65" s="126"/>
      <c r="X65" s="108" t="s">
        <v>158</v>
      </c>
      <c r="Y65" s="161">
        <v>3828937.2800000003</v>
      </c>
      <c r="Z65" s="161">
        <v>3768038.0100000016</v>
      </c>
      <c r="AB65" s="189">
        <f t="shared" si="25"/>
        <v>3828937.2800000003</v>
      </c>
      <c r="AD65" s="108" t="s">
        <v>158</v>
      </c>
      <c r="AE65" s="161">
        <v>3862397.8935000002</v>
      </c>
      <c r="AH65" s="161"/>
      <c r="AI65" s="108" t="s">
        <v>158</v>
      </c>
      <c r="AN65" s="161">
        <f t="shared" si="28"/>
        <v>3862397.8935000002</v>
      </c>
      <c r="AO65" s="108"/>
      <c r="AQ65" s="18">
        <v>478643.59050000005</v>
      </c>
      <c r="AT65"/>
      <c r="AU65"/>
    </row>
    <row r="66" spans="1:47" x14ac:dyDescent="0.25">
      <c r="A66" s="429"/>
      <c r="B66" s="430"/>
      <c r="C66" s="430"/>
      <c r="D66" s="431"/>
      <c r="E66" s="432"/>
      <c r="F66" s="432"/>
      <c r="G66" s="432"/>
      <c r="H66" s="433" t="s">
        <v>141</v>
      </c>
      <c r="I66" s="434"/>
      <c r="J66" s="434"/>
      <c r="K66" s="432"/>
      <c r="L66" s="435"/>
      <c r="M66" s="3"/>
      <c r="O66" s="5" t="s">
        <v>180</v>
      </c>
      <c r="P66" s="5"/>
      <c r="Q66" s="18">
        <v>7175689.7922375984</v>
      </c>
      <c r="U66" s="126"/>
      <c r="X66" s="108" t="s">
        <v>159</v>
      </c>
      <c r="Y66" s="161">
        <v>1821106.64</v>
      </c>
      <c r="Z66" s="161">
        <v>1548860.63</v>
      </c>
      <c r="AB66" s="189">
        <f t="shared" si="25"/>
        <v>1821106.64</v>
      </c>
      <c r="AD66" s="108" t="s">
        <v>159</v>
      </c>
      <c r="AE66" s="161">
        <v>1778107.5530000001</v>
      </c>
      <c r="AH66" s="161"/>
      <c r="AI66" s="108" t="s">
        <v>159</v>
      </c>
      <c r="AN66" s="161">
        <f>+Z66</f>
        <v>1548860.63</v>
      </c>
      <c r="AO66" s="108"/>
      <c r="AQ66" s="18">
        <f>2046487.8485+4700000</f>
        <v>6746487.8485000003</v>
      </c>
      <c r="AS66"/>
      <c r="AT66"/>
      <c r="AU66"/>
    </row>
    <row r="67" spans="1:47" x14ac:dyDescent="0.25">
      <c r="A67" s="436"/>
      <c r="B67" s="260" t="s">
        <v>40</v>
      </c>
      <c r="C67" s="260" t="s">
        <v>32</v>
      </c>
      <c r="D67" s="442"/>
      <c r="E67" s="437"/>
      <c r="F67" s="437"/>
      <c r="G67" s="437"/>
      <c r="H67" s="255" t="s">
        <v>32</v>
      </c>
      <c r="I67" s="453"/>
      <c r="J67" s="453" t="s">
        <v>145</v>
      </c>
      <c r="K67" s="437"/>
      <c r="L67" s="454" t="s">
        <v>146</v>
      </c>
      <c r="M67" s="3"/>
      <c r="O67" s="5" t="s">
        <v>67</v>
      </c>
      <c r="P67" s="5"/>
      <c r="Q67" s="18"/>
      <c r="U67" s="126"/>
      <c r="X67" s="108" t="s">
        <v>160</v>
      </c>
      <c r="Y67" s="161">
        <v>1831838.0399999996</v>
      </c>
      <c r="Z67" s="161">
        <v>2219065.58</v>
      </c>
      <c r="AB67" s="189">
        <f t="shared" si="25"/>
        <v>2219065.58</v>
      </c>
      <c r="AD67" s="108" t="s">
        <v>160</v>
      </c>
      <c r="AE67" s="161">
        <v>2108400.98</v>
      </c>
      <c r="AH67" s="161"/>
      <c r="AI67" s="108" t="s">
        <v>160</v>
      </c>
      <c r="AN67" s="161">
        <f t="shared" si="28"/>
        <v>2108400.98</v>
      </c>
      <c r="AO67" s="108"/>
      <c r="AQ67" s="18"/>
      <c r="AS67"/>
      <c r="AT67"/>
      <c r="AU67"/>
    </row>
    <row r="68" spans="1:47" x14ac:dyDescent="0.25">
      <c r="A68" s="436"/>
      <c r="B68" s="262" t="s">
        <v>148</v>
      </c>
      <c r="C68" s="262" t="s">
        <v>148</v>
      </c>
      <c r="D68" s="263" t="s">
        <v>149</v>
      </c>
      <c r="E68" s="263" t="s">
        <v>150</v>
      </c>
      <c r="F68" s="264" t="s">
        <v>151</v>
      </c>
      <c r="G68" s="265" t="s">
        <v>152</v>
      </c>
      <c r="H68" s="264" t="s">
        <v>153</v>
      </c>
      <c r="I68" s="264" t="s">
        <v>154</v>
      </c>
      <c r="J68" s="264" t="s">
        <v>64</v>
      </c>
      <c r="K68" s="437"/>
      <c r="L68" s="438" t="s">
        <v>64</v>
      </c>
      <c r="M68" s="3"/>
      <c r="Q68" s="23">
        <f>SUM(Q44:Q66)</f>
        <v>61462420.314100653</v>
      </c>
      <c r="U68" s="126"/>
      <c r="V68" s="3"/>
      <c r="W68" s="1"/>
      <c r="X68" s="108" t="s">
        <v>161</v>
      </c>
      <c r="Y68" s="161">
        <v>0</v>
      </c>
      <c r="Z68" s="161">
        <v>-709950</v>
      </c>
      <c r="AB68" s="189">
        <f t="shared" si="25"/>
        <v>0</v>
      </c>
      <c r="AD68" s="108" t="s">
        <v>161</v>
      </c>
      <c r="AE68" s="161">
        <v>0</v>
      </c>
      <c r="AH68" s="161"/>
      <c r="AI68" s="108" t="s">
        <v>161</v>
      </c>
      <c r="AN68" s="161">
        <v>-700000</v>
      </c>
      <c r="AO68" s="108"/>
      <c r="AQ68" s="23">
        <f>SUM(AQ44:AQ66)</f>
        <v>58759832.173999995</v>
      </c>
      <c r="AS68"/>
      <c r="AT68"/>
      <c r="AU68"/>
    </row>
    <row r="69" spans="1:47" x14ac:dyDescent="0.25">
      <c r="A69" s="439" t="str">
        <f t="shared" ref="A69:A81" si="30">+A28</f>
        <v>College of Education</v>
      </c>
      <c r="B69" s="266">
        <f t="shared" ref="B69:B81" si="31">((+B28+D28+G28+H28)*(1-$E$21))-C69</f>
        <v>5836921.6068314295</v>
      </c>
      <c r="C69" s="440">
        <f t="shared" ref="C69:C81" si="32">+D28</f>
        <v>0</v>
      </c>
      <c r="D69" s="441">
        <f t="shared" ref="D69:D81" si="33">((+E28+F28)*(1-$E$21))-E69</f>
        <v>488835.81085733796</v>
      </c>
      <c r="E69" s="442">
        <f t="shared" ref="E69:E81" si="34">+F28</f>
        <v>0</v>
      </c>
      <c r="F69" s="266">
        <f>+'Summer Credit Hour Allocation'!AR2</f>
        <v>1787.1864067965976</v>
      </c>
      <c r="G69" s="441">
        <f t="shared" ref="G69:G77" si="35">+D69/F69</f>
        <v>273.52256541249147</v>
      </c>
      <c r="H69" s="444">
        <f t="shared" ref="H69:H77" si="36">+N28</f>
        <v>0.47547011381927662</v>
      </c>
      <c r="I69" s="316">
        <f>+H69*G69</f>
        <v>130.05180530881785</v>
      </c>
      <c r="J69" s="266">
        <f t="shared" ref="J69:J77" si="37">(+D69*H69)+E69</f>
        <v>232426.81862727687</v>
      </c>
      <c r="K69" s="437"/>
      <c r="L69" s="445">
        <f t="shared" ref="L69:L77" si="38">+P28-J69</f>
        <v>2775281.7807543352</v>
      </c>
      <c r="M69" s="3"/>
      <c r="U69" s="126"/>
      <c r="X69" s="108" t="s">
        <v>162</v>
      </c>
      <c r="Y69" s="161">
        <v>0</v>
      </c>
      <c r="Z69" s="161">
        <v>0</v>
      </c>
      <c r="AB69" s="189">
        <f>+AC20-Z41-SUM(AB45:AB68)</f>
        <v>2381584.8233428895</v>
      </c>
      <c r="AD69" s="108" t="s">
        <v>162</v>
      </c>
      <c r="AE69" s="161"/>
      <c r="AH69" s="161"/>
      <c r="AI69" s="108" t="s">
        <v>162</v>
      </c>
      <c r="AN69" s="204">
        <v>1422470</v>
      </c>
      <c r="AO69" s="108"/>
      <c r="AS69"/>
      <c r="AT69"/>
      <c r="AU69"/>
    </row>
    <row r="70" spans="1:47" ht="15.75" thickBot="1" x14ac:dyDescent="0.3">
      <c r="A70" s="439" t="str">
        <f t="shared" si="30"/>
        <v>College of Health</v>
      </c>
      <c r="B70" s="266">
        <f t="shared" si="31"/>
        <v>15606422.375512924</v>
      </c>
      <c r="C70" s="440">
        <f t="shared" si="32"/>
        <v>2976456</v>
      </c>
      <c r="D70" s="441">
        <f t="shared" si="33"/>
        <v>595325.62051686016</v>
      </c>
      <c r="E70" s="442">
        <f t="shared" si="34"/>
        <v>72704</v>
      </c>
      <c r="F70" s="266">
        <f>+'Summer Credit Hour Allocation'!AR3</f>
        <v>1604.2125603864697</v>
      </c>
      <c r="G70" s="441">
        <f t="shared" si="35"/>
        <v>371.10145825902316</v>
      </c>
      <c r="H70" s="444">
        <f t="shared" si="36"/>
        <v>0.44760199133675427</v>
      </c>
      <c r="I70" s="316">
        <f t="shared" ref="I70:I77" si="39">+H70*G70</f>
        <v>166.10575170471216</v>
      </c>
      <c r="J70" s="266">
        <f t="shared" si="37"/>
        <v>339172.93323713553</v>
      </c>
      <c r="K70" s="437"/>
      <c r="L70" s="445">
        <f t="shared" si="38"/>
        <v>9961921.732922066</v>
      </c>
      <c r="M70" s="3"/>
      <c r="O70" s="138" t="s">
        <v>181</v>
      </c>
      <c r="P70" s="138"/>
      <c r="Q70" s="256">
        <f>+Q68+Q41</f>
        <v>129492420.31410065</v>
      </c>
      <c r="R70" s="3"/>
      <c r="U70" s="126"/>
      <c r="X70" s="108" t="s">
        <v>163</v>
      </c>
      <c r="Y70" s="163">
        <f>SUM(Y45:Y69)</f>
        <v>55942747.289999992</v>
      </c>
      <c r="Z70" s="163">
        <f>SUM(Z45:Z69)</f>
        <v>52476506.309999995</v>
      </c>
      <c r="AA70" s="227"/>
      <c r="AB70" s="163">
        <f>SUM(AB45:AB69)</f>
        <v>59584588.813342869</v>
      </c>
      <c r="AD70" s="108" t="s">
        <v>163</v>
      </c>
      <c r="AE70" s="163">
        <f>SUM(AE45:AE69)</f>
        <v>54059832.173999995</v>
      </c>
      <c r="AF70" s="220"/>
      <c r="AG70" s="204"/>
      <c r="AH70" s="161"/>
      <c r="AI70" s="108" t="s">
        <v>163</v>
      </c>
      <c r="AN70" s="163">
        <f>SUM(AN45:AN69)</f>
        <v>54002207.410999998</v>
      </c>
      <c r="AO70" s="108"/>
      <c r="AQ70" s="256">
        <f>+AQ68+AQ41</f>
        <v>125531266.33399999</v>
      </c>
      <c r="AS70"/>
      <c r="AT70"/>
      <c r="AU70"/>
    </row>
    <row r="71" spans="1:47" ht="15.75" thickTop="1" x14ac:dyDescent="0.25">
      <c r="A71" s="439" t="str">
        <f t="shared" si="30"/>
        <v>College of Forestry</v>
      </c>
      <c r="B71" s="266">
        <f t="shared" si="31"/>
        <v>7855035.5316409394</v>
      </c>
      <c r="C71" s="440">
        <f t="shared" si="32"/>
        <v>149584</v>
      </c>
      <c r="D71" s="441">
        <f t="shared" si="33"/>
        <v>8337.7995890102393</v>
      </c>
      <c r="E71" s="442">
        <f t="shared" si="34"/>
        <v>4294.8999999999996</v>
      </c>
      <c r="F71" s="266">
        <f>+'Summer Credit Hour Allocation'!AR4</f>
        <v>4.2552057304680897</v>
      </c>
      <c r="G71" s="441">
        <f t="shared" si="35"/>
        <v>1959.4351289081028</v>
      </c>
      <c r="H71" s="444">
        <f t="shared" si="36"/>
        <v>0.59551161988393908</v>
      </c>
      <c r="I71" s="316">
        <f t="shared" si="39"/>
        <v>1166.8663876735593</v>
      </c>
      <c r="J71" s="266">
        <f t="shared" si="37"/>
        <v>9260.1565395191283</v>
      </c>
      <c r="K71" s="437"/>
      <c r="L71" s="445">
        <f t="shared" si="38"/>
        <v>4827348.9336933941</v>
      </c>
      <c r="M71" s="3"/>
      <c r="Q71" s="18"/>
      <c r="AD71" s="108"/>
      <c r="AE71" s="161"/>
      <c r="AH71" s="161"/>
      <c r="AI71" s="108"/>
      <c r="AN71" s="161"/>
      <c r="AO71" s="108"/>
      <c r="AQ71" s="18"/>
      <c r="AS71"/>
      <c r="AT71"/>
      <c r="AU71"/>
    </row>
    <row r="72" spans="1:47" x14ac:dyDescent="0.25">
      <c r="A72" s="439" t="str">
        <f t="shared" si="30"/>
        <v>College of Humanities/Sciences</v>
      </c>
      <c r="B72" s="266">
        <f t="shared" si="31"/>
        <v>42909931.223140813</v>
      </c>
      <c r="C72" s="440">
        <f t="shared" si="32"/>
        <v>97313</v>
      </c>
      <c r="D72" s="441">
        <f t="shared" si="33"/>
        <v>1633675.1224522183</v>
      </c>
      <c r="E72" s="442">
        <f t="shared" si="34"/>
        <v>3558.38</v>
      </c>
      <c r="F72" s="266">
        <f>+'Summer Credit Hour Allocation'!AR5</f>
        <v>5936.0119940029854</v>
      </c>
      <c r="G72" s="441">
        <f t="shared" si="35"/>
        <v>275.21425564885686</v>
      </c>
      <c r="H72" s="444">
        <f t="shared" si="36"/>
        <v>0.49678722035890399</v>
      </c>
      <c r="I72" s="316">
        <f t="shared" si="39"/>
        <v>136.72292506694041</v>
      </c>
      <c r="J72" s="266">
        <f t="shared" si="37"/>
        <v>815147.30305252969</v>
      </c>
      <c r="K72" s="437"/>
      <c r="L72" s="445">
        <f t="shared" si="38"/>
        <v>21414418.458135869</v>
      </c>
      <c r="M72" s="3"/>
      <c r="O72" t="s">
        <v>182</v>
      </c>
      <c r="Q72" s="18">
        <f>+D20</f>
        <v>121940599.88</v>
      </c>
      <c r="X72" s="108" t="s">
        <v>164</v>
      </c>
      <c r="Y72" s="202">
        <f>+Y70+V41</f>
        <v>129082072</v>
      </c>
      <c r="Z72" s="202">
        <f>+Z70+X41</f>
        <v>127131696.31</v>
      </c>
      <c r="AA72" s="227"/>
      <c r="AB72" s="202">
        <f>+AB70+Z41</f>
        <v>123534425.87</v>
      </c>
      <c r="AD72" s="108" t="s">
        <v>164</v>
      </c>
      <c r="AE72" s="163">
        <f>+AE70+AC41</f>
        <v>125531266.33399999</v>
      </c>
      <c r="AG72" s="161"/>
      <c r="AH72" s="161"/>
      <c r="AI72" s="108" t="s">
        <v>164</v>
      </c>
      <c r="AK72" s="194"/>
      <c r="AN72" s="163">
        <f>+AN70+AL41</f>
        <v>122652044.46765713</v>
      </c>
      <c r="AO72" s="108"/>
      <c r="AQ72" s="18">
        <f>+AQ73-4562746</f>
        <v>120968520.33399999</v>
      </c>
      <c r="AS72"/>
      <c r="AT72"/>
      <c r="AU72"/>
    </row>
    <row r="73" spans="1:47" x14ac:dyDescent="0.25">
      <c r="A73" s="439" t="str">
        <f t="shared" si="30"/>
        <v>College of Arts and Media</v>
      </c>
      <c r="B73" s="266">
        <f t="shared" si="31"/>
        <v>10321370.645722063</v>
      </c>
      <c r="C73" s="440">
        <f t="shared" si="32"/>
        <v>0</v>
      </c>
      <c r="D73" s="441">
        <f t="shared" si="33"/>
        <v>335824.75035849831</v>
      </c>
      <c r="E73" s="442">
        <f t="shared" si="34"/>
        <v>0</v>
      </c>
      <c r="F73" s="266">
        <f>+'Summer Credit Hour Allocation'!AR6</f>
        <v>1203.1594202898523</v>
      </c>
      <c r="G73" s="441">
        <f t="shared" si="35"/>
        <v>279.11907989516055</v>
      </c>
      <c r="H73" s="444">
        <f t="shared" si="36"/>
        <v>0.57480106629727035</v>
      </c>
      <c r="I73" s="316">
        <f t="shared" si="39"/>
        <v>160.43794474765127</v>
      </c>
      <c r="J73" s="266">
        <f t="shared" si="37"/>
        <v>193032.42459507944</v>
      </c>
      <c r="K73" s="437"/>
      <c r="L73" s="445">
        <f t="shared" si="38"/>
        <v>5932734.8528103875</v>
      </c>
      <c r="M73" s="3"/>
      <c r="O73" t="s">
        <v>183</v>
      </c>
      <c r="Q73" s="18">
        <f>+Q70</f>
        <v>129492420.31410065</v>
      </c>
      <c r="AD73" s="161"/>
      <c r="AE73" s="161"/>
      <c r="AH73" s="161"/>
      <c r="AI73" s="161"/>
      <c r="AL73" s="108"/>
      <c r="AN73" s="161"/>
      <c r="AO73" s="108"/>
      <c r="AQ73" s="18">
        <f>+AQ70</f>
        <v>125531266.33399999</v>
      </c>
      <c r="AS73"/>
      <c r="AT73"/>
      <c r="AU73"/>
    </row>
    <row r="74" spans="1:47" ht="15.75" thickBot="1" x14ac:dyDescent="0.3">
      <c r="A74" s="439" t="str">
        <f t="shared" si="30"/>
        <v>Davidson Honors College</v>
      </c>
      <c r="B74" s="266">
        <f t="shared" si="31"/>
        <v>855666.73167192296</v>
      </c>
      <c r="C74" s="440">
        <f t="shared" si="32"/>
        <v>0</v>
      </c>
      <c r="D74" s="441">
        <f t="shared" si="33"/>
        <v>3271.0202956996591</v>
      </c>
      <c r="E74" s="442">
        <f t="shared" si="34"/>
        <v>0</v>
      </c>
      <c r="F74" s="266">
        <f>+'Summer Credit Hour Allocation'!AR7</f>
        <v>20.212227219723424</v>
      </c>
      <c r="G74" s="441">
        <f t="shared" si="35"/>
        <v>161.83373856532464</v>
      </c>
      <c r="H74" s="444">
        <f t="shared" si="36"/>
        <v>0.83023922243875892</v>
      </c>
      <c r="I74" s="316">
        <f t="shared" si="39"/>
        <v>134.36071727083251</v>
      </c>
      <c r="J74" s="266">
        <f t="shared" si="37"/>
        <v>2715.7293468830844</v>
      </c>
      <c r="K74" s="437"/>
      <c r="L74" s="445">
        <f t="shared" si="38"/>
        <v>710408.08197001147</v>
      </c>
      <c r="M74" s="3"/>
      <c r="O74" t="s">
        <v>184</v>
      </c>
      <c r="Q74" s="23">
        <f>+Q72-Q73</f>
        <v>-7551820.4341006577</v>
      </c>
      <c r="X74" s="108" t="s">
        <v>165</v>
      </c>
      <c r="Y74" s="234">
        <f>+Z20-Y72</f>
        <v>-4100000</v>
      </c>
      <c r="Z74" s="234">
        <f>+AA20-Z72</f>
        <v>-3597270.4399999976</v>
      </c>
      <c r="AB74" s="234">
        <f>+AC20-AB72</f>
        <v>0</v>
      </c>
      <c r="AD74" s="108" t="s">
        <v>165</v>
      </c>
      <c r="AE74" s="234">
        <f>+AF20-AE72</f>
        <v>-4562746.3339999914</v>
      </c>
      <c r="AG74" s="204"/>
      <c r="AH74" s="161"/>
      <c r="AI74" s="108" t="s">
        <v>165</v>
      </c>
      <c r="AN74" s="234">
        <f>+AO20-AN72</f>
        <v>882381.40234287083</v>
      </c>
      <c r="AO74" s="108"/>
      <c r="AQ74" s="23">
        <f>+AQ72-AQ73</f>
        <v>-4562746</v>
      </c>
      <c r="AS74"/>
      <c r="AT74"/>
      <c r="AU74"/>
    </row>
    <row r="75" spans="1:47" ht="15.75" thickTop="1" x14ac:dyDescent="0.25">
      <c r="A75" s="439" t="str">
        <f t="shared" si="30"/>
        <v>College of Business</v>
      </c>
      <c r="B75" s="266">
        <f t="shared" si="31"/>
        <v>9748402.8509627283</v>
      </c>
      <c r="C75" s="440">
        <f t="shared" si="32"/>
        <v>431386</v>
      </c>
      <c r="D75" s="441">
        <f t="shared" si="33"/>
        <v>539611.96879044373</v>
      </c>
      <c r="E75" s="442">
        <f t="shared" si="34"/>
        <v>21276</v>
      </c>
      <c r="F75" s="266">
        <f>+'Summer Credit Hour Allocation'!AR8</f>
        <v>1987.1810761285979</v>
      </c>
      <c r="G75" s="441">
        <f t="shared" si="35"/>
        <v>271.54645103691769</v>
      </c>
      <c r="H75" s="444">
        <f t="shared" si="36"/>
        <v>0.58623047758368829</v>
      </c>
      <c r="I75" s="316">
        <f t="shared" si="39"/>
        <v>159.18880567752788</v>
      </c>
      <c r="J75" s="266">
        <f t="shared" si="37"/>
        <v>337612.9821738961</v>
      </c>
      <c r="K75" s="437"/>
      <c r="L75" s="445">
        <f t="shared" si="38"/>
        <v>6146196.8589980686</v>
      </c>
      <c r="M75" s="3"/>
      <c r="AQ75" s="18"/>
      <c r="AS75"/>
      <c r="AT75"/>
      <c r="AU75"/>
    </row>
    <row r="76" spans="1:47" x14ac:dyDescent="0.25">
      <c r="A76" s="439" t="str">
        <f t="shared" si="30"/>
        <v>School of Law</v>
      </c>
      <c r="B76" s="266">
        <f t="shared" si="31"/>
        <v>4277433.9617884699</v>
      </c>
      <c r="C76" s="440">
        <f t="shared" si="32"/>
        <v>1801438.5</v>
      </c>
      <c r="D76" s="441">
        <f t="shared" si="33"/>
        <v>121544.98433993172</v>
      </c>
      <c r="E76" s="442">
        <f t="shared" si="34"/>
        <v>41932</v>
      </c>
      <c r="F76" s="266">
        <f>+'Summer Credit Hour Allocation'!AR9</f>
        <v>229.78110944527683</v>
      </c>
      <c r="G76" s="441">
        <f t="shared" si="35"/>
        <v>528.95986373013</v>
      </c>
      <c r="H76" s="444">
        <f t="shared" si="36"/>
        <v>0.89802092031493796</v>
      </c>
      <c r="I76" s="316">
        <f t="shared" si="39"/>
        <v>475.01702363659552</v>
      </c>
      <c r="J76" s="266">
        <f t="shared" si="37"/>
        <v>151081.93869661022</v>
      </c>
      <c r="K76" s="437"/>
      <c r="L76" s="445">
        <f t="shared" si="38"/>
        <v>5642663.6829516534</v>
      </c>
      <c r="M76" s="3"/>
      <c r="Z76" s="204"/>
      <c r="AA76" s="194"/>
      <c r="AD76" s="108"/>
      <c r="AE76" s="204"/>
      <c r="AH76" s="161"/>
      <c r="AI76" s="161"/>
      <c r="AQ76" s="18"/>
      <c r="AU76"/>
    </row>
    <row r="77" spans="1:47" x14ac:dyDescent="0.25">
      <c r="A77" s="439" t="str">
        <f t="shared" si="30"/>
        <v>Missoula College</v>
      </c>
      <c r="B77" s="266">
        <f t="shared" si="31"/>
        <v>6055514.0095338598</v>
      </c>
      <c r="C77" s="440">
        <f t="shared" si="32"/>
        <v>23161</v>
      </c>
      <c r="D77" s="441">
        <f t="shared" si="33"/>
        <v>203356.95499999999</v>
      </c>
      <c r="E77" s="442">
        <f t="shared" si="34"/>
        <v>6000</v>
      </c>
      <c r="F77" s="266">
        <f>+'Summer Credit Hour Allocation'!AR12</f>
        <v>1474.0000000000041</v>
      </c>
      <c r="G77" s="441">
        <f t="shared" si="35"/>
        <v>137.96265603799148</v>
      </c>
      <c r="H77" s="444">
        <f t="shared" si="36"/>
        <v>0.70767577942586568</v>
      </c>
      <c r="I77" s="316">
        <f t="shared" si="39"/>
        <v>97.63283014334823</v>
      </c>
      <c r="J77" s="266">
        <f t="shared" si="37"/>
        <v>149910.79163129569</v>
      </c>
      <c r="K77" s="437"/>
      <c r="L77" s="445">
        <f t="shared" si="38"/>
        <v>4308501.5965211233</v>
      </c>
      <c r="M77" s="3"/>
      <c r="AA77" s="194"/>
      <c r="AB77" s="194"/>
      <c r="AD77" s="194"/>
      <c r="AH77" s="161"/>
      <c r="AI77" s="161"/>
      <c r="AU77"/>
    </row>
    <row r="78" spans="1:47" x14ac:dyDescent="0.25">
      <c r="A78" s="439" t="str">
        <f t="shared" si="30"/>
        <v>Unknown MC</v>
      </c>
      <c r="B78" s="266">
        <f t="shared" si="31"/>
        <v>2195729.085533638</v>
      </c>
      <c r="C78" s="440">
        <f t="shared" si="32"/>
        <v>0</v>
      </c>
      <c r="D78" s="441">
        <f t="shared" si="33"/>
        <v>0</v>
      </c>
      <c r="E78" s="442">
        <f t="shared" si="34"/>
        <v>0</v>
      </c>
      <c r="F78" s="266"/>
      <c r="G78" s="266"/>
      <c r="H78" s="437"/>
      <c r="I78" s="437"/>
      <c r="J78" s="437"/>
      <c r="K78" s="437"/>
      <c r="L78" s="446"/>
      <c r="M78" s="63"/>
      <c r="AA78" s="194"/>
      <c r="AB78" s="194"/>
      <c r="AD78" s="194"/>
      <c r="AH78" s="161"/>
      <c r="AI78" s="161"/>
      <c r="AU78"/>
    </row>
    <row r="79" spans="1:47" x14ac:dyDescent="0.25">
      <c r="A79" s="439" t="str">
        <f t="shared" si="30"/>
        <v>Unknown Other UNITS</v>
      </c>
      <c r="B79" s="266">
        <f t="shared" si="31"/>
        <v>0</v>
      </c>
      <c r="C79" s="440">
        <f t="shared" si="32"/>
        <v>0</v>
      </c>
      <c r="D79" s="441">
        <f t="shared" si="33"/>
        <v>0</v>
      </c>
      <c r="E79" s="442">
        <f t="shared" si="34"/>
        <v>0</v>
      </c>
      <c r="F79" s="437"/>
      <c r="G79" s="266"/>
      <c r="H79" s="437"/>
      <c r="I79" s="437"/>
      <c r="J79" s="437"/>
      <c r="K79" s="437"/>
      <c r="L79" s="446"/>
      <c r="AA79" s="194"/>
      <c r="AB79" s="194"/>
      <c r="AD79" s="194"/>
      <c r="AH79" s="161"/>
      <c r="AI79" s="161"/>
      <c r="AU79"/>
    </row>
    <row r="80" spans="1:47" x14ac:dyDescent="0.25">
      <c r="A80" s="439" t="str">
        <f t="shared" si="30"/>
        <v>Other GL to Detail Difference</v>
      </c>
      <c r="B80" s="266">
        <f t="shared" si="31"/>
        <v>5463094.2046611989</v>
      </c>
      <c r="C80" s="440">
        <f t="shared" si="32"/>
        <v>267913.5</v>
      </c>
      <c r="D80" s="441">
        <f t="shared" si="33"/>
        <v>-152.37860000000001</v>
      </c>
      <c r="E80" s="442">
        <f t="shared" si="34"/>
        <v>30475.72</v>
      </c>
      <c r="F80" s="437"/>
      <c r="G80" s="266"/>
      <c r="H80" s="437"/>
      <c r="I80" s="437"/>
      <c r="J80" s="437"/>
      <c r="K80" s="437"/>
      <c r="L80" s="446"/>
      <c r="AA80" s="194"/>
      <c r="AB80" s="194"/>
      <c r="AD80" s="194"/>
      <c r="AH80" s="161"/>
      <c r="AI80" s="161"/>
      <c r="AU80"/>
    </row>
    <row r="81" spans="1:47" x14ac:dyDescent="0.25">
      <c r="A81" s="439" t="str">
        <f t="shared" si="30"/>
        <v>Other including research</v>
      </c>
      <c r="B81" s="266">
        <f t="shared" si="31"/>
        <v>348250</v>
      </c>
      <c r="C81" s="440">
        <f t="shared" si="32"/>
        <v>0</v>
      </c>
      <c r="D81" s="441">
        <f t="shared" si="33"/>
        <v>0</v>
      </c>
      <c r="E81" s="442">
        <f t="shared" si="34"/>
        <v>0</v>
      </c>
      <c r="F81" s="266"/>
      <c r="G81" s="441"/>
      <c r="H81" s="444"/>
      <c r="I81" s="316"/>
      <c r="J81" s="266"/>
      <c r="K81" s="437"/>
      <c r="L81" s="445"/>
      <c r="AA81" s="194"/>
      <c r="AB81" s="194"/>
      <c r="AD81" s="194"/>
      <c r="AH81" s="161"/>
      <c r="AI81" s="161"/>
      <c r="AU81"/>
    </row>
    <row r="82" spans="1:47" x14ac:dyDescent="0.25">
      <c r="A82" s="439" t="s">
        <v>167</v>
      </c>
      <c r="B82" s="269">
        <f>SUM(B69:B81)</f>
        <v>111473772.227</v>
      </c>
      <c r="C82" s="269">
        <f t="shared" ref="C82:E82" si="40">SUM(C69:C81)</f>
        <v>5747252</v>
      </c>
      <c r="D82" s="269">
        <f t="shared" si="40"/>
        <v>3929631.6535999998</v>
      </c>
      <c r="E82" s="269">
        <f t="shared" si="40"/>
        <v>180241</v>
      </c>
      <c r="F82" s="437"/>
      <c r="G82" s="437"/>
      <c r="H82" s="266"/>
      <c r="I82" s="437"/>
      <c r="J82" s="269">
        <f>SUM(J69:J81)</f>
        <v>2230361.0779002258</v>
      </c>
      <c r="K82" s="437"/>
      <c r="L82" s="447">
        <f>SUM(L69:L81)</f>
        <v>61719475.978756912</v>
      </c>
      <c r="AA82" s="194"/>
      <c r="AB82" s="194"/>
      <c r="AD82" s="194"/>
      <c r="AH82" s="161"/>
      <c r="AI82" s="161"/>
      <c r="AU82"/>
    </row>
    <row r="83" spans="1:47" x14ac:dyDescent="0.25">
      <c r="A83" s="452"/>
      <c r="B83" s="124"/>
      <c r="C83" s="450"/>
      <c r="D83" s="450"/>
      <c r="E83" s="124"/>
      <c r="F83" s="124"/>
      <c r="G83" s="2"/>
      <c r="H83" s="124"/>
      <c r="I83" s="124"/>
      <c r="J83" s="124"/>
      <c r="K83" s="124"/>
      <c r="L83" s="451"/>
      <c r="AA83" s="194"/>
      <c r="AB83" s="194"/>
      <c r="AD83" s="194"/>
      <c r="AH83" s="161"/>
      <c r="AI83" s="161"/>
      <c r="AU83"/>
    </row>
    <row r="84" spans="1:47" x14ac:dyDescent="0.25">
      <c r="AA84" s="194"/>
      <c r="AB84" s="194"/>
      <c r="AD84" s="194"/>
      <c r="AH84" s="161"/>
      <c r="AI84" s="161"/>
      <c r="AU84"/>
    </row>
    <row r="85" spans="1:47" x14ac:dyDescent="0.25">
      <c r="AA85" s="194"/>
      <c r="AB85" s="194"/>
      <c r="AD85" s="194"/>
      <c r="AH85" s="161"/>
      <c r="AI85" s="161"/>
      <c r="AU85"/>
    </row>
    <row r="86" spans="1:47" x14ac:dyDescent="0.25">
      <c r="AA86" s="194"/>
      <c r="AB86" s="194"/>
      <c r="AD86" s="194"/>
      <c r="AU86"/>
    </row>
    <row r="87" spans="1:47" x14ac:dyDescent="0.25">
      <c r="AA87" s="194"/>
      <c r="AB87" s="194"/>
      <c r="AD87" s="194"/>
      <c r="AU87"/>
    </row>
    <row r="88" spans="1:47" x14ac:dyDescent="0.25">
      <c r="AA88" s="194"/>
      <c r="AB88" s="194"/>
      <c r="AD88" s="194"/>
    </row>
    <row r="89" spans="1:47" x14ac:dyDescent="0.25">
      <c r="AA89" s="194"/>
      <c r="AB89" s="194"/>
      <c r="AD89" s="194"/>
    </row>
    <row r="90" spans="1:47" x14ac:dyDescent="0.25">
      <c r="AA90" s="194"/>
      <c r="AB90" s="194"/>
      <c r="AD90" s="194"/>
    </row>
    <row r="91" spans="1:47" x14ac:dyDescent="0.25">
      <c r="AA91" s="194"/>
      <c r="AB91" s="194"/>
      <c r="AD91" s="194"/>
    </row>
  </sheetData>
  <sortState ref="A44:E57">
    <sortCondition ref="A44:A57"/>
  </sortState>
  <mergeCells count="3">
    <mergeCell ref="X1:AB1"/>
    <mergeCell ref="AD1:AG1"/>
    <mergeCell ref="AI1:AO1"/>
  </mergeCells>
  <pageMargins left="0.45" right="0.45" top="0.5" bottom="0.5" header="0.05" footer="0.3"/>
  <pageSetup paperSize="5" scale="48" orientation="landscape" r:id="rId1"/>
  <colBreaks count="1" manualBreakCount="1">
    <brk id="22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01"/>
  <sheetViews>
    <sheetView showGridLines="0" topLeftCell="A31" zoomScale="80" zoomScaleNormal="80" zoomScaleSheetLayoutView="100" workbookViewId="0">
      <selection activeCell="C6" sqref="C6"/>
    </sheetView>
  </sheetViews>
  <sheetFormatPr defaultRowHeight="15" x14ac:dyDescent="0.25"/>
  <cols>
    <col min="1" max="1" width="32.85546875" bestFit="1" customWidth="1"/>
    <col min="2" max="2" width="17" bestFit="1" customWidth="1"/>
    <col min="3" max="4" width="14.28515625" style="4" customWidth="1"/>
    <col min="5" max="5" width="20.28515625" customWidth="1"/>
    <col min="6" max="6" width="13.85546875" bestFit="1" customWidth="1"/>
    <col min="7" max="7" width="15.140625" style="1" bestFit="1" customWidth="1"/>
    <col min="8" max="8" width="12.7109375" customWidth="1"/>
    <col min="9" max="9" width="14" bestFit="1" customWidth="1"/>
    <col min="10" max="10" width="16.42578125" bestFit="1" customWidth="1"/>
    <col min="11" max="11" width="2.140625" customWidth="1"/>
    <col min="12" max="12" width="17.7109375" bestFit="1" customWidth="1"/>
    <col min="13" max="13" width="17.7109375" customWidth="1"/>
    <col min="14" max="14" width="14.7109375" customWidth="1"/>
    <col min="15" max="15" width="16.140625" bestFit="1" customWidth="1"/>
    <col min="16" max="17" width="16.140625" customWidth="1"/>
    <col min="18" max="18" width="16.140625" bestFit="1" customWidth="1"/>
    <col min="19" max="19" width="10.140625" bestFit="1" customWidth="1"/>
    <col min="20" max="20" width="14.28515625" style="18" bestFit="1" customWidth="1"/>
    <col min="21" max="21" width="13.42578125" hidden="1" customWidth="1"/>
    <col min="22" max="22" width="14.28515625" hidden="1" customWidth="1"/>
    <col min="23" max="23" width="1.7109375" hidden="1" customWidth="1"/>
    <col min="24" max="24" width="25.28515625" style="108" hidden="1" customWidth="1"/>
    <col min="25" max="25" width="16" style="108" hidden="1" customWidth="1"/>
    <col min="26" max="26" width="15.28515625" style="108" hidden="1" customWidth="1"/>
    <col min="27" max="27" width="15" style="190" hidden="1" customWidth="1"/>
    <col min="28" max="28" width="16.140625" style="190" hidden="1" customWidth="1"/>
    <col min="29" max="29" width="1.7109375" style="108" hidden="1" customWidth="1"/>
    <col min="30" max="30" width="25.28515625" style="190" hidden="1" customWidth="1"/>
    <col min="31" max="31" width="18.85546875" style="108" hidden="1" customWidth="1"/>
    <col min="32" max="33" width="14.7109375" style="108" hidden="1" customWidth="1"/>
    <col min="34" max="34" width="1.7109375" style="189" hidden="1" customWidth="1"/>
    <col min="35" max="35" width="25.28515625" style="189" hidden="1" customWidth="1"/>
    <col min="36" max="36" width="14.7109375" style="161" hidden="1" customWidth="1"/>
    <col min="37" max="39" width="13" style="161" hidden="1" customWidth="1"/>
    <col min="40" max="40" width="14.140625" style="108" hidden="1" customWidth="1"/>
    <col min="41" max="41" width="13.7109375" style="161" hidden="1" customWidth="1"/>
    <col min="42" max="42" width="12.5703125" style="108" hidden="1" customWidth="1"/>
    <col min="43" max="43" width="14.42578125" bestFit="1" customWidth="1"/>
    <col min="44" max="44" width="15.28515625" style="18" bestFit="1" customWidth="1"/>
    <col min="45" max="45" width="14.42578125" style="18" bestFit="1" customWidth="1"/>
    <col min="46" max="47" width="14.42578125" style="18" customWidth="1"/>
    <col min="48" max="48" width="14.28515625" bestFit="1" customWidth="1"/>
    <col min="49" max="49" width="14" bestFit="1" customWidth="1"/>
  </cols>
  <sheetData>
    <row r="1" spans="1:49" ht="19.5" thickBot="1" x14ac:dyDescent="0.35">
      <c r="A1" s="73" t="s">
        <v>0</v>
      </c>
      <c r="B1" s="74"/>
      <c r="C1" s="73"/>
      <c r="D1" s="73"/>
      <c r="E1" s="75"/>
      <c r="F1" s="73"/>
      <c r="G1" s="73"/>
      <c r="H1" s="73"/>
      <c r="I1" s="73"/>
      <c r="J1" s="73"/>
      <c r="O1" s="4"/>
      <c r="P1" s="4"/>
      <c r="Q1" s="22"/>
      <c r="R1" s="4"/>
      <c r="S1" s="4"/>
      <c r="U1" s="4"/>
      <c r="V1" s="4"/>
      <c r="W1" s="4"/>
      <c r="X1" s="464" t="s">
        <v>1</v>
      </c>
      <c r="Y1" s="464"/>
      <c r="Z1" s="464"/>
      <c r="AA1" s="464"/>
      <c r="AB1" s="464"/>
      <c r="AD1" s="465" t="s">
        <v>2</v>
      </c>
      <c r="AE1" s="465"/>
      <c r="AF1" s="465"/>
      <c r="AG1" s="465"/>
      <c r="AI1" s="465" t="s">
        <v>3</v>
      </c>
      <c r="AJ1" s="465"/>
      <c r="AK1" s="465"/>
      <c r="AL1" s="465"/>
      <c r="AM1" s="465"/>
      <c r="AN1" s="465"/>
      <c r="AO1" s="465"/>
      <c r="AQ1" s="18"/>
      <c r="AT1"/>
      <c r="AU1"/>
    </row>
    <row r="2" spans="1:49" ht="18.75" x14ac:dyDescent="0.3">
      <c r="A2" s="73" t="s">
        <v>4</v>
      </c>
      <c r="B2" s="74"/>
      <c r="C2" s="73"/>
      <c r="D2" s="73"/>
      <c r="E2" s="75"/>
      <c r="F2" s="73"/>
      <c r="G2" s="73"/>
      <c r="H2" s="73"/>
      <c r="I2" s="73"/>
      <c r="J2" s="73"/>
      <c r="O2" s="4"/>
      <c r="P2" s="4"/>
      <c r="Q2" s="22"/>
      <c r="R2" s="4"/>
      <c r="S2" s="4"/>
      <c r="U2" s="4"/>
      <c r="V2" s="4"/>
      <c r="W2" s="4"/>
      <c r="X2" s="190"/>
      <c r="Y2" s="190"/>
      <c r="Z2" s="190"/>
      <c r="AB2" s="191" t="s">
        <v>5</v>
      </c>
      <c r="AD2" s="189"/>
      <c r="AE2" s="189"/>
      <c r="AL2" s="108"/>
      <c r="AO2" s="108"/>
      <c r="AQ2" s="18"/>
      <c r="AT2"/>
      <c r="AU2"/>
    </row>
    <row r="3" spans="1:49" ht="18.75" x14ac:dyDescent="0.3">
      <c r="A3" s="73"/>
      <c r="B3" s="74"/>
      <c r="C3" s="73"/>
      <c r="D3" s="73"/>
      <c r="E3" s="73"/>
      <c r="F3" s="75"/>
      <c r="G3" s="73"/>
      <c r="H3" s="73"/>
      <c r="I3" s="73"/>
      <c r="J3" s="73"/>
      <c r="K3" s="73"/>
      <c r="R3" s="4"/>
      <c r="S3" s="4"/>
      <c r="U3" s="4"/>
      <c r="V3" s="4"/>
      <c r="W3" s="4"/>
      <c r="X3" s="4"/>
      <c r="Y3" s="190"/>
      <c r="Z3" s="192" t="s">
        <v>6</v>
      </c>
      <c r="AC3" s="192" t="s">
        <v>7</v>
      </c>
      <c r="AD3" s="108"/>
      <c r="AE3" s="189"/>
      <c r="AF3" s="189"/>
      <c r="AH3" s="108"/>
      <c r="AJ3" s="189"/>
      <c r="AM3" s="108"/>
      <c r="AN3" s="161"/>
      <c r="AO3" s="193" t="s">
        <v>8</v>
      </c>
      <c r="AU3"/>
    </row>
    <row r="4" spans="1:49" x14ac:dyDescent="0.25">
      <c r="B4" s="9" t="s">
        <v>10</v>
      </c>
      <c r="C4" s="91" t="s">
        <v>185</v>
      </c>
      <c r="D4" s="91" t="s">
        <v>186</v>
      </c>
      <c r="F4" s="1"/>
      <c r="G4"/>
      <c r="R4" s="12"/>
      <c r="S4" s="12"/>
      <c r="U4" s="12"/>
      <c r="V4" s="12"/>
      <c r="W4" s="12"/>
      <c r="X4" s="12"/>
      <c r="Y4" s="194"/>
      <c r="Z4" s="195" t="s">
        <v>11</v>
      </c>
      <c r="AA4" s="196" t="s">
        <v>6</v>
      </c>
      <c r="AB4" s="194"/>
      <c r="AC4" s="197" t="s">
        <v>12</v>
      </c>
      <c r="AD4" s="108"/>
      <c r="AE4" s="161"/>
      <c r="AF4" s="198" t="s">
        <v>13</v>
      </c>
      <c r="AH4" s="198" t="s">
        <v>13</v>
      </c>
      <c r="AI4" s="161"/>
      <c r="AM4" s="108"/>
      <c r="AN4" s="161"/>
      <c r="AO4" s="196" t="s">
        <v>14</v>
      </c>
      <c r="AP4" s="161"/>
      <c r="AU4"/>
    </row>
    <row r="5" spans="1:49" x14ac:dyDescent="0.25">
      <c r="B5" s="1"/>
      <c r="C5"/>
      <c r="D5"/>
      <c r="E5" s="62" t="s">
        <v>15</v>
      </c>
      <c r="F5" s="27"/>
      <c r="G5" s="27"/>
      <c r="H5" s="27"/>
      <c r="I5" s="27"/>
      <c r="U5" s="26"/>
      <c r="V5" s="26"/>
      <c r="W5" s="26"/>
      <c r="X5" s="26"/>
      <c r="Y5" s="199"/>
      <c r="Z5" s="199"/>
      <c r="AA5" s="199"/>
      <c r="AB5" s="199"/>
      <c r="AC5" s="199"/>
      <c r="AD5" s="108"/>
      <c r="AH5" s="108"/>
      <c r="AI5" s="161"/>
      <c r="AO5" s="189"/>
      <c r="AP5" s="161"/>
      <c r="AU5"/>
    </row>
    <row r="6" spans="1:49" x14ac:dyDescent="0.25">
      <c r="A6" s="59" t="s">
        <v>187</v>
      </c>
      <c r="B6" s="1">
        <f>+'Net Tuition AY'!M33</f>
        <v>49317810.269999996</v>
      </c>
      <c r="C6" s="1">
        <f>+'Net Tuition AY'!N33</f>
        <v>50858554.600000001</v>
      </c>
      <c r="D6" s="1">
        <f>+'Net Tuition AY'!O33</f>
        <v>54162109.609999999</v>
      </c>
      <c r="E6" s="27"/>
      <c r="F6" s="27"/>
      <c r="G6" s="27"/>
      <c r="H6" s="27"/>
      <c r="I6" s="27"/>
      <c r="R6" s="6"/>
      <c r="S6" s="6"/>
      <c r="T6" s="39"/>
      <c r="U6" s="26"/>
      <c r="V6" s="26"/>
      <c r="W6" s="26"/>
      <c r="X6" s="26"/>
      <c r="Y6" s="200" t="s">
        <v>16</v>
      </c>
      <c r="Z6" s="199"/>
      <c r="AA6" s="201" t="e">
        <f>+#REF!</f>
        <v>#REF!</v>
      </c>
      <c r="AB6" s="199"/>
      <c r="AC6" s="201" t="e">
        <f>+AA6</f>
        <v>#REF!</v>
      </c>
      <c r="AD6" s="108"/>
      <c r="AE6" s="200" t="s">
        <v>16</v>
      </c>
      <c r="AF6" s="189">
        <f>34627554+267214+32305216+261451-17661479</f>
        <v>49799956</v>
      </c>
      <c r="AH6" s="189">
        <f>+AF6</f>
        <v>49799956</v>
      </c>
      <c r="AI6" s="161"/>
      <c r="AJ6" s="200" t="s">
        <v>16</v>
      </c>
      <c r="AO6" s="189" t="e">
        <f>+#REF!</f>
        <v>#REF!</v>
      </c>
      <c r="AP6" s="161"/>
      <c r="AQ6" s="26"/>
      <c r="AV6" s="18"/>
      <c r="AW6" s="18"/>
    </row>
    <row r="7" spans="1:49" x14ac:dyDescent="0.25">
      <c r="A7" t="s">
        <v>17</v>
      </c>
      <c r="B7" s="1">
        <f>+'Net Tuition AY'!M55</f>
        <v>5324996.5</v>
      </c>
      <c r="C7" s="1">
        <f>+'Net Tuition AY'!N55</f>
        <v>5747252</v>
      </c>
      <c r="D7" s="1">
        <f>+'Net Tuition AY'!O55</f>
        <v>5916655.5</v>
      </c>
      <c r="E7" s="295" t="s">
        <v>18</v>
      </c>
      <c r="F7" s="27" t="s">
        <v>19</v>
      </c>
      <c r="G7" s="27"/>
      <c r="H7" s="27"/>
      <c r="I7" s="27"/>
      <c r="J7" s="27"/>
      <c r="O7" s="5"/>
      <c r="P7" s="5"/>
      <c r="Q7" s="18"/>
      <c r="R7" s="18"/>
      <c r="S7" s="18"/>
      <c r="T7" s="39"/>
      <c r="U7" s="18"/>
      <c r="V7" s="18"/>
      <c r="W7" s="18"/>
      <c r="X7" s="18"/>
      <c r="Y7" s="108" t="s">
        <v>17</v>
      </c>
      <c r="Z7" s="161"/>
      <c r="AA7" s="201" t="e">
        <f>+#REF!</f>
        <v>#REF!</v>
      </c>
      <c r="AB7" s="161"/>
      <c r="AC7" s="201" t="e">
        <f>+AA7</f>
        <v>#REF!</v>
      </c>
      <c r="AD7" s="108"/>
      <c r="AE7" s="108" t="s">
        <v>17</v>
      </c>
      <c r="AF7" s="189">
        <v>4814923</v>
      </c>
      <c r="AH7" s="189">
        <f>+AF7</f>
        <v>4814923</v>
      </c>
      <c r="AI7" s="161"/>
      <c r="AJ7" s="108" t="s">
        <v>17</v>
      </c>
      <c r="AO7" s="189" t="e">
        <f>+#REF!</f>
        <v>#REF!</v>
      </c>
      <c r="AP7" s="161"/>
      <c r="AQ7" s="26"/>
      <c r="AV7" s="18"/>
      <c r="AW7" s="18"/>
    </row>
    <row r="8" spans="1:49" x14ac:dyDescent="0.25">
      <c r="B8" s="23">
        <f>SUM(B6:B7)</f>
        <v>54642806.769999996</v>
      </c>
      <c r="C8" s="23">
        <f>SUM(C6:C7)</f>
        <v>56605806.600000001</v>
      </c>
      <c r="D8" s="23">
        <f>SUM(D6:D7)</f>
        <v>60078765.109999999</v>
      </c>
      <c r="E8" s="62"/>
      <c r="F8" s="27" t="s">
        <v>20</v>
      </c>
      <c r="G8" s="27"/>
      <c r="H8" s="27"/>
      <c r="I8" s="27"/>
      <c r="J8" s="27"/>
      <c r="O8" s="5"/>
      <c r="P8" s="5"/>
      <c r="Q8" s="18"/>
      <c r="R8" s="18"/>
      <c r="S8" s="18"/>
      <c r="U8" s="18"/>
      <c r="V8" s="18"/>
      <c r="W8" s="18"/>
      <c r="X8" s="18"/>
      <c r="Z8" s="161"/>
      <c r="AA8" s="163" t="e">
        <f>SUM(AA6:AA7)</f>
        <v>#REF!</v>
      </c>
      <c r="AB8" s="161"/>
      <c r="AC8" s="163" t="e">
        <f>SUM(AC6:AC7)</f>
        <v>#REF!</v>
      </c>
      <c r="AD8" s="108"/>
      <c r="AF8" s="163">
        <f>SUM(AF6:AF7)</f>
        <v>54614879</v>
      </c>
      <c r="AH8" s="163">
        <f>SUM(AH6:AH7)</f>
        <v>54614879</v>
      </c>
      <c r="AI8" s="161"/>
      <c r="AJ8" s="108"/>
      <c r="AO8" s="163" t="e">
        <f>SUM(AO6:AO7)</f>
        <v>#REF!</v>
      </c>
      <c r="AP8" s="161"/>
      <c r="AQ8" s="18"/>
      <c r="AV8" s="18"/>
      <c r="AW8" s="18"/>
    </row>
    <row r="9" spans="1:49" x14ac:dyDescent="0.25">
      <c r="B9" s="1"/>
      <c r="C9" s="1"/>
      <c r="D9" s="1"/>
      <c r="E9" s="62"/>
      <c r="F9" s="27" t="s">
        <v>21</v>
      </c>
      <c r="G9" s="27"/>
      <c r="H9" s="27"/>
      <c r="I9" s="27"/>
      <c r="J9" s="27"/>
      <c r="O9" s="5"/>
      <c r="P9" s="5"/>
      <c r="Q9" s="18"/>
      <c r="R9" s="18"/>
      <c r="S9" s="18"/>
      <c r="U9" s="18"/>
      <c r="V9" s="18"/>
      <c r="W9" s="18"/>
      <c r="X9" s="18"/>
      <c r="Z9" s="161"/>
      <c r="AA9" s="161"/>
      <c r="AB9" s="161"/>
      <c r="AC9" s="161"/>
      <c r="AD9" s="108"/>
      <c r="AF9" s="189"/>
      <c r="AI9" s="161"/>
      <c r="AJ9" s="108"/>
      <c r="AO9" s="189"/>
      <c r="AP9" s="161"/>
      <c r="AQ9" s="18"/>
      <c r="AV9" s="18"/>
      <c r="AW9" s="18"/>
    </row>
    <row r="10" spans="1:49" x14ac:dyDescent="0.25">
      <c r="A10" s="59" t="s">
        <v>22</v>
      </c>
      <c r="B10" s="1">
        <f>+'Net Tuition Summer'!K30</f>
        <v>2993739.5700000003</v>
      </c>
      <c r="C10" s="1">
        <f>+'Net Tuition Summer'!L30</f>
        <v>3950284.28</v>
      </c>
      <c r="D10" s="1">
        <f>+'Net Tuition Summer'!M30</f>
        <v>3603802</v>
      </c>
      <c r="G10" s="27"/>
      <c r="H10" s="27"/>
      <c r="I10" s="27"/>
      <c r="J10" s="27"/>
      <c r="O10" s="5"/>
      <c r="P10" s="5"/>
      <c r="Q10" s="18"/>
      <c r="R10" s="3"/>
      <c r="S10" s="3"/>
      <c r="U10" s="18"/>
      <c r="X10" s="18"/>
      <c r="Y10" s="200" t="s">
        <v>22</v>
      </c>
      <c r="Z10" s="161"/>
      <c r="AA10" s="201" t="e">
        <f>+#REF!</f>
        <v>#REF!</v>
      </c>
      <c r="AB10" s="161"/>
      <c r="AC10" s="201" t="e">
        <f>+AA10</f>
        <v>#REF!</v>
      </c>
      <c r="AD10" s="108"/>
      <c r="AE10" s="200" t="s">
        <v>22</v>
      </c>
      <c r="AF10" s="189">
        <f>3708021+56897</f>
        <v>3764918</v>
      </c>
      <c r="AH10" s="189">
        <f>+AF10</f>
        <v>3764918</v>
      </c>
      <c r="AI10" s="161"/>
      <c r="AJ10" s="200" t="s">
        <v>22</v>
      </c>
      <c r="AO10" s="189" t="e">
        <f>+#REF!</f>
        <v>#REF!</v>
      </c>
      <c r="AP10" s="161"/>
      <c r="AQ10" s="18"/>
      <c r="AV10" s="18"/>
      <c r="AW10" s="18"/>
    </row>
    <row r="11" spans="1:49" x14ac:dyDescent="0.25">
      <c r="A11" t="s">
        <v>23</v>
      </c>
      <c r="B11" s="1">
        <f>+'Net Tuition Summer'!K51</f>
        <v>168185</v>
      </c>
      <c r="C11" s="1">
        <f>+'Net Tuition Summer'!L51</f>
        <v>180241</v>
      </c>
      <c r="D11" s="1">
        <f>+'Net Tuition Summer'!M51</f>
        <v>161729</v>
      </c>
      <c r="G11" s="27"/>
      <c r="H11" s="27"/>
      <c r="I11" s="27"/>
      <c r="J11" s="27"/>
      <c r="O11" s="5"/>
      <c r="P11" s="5"/>
      <c r="Q11" s="18"/>
      <c r="R11" s="3"/>
      <c r="S11" s="3"/>
      <c r="U11" s="18"/>
      <c r="X11" s="18"/>
      <c r="Y11" s="108" t="s">
        <v>23</v>
      </c>
      <c r="AA11" s="201" t="e">
        <f>+#REF!</f>
        <v>#REF!</v>
      </c>
      <c r="AB11" s="161"/>
      <c r="AC11" s="201" t="e">
        <f>+AA11</f>
        <v>#REF!</v>
      </c>
      <c r="AD11" s="108"/>
      <c r="AE11" s="108" t="s">
        <v>23</v>
      </c>
      <c r="AF11" s="189"/>
      <c r="AI11" s="161"/>
      <c r="AJ11" s="108" t="s">
        <v>23</v>
      </c>
      <c r="AO11" s="189" t="e">
        <f>+#REF!</f>
        <v>#REF!</v>
      </c>
      <c r="AP11" s="161"/>
      <c r="AQ11" s="18"/>
      <c r="AV11" s="18"/>
      <c r="AW11" s="18"/>
    </row>
    <row r="12" spans="1:49" x14ac:dyDescent="0.25">
      <c r="B12" s="23">
        <f>SUM(B10:B11)</f>
        <v>3161924.5700000003</v>
      </c>
      <c r="C12" s="23">
        <f>SUM(C10:C11)</f>
        <v>4130525.28</v>
      </c>
      <c r="D12" s="23">
        <f>SUM(D10:D11)</f>
        <v>3765531</v>
      </c>
      <c r="E12" s="3"/>
      <c r="F12" s="3"/>
      <c r="G12" s="27"/>
      <c r="H12" s="27"/>
      <c r="I12" s="27"/>
      <c r="J12" s="27"/>
      <c r="O12" s="5"/>
      <c r="P12" s="5"/>
      <c r="Q12" s="18"/>
      <c r="R12" s="3"/>
      <c r="S12" s="3"/>
      <c r="U12" s="18"/>
      <c r="X12" s="18"/>
      <c r="AA12" s="163" t="e">
        <f>SUM(AA10:AA11)</f>
        <v>#REF!</v>
      </c>
      <c r="AB12" s="161"/>
      <c r="AC12" s="163" t="e">
        <f>SUM(AC10:AC11)</f>
        <v>#REF!</v>
      </c>
      <c r="AD12" s="108"/>
      <c r="AF12" s="163">
        <f>SUM(AF10:AF11)</f>
        <v>3764918</v>
      </c>
      <c r="AH12" s="163">
        <f>SUM(AH10:AH11)</f>
        <v>3764918</v>
      </c>
      <c r="AI12" s="161"/>
      <c r="AJ12" s="108"/>
      <c r="AO12" s="163" t="e">
        <f>SUM(AO10:AO11)</f>
        <v>#REF!</v>
      </c>
      <c r="AP12" s="161"/>
      <c r="AQ12" s="18"/>
      <c r="AV12" s="18"/>
      <c r="AW12" s="18"/>
    </row>
    <row r="13" spans="1:49" x14ac:dyDescent="0.25">
      <c r="B13" s="1"/>
      <c r="C13" s="1"/>
      <c r="D13" s="1"/>
      <c r="E13" s="27"/>
      <c r="G13" s="27"/>
      <c r="H13" s="27"/>
      <c r="I13" s="27"/>
      <c r="J13" s="27"/>
      <c r="O13" s="5"/>
      <c r="P13" s="5"/>
      <c r="Q13" s="18"/>
      <c r="R13" s="3"/>
      <c r="S13" s="3"/>
      <c r="U13" s="18"/>
      <c r="X13" s="18"/>
      <c r="Z13" s="161"/>
      <c r="AA13" s="161"/>
      <c r="AB13" s="161"/>
      <c r="AC13" s="161"/>
      <c r="AD13" s="108"/>
      <c r="AF13" s="189"/>
      <c r="AI13" s="161"/>
      <c r="AJ13" s="108"/>
      <c r="AP13" s="161"/>
      <c r="AQ13" s="18"/>
      <c r="AV13" s="18"/>
      <c r="AW13" s="18"/>
    </row>
    <row r="14" spans="1:49" x14ac:dyDescent="0.25">
      <c r="A14" t="s">
        <v>24</v>
      </c>
      <c r="B14" s="23">
        <f>+B12+B8</f>
        <v>57804731.339999996</v>
      </c>
      <c r="C14" s="23">
        <f>+C12+C8</f>
        <v>60736331.880000003</v>
      </c>
      <c r="D14" s="23">
        <f>+D12+D8</f>
        <v>63844296.109999999</v>
      </c>
      <c r="E14" s="294"/>
      <c r="F14" s="27"/>
      <c r="G14" s="27"/>
      <c r="H14" s="27"/>
      <c r="I14" s="27"/>
      <c r="J14" s="27"/>
      <c r="O14" s="5"/>
      <c r="P14" s="5"/>
      <c r="Q14" s="18"/>
      <c r="R14" s="3"/>
      <c r="S14" s="3"/>
      <c r="U14" s="18"/>
      <c r="X14" s="18"/>
      <c r="Y14" s="108" t="s">
        <v>24</v>
      </c>
      <c r="Z14" s="161">
        <v>64305703</v>
      </c>
      <c r="AA14" s="161" t="e">
        <f>+AA12+AA8</f>
        <v>#REF!</v>
      </c>
      <c r="AB14" s="161"/>
      <c r="AC14" s="161" t="e">
        <f>+AC12+AC8</f>
        <v>#REF!</v>
      </c>
      <c r="AD14" s="108"/>
      <c r="AE14" s="108" t="s">
        <v>24</v>
      </c>
      <c r="AF14" s="163">
        <f>+AF12+AF8</f>
        <v>58379797</v>
      </c>
      <c r="AH14" s="163">
        <f>+AH12+AH8</f>
        <v>58379797</v>
      </c>
      <c r="AI14" s="161"/>
      <c r="AJ14" s="108" t="s">
        <v>24</v>
      </c>
      <c r="AO14" s="202" t="e">
        <f>+AO12+AO8</f>
        <v>#REF!</v>
      </c>
      <c r="AP14" s="161"/>
      <c r="AQ14" s="18"/>
      <c r="AV14" s="18"/>
      <c r="AW14" s="18"/>
    </row>
    <row r="15" spans="1:49" x14ac:dyDescent="0.25">
      <c r="B15" s="1"/>
      <c r="C15" s="10"/>
      <c r="D15" s="10"/>
      <c r="E15" s="3"/>
      <c r="F15" s="1"/>
      <c r="G15"/>
      <c r="J15" s="27"/>
      <c r="O15" s="5"/>
      <c r="P15" s="5"/>
      <c r="Q15" s="18"/>
      <c r="R15" s="3"/>
      <c r="S15" s="3"/>
      <c r="U15" s="18"/>
      <c r="X15" s="18"/>
      <c r="Z15" s="161"/>
      <c r="AA15" s="161"/>
      <c r="AB15" s="161"/>
      <c r="AC15" s="161"/>
      <c r="AD15" s="108"/>
      <c r="AF15" s="189"/>
      <c r="AI15" s="161"/>
      <c r="AJ15" s="108"/>
      <c r="AO15" s="189"/>
      <c r="AP15" s="161"/>
      <c r="AQ15" s="18"/>
      <c r="AV15" s="18"/>
      <c r="AW15" s="18"/>
    </row>
    <row r="16" spans="1:49" x14ac:dyDescent="0.25">
      <c r="A16" s="59" t="s">
        <v>25</v>
      </c>
      <c r="B16" s="14">
        <f>+Appropriations!I6</f>
        <v>61862743</v>
      </c>
      <c r="C16" s="14">
        <f>+Appropriations!J6</f>
        <v>60854268</v>
      </c>
      <c r="D16" s="14">
        <f>+Appropriations!K6</f>
        <v>63143251</v>
      </c>
      <c r="F16" s="1"/>
      <c r="G16"/>
      <c r="J16" s="27"/>
      <c r="O16" s="5"/>
      <c r="P16" s="5"/>
      <c r="Q16" s="18"/>
      <c r="R16" s="3"/>
      <c r="S16" s="3"/>
      <c r="U16" s="18"/>
      <c r="X16" s="18"/>
      <c r="Y16" s="200" t="s">
        <v>25</v>
      </c>
      <c r="Z16" s="161">
        <v>60336444</v>
      </c>
      <c r="AA16" s="161" t="e">
        <f>+#REF!</f>
        <v>#REF!</v>
      </c>
      <c r="AB16" s="161"/>
      <c r="AC16" s="161" t="e">
        <f>+AA16</f>
        <v>#REF!</v>
      </c>
      <c r="AD16" s="108"/>
      <c r="AE16" s="200" t="s">
        <v>25</v>
      </c>
      <c r="AF16" s="189">
        <v>61862743</v>
      </c>
      <c r="AH16" s="189">
        <f>+AF16</f>
        <v>61862743</v>
      </c>
      <c r="AI16" s="161"/>
      <c r="AJ16" s="200" t="s">
        <v>25</v>
      </c>
      <c r="AO16" s="189" t="e">
        <f>+#REF!</f>
        <v>#REF!</v>
      </c>
      <c r="AP16" s="161"/>
      <c r="AQ16" s="18"/>
      <c r="AV16" s="18"/>
      <c r="AW16" s="18"/>
    </row>
    <row r="17" spans="1:51" x14ac:dyDescent="0.25">
      <c r="B17" s="1"/>
      <c r="C17" s="1"/>
      <c r="D17" s="1"/>
      <c r="F17" s="1"/>
      <c r="G17"/>
      <c r="O17" s="5"/>
      <c r="P17" s="5"/>
      <c r="Q17" s="18"/>
      <c r="R17" s="3"/>
      <c r="S17" s="3"/>
      <c r="U17" s="18"/>
      <c r="X17" s="18"/>
      <c r="Z17" s="161"/>
      <c r="AA17" s="161"/>
      <c r="AB17" s="161"/>
      <c r="AC17" s="161"/>
      <c r="AD17" s="108"/>
      <c r="AF17" s="189"/>
      <c r="AI17" s="161"/>
      <c r="AJ17" s="108"/>
      <c r="AO17" s="190"/>
      <c r="AP17" s="161"/>
      <c r="AQ17" s="18"/>
      <c r="AV17" s="18"/>
      <c r="AW17" s="18"/>
    </row>
    <row r="18" spans="1:51" x14ac:dyDescent="0.25">
      <c r="A18" t="s">
        <v>26</v>
      </c>
      <c r="B18" s="45">
        <v>725980</v>
      </c>
      <c r="C18" s="45">
        <v>350000</v>
      </c>
      <c r="D18" s="45">
        <v>350000</v>
      </c>
      <c r="F18" s="1"/>
      <c r="G18"/>
      <c r="O18" s="5"/>
      <c r="P18" s="5"/>
      <c r="Q18" s="18"/>
      <c r="R18" s="3"/>
      <c r="S18" s="3"/>
      <c r="U18" s="18"/>
      <c r="X18" s="18"/>
      <c r="Y18" s="108" t="s">
        <v>26</v>
      </c>
      <c r="Z18" s="161">
        <v>339925</v>
      </c>
      <c r="AA18" s="161" t="e">
        <f>+#REF!</f>
        <v>#REF!</v>
      </c>
      <c r="AB18" s="161"/>
      <c r="AC18" s="161" t="e">
        <f>+AA18</f>
        <v>#REF!</v>
      </c>
      <c r="AD18" s="108"/>
      <c r="AE18" s="108" t="s">
        <v>26</v>
      </c>
      <c r="AF18" s="189">
        <v>725980</v>
      </c>
      <c r="AH18" s="189">
        <f>+AF18</f>
        <v>725980</v>
      </c>
      <c r="AI18" s="161"/>
      <c r="AJ18" s="108" t="s">
        <v>26</v>
      </c>
      <c r="AO18" s="203">
        <f>123470642-122813092</f>
        <v>657550</v>
      </c>
      <c r="AP18" s="161"/>
      <c r="AQ18" s="18"/>
      <c r="AV18" s="18"/>
      <c r="AW18" s="18"/>
    </row>
    <row r="19" spans="1:51" x14ac:dyDescent="0.25">
      <c r="B19" s="1"/>
      <c r="C19" s="1"/>
      <c r="D19" s="1"/>
      <c r="F19" s="1"/>
      <c r="G19"/>
      <c r="O19" s="53"/>
      <c r="P19" s="53"/>
      <c r="Q19" s="138"/>
      <c r="R19" s="3"/>
      <c r="S19" s="3"/>
      <c r="U19" s="18"/>
      <c r="V19" s="18"/>
      <c r="X19" s="18"/>
      <c r="Z19" s="161"/>
      <c r="AA19" s="161"/>
      <c r="AB19" s="161"/>
      <c r="AC19" s="161"/>
      <c r="AD19" s="108"/>
      <c r="AF19" s="189"/>
      <c r="AI19" s="161"/>
      <c r="AJ19" s="108"/>
      <c r="AO19" s="190"/>
      <c r="AP19" s="161"/>
      <c r="AQ19" s="18"/>
      <c r="AV19" s="18"/>
      <c r="AW19" s="18"/>
    </row>
    <row r="20" spans="1:51" x14ac:dyDescent="0.25">
      <c r="A20" t="s">
        <v>27</v>
      </c>
      <c r="B20" s="19">
        <f>SUM(B14:B19)</f>
        <v>120393454.34</v>
      </c>
      <c r="C20" s="19">
        <f>SUM(C14:C19)</f>
        <v>121940599.88</v>
      </c>
      <c r="D20" s="19">
        <f>SUM(D14:D19)</f>
        <v>127337547.11</v>
      </c>
      <c r="E20" s="3"/>
      <c r="F20" s="1"/>
      <c r="G20"/>
      <c r="O20" s="18"/>
      <c r="P20" s="18"/>
      <c r="Q20" s="18"/>
      <c r="R20" s="3"/>
      <c r="S20" s="3"/>
      <c r="U20" s="18"/>
      <c r="V20" s="18"/>
      <c r="X20" s="18"/>
      <c r="Y20" s="108" t="s">
        <v>27</v>
      </c>
      <c r="Z20" s="163">
        <f>SUM(Z13:Z19)</f>
        <v>124982072</v>
      </c>
      <c r="AA20" s="163" t="e">
        <f>SUM(AA13:AA19)</f>
        <v>#REF!</v>
      </c>
      <c r="AB20" s="161"/>
      <c r="AC20" s="163" t="e">
        <f>SUM(AC13:AC19)</f>
        <v>#REF!</v>
      </c>
      <c r="AD20" s="108"/>
      <c r="AE20" s="108" t="s">
        <v>27</v>
      </c>
      <c r="AF20" s="202">
        <f>SUM(AF14:AF19)</f>
        <v>120968520</v>
      </c>
      <c r="AH20" s="202">
        <f>SUM(AH14:AH19)</f>
        <v>120968520</v>
      </c>
      <c r="AI20" s="161"/>
      <c r="AJ20" s="200" t="s">
        <v>28</v>
      </c>
      <c r="AO20" s="202" t="e">
        <f>SUM(AO14:AO19)</f>
        <v>#REF!</v>
      </c>
      <c r="AP20" s="161"/>
      <c r="AQ20" s="18"/>
      <c r="AV20" s="18"/>
      <c r="AW20" s="18"/>
    </row>
    <row r="21" spans="1:51" x14ac:dyDescent="0.25">
      <c r="A21" s="59" t="s">
        <v>29</v>
      </c>
      <c r="B21" s="1">
        <f>+B20*-B23</f>
        <v>-601967.27170000004</v>
      </c>
      <c r="C21" s="1">
        <f>+C20*-B23</f>
        <v>-609702.99939999997</v>
      </c>
      <c r="D21" s="1">
        <f>D20*-D23</f>
        <v>-1273375.4711</v>
      </c>
      <c r="F21" s="1"/>
      <c r="G21"/>
      <c r="O21" s="18"/>
      <c r="P21" s="18"/>
      <c r="Q21" s="18"/>
      <c r="R21" s="3"/>
      <c r="S21" s="3"/>
      <c r="U21" s="18"/>
      <c r="V21" s="18"/>
      <c r="X21" s="18"/>
      <c r="Y21" s="161"/>
      <c r="Z21" s="161"/>
      <c r="AA21" s="161"/>
      <c r="AB21" s="161"/>
      <c r="AC21" s="161"/>
      <c r="AD21" s="108"/>
      <c r="AF21" s="161"/>
      <c r="AH21" s="108"/>
      <c r="AI21" s="161"/>
      <c r="AP21" s="204"/>
      <c r="AQ21" s="18"/>
      <c r="AV21" s="18"/>
      <c r="AW21" s="18"/>
    </row>
    <row r="22" spans="1:51" ht="15.75" thickBot="1" x14ac:dyDescent="0.3">
      <c r="A22" t="s">
        <v>30</v>
      </c>
      <c r="B22" s="24">
        <f>B21+B20</f>
        <v>119791487.06830001</v>
      </c>
      <c r="C22" s="24">
        <f>C21+C20</f>
        <v>121330896.88059999</v>
      </c>
      <c r="D22" s="24">
        <f>D21+D20</f>
        <v>126064171.6389</v>
      </c>
      <c r="O22" s="18"/>
      <c r="P22" s="18"/>
      <c r="Q22" s="18"/>
      <c r="U22" s="18"/>
      <c r="V22" s="18"/>
      <c r="X22" s="18"/>
      <c r="Y22" s="161"/>
      <c r="Z22" s="161"/>
      <c r="AA22" s="161"/>
      <c r="AB22" s="161"/>
      <c r="AC22" s="161"/>
      <c r="AD22" s="108"/>
      <c r="AF22" s="161"/>
      <c r="AH22" s="108"/>
      <c r="AI22" s="161"/>
      <c r="AM22" s="108"/>
      <c r="AN22" s="161"/>
      <c r="AO22" s="204"/>
      <c r="AP22" s="161"/>
      <c r="AQ22" s="18"/>
      <c r="AV22" s="18"/>
      <c r="AW22" s="18"/>
    </row>
    <row r="23" spans="1:51" ht="16.5" thickTop="1" thickBot="1" x14ac:dyDescent="0.3">
      <c r="A23" t="s">
        <v>188</v>
      </c>
      <c r="B23" s="98">
        <v>5.0000000000000001E-3</v>
      </c>
      <c r="C23" s="98">
        <v>5.0000000000000001E-3</v>
      </c>
      <c r="D23" s="98">
        <v>0.01</v>
      </c>
      <c r="F23" s="6" t="s">
        <v>31</v>
      </c>
      <c r="G23"/>
      <c r="N23" s="105"/>
      <c r="R23" s="18"/>
      <c r="S23" s="18"/>
      <c r="U23" s="38"/>
      <c r="W23" s="38"/>
      <c r="X23" s="205"/>
      <c r="Y23" s="205"/>
      <c r="Z23" s="205"/>
      <c r="AA23" s="206"/>
      <c r="AB23" s="206"/>
      <c r="AD23" s="194"/>
      <c r="AH23" s="204"/>
      <c r="AI23" s="204"/>
      <c r="AJ23" s="108"/>
      <c r="AN23" s="161"/>
      <c r="AP23" s="161"/>
      <c r="AQ23" s="18"/>
    </row>
    <row r="24" spans="1:51" x14ac:dyDescent="0.25">
      <c r="C24"/>
      <c r="D24" s="6" t="s">
        <v>32</v>
      </c>
      <c r="E24" s="6"/>
      <c r="F24" s="6" t="s">
        <v>32</v>
      </c>
      <c r="G24"/>
      <c r="R24" s="3"/>
      <c r="S24" s="3"/>
      <c r="Y24" s="191" t="s">
        <v>33</v>
      </c>
      <c r="Z24" s="191" t="s">
        <v>33</v>
      </c>
      <c r="AA24" s="191"/>
      <c r="AB24" s="191" t="s">
        <v>33</v>
      </c>
      <c r="AD24" s="207"/>
      <c r="AH24" s="208"/>
      <c r="AI24" s="208"/>
      <c r="AJ24" s="191" t="s">
        <v>33</v>
      </c>
      <c r="AK24" s="193" t="s">
        <v>34</v>
      </c>
      <c r="AL24" s="193" t="s">
        <v>34</v>
      </c>
      <c r="AM24" s="209" t="s">
        <v>35</v>
      </c>
      <c r="AN24" s="193" t="s">
        <v>35</v>
      </c>
      <c r="AO24" s="193" t="s">
        <v>35</v>
      </c>
      <c r="AQ24" s="3"/>
      <c r="AS24" s="3"/>
      <c r="AT24"/>
      <c r="AV24" s="18"/>
      <c r="AW24" s="18"/>
      <c r="AX24" s="18"/>
      <c r="AY24" s="18"/>
    </row>
    <row r="25" spans="1:51" x14ac:dyDescent="0.25">
      <c r="B25" s="58" t="s">
        <v>36</v>
      </c>
      <c r="C25" s="58"/>
      <c r="D25" s="6" t="s">
        <v>37</v>
      </c>
      <c r="E25" s="15" t="s">
        <v>31</v>
      </c>
      <c r="F25" s="6" t="s">
        <v>37</v>
      </c>
      <c r="G25" s="6"/>
      <c r="H25" s="6"/>
      <c r="I25" s="6"/>
      <c r="J25" s="6" t="s">
        <v>38</v>
      </c>
      <c r="K25" s="6"/>
      <c r="L25" s="69" t="s">
        <v>39</v>
      </c>
      <c r="M25" s="69" t="s">
        <v>40</v>
      </c>
      <c r="N25" s="7" t="s">
        <v>41</v>
      </c>
      <c r="O25" s="6"/>
      <c r="P25" s="7"/>
      <c r="Q25" s="84" t="s">
        <v>189</v>
      </c>
      <c r="R25" s="39"/>
      <c r="S25" s="7" t="s">
        <v>5</v>
      </c>
      <c r="T25" s="7" t="s">
        <v>171</v>
      </c>
      <c r="U25" s="210"/>
      <c r="V25" s="191" t="s">
        <v>11</v>
      </c>
      <c r="W25" s="191"/>
      <c r="X25" s="191" t="s">
        <v>42</v>
      </c>
      <c r="Y25" s="191" t="s">
        <v>43</v>
      </c>
      <c r="Z25" s="191" t="s">
        <v>5</v>
      </c>
      <c r="AA25" s="108"/>
      <c r="AB25" s="193"/>
      <c r="AC25" s="161"/>
      <c r="AD25" s="108"/>
      <c r="AF25" s="191"/>
      <c r="AG25" s="191"/>
      <c r="AH25" s="191" t="s">
        <v>42</v>
      </c>
      <c r="AI25" s="191" t="s">
        <v>11</v>
      </c>
      <c r="AJ25" s="211" t="s">
        <v>11</v>
      </c>
      <c r="AK25" s="212" t="s">
        <v>44</v>
      </c>
      <c r="AL25" s="211" t="s">
        <v>44</v>
      </c>
      <c r="AM25" s="191" t="s">
        <v>45</v>
      </c>
      <c r="AN25" s="161"/>
      <c r="AP25" s="18"/>
      <c r="AQ25" s="58" t="s">
        <v>170</v>
      </c>
      <c r="AR25" s="3"/>
      <c r="AS25"/>
      <c r="AV25" s="18"/>
      <c r="AW25" s="18"/>
      <c r="AX25" s="18"/>
    </row>
    <row r="26" spans="1:51" x14ac:dyDescent="0.25">
      <c r="B26" s="6" t="s">
        <v>46</v>
      </c>
      <c r="C26" s="6"/>
      <c r="D26" s="6" t="s">
        <v>47</v>
      </c>
      <c r="E26" s="15" t="s">
        <v>48</v>
      </c>
      <c r="F26" s="6" t="s">
        <v>47</v>
      </c>
      <c r="G26" s="6" t="s">
        <v>49</v>
      </c>
      <c r="H26" s="6" t="s">
        <v>50</v>
      </c>
      <c r="I26" s="6" t="s">
        <v>51</v>
      </c>
      <c r="J26" s="6" t="s">
        <v>52</v>
      </c>
      <c r="K26" s="6"/>
      <c r="L26" s="6" t="s">
        <v>53</v>
      </c>
      <c r="M26" s="6" t="s">
        <v>52</v>
      </c>
      <c r="N26" s="6" t="s">
        <v>40</v>
      </c>
      <c r="O26" s="6" t="s">
        <v>40</v>
      </c>
      <c r="P26" s="6" t="s">
        <v>5</v>
      </c>
      <c r="Q26" s="39" t="s">
        <v>190</v>
      </c>
      <c r="R26" s="39"/>
      <c r="S26" s="6" t="s">
        <v>55</v>
      </c>
      <c r="T26" s="6" t="s">
        <v>56</v>
      </c>
      <c r="U26" s="191"/>
      <c r="V26" s="191" t="s">
        <v>57</v>
      </c>
      <c r="W26" s="191"/>
      <c r="X26" s="191" t="s">
        <v>57</v>
      </c>
      <c r="Y26" s="191" t="s">
        <v>58</v>
      </c>
      <c r="Z26" s="191" t="s">
        <v>57</v>
      </c>
      <c r="AA26" s="108"/>
      <c r="AB26" s="199"/>
      <c r="AC26" s="192" t="s">
        <v>13</v>
      </c>
      <c r="AD26" s="108"/>
      <c r="AE26" s="193" t="s">
        <v>59</v>
      </c>
      <c r="AF26" s="191"/>
      <c r="AG26" s="191"/>
      <c r="AH26" s="191" t="s">
        <v>57</v>
      </c>
      <c r="AI26" s="191" t="s">
        <v>60</v>
      </c>
      <c r="AJ26" s="211" t="s">
        <v>61</v>
      </c>
      <c r="AK26" s="213" t="s">
        <v>62</v>
      </c>
      <c r="AL26" s="211" t="s">
        <v>63</v>
      </c>
      <c r="AM26" s="191" t="s">
        <v>33</v>
      </c>
      <c r="AP26" s="18"/>
      <c r="AQ26" s="39" t="s">
        <v>63</v>
      </c>
      <c r="AV26" s="18"/>
    </row>
    <row r="27" spans="1:51" x14ac:dyDescent="0.25">
      <c r="B27" s="8" t="s">
        <v>64</v>
      </c>
      <c r="C27" s="8" t="s">
        <v>65</v>
      </c>
      <c r="D27" s="8" t="s">
        <v>64</v>
      </c>
      <c r="E27" s="16" t="s">
        <v>66</v>
      </c>
      <c r="F27" s="8" t="s">
        <v>64</v>
      </c>
      <c r="G27" s="8" t="s">
        <v>64</v>
      </c>
      <c r="H27" s="8" t="s">
        <v>53</v>
      </c>
      <c r="I27" s="8" t="s">
        <v>67</v>
      </c>
      <c r="J27" s="8" t="s">
        <v>53</v>
      </c>
      <c r="K27" s="6"/>
      <c r="L27" s="8" t="s">
        <v>68</v>
      </c>
      <c r="M27" s="8" t="s">
        <v>53</v>
      </c>
      <c r="N27" s="8" t="s">
        <v>68</v>
      </c>
      <c r="O27" s="8" t="s">
        <v>57</v>
      </c>
      <c r="P27" s="8" t="s">
        <v>64</v>
      </c>
      <c r="Q27" s="40" t="s">
        <v>64</v>
      </c>
      <c r="R27" s="40" t="s">
        <v>173</v>
      </c>
      <c r="S27" s="8" t="s">
        <v>69</v>
      </c>
      <c r="T27" s="8" t="s">
        <v>70</v>
      </c>
      <c r="U27" s="191"/>
      <c r="V27" s="198" t="s">
        <v>71</v>
      </c>
      <c r="W27" s="198"/>
      <c r="X27" s="198" t="s">
        <v>71</v>
      </c>
      <c r="Y27" s="214" t="s">
        <v>64</v>
      </c>
      <c r="Z27" s="214" t="s">
        <v>71</v>
      </c>
      <c r="AA27" s="108"/>
      <c r="AB27" s="215"/>
      <c r="AC27" s="195" t="s">
        <v>11</v>
      </c>
      <c r="AD27" s="216"/>
      <c r="AE27" s="214" t="s">
        <v>72</v>
      </c>
      <c r="AF27" s="191"/>
      <c r="AG27" s="191"/>
      <c r="AH27" s="198" t="s">
        <v>71</v>
      </c>
      <c r="AI27" s="214" t="s">
        <v>64</v>
      </c>
      <c r="AJ27" s="217" t="s">
        <v>73</v>
      </c>
      <c r="AK27" s="218" t="s">
        <v>74</v>
      </c>
      <c r="AL27" s="217" t="s">
        <v>74</v>
      </c>
      <c r="AM27" s="217" t="s">
        <v>74</v>
      </c>
      <c r="AP27" s="18"/>
      <c r="AQ27" s="257" t="s">
        <v>64</v>
      </c>
      <c r="AV27" s="18"/>
    </row>
    <row r="28" spans="1:51" x14ac:dyDescent="0.25">
      <c r="A28" s="270" t="s">
        <v>75</v>
      </c>
      <c r="B28" s="271">
        <f>+'Wtd Rev Alloc - Revised'!I43</f>
        <v>2477440.5093052825</v>
      </c>
      <c r="C28" s="272">
        <f>+B28/$B$41</f>
        <v>4.5741211469500637E-2</v>
      </c>
      <c r="D28" s="271">
        <f>C51</f>
        <v>0</v>
      </c>
      <c r="E28" s="271">
        <f>+'Summer Credit Hour Allocation'!AZ46</f>
        <v>441341.26194862899</v>
      </c>
      <c r="F28" s="271">
        <f>D51</f>
        <v>0</v>
      </c>
      <c r="G28" s="271">
        <f t="shared" ref="G28:G40" si="0">$D$16*C28</f>
        <v>2888248.7968627578</v>
      </c>
      <c r="H28" s="271"/>
      <c r="I28" s="271">
        <f>-(+B28+SUM(D28:H28))*$D$23</f>
        <v>-58070.30568116669</v>
      </c>
      <c r="J28" s="271">
        <f>+B28+SUM(D28:I28)</f>
        <v>5748960.2624355024</v>
      </c>
      <c r="K28" s="271"/>
      <c r="L28" s="271">
        <f t="shared" ref="L28:L40" si="1">+D28+F28</f>
        <v>0</v>
      </c>
      <c r="M28" s="271">
        <f>+J28-L28</f>
        <v>5748960.2624355024</v>
      </c>
      <c r="N28" s="273">
        <v>0.47547011381927662</v>
      </c>
      <c r="O28" s="271">
        <f>+M28*N28</f>
        <v>2733458.7903227066</v>
      </c>
      <c r="P28" s="271">
        <f t="shared" ref="P28:P36" si="2">+O28+L28</f>
        <v>2733458.7903227066</v>
      </c>
      <c r="Q28" s="270">
        <v>3600000</v>
      </c>
      <c r="R28" s="270">
        <f t="shared" ref="R28:R36" si="3">+P28-Q28</f>
        <v>-866541.20967729343</v>
      </c>
      <c r="S28" s="274">
        <f t="shared" ref="S28:S36" si="4">+P28/J28</f>
        <v>0.47547011381927662</v>
      </c>
      <c r="T28" s="270">
        <f t="shared" ref="T28:T39" si="5">+J28-P28</f>
        <v>3015501.4721127958</v>
      </c>
      <c r="U28" s="270" t="s">
        <v>76</v>
      </c>
      <c r="V28" s="270">
        <v>3586407.2499999995</v>
      </c>
      <c r="W28" s="270"/>
      <c r="X28" s="271">
        <f>+'Historical College Expenses'!F19</f>
        <v>3890318</v>
      </c>
      <c r="Y28" s="271">
        <f t="shared" ref="Y28:Y36" si="6">+P28-X28</f>
        <v>-1156859.2096772934</v>
      </c>
      <c r="Z28" s="275">
        <f t="shared" ref="Z28:Z36" si="7">+P28</f>
        <v>2733458.7903227066</v>
      </c>
      <c r="AA28" s="276"/>
      <c r="AB28" s="270" t="s">
        <v>76</v>
      </c>
      <c r="AC28" s="270">
        <v>3439077.523</v>
      </c>
      <c r="AD28" s="277">
        <f t="shared" ref="AD28:AD36" si="8">+AE28-AC28</f>
        <v>-705618.73267729348</v>
      </c>
      <c r="AE28" s="278">
        <f t="shared" ref="AE28:AE36" si="9">+P28</f>
        <v>2733458.7903227066</v>
      </c>
      <c r="AF28" s="276"/>
      <c r="AG28" s="270" t="s">
        <v>76</v>
      </c>
      <c r="AH28" s="270">
        <f t="shared" ref="AH28:AH36" si="10">+X28</f>
        <v>3890318</v>
      </c>
      <c r="AI28" s="270">
        <f>+AJ28-AH28</f>
        <v>-451240.47699999996</v>
      </c>
      <c r="AJ28" s="270">
        <f t="shared" ref="AJ28:AJ36" si="11">+AC28</f>
        <v>3439077.523</v>
      </c>
      <c r="AK28" s="279">
        <f>+AL28-AJ28</f>
        <v>-705618.73267729348</v>
      </c>
      <c r="AL28" s="270">
        <f t="shared" ref="AL28:AL36" si="12">+AE28</f>
        <v>2733458.7903227066</v>
      </c>
      <c r="AM28" s="278">
        <f>+AK28+AI28</f>
        <v>-1156859.2096772934</v>
      </c>
      <c r="AN28" s="280"/>
      <c r="AO28" s="270"/>
      <c r="AP28" s="280"/>
      <c r="AQ28" s="270">
        <v>3429082</v>
      </c>
      <c r="AR28" s="296">
        <f>Q28/AQ28-1</f>
        <v>4.9843660781515364E-2</v>
      </c>
    </row>
    <row r="29" spans="1:51" x14ac:dyDescent="0.25">
      <c r="A29" s="5" t="s">
        <v>77</v>
      </c>
      <c r="B29" s="1">
        <f>+'Wtd Rev Alloc - Revised'!I44</f>
        <v>7131147.91429378</v>
      </c>
      <c r="C29" s="51">
        <f t="shared" ref="C29:C40" si="13">+B29/$B$41</f>
        <v>0.13166303834253068</v>
      </c>
      <c r="D29" s="14">
        <f>C47+C56+C57+C58+C59+C60</f>
        <v>2918031</v>
      </c>
      <c r="E29" s="1">
        <f>+'Summer Credit Hour Allocation'!AZ47</f>
        <v>686078.32079765899</v>
      </c>
      <c r="F29" s="14">
        <f>D47+D56+D57+D58+D59+D60</f>
        <v>82891</v>
      </c>
      <c r="G29" s="1">
        <f t="shared" si="0"/>
        <v>8313632.2774850391</v>
      </c>
      <c r="H29" s="14"/>
      <c r="I29" s="14">
        <f t="shared" ref="I29:I40" si="14">-(+B29+SUM(D29:H29))*$D$23</f>
        <v>-191317.8051257648</v>
      </c>
      <c r="J29" s="14">
        <f t="shared" ref="J29:J40" si="15">+B29+SUM(D29:I29)</f>
        <v>18940462.707450714</v>
      </c>
      <c r="K29" s="14"/>
      <c r="L29" s="1">
        <f t="shared" si="1"/>
        <v>3000922</v>
      </c>
      <c r="M29" s="1">
        <f t="shared" ref="M29:M40" si="16">+J29-L29</f>
        <v>15939540.707450714</v>
      </c>
      <c r="N29" s="111">
        <v>0.44760199133675427</v>
      </c>
      <c r="O29" s="1">
        <f t="shared" ref="O29:O36" si="17">+M29*N29</f>
        <v>7134570.1616481962</v>
      </c>
      <c r="P29" s="14">
        <f t="shared" si="2"/>
        <v>10135492.161648195</v>
      </c>
      <c r="Q29" s="18">
        <v>11350000</v>
      </c>
      <c r="R29" s="18">
        <f t="shared" si="3"/>
        <v>-1214507.8383518048</v>
      </c>
      <c r="S29" s="118">
        <f t="shared" si="4"/>
        <v>0.53512378858944887</v>
      </c>
      <c r="T29" s="18">
        <f t="shared" si="5"/>
        <v>8804970.5458025187</v>
      </c>
      <c r="U29" s="161" t="s">
        <v>78</v>
      </c>
      <c r="V29" s="161">
        <v>10400802.720000001</v>
      </c>
      <c r="W29" s="161"/>
      <c r="X29" s="189">
        <f>+'Historical College Expenses'!F38</f>
        <v>10246452</v>
      </c>
      <c r="Y29" s="189">
        <f t="shared" si="6"/>
        <v>-110959.83835180476</v>
      </c>
      <c r="Z29" s="219">
        <f t="shared" si="7"/>
        <v>10135492.161648195</v>
      </c>
      <c r="AA29" s="194"/>
      <c r="AB29" s="161" t="s">
        <v>78</v>
      </c>
      <c r="AC29" s="161">
        <v>10006237.092999998</v>
      </c>
      <c r="AD29" s="220">
        <f t="shared" si="8"/>
        <v>129255.06864819676</v>
      </c>
      <c r="AE29" s="204">
        <f t="shared" si="9"/>
        <v>10135492.161648195</v>
      </c>
      <c r="AF29" s="194"/>
      <c r="AG29" s="161" t="s">
        <v>78</v>
      </c>
      <c r="AH29" s="161">
        <f t="shared" si="10"/>
        <v>10246452</v>
      </c>
      <c r="AI29" s="161">
        <f t="shared" ref="AI29:AI36" si="18">+AJ29-AH29</f>
        <v>-240214.90700000152</v>
      </c>
      <c r="AJ29" s="161">
        <f t="shared" si="11"/>
        <v>10006237.092999998</v>
      </c>
      <c r="AK29" s="221">
        <f t="shared" ref="AK29:AK36" si="19">+AL29-AJ29</f>
        <v>129255.06864819676</v>
      </c>
      <c r="AL29" s="161">
        <f t="shared" si="12"/>
        <v>10135492.161648195</v>
      </c>
      <c r="AM29" s="204">
        <f t="shared" ref="AM29:AM36" si="20">+AK29+AI29</f>
        <v>-110959.83835180476</v>
      </c>
      <c r="AP29" s="12"/>
      <c r="AQ29" s="18">
        <v>10790958</v>
      </c>
      <c r="AR29" s="296">
        <f t="shared" ref="AR29:AR41" si="21">Q29/AQ29-1</f>
        <v>5.180652171938771E-2</v>
      </c>
    </row>
    <row r="30" spans="1:51" x14ac:dyDescent="0.25">
      <c r="A30" s="270" t="s">
        <v>79</v>
      </c>
      <c r="B30" s="271">
        <f>+'Wtd Rev Alloc - Revised'!I45</f>
        <v>3682675.2015882069</v>
      </c>
      <c r="C30" s="272">
        <f t="shared" si="13"/>
        <v>6.7993570193363953E-2</v>
      </c>
      <c r="D30" s="271">
        <f>C52</f>
        <v>168212</v>
      </c>
      <c r="E30" s="271">
        <f>+'Summer Credit Hour Allocation'!AZ48</f>
        <v>1481.010946136339</v>
      </c>
      <c r="F30" s="271">
        <f>D52</f>
        <v>3167</v>
      </c>
      <c r="G30" s="271">
        <f t="shared" si="0"/>
        <v>4293335.0691056987</v>
      </c>
      <c r="H30" s="271"/>
      <c r="I30" s="271">
        <f t="shared" si="14"/>
        <v>-81488.702816400415</v>
      </c>
      <c r="J30" s="271">
        <f t="shared" si="15"/>
        <v>8067381.5788236409</v>
      </c>
      <c r="K30" s="271"/>
      <c r="L30" s="271">
        <f t="shared" si="1"/>
        <v>171379</v>
      </c>
      <c r="M30" s="271">
        <f t="shared" si="16"/>
        <v>7896002.5788236409</v>
      </c>
      <c r="N30" s="273">
        <v>0.59551161988393908</v>
      </c>
      <c r="O30" s="271">
        <f t="shared" si="17"/>
        <v>4702161.2863230268</v>
      </c>
      <c r="P30" s="271">
        <f t="shared" si="2"/>
        <v>4873540.2863230268</v>
      </c>
      <c r="Q30" s="270">
        <v>4600000</v>
      </c>
      <c r="R30" s="270">
        <f t="shared" si="3"/>
        <v>273540.28632302675</v>
      </c>
      <c r="S30" s="274">
        <f t="shared" si="4"/>
        <v>0.60410434770009602</v>
      </c>
      <c r="T30" s="270">
        <f t="shared" si="5"/>
        <v>3193841.2925006142</v>
      </c>
      <c r="U30" s="270" t="s">
        <v>80</v>
      </c>
      <c r="V30" s="270">
        <v>4333909.6300000008</v>
      </c>
      <c r="W30" s="270"/>
      <c r="X30" s="271">
        <f>+'Historical College Expenses'!F57</f>
        <v>4301997</v>
      </c>
      <c r="Y30" s="271">
        <f t="shared" si="6"/>
        <v>571543.28632302675</v>
      </c>
      <c r="Z30" s="275">
        <f t="shared" si="7"/>
        <v>4873540.2863230268</v>
      </c>
      <c r="AA30" s="276"/>
      <c r="AB30" s="270" t="s">
        <v>80</v>
      </c>
      <c r="AC30" s="270">
        <v>3965852.9334999998</v>
      </c>
      <c r="AD30" s="277">
        <f t="shared" si="8"/>
        <v>907687.35282302694</v>
      </c>
      <c r="AE30" s="278">
        <f t="shared" si="9"/>
        <v>4873540.2863230268</v>
      </c>
      <c r="AF30" s="276"/>
      <c r="AG30" s="270" t="s">
        <v>80</v>
      </c>
      <c r="AH30" s="270">
        <f t="shared" si="10"/>
        <v>4301997</v>
      </c>
      <c r="AI30" s="270">
        <f t="shared" si="18"/>
        <v>-336144.06650000019</v>
      </c>
      <c r="AJ30" s="270">
        <f t="shared" si="11"/>
        <v>3965852.9334999998</v>
      </c>
      <c r="AK30" s="279">
        <f t="shared" si="19"/>
        <v>907687.35282302694</v>
      </c>
      <c r="AL30" s="270">
        <f t="shared" si="12"/>
        <v>4873540.2863230268</v>
      </c>
      <c r="AM30" s="278">
        <f t="shared" si="20"/>
        <v>571543.28632302675</v>
      </c>
      <c r="AN30" s="280"/>
      <c r="AO30" s="270"/>
      <c r="AP30" s="276"/>
      <c r="AQ30" s="270">
        <v>4380715</v>
      </c>
      <c r="AR30" s="296">
        <f t="shared" si="21"/>
        <v>5.0056897104696407E-2</v>
      </c>
    </row>
    <row r="31" spans="1:51" x14ac:dyDescent="0.25">
      <c r="A31" s="5" t="s">
        <v>81</v>
      </c>
      <c r="B31" s="1">
        <f>+'Wtd Rev Alloc - Revised'!I46</f>
        <v>19645955.698390525</v>
      </c>
      <c r="C31" s="51">
        <f t="shared" si="13"/>
        <v>0.36272508290118882</v>
      </c>
      <c r="D31" s="14">
        <f>C61</f>
        <v>97599</v>
      </c>
      <c r="E31" s="1">
        <f>+'Summer Credit Hour Allocation'!AZ49</f>
        <v>1424362.2774466239</v>
      </c>
      <c r="F31" s="14">
        <f>D61</f>
        <v>2383</v>
      </c>
      <c r="G31" s="1">
        <f t="shared" si="0"/>
        <v>22903640.953625575</v>
      </c>
      <c r="H31" s="14"/>
      <c r="I31" s="14">
        <f t="shared" si="14"/>
        <v>-440739.40929462726</v>
      </c>
      <c r="J31" s="14">
        <f t="shared" si="15"/>
        <v>43633201.520168096</v>
      </c>
      <c r="K31" s="14"/>
      <c r="L31" s="1">
        <f t="shared" si="1"/>
        <v>99982</v>
      </c>
      <c r="M31" s="1">
        <f t="shared" si="16"/>
        <v>43533219.520168096</v>
      </c>
      <c r="N31" s="111">
        <v>0.49678722035890399</v>
      </c>
      <c r="O31" s="1">
        <f t="shared" si="17"/>
        <v>21626747.118698288</v>
      </c>
      <c r="P31" s="14">
        <f t="shared" si="2"/>
        <v>21726729.118698288</v>
      </c>
      <c r="Q31" s="18">
        <v>25160000</v>
      </c>
      <c r="R31" s="18">
        <f t="shared" si="3"/>
        <v>-3433270.8813017122</v>
      </c>
      <c r="S31" s="118">
        <f t="shared" si="4"/>
        <v>0.49794029229452208</v>
      </c>
      <c r="T31" s="18">
        <f t="shared" si="5"/>
        <v>21906472.401469808</v>
      </c>
      <c r="U31" s="161" t="s">
        <v>82</v>
      </c>
      <c r="V31" s="161">
        <v>29768561.050000001</v>
      </c>
      <c r="W31" s="161"/>
      <c r="X31" s="189">
        <f>+'Historical College Expenses'!F76</f>
        <v>30713831</v>
      </c>
      <c r="Y31" s="189">
        <f t="shared" si="6"/>
        <v>-8987101.8813017122</v>
      </c>
      <c r="Z31" s="219">
        <f t="shared" si="7"/>
        <v>21726729.118698288</v>
      </c>
      <c r="AA31" s="194"/>
      <c r="AB31" s="161" t="s">
        <v>82</v>
      </c>
      <c r="AC31" s="161">
        <v>25715517.869000003</v>
      </c>
      <c r="AD31" s="220">
        <f t="shared" si="8"/>
        <v>-3988788.750301715</v>
      </c>
      <c r="AE31" s="204">
        <f t="shared" si="9"/>
        <v>21726729.118698288</v>
      </c>
      <c r="AF31" s="194"/>
      <c r="AG31" s="161" t="s">
        <v>82</v>
      </c>
      <c r="AH31" s="161">
        <f t="shared" si="10"/>
        <v>30713831</v>
      </c>
      <c r="AI31" s="161">
        <f t="shared" si="18"/>
        <v>-4998313.1309999973</v>
      </c>
      <c r="AJ31" s="161">
        <f t="shared" si="11"/>
        <v>25715517.869000003</v>
      </c>
      <c r="AK31" s="221">
        <f t="shared" si="19"/>
        <v>-3988788.750301715</v>
      </c>
      <c r="AL31" s="161">
        <f t="shared" si="12"/>
        <v>21726729.118698288</v>
      </c>
      <c r="AM31" s="204">
        <f t="shared" si="20"/>
        <v>-8987101.8813017122</v>
      </c>
      <c r="AP31" s="12"/>
      <c r="AQ31" s="18">
        <v>25812543</v>
      </c>
      <c r="AR31" s="296">
        <f t="shared" si="21"/>
        <v>-2.5280074109707007E-2</v>
      </c>
    </row>
    <row r="32" spans="1:51" x14ac:dyDescent="0.25">
      <c r="A32" s="270" t="s">
        <v>83</v>
      </c>
      <c r="B32" s="271">
        <f>+'Wtd Rev Alloc - Revised'!I47</f>
        <v>4794855.8384883301</v>
      </c>
      <c r="C32" s="272">
        <f t="shared" si="13"/>
        <v>8.8527863353443897E-2</v>
      </c>
      <c r="D32" s="271">
        <f>C46</f>
        <v>0</v>
      </c>
      <c r="E32" s="271">
        <f>+'Summer Credit Hour Allocation'!AZ50</f>
        <v>312493.30963476753</v>
      </c>
      <c r="F32" s="271">
        <f>D46</f>
        <v>0</v>
      </c>
      <c r="G32" s="271">
        <f t="shared" si="0"/>
        <v>5589937.0962202102</v>
      </c>
      <c r="H32" s="271"/>
      <c r="I32" s="271">
        <f t="shared" si="14"/>
        <v>-106972.86244343307</v>
      </c>
      <c r="J32" s="271">
        <f t="shared" si="15"/>
        <v>10590313.381899875</v>
      </c>
      <c r="K32" s="271"/>
      <c r="L32" s="271">
        <f t="shared" si="1"/>
        <v>0</v>
      </c>
      <c r="M32" s="271">
        <f t="shared" si="16"/>
        <v>10590313.381899875</v>
      </c>
      <c r="N32" s="273">
        <v>0.57480106629727035</v>
      </c>
      <c r="O32" s="271">
        <f t="shared" si="17"/>
        <v>6087323.4243382988</v>
      </c>
      <c r="P32" s="271">
        <f t="shared" si="2"/>
        <v>6087323.4243382988</v>
      </c>
      <c r="Q32" s="270">
        <v>7250000</v>
      </c>
      <c r="R32" s="270">
        <f t="shared" si="3"/>
        <v>-1162676.5756617012</v>
      </c>
      <c r="S32" s="274">
        <f t="shared" si="4"/>
        <v>0.57480106629727035</v>
      </c>
      <c r="T32" s="270">
        <f t="shared" si="5"/>
        <v>4502989.9575615758</v>
      </c>
      <c r="U32" s="270" t="s">
        <v>84</v>
      </c>
      <c r="V32" s="270">
        <v>8395462.7100000009</v>
      </c>
      <c r="W32" s="270"/>
      <c r="X32" s="271">
        <f>+'Historical College Expenses'!F95</f>
        <v>8390374</v>
      </c>
      <c r="Y32" s="271">
        <f t="shared" si="6"/>
        <v>-2303050.5756617012</v>
      </c>
      <c r="Z32" s="275">
        <f t="shared" si="7"/>
        <v>6087323.4243382988</v>
      </c>
      <c r="AA32" s="276"/>
      <c r="AB32" s="270" t="s">
        <v>84</v>
      </c>
      <c r="AC32" s="270">
        <v>7217339.8445000006</v>
      </c>
      <c r="AD32" s="277">
        <f t="shared" si="8"/>
        <v>-1130016.4201617017</v>
      </c>
      <c r="AE32" s="278">
        <f t="shared" si="9"/>
        <v>6087323.4243382988</v>
      </c>
      <c r="AF32" s="276"/>
      <c r="AG32" s="270" t="s">
        <v>84</v>
      </c>
      <c r="AH32" s="270">
        <f t="shared" si="10"/>
        <v>8390374</v>
      </c>
      <c r="AI32" s="270">
        <f t="shared" si="18"/>
        <v>-1173034.1554999994</v>
      </c>
      <c r="AJ32" s="270">
        <f t="shared" si="11"/>
        <v>7217339.8445000006</v>
      </c>
      <c r="AK32" s="279">
        <f t="shared" si="19"/>
        <v>-1130016.4201617017</v>
      </c>
      <c r="AL32" s="270">
        <f t="shared" si="12"/>
        <v>6087323.4243382988</v>
      </c>
      <c r="AM32" s="278">
        <f t="shared" si="20"/>
        <v>-2303050.5756617012</v>
      </c>
      <c r="AN32" s="280"/>
      <c r="AO32" s="270"/>
      <c r="AP32" s="276"/>
      <c r="AQ32" s="270">
        <v>7623965</v>
      </c>
      <c r="AR32" s="296">
        <f t="shared" si="21"/>
        <v>-4.9051248267797609E-2</v>
      </c>
    </row>
    <row r="33" spans="1:49" x14ac:dyDescent="0.25">
      <c r="A33" s="5" t="s">
        <v>85</v>
      </c>
      <c r="B33" s="1">
        <f>+'Wtd Rev Alloc - Revised'!I48</f>
        <v>373552.1828204905</v>
      </c>
      <c r="C33" s="51">
        <f t="shared" si="13"/>
        <v>6.8969282310141263E-3</v>
      </c>
      <c r="D33" s="14"/>
      <c r="E33" s="1">
        <f>+'Summer Credit Hour Allocation'!AZ51</f>
        <v>1110.7582096022543</v>
      </c>
      <c r="F33" s="14"/>
      <c r="G33" s="1">
        <f t="shared" si="0"/>
        <v>435494.47041991097</v>
      </c>
      <c r="H33" s="14"/>
      <c r="I33" s="14">
        <f t="shared" si="14"/>
        <v>-8101.5741145000375</v>
      </c>
      <c r="J33" s="14">
        <f t="shared" si="15"/>
        <v>802055.83733550366</v>
      </c>
      <c r="K33" s="14"/>
      <c r="L33" s="1">
        <f t="shared" si="1"/>
        <v>0</v>
      </c>
      <c r="M33" s="1">
        <f t="shared" si="16"/>
        <v>802055.83733550366</v>
      </c>
      <c r="N33" s="111">
        <v>0.83023922243875892</v>
      </c>
      <c r="O33" s="1">
        <f t="shared" si="17"/>
        <v>665898.21474189626</v>
      </c>
      <c r="P33" s="14">
        <f t="shared" si="2"/>
        <v>665898.21474189626</v>
      </c>
      <c r="Q33" s="18">
        <v>570000</v>
      </c>
      <c r="R33" s="18">
        <f t="shared" si="3"/>
        <v>95898.214741896256</v>
      </c>
      <c r="S33" s="118">
        <f t="shared" si="4"/>
        <v>0.83023922243875892</v>
      </c>
      <c r="T33" s="18">
        <f t="shared" si="5"/>
        <v>136157.6225936074</v>
      </c>
      <c r="U33" s="161" t="s">
        <v>86</v>
      </c>
      <c r="V33" s="161">
        <v>556666.54999999993</v>
      </c>
      <c r="W33" s="161"/>
      <c r="X33" s="189">
        <f>+'Historical College Expenses'!F114</f>
        <v>565685</v>
      </c>
      <c r="Y33" s="189">
        <f t="shared" si="6"/>
        <v>100213.21474189626</v>
      </c>
      <c r="Z33" s="219">
        <f t="shared" si="7"/>
        <v>665898.21474189626</v>
      </c>
      <c r="AA33" s="194"/>
      <c r="AB33" s="161" t="s">
        <v>86</v>
      </c>
      <c r="AC33" s="161">
        <v>577348.54850000003</v>
      </c>
      <c r="AD33" s="220">
        <f t="shared" si="8"/>
        <v>88549.666241896222</v>
      </c>
      <c r="AE33" s="204">
        <f t="shared" si="9"/>
        <v>665898.21474189626</v>
      </c>
      <c r="AF33" s="194"/>
      <c r="AG33" s="161" t="s">
        <v>86</v>
      </c>
      <c r="AH33" s="161">
        <f t="shared" si="10"/>
        <v>565685</v>
      </c>
      <c r="AI33" s="161">
        <f t="shared" si="18"/>
        <v>11663.548500000034</v>
      </c>
      <c r="AJ33" s="161">
        <f t="shared" si="11"/>
        <v>577348.54850000003</v>
      </c>
      <c r="AK33" s="221">
        <f t="shared" si="19"/>
        <v>88549.666241896222</v>
      </c>
      <c r="AL33" s="161">
        <f t="shared" si="12"/>
        <v>665898.21474189626</v>
      </c>
      <c r="AM33" s="204">
        <f t="shared" si="20"/>
        <v>100213.21474189626</v>
      </c>
      <c r="AP33" s="12"/>
      <c r="AQ33" s="18">
        <v>570001</v>
      </c>
      <c r="AR33" s="296">
        <f t="shared" si="21"/>
        <v>-1.754382887075856E-6</v>
      </c>
    </row>
    <row r="34" spans="1:49" x14ac:dyDescent="0.25">
      <c r="A34" s="270" t="s">
        <v>87</v>
      </c>
      <c r="B34" s="271">
        <f>+'Wtd Rev Alloc - Revised'!I49</f>
        <v>4616179.9224678362</v>
      </c>
      <c r="C34" s="272">
        <f t="shared" si="13"/>
        <v>8.522895351948305E-2</v>
      </c>
      <c r="D34" s="271">
        <f>C48</f>
        <v>457800</v>
      </c>
      <c r="E34" s="271">
        <f>+'Summer Credit Hour Allocation'!AZ52</f>
        <v>432084.94353527686</v>
      </c>
      <c r="F34" s="271">
        <f>D48</f>
        <v>13230</v>
      </c>
      <c r="G34" s="271">
        <f t="shared" si="0"/>
        <v>5381633.2045480516</v>
      </c>
      <c r="H34" s="271"/>
      <c r="I34" s="271">
        <f t="shared" si="14"/>
        <v>-109009.28070551164</v>
      </c>
      <c r="J34" s="271">
        <f t="shared" si="15"/>
        <v>10791918.789845653</v>
      </c>
      <c r="K34" s="271"/>
      <c r="L34" s="271">
        <f t="shared" si="1"/>
        <v>471030</v>
      </c>
      <c r="M34" s="271">
        <f t="shared" si="16"/>
        <v>10320888.789845653</v>
      </c>
      <c r="N34" s="273">
        <v>0.58623047758368829</v>
      </c>
      <c r="O34" s="271">
        <f t="shared" si="17"/>
        <v>6050419.564359352</v>
      </c>
      <c r="P34" s="271">
        <f t="shared" si="2"/>
        <v>6521449.564359352</v>
      </c>
      <c r="Q34" s="270">
        <v>6275000</v>
      </c>
      <c r="R34" s="270">
        <f t="shared" si="3"/>
        <v>246449.56435935199</v>
      </c>
      <c r="S34" s="274">
        <f t="shared" si="4"/>
        <v>0.60429008884828928</v>
      </c>
      <c r="T34" s="270">
        <f t="shared" si="5"/>
        <v>4270469.2254863009</v>
      </c>
      <c r="U34" s="270" t="s">
        <v>88</v>
      </c>
      <c r="V34" s="270">
        <v>5407794.1900000013</v>
      </c>
      <c r="W34" s="270"/>
      <c r="X34" s="271">
        <f>+'Historical College Expenses'!F152</f>
        <v>5974514</v>
      </c>
      <c r="Y34" s="271">
        <f t="shared" si="6"/>
        <v>546935.56435935199</v>
      </c>
      <c r="Z34" s="275">
        <f t="shared" si="7"/>
        <v>6521449.564359352</v>
      </c>
      <c r="AA34" s="276"/>
      <c r="AB34" s="270" t="s">
        <v>88</v>
      </c>
      <c r="AC34" s="270">
        <v>5686261.2779999999</v>
      </c>
      <c r="AD34" s="277">
        <f t="shared" si="8"/>
        <v>835188.28635935206</v>
      </c>
      <c r="AE34" s="278">
        <f t="shared" si="9"/>
        <v>6521449.564359352</v>
      </c>
      <c r="AF34" s="276"/>
      <c r="AG34" s="270" t="s">
        <v>88</v>
      </c>
      <c r="AH34" s="270">
        <f t="shared" si="10"/>
        <v>5974514</v>
      </c>
      <c r="AI34" s="270">
        <f t="shared" si="18"/>
        <v>-288252.72200000007</v>
      </c>
      <c r="AJ34" s="270">
        <f t="shared" si="11"/>
        <v>5686261.2779999999</v>
      </c>
      <c r="AK34" s="279">
        <f t="shared" si="19"/>
        <v>835188.28635935206</v>
      </c>
      <c r="AL34" s="270">
        <f t="shared" si="12"/>
        <v>6521449.564359352</v>
      </c>
      <c r="AM34" s="278">
        <f t="shared" si="20"/>
        <v>546935.56435935199</v>
      </c>
      <c r="AN34" s="280"/>
      <c r="AO34" s="270"/>
      <c r="AP34" s="280"/>
      <c r="AQ34" s="270">
        <v>5997256</v>
      </c>
      <c r="AR34" s="296">
        <f t="shared" si="21"/>
        <v>4.6311846617853147E-2</v>
      </c>
    </row>
    <row r="35" spans="1:49" x14ac:dyDescent="0.25">
      <c r="A35" s="5" t="s">
        <v>89</v>
      </c>
      <c r="B35" s="1">
        <f>+'Wtd Rev Alloc - Revised'!I50</f>
        <v>1907059.9914091816</v>
      </c>
      <c r="C35" s="51">
        <f t="shared" si="13"/>
        <v>3.521022362572597E-2</v>
      </c>
      <c r="D35" s="14">
        <f>C53+C54</f>
        <v>2015808.75</v>
      </c>
      <c r="E35" s="1">
        <f>+'Summer Credit Hour Allocation'!AZ53</f>
        <v>117370.11748130489</v>
      </c>
      <c r="F35" s="14">
        <f>D53+D54</f>
        <v>37116</v>
      </c>
      <c r="G35" s="1">
        <f t="shared" si="0"/>
        <v>2223287.988165345</v>
      </c>
      <c r="H35" s="14"/>
      <c r="I35" s="14">
        <f t="shared" si="14"/>
        <v>-63006.428470558312</v>
      </c>
      <c r="J35" s="14">
        <f t="shared" si="15"/>
        <v>6237636.4185852725</v>
      </c>
      <c r="K35" s="14"/>
      <c r="L35" s="1">
        <f t="shared" si="1"/>
        <v>2052924.75</v>
      </c>
      <c r="M35" s="1">
        <f t="shared" si="16"/>
        <v>4184711.6685852725</v>
      </c>
      <c r="N35" s="111">
        <v>0.89802092031493796</v>
      </c>
      <c r="O35" s="1">
        <f t="shared" si="17"/>
        <v>3757958.6238756059</v>
      </c>
      <c r="P35" s="14">
        <f t="shared" si="2"/>
        <v>5810883.3738756059</v>
      </c>
      <c r="Q35" s="18">
        <v>5100000</v>
      </c>
      <c r="R35" s="18">
        <f t="shared" si="3"/>
        <v>710883.37387560587</v>
      </c>
      <c r="S35" s="118">
        <f t="shared" si="4"/>
        <v>0.93158417450588493</v>
      </c>
      <c r="T35" s="18">
        <f t="shared" si="5"/>
        <v>426753.04470966663</v>
      </c>
      <c r="U35" s="161" t="s">
        <v>90</v>
      </c>
      <c r="V35" s="161">
        <v>5938188.6999999983</v>
      </c>
      <c r="W35" s="161"/>
      <c r="X35" s="189">
        <f>+'Historical College Expenses'!F171</f>
        <v>4999729</v>
      </c>
      <c r="Y35" s="189">
        <f t="shared" si="6"/>
        <v>811154.37387560587</v>
      </c>
      <c r="Z35" s="219">
        <f t="shared" si="7"/>
        <v>5810883.3738756059</v>
      </c>
      <c r="AA35" s="194"/>
      <c r="AB35" s="161" t="s">
        <v>90</v>
      </c>
      <c r="AC35" s="161">
        <v>4826502.9780000001</v>
      </c>
      <c r="AD35" s="220">
        <f t="shared" si="8"/>
        <v>984380.39587560575</v>
      </c>
      <c r="AE35" s="204">
        <f t="shared" si="9"/>
        <v>5810883.3738756059</v>
      </c>
      <c r="AF35" s="194"/>
      <c r="AG35" s="161" t="s">
        <v>90</v>
      </c>
      <c r="AH35" s="161">
        <f t="shared" si="10"/>
        <v>4999729</v>
      </c>
      <c r="AI35" s="161">
        <f t="shared" si="18"/>
        <v>-173226.02199999988</v>
      </c>
      <c r="AJ35" s="161">
        <f t="shared" si="11"/>
        <v>4826502.9780000001</v>
      </c>
      <c r="AK35" s="221">
        <f t="shared" si="19"/>
        <v>984380.39587560575</v>
      </c>
      <c r="AL35" s="161">
        <f t="shared" si="12"/>
        <v>5810883.3738756059</v>
      </c>
      <c r="AM35" s="204">
        <f t="shared" si="20"/>
        <v>811154.37387560587</v>
      </c>
      <c r="AP35" s="12"/>
      <c r="AQ35" s="18">
        <v>4971897</v>
      </c>
      <c r="AR35" s="296">
        <f t="shared" si="21"/>
        <v>2.5765417103371213E-2</v>
      </c>
    </row>
    <row r="36" spans="1:49" x14ac:dyDescent="0.25">
      <c r="A36" s="270" t="s">
        <v>91</v>
      </c>
      <c r="B36" s="271">
        <f>+'Wtd Rev Alloc - Revised'!I51</f>
        <v>3275328.5999999996</v>
      </c>
      <c r="C36" s="272">
        <f t="shared" si="13"/>
        <v>6.0472692507443852E-2</v>
      </c>
      <c r="D36" s="271">
        <f>C45+C49+C50+C55</f>
        <v>22500</v>
      </c>
      <c r="E36" s="271">
        <f>+'Summer Credit Hour Allocation'!AZ56</f>
        <v>187480</v>
      </c>
      <c r="F36" s="271">
        <f>D45+D49+D50+D55</f>
        <v>1000</v>
      </c>
      <c r="G36" s="271">
        <f t="shared" si="0"/>
        <v>3818442.4016433465</v>
      </c>
      <c r="H36" s="271"/>
      <c r="I36" s="271">
        <f t="shared" si="14"/>
        <v>-73047.510016433473</v>
      </c>
      <c r="J36" s="271">
        <f t="shared" si="15"/>
        <v>7231703.4916269127</v>
      </c>
      <c r="K36" s="271"/>
      <c r="L36" s="271">
        <f t="shared" si="1"/>
        <v>23500</v>
      </c>
      <c r="M36" s="271">
        <f t="shared" si="16"/>
        <v>7208203.4916269127</v>
      </c>
      <c r="N36" s="273">
        <v>0.70767577942586568</v>
      </c>
      <c r="O36" s="271">
        <f t="shared" si="17"/>
        <v>5101071.0241973223</v>
      </c>
      <c r="P36" s="271">
        <f t="shared" si="2"/>
        <v>5124571.0241973223</v>
      </c>
      <c r="Q36" s="270">
        <v>4800000</v>
      </c>
      <c r="R36" s="270">
        <f t="shared" si="3"/>
        <v>324571.02419732232</v>
      </c>
      <c r="S36" s="274">
        <f t="shared" si="4"/>
        <v>0.70862571040567512</v>
      </c>
      <c r="T36" s="270">
        <f t="shared" si="5"/>
        <v>2107132.4674295904</v>
      </c>
      <c r="U36" s="270" t="s">
        <v>91</v>
      </c>
      <c r="V36" s="270">
        <v>4751531.91</v>
      </c>
      <c r="W36" s="270"/>
      <c r="X36" s="271">
        <f>+'Historical College Expenses'!F133</f>
        <v>5572290</v>
      </c>
      <c r="Y36" s="271">
        <f t="shared" si="6"/>
        <v>-447718.97580267768</v>
      </c>
      <c r="Z36" s="275">
        <f t="shared" si="7"/>
        <v>5124571.0241973223</v>
      </c>
      <c r="AA36" s="276"/>
      <c r="AB36" s="270" t="s">
        <v>91</v>
      </c>
      <c r="AC36" s="270">
        <v>5337296.0924999993</v>
      </c>
      <c r="AD36" s="277">
        <f t="shared" si="8"/>
        <v>-212725.06830267701</v>
      </c>
      <c r="AE36" s="278">
        <f t="shared" si="9"/>
        <v>5124571.0241973223</v>
      </c>
      <c r="AF36" s="276"/>
      <c r="AG36" s="270" t="s">
        <v>91</v>
      </c>
      <c r="AH36" s="270">
        <f t="shared" si="10"/>
        <v>5572290</v>
      </c>
      <c r="AI36" s="270">
        <f t="shared" si="18"/>
        <v>-234993.90750000067</v>
      </c>
      <c r="AJ36" s="270">
        <f t="shared" si="11"/>
        <v>5337296.0924999993</v>
      </c>
      <c r="AK36" s="279">
        <f t="shared" si="19"/>
        <v>-212725.06830267701</v>
      </c>
      <c r="AL36" s="270">
        <f t="shared" si="12"/>
        <v>5124571.0241973223</v>
      </c>
      <c r="AM36" s="278">
        <f t="shared" si="20"/>
        <v>-447718.97580267768</v>
      </c>
      <c r="AN36" s="280"/>
      <c r="AO36" s="270"/>
      <c r="AP36" s="276"/>
      <c r="AQ36" s="270">
        <v>4932256</v>
      </c>
      <c r="AR36" s="296">
        <f t="shared" si="21"/>
        <v>-2.6814504356627022E-2</v>
      </c>
    </row>
    <row r="37" spans="1:49" x14ac:dyDescent="0.25">
      <c r="A37" s="5" t="s">
        <v>92</v>
      </c>
      <c r="B37" s="1">
        <f>+'Wtd Rev Alloc - Revised'!I52</f>
        <v>1310196.2824164159</v>
      </c>
      <c r="C37" s="51">
        <f t="shared" si="13"/>
        <v>2.4190274194462194E-2</v>
      </c>
      <c r="D37" s="14"/>
      <c r="E37" s="1"/>
      <c r="F37" s="14"/>
      <c r="G37" s="1">
        <f t="shared" si="0"/>
        <v>1527452.5552197492</v>
      </c>
      <c r="H37" s="14"/>
      <c r="I37" s="14">
        <f t="shared" si="14"/>
        <v>-28376.488376361653</v>
      </c>
      <c r="J37" s="14">
        <f t="shared" si="15"/>
        <v>2809272.3492598035</v>
      </c>
      <c r="K37" s="14"/>
      <c r="L37" s="1">
        <f t="shared" si="1"/>
        <v>0</v>
      </c>
      <c r="M37" s="1">
        <f t="shared" si="16"/>
        <v>2809272.3492598035</v>
      </c>
      <c r="N37" s="111"/>
      <c r="O37" s="1"/>
      <c r="P37" s="14"/>
      <c r="Q37" s="18"/>
      <c r="R37" s="18"/>
      <c r="S37" s="118"/>
      <c r="T37" s="18">
        <f t="shared" si="5"/>
        <v>2809272.3492598035</v>
      </c>
      <c r="U37" s="161" t="s">
        <v>92</v>
      </c>
      <c r="V37" s="161"/>
      <c r="W37" s="161"/>
      <c r="X37" s="189"/>
      <c r="Y37" s="189"/>
      <c r="Z37" s="219"/>
      <c r="AA37" s="194"/>
      <c r="AB37" s="161" t="s">
        <v>92</v>
      </c>
      <c r="AC37" s="161"/>
      <c r="AD37" s="220"/>
      <c r="AE37" s="204"/>
      <c r="AF37" s="194"/>
      <c r="AG37" s="161" t="s">
        <v>92</v>
      </c>
      <c r="AH37" s="161"/>
      <c r="AI37" s="161"/>
      <c r="AK37" s="221"/>
      <c r="AM37" s="204"/>
      <c r="AP37" s="12"/>
      <c r="AQ37" s="18"/>
      <c r="AR37" s="296"/>
    </row>
    <row r="38" spans="1:49" x14ac:dyDescent="0.25">
      <c r="A38" s="270" t="s">
        <v>191</v>
      </c>
      <c r="B38" s="271">
        <f>+'Wtd Rev Alloc - Revised'!I53</f>
        <v>0</v>
      </c>
      <c r="C38" s="272">
        <f t="shared" si="13"/>
        <v>0</v>
      </c>
      <c r="D38" s="271"/>
      <c r="E38" s="271"/>
      <c r="F38" s="271"/>
      <c r="G38" s="271">
        <f t="shared" si="0"/>
        <v>0</v>
      </c>
      <c r="H38" s="271"/>
      <c r="I38" s="271">
        <f t="shared" si="14"/>
        <v>0</v>
      </c>
      <c r="J38" s="271">
        <f t="shared" si="15"/>
        <v>0</v>
      </c>
      <c r="K38" s="271"/>
      <c r="L38" s="271">
        <f t="shared" si="1"/>
        <v>0</v>
      </c>
      <c r="M38" s="271">
        <f t="shared" si="16"/>
        <v>0</v>
      </c>
      <c r="N38" s="273"/>
      <c r="O38" s="271"/>
      <c r="P38" s="271"/>
      <c r="Q38" s="270"/>
      <c r="R38" s="270"/>
      <c r="S38" s="274"/>
      <c r="T38" s="270">
        <f t="shared" si="5"/>
        <v>0</v>
      </c>
      <c r="U38" s="270" t="s">
        <v>94</v>
      </c>
      <c r="V38" s="270"/>
      <c r="W38" s="270"/>
      <c r="X38" s="271"/>
      <c r="Y38" s="271"/>
      <c r="Z38" s="275"/>
      <c r="AA38" s="276"/>
      <c r="AB38" s="270" t="s">
        <v>94</v>
      </c>
      <c r="AC38" s="270"/>
      <c r="AD38" s="277"/>
      <c r="AE38" s="278"/>
      <c r="AF38" s="276"/>
      <c r="AG38" s="270" t="s">
        <v>94</v>
      </c>
      <c r="AH38" s="270"/>
      <c r="AI38" s="270"/>
      <c r="AJ38" s="270"/>
      <c r="AK38" s="279"/>
      <c r="AL38" s="270"/>
      <c r="AM38" s="278"/>
      <c r="AN38" s="280"/>
      <c r="AO38" s="270"/>
      <c r="AP38" s="276"/>
      <c r="AQ38" s="270"/>
      <c r="AR38" s="296"/>
    </row>
    <row r="39" spans="1:49" x14ac:dyDescent="0.25">
      <c r="A39" s="5" t="s">
        <v>95</v>
      </c>
      <c r="B39" s="1">
        <f>+'Wtd Rev Alloc - Revised'!I54</f>
        <v>4947717.4688199498</v>
      </c>
      <c r="C39" s="51">
        <f t="shared" si="13"/>
        <v>9.1350161661842802E-2</v>
      </c>
      <c r="D39" s="18">
        <f>C62</f>
        <v>236704.75</v>
      </c>
      <c r="E39" s="5"/>
      <c r="F39" s="18">
        <f>D62</f>
        <v>21942</v>
      </c>
      <c r="G39" s="1">
        <f t="shared" si="0"/>
        <v>5768146.1867043171</v>
      </c>
      <c r="H39" s="18"/>
      <c r="I39" s="14">
        <f t="shared" si="14"/>
        <v>-109745.10405524267</v>
      </c>
      <c r="J39" s="14">
        <f t="shared" si="15"/>
        <v>10864765.301469024</v>
      </c>
      <c r="K39" s="14"/>
      <c r="L39" s="1">
        <f t="shared" si="1"/>
        <v>258646.75</v>
      </c>
      <c r="M39" s="1">
        <f t="shared" si="16"/>
        <v>10606118.551469024</v>
      </c>
      <c r="N39" s="111"/>
      <c r="O39" s="5"/>
      <c r="P39" s="1"/>
      <c r="Q39" s="18"/>
      <c r="R39" s="18"/>
      <c r="S39" s="1"/>
      <c r="T39" s="18">
        <f t="shared" si="5"/>
        <v>10864765.301469024</v>
      </c>
      <c r="U39" s="161" t="s">
        <v>96</v>
      </c>
      <c r="V39" s="161"/>
      <c r="W39" s="161"/>
      <c r="X39" s="161"/>
      <c r="Y39" s="161"/>
      <c r="Z39" s="161"/>
      <c r="AA39" s="108"/>
      <c r="AB39" s="161" t="s">
        <v>96</v>
      </c>
      <c r="AC39" s="161"/>
      <c r="AD39" s="108"/>
      <c r="AF39" s="194"/>
      <c r="AG39" s="161" t="s">
        <v>96</v>
      </c>
      <c r="AH39" s="161"/>
      <c r="AI39" s="161"/>
      <c r="AK39" s="221"/>
      <c r="AL39" s="204"/>
      <c r="AM39" s="108"/>
      <c r="AP39" s="12"/>
      <c r="AQ39" s="18"/>
      <c r="AR39" s="296"/>
    </row>
    <row r="40" spans="1:49" x14ac:dyDescent="0.25">
      <c r="A40" s="281" t="s">
        <v>97</v>
      </c>
      <c r="B40" s="271">
        <f>+'Wtd Rev Alloc - Revised'!I55</f>
        <v>0</v>
      </c>
      <c r="C40" s="272">
        <f t="shared" si="13"/>
        <v>0</v>
      </c>
      <c r="D40" s="270"/>
      <c r="E40" s="270"/>
      <c r="F40" s="270"/>
      <c r="G40" s="271">
        <f t="shared" si="0"/>
        <v>0</v>
      </c>
      <c r="H40" s="270">
        <f>+C18</f>
        <v>350000</v>
      </c>
      <c r="I40" s="271">
        <f t="shared" si="14"/>
        <v>-3500</v>
      </c>
      <c r="J40" s="271">
        <f t="shared" si="15"/>
        <v>346500</v>
      </c>
      <c r="K40" s="271"/>
      <c r="L40" s="271">
        <f t="shared" si="1"/>
        <v>0</v>
      </c>
      <c r="M40" s="271">
        <f t="shared" si="16"/>
        <v>346500</v>
      </c>
      <c r="N40" s="273"/>
      <c r="O40" s="270"/>
      <c r="P40" s="270"/>
      <c r="Q40" s="270">
        <v>795000</v>
      </c>
      <c r="R40" s="270"/>
      <c r="S40" s="270"/>
      <c r="T40" s="270">
        <f>+J40-P40-C21</f>
        <v>956202.99939999997</v>
      </c>
      <c r="U40" s="281" t="s">
        <v>98</v>
      </c>
      <c r="V40" s="270"/>
      <c r="W40" s="270"/>
      <c r="X40" s="270"/>
      <c r="Y40" s="270"/>
      <c r="Z40" s="270"/>
      <c r="AA40" s="280"/>
      <c r="AB40" s="281" t="s">
        <v>98</v>
      </c>
      <c r="AC40" s="270">
        <v>4700000</v>
      </c>
      <c r="AD40" s="280"/>
      <c r="AE40" s="278">
        <f>+AC40</f>
        <v>4700000</v>
      </c>
      <c r="AF40" s="276"/>
      <c r="AG40" s="281" t="s">
        <v>98</v>
      </c>
      <c r="AH40" s="270"/>
      <c r="AI40" s="270"/>
      <c r="AJ40" s="270">
        <v>4700000</v>
      </c>
      <c r="AK40" s="279"/>
      <c r="AL40" s="278">
        <v>4700000</v>
      </c>
      <c r="AM40" s="280"/>
      <c r="AN40" s="280"/>
      <c r="AO40" s="270"/>
      <c r="AP40" s="276"/>
      <c r="AQ40" s="270"/>
      <c r="AR40" s="296"/>
    </row>
    <row r="41" spans="1:49" x14ac:dyDescent="0.25">
      <c r="B41" s="25">
        <f t="shared" ref="B41:J41" si="22">SUM(B28:B40)</f>
        <v>54162109.609999999</v>
      </c>
      <c r="C41" s="258">
        <f>SUM(C28:C40)</f>
        <v>1</v>
      </c>
      <c r="D41" s="19">
        <f t="shared" si="22"/>
        <v>5916655.5</v>
      </c>
      <c r="E41" s="19">
        <f t="shared" si="22"/>
        <v>3603802</v>
      </c>
      <c r="F41" s="19">
        <f t="shared" si="22"/>
        <v>161729</v>
      </c>
      <c r="G41" s="25">
        <f t="shared" si="22"/>
        <v>63143250.999999993</v>
      </c>
      <c r="H41" s="25">
        <f t="shared" si="22"/>
        <v>350000</v>
      </c>
      <c r="I41" s="25">
        <f t="shared" si="22"/>
        <v>-1273375.4711</v>
      </c>
      <c r="J41" s="25">
        <f t="shared" si="22"/>
        <v>126064171.6389</v>
      </c>
      <c r="K41" s="3"/>
      <c r="L41" s="25">
        <f>SUM(L28:L40)</f>
        <v>6078384.5</v>
      </c>
      <c r="M41" s="25">
        <f>SUM(M28:M40)</f>
        <v>119985787.1389</v>
      </c>
      <c r="N41" s="3"/>
      <c r="O41" s="25">
        <f>SUM(O28:O40)</f>
        <v>57859608.208504684</v>
      </c>
      <c r="P41" s="25">
        <f>SUM(P28:P40)</f>
        <v>63679345.958504684</v>
      </c>
      <c r="Q41" s="25">
        <f>SUM(Q28:Q40)</f>
        <v>69500000</v>
      </c>
      <c r="R41" s="25">
        <f>SUM(R28:R40)</f>
        <v>-5025654.0414953083</v>
      </c>
      <c r="S41" s="3"/>
      <c r="T41" s="78">
        <f>SUM(T28:T40)</f>
        <v>62994528.679795302</v>
      </c>
      <c r="U41" s="204" t="s">
        <v>99</v>
      </c>
      <c r="V41" s="224">
        <f>SUM(V28:V40)</f>
        <v>73139324.710000008</v>
      </c>
      <c r="W41" s="224"/>
      <c r="X41" s="224">
        <f>SUM(X28:X40)</f>
        <v>74655190</v>
      </c>
      <c r="Y41" s="224">
        <f t="shared" ref="Y41:Z41" si="23">SUM(Y28:Y40)</f>
        <v>-10975844.041495308</v>
      </c>
      <c r="Z41" s="224">
        <f t="shared" si="23"/>
        <v>63679345.958504684</v>
      </c>
      <c r="AA41" s="108"/>
      <c r="AB41" s="204" t="s">
        <v>99</v>
      </c>
      <c r="AC41" s="163">
        <f>SUM(AC28:AC40)</f>
        <v>71471434.159999996</v>
      </c>
      <c r="AD41" s="163">
        <f>SUM(AD28:AD40)</f>
        <v>-3092088.2014953094</v>
      </c>
      <c r="AE41" s="163">
        <f>SUM(AE28:AE40)</f>
        <v>68379345.958504677</v>
      </c>
      <c r="AF41" s="161"/>
      <c r="AG41" s="204" t="s">
        <v>99</v>
      </c>
      <c r="AH41" s="163">
        <f t="shared" ref="AH41:AM41" si="24">SUM(AH28:AH40)</f>
        <v>74655190</v>
      </c>
      <c r="AI41" s="163">
        <f t="shared" si="24"/>
        <v>-7883755.8399999989</v>
      </c>
      <c r="AJ41" s="163">
        <f t="shared" si="24"/>
        <v>71471434.159999996</v>
      </c>
      <c r="AK41" s="225">
        <f t="shared" si="24"/>
        <v>-3092088.2014953094</v>
      </c>
      <c r="AL41" s="163">
        <f t="shared" si="24"/>
        <v>68379345.958504677</v>
      </c>
      <c r="AM41" s="163">
        <f t="shared" si="24"/>
        <v>-10975844.041495308</v>
      </c>
      <c r="AP41" s="12"/>
      <c r="AQ41" s="78">
        <f>SUM(AQ28:AQ40)</f>
        <v>68508673</v>
      </c>
      <c r="AR41" s="296">
        <f t="shared" si="21"/>
        <v>1.4470094903166419E-2</v>
      </c>
    </row>
    <row r="42" spans="1:49" x14ac:dyDescent="0.25">
      <c r="B42" s="424"/>
      <c r="C42" s="296"/>
      <c r="D42" s="424"/>
      <c r="E42" s="424"/>
      <c r="F42" s="424"/>
      <c r="G42" s="424"/>
      <c r="H42" s="424"/>
      <c r="I42" s="424"/>
      <c r="J42" s="424"/>
      <c r="K42" s="3"/>
      <c r="L42" s="424"/>
      <c r="M42" s="424"/>
      <c r="N42" s="3"/>
      <c r="O42" s="35"/>
      <c r="P42" s="35"/>
      <c r="Q42" s="35"/>
      <c r="R42" s="139">
        <f>+Q41/D22</f>
        <v>0.55130652188059259</v>
      </c>
      <c r="S42" s="139"/>
      <c r="U42" s="12"/>
      <c r="W42" s="12"/>
      <c r="X42" s="194"/>
      <c r="Y42" s="226">
        <f>+V41/Z20</f>
        <v>0.58519852919385118</v>
      </c>
      <c r="Z42" s="226" t="e">
        <f>+X41/AA20</f>
        <v>#REF!</v>
      </c>
      <c r="AA42" s="204"/>
      <c r="AB42" s="204"/>
      <c r="AD42" s="161"/>
      <c r="AE42" s="226">
        <f>+AC41/AF20</f>
        <v>0.59082672219185617</v>
      </c>
      <c r="AG42" s="226">
        <f>+AE41/AH20</f>
        <v>0.56526562413514425</v>
      </c>
      <c r="AH42" s="161"/>
      <c r="AI42" s="161"/>
      <c r="AJ42" s="108"/>
      <c r="AK42" s="204"/>
      <c r="AL42" s="194"/>
      <c r="AM42" s="194"/>
      <c r="AN42" s="226" t="e">
        <f>+AL41/AO20</f>
        <v>#REF!</v>
      </c>
      <c r="AQ42" s="18"/>
      <c r="AR42" s="12"/>
      <c r="AV42" s="18"/>
      <c r="AW42" s="18"/>
    </row>
    <row r="43" spans="1:49" x14ac:dyDescent="0.25">
      <c r="B43" s="1"/>
      <c r="C43" s="48"/>
      <c r="D43" s="187"/>
      <c r="E43" s="48">
        <v>2023</v>
      </c>
      <c r="F43" s="425"/>
      <c r="G43" s="426"/>
      <c r="H43" s="425"/>
      <c r="N43" s="3"/>
      <c r="U43" s="35"/>
      <c r="V43" s="3"/>
      <c r="W43" s="35"/>
      <c r="X43" s="200" t="s">
        <v>102</v>
      </c>
      <c r="Y43" s="204">
        <f>SUM(V28:V36)</f>
        <v>73139324.710000008</v>
      </c>
      <c r="Z43" s="204">
        <f>SUM(X28:X36)</f>
        <v>74655190</v>
      </c>
      <c r="AA43" s="227"/>
      <c r="AB43" s="227"/>
      <c r="AD43" s="200" t="s">
        <v>102</v>
      </c>
      <c r="AE43" s="204">
        <f>SUM(AC28:AC36)</f>
        <v>66771434.160000004</v>
      </c>
      <c r="AG43" s="204">
        <f>SUM(AE28:AE36)</f>
        <v>63679345.958504684</v>
      </c>
      <c r="AH43" s="161"/>
      <c r="AI43" s="200" t="s">
        <v>102</v>
      </c>
      <c r="AJ43" s="204">
        <f>SUM(AH28:AH36)</f>
        <v>74655190</v>
      </c>
      <c r="AK43" s="204"/>
      <c r="AL43" s="204">
        <f>SUM(AJ28:AJ36)</f>
        <v>66771434.160000004</v>
      </c>
      <c r="AM43" s="204"/>
      <c r="AN43" s="204">
        <f>SUM(AL28:AL36)</f>
        <v>63679345.958504684</v>
      </c>
      <c r="AO43" s="204"/>
      <c r="AP43" s="161"/>
      <c r="AQ43" s="18"/>
      <c r="AR43"/>
      <c r="AS43"/>
      <c r="AT43"/>
      <c r="AU43"/>
    </row>
    <row r="44" spans="1:49" x14ac:dyDescent="0.25">
      <c r="A44" s="13" t="s">
        <v>100</v>
      </c>
      <c r="C44" s="42" t="s">
        <v>101</v>
      </c>
      <c r="D44" s="42" t="s">
        <v>31</v>
      </c>
      <c r="E44" s="42" t="s">
        <v>38</v>
      </c>
      <c r="F44" s="427"/>
      <c r="G44" s="425"/>
      <c r="H44" s="425"/>
      <c r="O44" s="5" t="s">
        <v>193</v>
      </c>
      <c r="P44" s="5"/>
      <c r="Q44" s="161">
        <v>3034425</v>
      </c>
      <c r="R44" s="126"/>
      <c r="S44" s="126"/>
      <c r="U44" s="126"/>
      <c r="W44" s="1"/>
      <c r="X44" s="108" t="s">
        <v>135</v>
      </c>
      <c r="Y44" s="161">
        <v>309451</v>
      </c>
      <c r="Z44" s="161">
        <v>172750</v>
      </c>
      <c r="AB44" s="189">
        <f>MAX(Z44,Y44)</f>
        <v>309451</v>
      </c>
      <c r="AD44" s="108" t="s">
        <v>135</v>
      </c>
      <c r="AE44" s="161">
        <v>172750</v>
      </c>
      <c r="AH44" s="161"/>
      <c r="AI44" s="108" t="s">
        <v>135</v>
      </c>
      <c r="AN44" s="161">
        <f>+AE44</f>
        <v>172750</v>
      </c>
      <c r="AO44" s="108"/>
      <c r="AQ44" s="18">
        <v>3022585</v>
      </c>
      <c r="AR44" s="296">
        <f>Q44/AQ44-1</f>
        <v>3.9171768535872786E-3</v>
      </c>
      <c r="AU44"/>
    </row>
    <row r="45" spans="1:49" x14ac:dyDescent="0.25">
      <c r="A45" s="1" t="s">
        <v>134</v>
      </c>
      <c r="B45" t="s">
        <v>130</v>
      </c>
      <c r="C45" s="1">
        <f>'Net Tuition AY'!O37</f>
        <v>0</v>
      </c>
      <c r="D45" s="1">
        <f>'Net Tuition Summer'!M33</f>
        <v>0</v>
      </c>
      <c r="E45" s="1">
        <f>SUM(C45:D45)</f>
        <v>0</v>
      </c>
      <c r="F45" s="5"/>
      <c r="G45" s="5"/>
      <c r="H45" s="5"/>
      <c r="O45" s="5"/>
      <c r="P45" s="5"/>
      <c r="Q45" s="161"/>
      <c r="R45" s="126"/>
      <c r="S45" s="126"/>
      <c r="U45" s="126"/>
      <c r="W45" s="1"/>
      <c r="Y45" s="161"/>
      <c r="Z45" s="161"/>
      <c r="AB45" s="189"/>
      <c r="AD45" s="108"/>
      <c r="AE45" s="161"/>
      <c r="AH45" s="161"/>
      <c r="AI45" s="108"/>
      <c r="AN45" s="161"/>
      <c r="AO45" s="108"/>
      <c r="AQ45" s="18"/>
      <c r="AR45" s="296"/>
      <c r="AU45"/>
    </row>
    <row r="46" spans="1:49" x14ac:dyDescent="0.25">
      <c r="A46" s="1" t="s">
        <v>234</v>
      </c>
      <c r="B46" t="s">
        <v>235</v>
      </c>
      <c r="C46" s="1">
        <f>'Net Tuition AY'!O38</f>
        <v>0</v>
      </c>
      <c r="D46" s="1">
        <f>'Net Tuition Summer'!M34</f>
        <v>0</v>
      </c>
      <c r="E46" s="1"/>
      <c r="F46" s="5"/>
      <c r="G46" s="5"/>
      <c r="H46" s="5"/>
      <c r="O46" s="5" t="s">
        <v>147</v>
      </c>
      <c r="P46" s="5"/>
      <c r="Q46" s="161">
        <v>6011927</v>
      </c>
      <c r="R46" s="6"/>
      <c r="S46" s="6"/>
      <c r="U46" s="6"/>
      <c r="X46" s="108" t="s">
        <v>109</v>
      </c>
      <c r="Y46" s="161">
        <v>3442921.2899999996</v>
      </c>
      <c r="Z46" s="161">
        <v>3040576.2300000004</v>
      </c>
      <c r="AB46" s="189">
        <f t="shared" ref="AB46:AB52" si="25">MAX(Z46,Y46)</f>
        <v>3442921.2899999996</v>
      </c>
      <c r="AD46" s="108" t="s">
        <v>109</v>
      </c>
      <c r="AE46" s="161">
        <v>3322431.0779999997</v>
      </c>
      <c r="AH46" s="161"/>
      <c r="AI46" s="108" t="s">
        <v>109</v>
      </c>
      <c r="AL46" s="108"/>
      <c r="AN46" s="161">
        <f t="shared" ref="AN46:AN52" si="26">+AE46</f>
        <v>3322431.0779999997</v>
      </c>
      <c r="AO46" s="108"/>
      <c r="AQ46" s="18">
        <v>5974759</v>
      </c>
      <c r="AR46" s="296">
        <f t="shared" ref="AR46:AR57" si="27">Q46/AQ46-1</f>
        <v>6.2208366898146572E-3</v>
      </c>
      <c r="AU46"/>
    </row>
    <row r="47" spans="1:49" x14ac:dyDescent="0.25">
      <c r="A47" s="1" t="s">
        <v>106</v>
      </c>
      <c r="B47" t="s">
        <v>104</v>
      </c>
      <c r="C47" s="1">
        <f>'Net Tuition AY'!O39</f>
        <v>52184</v>
      </c>
      <c r="D47" s="1">
        <f>'Net Tuition Summer'!M35</f>
        <v>25476</v>
      </c>
      <c r="E47" s="1">
        <f>SUM(C47:D47)</f>
        <v>77660</v>
      </c>
      <c r="F47" s="5"/>
      <c r="G47" s="5"/>
      <c r="H47" s="5"/>
      <c r="O47" s="5" t="s">
        <v>137</v>
      </c>
      <c r="P47" s="5"/>
      <c r="Q47" s="161">
        <v>516917</v>
      </c>
      <c r="R47" s="126"/>
      <c r="S47" s="126"/>
      <c r="U47" s="126"/>
      <c r="W47" s="1"/>
      <c r="X47" s="108" t="s">
        <v>122</v>
      </c>
      <c r="Y47" s="161">
        <v>4350543.9399999985</v>
      </c>
      <c r="Z47" s="161">
        <v>4953955.2699999996</v>
      </c>
      <c r="AB47" s="189">
        <f t="shared" si="25"/>
        <v>4953955.2699999996</v>
      </c>
      <c r="AD47" s="108" t="s">
        <v>122</v>
      </c>
      <c r="AE47" s="161">
        <v>4243926.6694999998</v>
      </c>
      <c r="AI47" s="108" t="s">
        <v>122</v>
      </c>
      <c r="AN47" s="161">
        <f t="shared" si="26"/>
        <v>4243926.6694999998</v>
      </c>
      <c r="AO47" s="108"/>
      <c r="AQ47" s="18">
        <v>512955</v>
      </c>
      <c r="AR47" s="296">
        <f t="shared" si="27"/>
        <v>7.7238744139349613E-3</v>
      </c>
    </row>
    <row r="48" spans="1:49" x14ac:dyDescent="0.25">
      <c r="A48" s="1" t="s">
        <v>88</v>
      </c>
      <c r="B48" t="s">
        <v>123</v>
      </c>
      <c r="C48" s="1">
        <f>'Net Tuition AY'!O40</f>
        <v>457800</v>
      </c>
      <c r="D48" s="1">
        <f>'Net Tuition Summer'!M36</f>
        <v>13230</v>
      </c>
      <c r="E48" s="1">
        <f>SUM(C48:D48)</f>
        <v>471030</v>
      </c>
      <c r="F48" s="5"/>
      <c r="G48" s="5"/>
      <c r="H48" s="5"/>
      <c r="O48" s="5" t="s">
        <v>133</v>
      </c>
      <c r="P48" s="5"/>
      <c r="Q48" s="161">
        <v>-7954308</v>
      </c>
      <c r="R48" s="126"/>
      <c r="S48" s="126"/>
      <c r="U48" s="126"/>
      <c r="W48" s="1"/>
      <c r="X48" s="108" t="s">
        <v>128</v>
      </c>
      <c r="Y48" s="161">
        <v>1041224.8800000008</v>
      </c>
      <c r="Z48" s="161">
        <v>852449.90000000224</v>
      </c>
      <c r="AB48" s="189">
        <f t="shared" si="25"/>
        <v>1041224.8800000008</v>
      </c>
      <c r="AD48" s="108" t="s">
        <v>128</v>
      </c>
      <c r="AE48" s="161">
        <v>1041199.5490000006</v>
      </c>
      <c r="AI48" s="108" t="s">
        <v>128</v>
      </c>
      <c r="AN48" s="161">
        <f t="shared" si="26"/>
        <v>1041199.5490000006</v>
      </c>
      <c r="AO48" s="108"/>
      <c r="AQ48" s="18">
        <f>-7568988-1</f>
        <v>-7568989</v>
      </c>
      <c r="AR48" s="296">
        <f t="shared" si="27"/>
        <v>5.090759148943147E-2</v>
      </c>
      <c r="AS48"/>
      <c r="AT48"/>
      <c r="AU48"/>
    </row>
    <row r="49" spans="1:47" x14ac:dyDescent="0.25">
      <c r="A49" s="1" t="s">
        <v>129</v>
      </c>
      <c r="B49" t="s">
        <v>130</v>
      </c>
      <c r="C49" s="1">
        <f>'Net Tuition AY'!O41</f>
        <v>22500</v>
      </c>
      <c r="D49" s="1">
        <f>'Net Tuition Summer'!M37</f>
        <v>1000</v>
      </c>
      <c r="E49" s="1">
        <f>SUM(C49:D49)</f>
        <v>23500</v>
      </c>
      <c r="F49" s="5"/>
      <c r="G49" s="5"/>
      <c r="H49" s="5"/>
      <c r="O49" s="5" t="s">
        <v>122</v>
      </c>
      <c r="P49" s="5"/>
      <c r="Q49" s="161">
        <v>5324234</v>
      </c>
      <c r="R49" s="188"/>
      <c r="S49" s="188"/>
      <c r="U49" s="126"/>
      <c r="W49" s="1"/>
      <c r="X49" s="108" t="s">
        <v>133</v>
      </c>
      <c r="Y49" s="161">
        <v>-5857320.7600000007</v>
      </c>
      <c r="Z49" s="161">
        <v>-6212764.3200000003</v>
      </c>
      <c r="AB49" s="189">
        <f t="shared" si="25"/>
        <v>-5857320.7600000007</v>
      </c>
      <c r="AD49" s="108" t="s">
        <v>133</v>
      </c>
      <c r="AE49" s="161">
        <v>-7383641</v>
      </c>
      <c r="AH49" s="161"/>
      <c r="AI49" s="108" t="s">
        <v>133</v>
      </c>
      <c r="AN49" s="161">
        <f t="shared" si="26"/>
        <v>-7383641</v>
      </c>
      <c r="AO49" s="108"/>
      <c r="AQ49" s="18">
        <v>5258986</v>
      </c>
      <c r="AR49" s="296">
        <f t="shared" si="27"/>
        <v>1.240695449655127E-2</v>
      </c>
      <c r="AT49"/>
      <c r="AU49"/>
    </row>
    <row r="50" spans="1:47" x14ac:dyDescent="0.25">
      <c r="A50" s="1" t="s">
        <v>132</v>
      </c>
      <c r="B50" t="s">
        <v>130</v>
      </c>
      <c r="C50" s="1">
        <f>'Net Tuition AY'!O42</f>
        <v>0</v>
      </c>
      <c r="D50" s="1">
        <f>'Net Tuition Summer'!M38</f>
        <v>0</v>
      </c>
      <c r="E50" s="1">
        <f>SUM(C50:D50)</f>
        <v>0</v>
      </c>
      <c r="F50" s="5"/>
      <c r="G50" s="5"/>
      <c r="H50" s="5"/>
      <c r="O50" s="5" t="s">
        <v>131</v>
      </c>
      <c r="P50" s="5"/>
      <c r="Q50" s="161">
        <v>7199341</v>
      </c>
      <c r="R50" s="126"/>
      <c r="S50" s="126"/>
      <c r="U50" s="126"/>
      <c r="W50" s="1"/>
      <c r="X50" s="108" t="s">
        <v>120</v>
      </c>
      <c r="Y50" s="161">
        <v>481530.19</v>
      </c>
      <c r="Z50" s="161">
        <v>482233.68999999994</v>
      </c>
      <c r="AB50" s="189">
        <f t="shared" si="25"/>
        <v>482233.68999999994</v>
      </c>
      <c r="AD50" s="108" t="s">
        <v>120</v>
      </c>
      <c r="AE50" s="161">
        <v>478643.59050000005</v>
      </c>
      <c r="AI50" s="108" t="s">
        <v>120</v>
      </c>
      <c r="AN50" s="161">
        <f t="shared" si="26"/>
        <v>478643.59050000005</v>
      </c>
      <c r="AO50" s="108"/>
      <c r="AQ50" s="18">
        <v>7130581</v>
      </c>
      <c r="AR50" s="296">
        <f t="shared" si="27"/>
        <v>9.642972991962262E-3</v>
      </c>
    </row>
    <row r="51" spans="1:47" x14ac:dyDescent="0.25">
      <c r="A51" s="1" t="s">
        <v>76</v>
      </c>
      <c r="B51" t="s">
        <v>222</v>
      </c>
      <c r="C51" s="1">
        <f>'Net Tuition AY'!O43</f>
        <v>0</v>
      </c>
      <c r="D51" s="1">
        <f>'Net Tuition Summer'!M39</f>
        <v>0</v>
      </c>
      <c r="E51" s="1"/>
      <c r="F51" s="5"/>
      <c r="G51" s="5"/>
      <c r="H51" s="5"/>
      <c r="O51" s="5" t="s">
        <v>140</v>
      </c>
      <c r="P51" s="5"/>
      <c r="Q51" s="161">
        <v>558021</v>
      </c>
      <c r="R51" s="126"/>
      <c r="S51" s="126"/>
      <c r="U51" s="126"/>
      <c r="W51" s="1"/>
      <c r="X51" s="108" t="s">
        <v>124</v>
      </c>
      <c r="Y51" s="161">
        <v>2319299.6100000003</v>
      </c>
      <c r="Z51" s="161">
        <v>2285519.8200000008</v>
      </c>
      <c r="AB51" s="189">
        <f t="shared" si="25"/>
        <v>2319299.6100000003</v>
      </c>
      <c r="AD51" s="108" t="s">
        <v>124</v>
      </c>
      <c r="AE51" s="161">
        <v>2425054.2864999999</v>
      </c>
      <c r="AI51" s="108" t="s">
        <v>124</v>
      </c>
      <c r="AN51" s="161">
        <f t="shared" si="26"/>
        <v>2425054.2864999999</v>
      </c>
      <c r="AO51" s="108"/>
      <c r="AQ51" s="18">
        <v>552688</v>
      </c>
      <c r="AR51" s="296">
        <f t="shared" si="27"/>
        <v>9.6492053382739584E-3</v>
      </c>
      <c r="AS51"/>
      <c r="AT51"/>
      <c r="AU51"/>
    </row>
    <row r="52" spans="1:47" x14ac:dyDescent="0.25">
      <c r="A52" s="1" t="s">
        <v>80</v>
      </c>
      <c r="B52" t="s">
        <v>121</v>
      </c>
      <c r="C52" s="1">
        <f>'Net Tuition AY'!O44</f>
        <v>168212</v>
      </c>
      <c r="D52" s="1">
        <f>'Net Tuition Summer'!M40</f>
        <v>3167</v>
      </c>
      <c r="E52" s="1">
        <f>SUM(C52:D52)</f>
        <v>171379</v>
      </c>
      <c r="F52" s="5"/>
      <c r="G52" s="5"/>
      <c r="H52" s="5"/>
      <c r="O52" s="5" t="s">
        <v>155</v>
      </c>
      <c r="P52" s="5"/>
      <c r="Q52" s="161">
        <v>1408548</v>
      </c>
      <c r="R52" s="126"/>
      <c r="S52" s="126"/>
      <c r="U52" s="126"/>
      <c r="W52" s="1"/>
      <c r="X52" s="108" t="s">
        <v>126</v>
      </c>
      <c r="Y52" s="161">
        <v>14246688.899999993</v>
      </c>
      <c r="Z52" s="161">
        <v>14087750.239999996</v>
      </c>
      <c r="AB52" s="189">
        <f t="shared" si="25"/>
        <v>14246688.899999993</v>
      </c>
      <c r="AD52" s="108" t="s">
        <v>126</v>
      </c>
      <c r="AE52" s="161">
        <v>13539246.513499999</v>
      </c>
      <c r="AI52" s="108" t="s">
        <v>126</v>
      </c>
      <c r="AN52" s="161">
        <f t="shared" si="26"/>
        <v>13539246.513499999</v>
      </c>
      <c r="AO52" s="108"/>
      <c r="AQ52" s="18">
        <v>1392779</v>
      </c>
      <c r="AR52" s="296">
        <f t="shared" si="27"/>
        <v>1.1321968524798276E-2</v>
      </c>
      <c r="AS52"/>
      <c r="AT52"/>
      <c r="AU52"/>
    </row>
    <row r="53" spans="1:47" x14ac:dyDescent="0.25">
      <c r="A53" s="1" t="s">
        <v>90</v>
      </c>
      <c r="B53" t="s">
        <v>125</v>
      </c>
      <c r="C53" s="1">
        <f>'Net Tuition AY'!O45</f>
        <v>1922587.5</v>
      </c>
      <c r="D53" s="1">
        <f>'Net Tuition Summer'!M41</f>
        <v>18801</v>
      </c>
      <c r="E53" s="1">
        <f>SUM(C53:D53)</f>
        <v>1941388.5</v>
      </c>
      <c r="F53" s="5"/>
      <c r="G53" s="5"/>
      <c r="H53" s="5"/>
      <c r="O53" s="18" t="s">
        <v>192</v>
      </c>
      <c r="Q53" s="161">
        <v>1144971</v>
      </c>
      <c r="AQ53" s="18">
        <v>1135091</v>
      </c>
      <c r="AR53" s="296">
        <f t="shared" si="27"/>
        <v>8.7041479493714657E-3</v>
      </c>
    </row>
    <row r="54" spans="1:47" x14ac:dyDescent="0.25">
      <c r="A54" s="1" t="s">
        <v>127</v>
      </c>
      <c r="B54" t="s">
        <v>125</v>
      </c>
      <c r="C54" s="1">
        <f>'Net Tuition AY'!O46</f>
        <v>93221.25</v>
      </c>
      <c r="D54" s="1">
        <f>'Net Tuition Summer'!M42</f>
        <v>18315</v>
      </c>
      <c r="E54" s="1">
        <f>SUM(C54:D54)</f>
        <v>111536.25</v>
      </c>
      <c r="F54" s="5"/>
      <c r="G54" s="5"/>
      <c r="H54" s="5"/>
      <c r="O54" s="5" t="s">
        <v>156</v>
      </c>
      <c r="P54" s="5"/>
      <c r="Q54" s="161">
        <v>4237964</v>
      </c>
      <c r="R54" s="6"/>
      <c r="S54" s="6"/>
      <c r="U54" s="6"/>
      <c r="X54" s="108" t="s">
        <v>114</v>
      </c>
      <c r="Y54" s="161">
        <v>4259976.7900000019</v>
      </c>
      <c r="Z54" s="161">
        <v>4484819.37</v>
      </c>
      <c r="AB54" s="189">
        <f>MAX(Z54,Y54)</f>
        <v>4484819.37</v>
      </c>
      <c r="AD54" s="108" t="s">
        <v>114</v>
      </c>
      <c r="AE54" s="161">
        <v>4035388.71</v>
      </c>
      <c r="AH54" s="161"/>
      <c r="AI54" s="108" t="s">
        <v>114</v>
      </c>
      <c r="AM54" s="229"/>
      <c r="AN54" s="161">
        <f>+AE54</f>
        <v>4035388.71</v>
      </c>
      <c r="AO54" s="108"/>
      <c r="AQ54" s="18">
        <v>4208263</v>
      </c>
      <c r="AR54" s="296">
        <f t="shared" si="27"/>
        <v>7.0577813221275321E-3</v>
      </c>
      <c r="AT54"/>
      <c r="AU54"/>
    </row>
    <row r="55" spans="1:47" x14ac:dyDescent="0.25">
      <c r="A55" s="1" t="s">
        <v>242</v>
      </c>
      <c r="B55" t="s">
        <v>130</v>
      </c>
      <c r="C55" s="1">
        <f>'Net Tuition AY'!O47</f>
        <v>0</v>
      </c>
      <c r="D55" s="1">
        <f>'Net Tuition Summer'!M43</f>
        <v>0</v>
      </c>
      <c r="E55" s="1"/>
      <c r="F55" s="5"/>
      <c r="G55" s="5"/>
      <c r="H55" s="5"/>
      <c r="O55" s="5" t="s">
        <v>144</v>
      </c>
      <c r="P55" s="5"/>
      <c r="Q55" s="161">
        <v>107815</v>
      </c>
      <c r="Y55" s="204"/>
      <c r="AD55" s="228"/>
      <c r="AH55" s="161"/>
      <c r="AI55" s="228"/>
      <c r="AN55" s="161"/>
      <c r="AO55" s="108"/>
      <c r="AP55" s="161"/>
      <c r="AQ55" s="18">
        <v>106368</v>
      </c>
      <c r="AR55" s="296">
        <f t="shared" si="27"/>
        <v>1.3603715403128769E-2</v>
      </c>
      <c r="AS55" s="3"/>
      <c r="AT55"/>
      <c r="AU55"/>
    </row>
    <row r="56" spans="1:47" x14ac:dyDescent="0.25">
      <c r="A56" s="1" t="s">
        <v>110</v>
      </c>
      <c r="B56" t="s">
        <v>104</v>
      </c>
      <c r="C56" s="1">
        <f>'Net Tuition AY'!O48</f>
        <v>1430038</v>
      </c>
      <c r="D56" s="1">
        <f>'Net Tuition Summer'!M44</f>
        <v>0</v>
      </c>
      <c r="E56" s="1">
        <f>SUM(C56:D56)</f>
        <v>1430038</v>
      </c>
      <c r="F56" s="5"/>
      <c r="G56" s="5"/>
      <c r="H56" s="5"/>
      <c r="O56" s="5" t="s">
        <v>174</v>
      </c>
      <c r="P56" s="5"/>
      <c r="Q56" s="161">
        <v>4178616</v>
      </c>
      <c r="W56" s="6"/>
      <c r="X56" s="108" t="s">
        <v>116</v>
      </c>
      <c r="Y56" s="161">
        <v>1017442.7300000001</v>
      </c>
      <c r="Z56" s="161">
        <v>1017450.4400000001</v>
      </c>
      <c r="AB56" s="189">
        <f>MAX(Z56,Y56)</f>
        <v>1017450.4400000001</v>
      </c>
      <c r="AD56" s="108" t="s">
        <v>116</v>
      </c>
      <c r="AE56" s="161">
        <v>1072323.6639999999</v>
      </c>
      <c r="AI56" s="108" t="s">
        <v>116</v>
      </c>
      <c r="AN56" s="161">
        <f>+AE56</f>
        <v>1072323.6639999999</v>
      </c>
      <c r="AO56" s="108"/>
      <c r="AQ56" s="18">
        <v>4132974</v>
      </c>
      <c r="AR56" s="296">
        <f t="shared" si="27"/>
        <v>1.104337941637179E-2</v>
      </c>
    </row>
    <row r="57" spans="1:47" x14ac:dyDescent="0.25">
      <c r="A57" s="1" t="s">
        <v>115</v>
      </c>
      <c r="B57" t="s">
        <v>104</v>
      </c>
      <c r="C57" s="1">
        <f>'Net Tuition AY'!O49</f>
        <v>794956</v>
      </c>
      <c r="D57" s="1">
        <f>'Net Tuition Summer'!M45</f>
        <v>0</v>
      </c>
      <c r="E57" s="1">
        <f>SUM(C57:D57)</f>
        <v>794956</v>
      </c>
      <c r="F57" s="5"/>
      <c r="G57" s="5"/>
      <c r="H57" s="5"/>
      <c r="O57" s="5" t="s">
        <v>114</v>
      </c>
      <c r="P57" s="5"/>
      <c r="Q57" s="189">
        <v>3942237</v>
      </c>
      <c r="R57" s="126"/>
      <c r="S57" s="126"/>
      <c r="U57" s="126"/>
      <c r="W57" s="1"/>
      <c r="X57" s="108" t="s">
        <v>118</v>
      </c>
      <c r="Y57" s="161">
        <v>753374.54000000015</v>
      </c>
      <c r="Z57" s="161">
        <v>749788.52</v>
      </c>
      <c r="AB57" s="189">
        <f>MAX(Z57,Y57)</f>
        <v>753374.54000000015</v>
      </c>
      <c r="AD57" s="108" t="s">
        <v>118</v>
      </c>
      <c r="AE57" s="161">
        <v>755210.01699999999</v>
      </c>
      <c r="AI57" s="108" t="s">
        <v>118</v>
      </c>
      <c r="AN57" s="161">
        <f>+AE57</f>
        <v>755210.01699999999</v>
      </c>
      <c r="AO57" s="108"/>
      <c r="AQ57" s="18">
        <v>3889342</v>
      </c>
      <c r="AR57" s="296">
        <f t="shared" si="27"/>
        <v>1.3599986835819422E-2</v>
      </c>
    </row>
    <row r="58" spans="1:47" x14ac:dyDescent="0.25">
      <c r="A58" s="1" t="s">
        <v>103</v>
      </c>
      <c r="B58" t="s">
        <v>104</v>
      </c>
      <c r="C58" s="1">
        <f>'Net Tuition AY'!O50</f>
        <v>266532</v>
      </c>
      <c r="D58" s="1">
        <f>'Net Tuition Summer'!M46</f>
        <v>55915</v>
      </c>
      <c r="E58" s="1">
        <f>SUM(C58:D58)</f>
        <v>322447</v>
      </c>
      <c r="F58" s="5"/>
      <c r="G58" s="5"/>
      <c r="H58" s="5"/>
    </row>
    <row r="59" spans="1:47" x14ac:dyDescent="0.25">
      <c r="A59" s="1" t="s">
        <v>117</v>
      </c>
      <c r="B59" t="s">
        <v>104</v>
      </c>
      <c r="C59" s="1">
        <f>'Net Tuition AY'!O51</f>
        <v>374321</v>
      </c>
      <c r="D59" s="1">
        <f>'Net Tuition Summer'!M47</f>
        <v>1500</v>
      </c>
      <c r="E59" s="1">
        <f>SUM(C59:D59)</f>
        <v>375821</v>
      </c>
      <c r="F59" s="5"/>
      <c r="G59" s="5"/>
      <c r="H59" s="5"/>
      <c r="O59" s="5" t="s">
        <v>176</v>
      </c>
      <c r="P59" s="5"/>
      <c r="Q59" s="161">
        <f>13874889+234000</f>
        <v>14108889</v>
      </c>
      <c r="R59" s="126"/>
      <c r="S59" s="126"/>
      <c r="W59" s="1"/>
      <c r="X59" s="108" t="s">
        <v>137</v>
      </c>
      <c r="Y59" s="161">
        <v>471066.13</v>
      </c>
      <c r="Z59" s="161">
        <v>316111.2</v>
      </c>
      <c r="AB59" s="189">
        <f t="shared" ref="AB59:AB78" si="28">MAX(Z59,Y59)</f>
        <v>471066.13</v>
      </c>
      <c r="AD59" s="108" t="s">
        <v>137</v>
      </c>
      <c r="AE59" s="161">
        <v>405637.90350000001</v>
      </c>
      <c r="AH59" s="161"/>
      <c r="AI59" s="108" t="s">
        <v>137</v>
      </c>
      <c r="AN59" s="161">
        <f t="shared" ref="AN59:AN62" si="29">+AE59</f>
        <v>405637.90350000001</v>
      </c>
      <c r="AO59" s="108"/>
      <c r="AQ59" s="18">
        <v>13674000</v>
      </c>
      <c r="AR59" s="296">
        <f t="shared" ref="AR59:AR94" si="30">Q59/AQ59-1</f>
        <v>3.1804080737165341E-2</v>
      </c>
      <c r="AU59"/>
    </row>
    <row r="60" spans="1:47" x14ac:dyDescent="0.25">
      <c r="A60" s="1" t="s">
        <v>119</v>
      </c>
      <c r="B60" t="s">
        <v>104</v>
      </c>
      <c r="C60" s="1">
        <f>'Net Tuition AY'!O52</f>
        <v>0</v>
      </c>
      <c r="D60" s="1">
        <f>'Net Tuition Summer'!M48</f>
        <v>0</v>
      </c>
      <c r="E60" s="1">
        <f>SUM(C60:D60)</f>
        <v>0</v>
      </c>
      <c r="F60" s="5"/>
      <c r="G60" s="5"/>
      <c r="H60" s="5"/>
      <c r="O60" s="5" t="s">
        <v>177</v>
      </c>
      <c r="P60" s="5"/>
      <c r="Q60" s="161">
        <v>1916191</v>
      </c>
      <c r="R60" s="126"/>
      <c r="S60" s="126"/>
      <c r="U60" s="6"/>
      <c r="W60" s="1"/>
      <c r="X60" s="108" t="s">
        <v>140</v>
      </c>
      <c r="Y60" s="161">
        <v>551357.9</v>
      </c>
      <c r="Z60" s="161">
        <v>563719.57999999996</v>
      </c>
      <c r="AB60" s="189">
        <f t="shared" si="28"/>
        <v>563719.57999999996</v>
      </c>
      <c r="AD60" s="108" t="s">
        <v>140</v>
      </c>
      <c r="AE60" s="161">
        <v>415297.34849999996</v>
      </c>
      <c r="AH60" s="161"/>
      <c r="AI60" s="108" t="s">
        <v>140</v>
      </c>
      <c r="AN60" s="161">
        <f t="shared" si="29"/>
        <v>415297.34849999996</v>
      </c>
      <c r="AO60" s="108"/>
      <c r="AQ60" s="18">
        <v>1912055</v>
      </c>
      <c r="AR60" s="296">
        <f t="shared" si="30"/>
        <v>2.163117692744132E-3</v>
      </c>
      <c r="AU60"/>
    </row>
    <row r="61" spans="1:47" x14ac:dyDescent="0.25">
      <c r="A61" s="1" t="s">
        <v>369</v>
      </c>
      <c r="B61" t="s">
        <v>232</v>
      </c>
      <c r="C61" s="1">
        <f>'Net Tuition AY'!O53</f>
        <v>97599</v>
      </c>
      <c r="D61" s="1">
        <f>'Net Tuition Summer'!M49</f>
        <v>2383</v>
      </c>
      <c r="F61" s="428"/>
      <c r="G61" s="5"/>
      <c r="H61" s="428"/>
      <c r="O61" s="5"/>
      <c r="P61" s="5"/>
      <c r="Q61" s="161"/>
      <c r="R61" s="126"/>
      <c r="S61" s="126"/>
      <c r="U61" s="6"/>
      <c r="W61" s="1"/>
      <c r="Y61" s="161"/>
      <c r="Z61" s="161"/>
      <c r="AB61" s="189"/>
      <c r="AD61" s="108"/>
      <c r="AE61" s="161"/>
      <c r="AH61" s="161"/>
      <c r="AI61" s="108"/>
      <c r="AN61" s="161"/>
      <c r="AO61" s="108"/>
      <c r="AQ61" s="18"/>
      <c r="AR61" s="296"/>
      <c r="AU61"/>
    </row>
    <row r="62" spans="1:47" x14ac:dyDescent="0.25">
      <c r="A62" s="1" t="s">
        <v>3041</v>
      </c>
      <c r="C62" s="1">
        <f>'Net Tuition AY'!O54</f>
        <v>236704.75</v>
      </c>
      <c r="D62" s="1">
        <f>'Net Tuition Summer'!M50</f>
        <v>21942</v>
      </c>
      <c r="F62" s="5"/>
      <c r="G62" s="5"/>
      <c r="H62" s="428"/>
      <c r="I62" s="48"/>
      <c r="O62" s="5" t="s">
        <v>109</v>
      </c>
      <c r="P62" s="5"/>
      <c r="Q62" s="161">
        <v>3075533</v>
      </c>
      <c r="R62" s="126"/>
      <c r="S62" s="126"/>
      <c r="U62" s="6"/>
      <c r="W62" s="1"/>
      <c r="X62" s="108" t="s">
        <v>144</v>
      </c>
      <c r="Y62" s="161">
        <v>76021.66</v>
      </c>
      <c r="Z62" s="161">
        <v>71362.53</v>
      </c>
      <c r="AB62" s="189">
        <f t="shared" si="28"/>
        <v>76021.66</v>
      </c>
      <c r="AD62" s="108" t="s">
        <v>144</v>
      </c>
      <c r="AE62" s="161">
        <v>61650.652499999997</v>
      </c>
      <c r="AH62" s="161"/>
      <c r="AI62" s="108" t="s">
        <v>144</v>
      </c>
      <c r="AN62" s="161">
        <f t="shared" si="29"/>
        <v>61650.652499999997</v>
      </c>
      <c r="AO62" s="108"/>
      <c r="AQ62" s="18">
        <v>3056639</v>
      </c>
      <c r="AR62" s="296">
        <f t="shared" si="30"/>
        <v>6.1812991328056288E-3</v>
      </c>
      <c r="AU62"/>
    </row>
    <row r="63" spans="1:47" ht="15.75" thickBot="1" x14ac:dyDescent="0.3">
      <c r="C63" s="60">
        <f>SUM(C45:C62)</f>
        <v>5916655.5</v>
      </c>
      <c r="D63" s="60">
        <f>SUM(D45:D62)</f>
        <v>161729</v>
      </c>
      <c r="E63" s="60">
        <f>SUM(E45:E62)</f>
        <v>5719755.75</v>
      </c>
      <c r="F63" s="63"/>
      <c r="G63" s="63"/>
      <c r="H63" s="63"/>
      <c r="O63" s="5" t="s">
        <v>128</v>
      </c>
      <c r="P63" s="5"/>
      <c r="Q63" s="161">
        <v>1176449</v>
      </c>
      <c r="R63" s="126"/>
      <c r="S63" s="126"/>
      <c r="U63" s="126"/>
      <c r="W63" s="63"/>
      <c r="X63" s="108" t="s">
        <v>155</v>
      </c>
      <c r="Y63" s="161">
        <v>1195464.1200000003</v>
      </c>
      <c r="Z63" s="161">
        <v>1124877.5499999998</v>
      </c>
      <c r="AB63" s="189">
        <f t="shared" si="28"/>
        <v>1195464.1200000003</v>
      </c>
      <c r="AD63" s="108" t="s">
        <v>155</v>
      </c>
      <c r="AE63" s="161">
        <v>1596671.2425000002</v>
      </c>
      <c r="AH63" s="161"/>
      <c r="AI63" s="108" t="s">
        <v>155</v>
      </c>
      <c r="AN63" s="161">
        <f t="shared" ref="AN63:AN66" si="31">+AE63</f>
        <v>1596671.2425000002</v>
      </c>
      <c r="AO63" s="108"/>
      <c r="AQ63" s="18">
        <v>1161955</v>
      </c>
      <c r="AR63" s="296">
        <f t="shared" si="30"/>
        <v>1.2473804923598619E-2</v>
      </c>
      <c r="AS63"/>
      <c r="AT63"/>
      <c r="AU63"/>
    </row>
    <row r="64" spans="1:47" ht="15.75" thickTop="1" x14ac:dyDescent="0.25">
      <c r="C64" s="63">
        <f>C63-'Net Tuition AY'!O55</f>
        <v>0</v>
      </c>
      <c r="D64" s="63">
        <f>D63-'Net Tuition Summer'!M51</f>
        <v>0</v>
      </c>
      <c r="E64" s="63"/>
      <c r="F64" s="63"/>
      <c r="G64" s="63"/>
      <c r="H64" s="63"/>
      <c r="O64" s="5" t="s">
        <v>178</v>
      </c>
      <c r="P64" s="5"/>
      <c r="Q64" s="161">
        <v>1386436</v>
      </c>
      <c r="R64" s="126"/>
      <c r="S64" s="126"/>
      <c r="U64" s="126"/>
      <c r="X64" s="108" t="s">
        <v>156</v>
      </c>
      <c r="Y64" s="161">
        <v>5440886.3200000003</v>
      </c>
      <c r="Z64" s="161">
        <v>4593094.0600000005</v>
      </c>
      <c r="AB64" s="189">
        <f t="shared" si="28"/>
        <v>5440886.3200000003</v>
      </c>
      <c r="AD64" s="108" t="s">
        <v>156</v>
      </c>
      <c r="AE64" s="161">
        <v>5143941.9000000004</v>
      </c>
      <c r="AH64" s="161"/>
      <c r="AI64" s="108" t="s">
        <v>156</v>
      </c>
      <c r="AN64" s="161">
        <f>+Z64</f>
        <v>4593094.0600000005</v>
      </c>
      <c r="AO64" s="108"/>
      <c r="AQ64" s="18">
        <v>1376345</v>
      </c>
      <c r="AR64" s="296">
        <f t="shared" si="30"/>
        <v>7.3317373187682389E-3</v>
      </c>
      <c r="AS64"/>
      <c r="AT64"/>
      <c r="AU64"/>
    </row>
    <row r="65" spans="1:47" x14ac:dyDescent="0.25">
      <c r="F65" s="5"/>
      <c r="G65" s="5"/>
      <c r="H65" s="30" t="s">
        <v>141</v>
      </c>
      <c r="J65" s="48"/>
      <c r="K65" s="48"/>
      <c r="L65" s="48"/>
      <c r="O65" s="5" t="s">
        <v>116</v>
      </c>
      <c r="P65" s="5"/>
      <c r="Q65" s="161">
        <v>1054803</v>
      </c>
      <c r="U65" s="126"/>
      <c r="W65" s="3"/>
      <c r="X65" s="230" t="s">
        <v>157</v>
      </c>
      <c r="Y65" s="224">
        <v>1981850.06</v>
      </c>
      <c r="Z65" s="224">
        <v>2013186.0000000009</v>
      </c>
      <c r="AA65" s="231"/>
      <c r="AB65" s="224">
        <f t="shared" si="28"/>
        <v>2013186.0000000009</v>
      </c>
      <c r="AC65" s="232"/>
      <c r="AD65" s="230" t="s">
        <v>157</v>
      </c>
      <c r="AE65" s="233">
        <f>6746487.8485-4700000</f>
        <v>2046487.8485000003</v>
      </c>
      <c r="AF65" s="232"/>
      <c r="AG65" s="232"/>
      <c r="AH65" s="224"/>
      <c r="AI65" s="230" t="s">
        <v>157</v>
      </c>
      <c r="AJ65" s="224"/>
      <c r="AK65" s="224"/>
      <c r="AL65" s="224"/>
      <c r="AM65" s="224"/>
      <c r="AN65" s="233">
        <f t="shared" si="31"/>
        <v>2046487.8485000003</v>
      </c>
      <c r="AO65" s="108"/>
      <c r="AQ65" s="18">
        <v>1041036</v>
      </c>
      <c r="AR65" s="296">
        <f t="shared" si="30"/>
        <v>1.3224326536258157E-2</v>
      </c>
      <c r="AT65"/>
      <c r="AU65"/>
    </row>
    <row r="66" spans="1:47" x14ac:dyDescent="0.25">
      <c r="A66" s="429"/>
      <c r="B66" s="430" t="s">
        <v>40</v>
      </c>
      <c r="C66" s="430" t="s">
        <v>32</v>
      </c>
      <c r="D66" s="431"/>
      <c r="E66" s="432"/>
      <c r="F66" s="432"/>
      <c r="G66" s="432"/>
      <c r="H66" s="433" t="s">
        <v>32</v>
      </c>
      <c r="I66" s="434"/>
      <c r="J66" s="434" t="s">
        <v>145</v>
      </c>
      <c r="K66" s="432"/>
      <c r="L66" s="435" t="s">
        <v>146</v>
      </c>
      <c r="O66" s="5" t="s">
        <v>179</v>
      </c>
      <c r="P66" s="5"/>
      <c r="Q66" s="161">
        <v>494925</v>
      </c>
      <c r="U66" s="126"/>
      <c r="X66" s="108" t="s">
        <v>158</v>
      </c>
      <c r="Y66" s="161">
        <v>3828937.2800000003</v>
      </c>
      <c r="Z66" s="161">
        <v>3768038.0100000016</v>
      </c>
      <c r="AB66" s="189">
        <f t="shared" si="28"/>
        <v>3828937.2800000003</v>
      </c>
      <c r="AD66" s="108" t="s">
        <v>158</v>
      </c>
      <c r="AE66" s="161">
        <v>3862397.8935000002</v>
      </c>
      <c r="AH66" s="161"/>
      <c r="AI66" s="108" t="s">
        <v>158</v>
      </c>
      <c r="AN66" s="161">
        <f t="shared" si="31"/>
        <v>3862397.8935000002</v>
      </c>
      <c r="AO66" s="108"/>
      <c r="AQ66" s="18">
        <v>488285</v>
      </c>
      <c r="AR66" s="296">
        <f t="shared" si="30"/>
        <v>1.3598615562632421E-2</v>
      </c>
      <c r="AT66"/>
      <c r="AU66"/>
    </row>
    <row r="67" spans="1:47" x14ac:dyDescent="0.25">
      <c r="A67" s="436"/>
      <c r="B67" s="262" t="s">
        <v>148</v>
      </c>
      <c r="C67" s="262" t="s">
        <v>148</v>
      </c>
      <c r="D67" s="263" t="s">
        <v>149</v>
      </c>
      <c r="E67" s="263" t="s">
        <v>150</v>
      </c>
      <c r="F67" s="264" t="s">
        <v>151</v>
      </c>
      <c r="G67" s="265" t="s">
        <v>152</v>
      </c>
      <c r="H67" s="264" t="s">
        <v>153</v>
      </c>
      <c r="I67" s="264" t="s">
        <v>154</v>
      </c>
      <c r="J67" s="264" t="s">
        <v>64</v>
      </c>
      <c r="K67" s="437"/>
      <c r="L67" s="438" t="s">
        <v>64</v>
      </c>
      <c r="O67" s="5" t="s">
        <v>180</v>
      </c>
      <c r="P67" s="5"/>
      <c r="Q67" s="161">
        <v>2034212</v>
      </c>
      <c r="U67" s="126"/>
      <c r="X67" s="108" t="s">
        <v>159</v>
      </c>
      <c r="Y67" s="161">
        <v>1821106.64</v>
      </c>
      <c r="Z67" s="161">
        <v>1548860.63</v>
      </c>
      <c r="AB67" s="189">
        <f t="shared" si="28"/>
        <v>1821106.64</v>
      </c>
      <c r="AD67" s="108" t="s">
        <v>159</v>
      </c>
      <c r="AE67" s="161">
        <v>1778107.5530000001</v>
      </c>
      <c r="AH67" s="161"/>
      <c r="AI67" s="108" t="s">
        <v>159</v>
      </c>
      <c r="AN67" s="161">
        <f>+Z67</f>
        <v>1548860.63</v>
      </c>
      <c r="AO67" s="108"/>
      <c r="AQ67" s="18">
        <v>2010534</v>
      </c>
      <c r="AR67" s="296">
        <f t="shared" si="30"/>
        <v>1.1776970695347666E-2</v>
      </c>
      <c r="AT67"/>
      <c r="AU67"/>
    </row>
    <row r="68" spans="1:47" x14ac:dyDescent="0.25">
      <c r="A68" s="439" t="str">
        <f t="shared" ref="A68:A80" si="32">+A28</f>
        <v>College of Education</v>
      </c>
      <c r="B68" s="266">
        <f>(B28+G28+H28)*(1-$D$23)</f>
        <v>5312032.4131063595</v>
      </c>
      <c r="C68" s="440">
        <f>+D28*(1-$D$23)</f>
        <v>0</v>
      </c>
      <c r="D68" s="266">
        <f>E28*(1-$D$23)</f>
        <v>436927.84932914271</v>
      </c>
      <c r="E68" s="442">
        <f>F28*(1-$D$23)</f>
        <v>0</v>
      </c>
      <c r="F68" s="266">
        <f>+'Summer Credit Hour Allocation'!AR2</f>
        <v>1787.1864067965976</v>
      </c>
      <c r="G68" s="443">
        <f>+D68/F68</f>
        <v>244.47805090029993</v>
      </c>
      <c r="H68" s="444">
        <f t="shared" ref="H68:H76" si="33">+N28</f>
        <v>0.47547011381927662</v>
      </c>
      <c r="I68" s="316">
        <f>+H68*G68</f>
        <v>116.24200668788052</v>
      </c>
      <c r="J68" s="266">
        <f t="shared" ref="J68:J76" si="34">(+D68*H68)+E68</f>
        <v>207746.13425133924</v>
      </c>
      <c r="K68" s="437"/>
      <c r="L68" s="445">
        <f t="shared" ref="L68:L76" si="35">+P28-J68</f>
        <v>2525712.6560713672</v>
      </c>
      <c r="M68" s="3"/>
      <c r="O68" s="5" t="s">
        <v>194</v>
      </c>
      <c r="P68" s="5"/>
      <c r="Q68" s="161">
        <v>3827174</v>
      </c>
      <c r="U68" s="126"/>
      <c r="Y68" s="161"/>
      <c r="Z68" s="161"/>
      <c r="AB68" s="189"/>
      <c r="AD68" s="108"/>
      <c r="AE68" s="161"/>
      <c r="AH68" s="161"/>
      <c r="AI68" s="108"/>
      <c r="AN68" s="161"/>
      <c r="AO68" s="108"/>
      <c r="AQ68" s="18">
        <v>3651674</v>
      </c>
      <c r="AR68" s="296">
        <f t="shared" si="30"/>
        <v>4.806014994766783E-2</v>
      </c>
      <c r="AT68"/>
      <c r="AU68"/>
    </row>
    <row r="69" spans="1:47" x14ac:dyDescent="0.25">
      <c r="A69" s="439" t="str">
        <f t="shared" si="32"/>
        <v>College of Health</v>
      </c>
      <c r="B69" s="266">
        <f t="shared" ref="B69:B80" si="36">(B29+G29+H29)*(1-$D$23)</f>
        <v>15290332.389861032</v>
      </c>
      <c r="C69" s="440">
        <f t="shared" ref="C69:C80" si="37">+D29*(1-$D$23)</f>
        <v>2888850.69</v>
      </c>
      <c r="D69" s="266">
        <f t="shared" ref="D69:E80" si="38">E29*(1-$D$23)</f>
        <v>679217.53758968238</v>
      </c>
      <c r="E69" s="442">
        <f t="shared" si="38"/>
        <v>82062.09</v>
      </c>
      <c r="F69" s="266">
        <f>+'Summer Credit Hour Allocation'!AR3</f>
        <v>1604.2125603864697</v>
      </c>
      <c r="G69" s="443">
        <f t="shared" ref="G69:G76" si="39">+D69/F69</f>
        <v>423.39622214780104</v>
      </c>
      <c r="H69" s="444">
        <f t="shared" si="33"/>
        <v>0.44760199133675427</v>
      </c>
      <c r="I69" s="316">
        <f t="shared" ref="I69:I76" si="40">+H69*G69</f>
        <v>189.51299215781452</v>
      </c>
      <c r="J69" s="266">
        <f t="shared" si="34"/>
        <v>386081.2123759886</v>
      </c>
      <c r="K69" s="437"/>
      <c r="L69" s="445">
        <f t="shared" si="35"/>
        <v>9749410.9492722061</v>
      </c>
      <c r="M69" s="3"/>
      <c r="O69" s="5" t="s">
        <v>195</v>
      </c>
      <c r="P69" s="5"/>
      <c r="Q69" s="161">
        <v>937721</v>
      </c>
      <c r="U69" s="126"/>
      <c r="Y69" s="161"/>
      <c r="Z69" s="161"/>
      <c r="AB69" s="189"/>
      <c r="AD69" s="108"/>
      <c r="AE69" s="161"/>
      <c r="AH69" s="161"/>
      <c r="AI69" s="108"/>
      <c r="AN69" s="161"/>
      <c r="AO69" s="108"/>
      <c r="AQ69" s="18">
        <v>926926</v>
      </c>
      <c r="AR69" s="296">
        <f t="shared" si="30"/>
        <v>1.1646021365243842E-2</v>
      </c>
      <c r="AS69"/>
      <c r="AT69"/>
      <c r="AU69"/>
    </row>
    <row r="70" spans="1:47" x14ac:dyDescent="0.25">
      <c r="A70" s="439" t="str">
        <f t="shared" si="32"/>
        <v>College of Forestry</v>
      </c>
      <c r="B70" s="266">
        <f t="shared" si="36"/>
        <v>7896250.1679869667</v>
      </c>
      <c r="C70" s="440">
        <f t="shared" si="37"/>
        <v>166529.88</v>
      </c>
      <c r="D70" s="266">
        <f t="shared" si="38"/>
        <v>1466.2008366749756</v>
      </c>
      <c r="E70" s="442">
        <f t="shared" si="38"/>
        <v>3135.33</v>
      </c>
      <c r="F70" s="266">
        <f>+'Summer Credit Hour Allocation'!AR4</f>
        <v>4.2552057304680897</v>
      </c>
      <c r="G70" s="443">
        <f t="shared" si="39"/>
        <v>344.56638046350997</v>
      </c>
      <c r="H70" s="444">
        <f t="shared" si="33"/>
        <v>0.59551161988393908</v>
      </c>
      <c r="I70" s="316">
        <f t="shared" si="40"/>
        <v>205.19328338737049</v>
      </c>
      <c r="J70" s="266">
        <f t="shared" si="34"/>
        <v>4008.4696353235013</v>
      </c>
      <c r="K70" s="437"/>
      <c r="L70" s="445">
        <f t="shared" si="35"/>
        <v>4869531.8166877031</v>
      </c>
      <c r="M70" s="3"/>
      <c r="O70" s="5" t="s">
        <v>196</v>
      </c>
      <c r="P70" s="5"/>
      <c r="Q70" s="161">
        <v>659216</v>
      </c>
      <c r="U70" s="126"/>
      <c r="Y70" s="161"/>
      <c r="Z70" s="161"/>
      <c r="AB70" s="189"/>
      <c r="AD70" s="108"/>
      <c r="AE70" s="161"/>
      <c r="AH70" s="161"/>
      <c r="AI70" s="108"/>
      <c r="AN70" s="161"/>
      <c r="AO70" s="108"/>
      <c r="AQ70" s="18">
        <v>656797</v>
      </c>
      <c r="AR70" s="296">
        <f t="shared" si="30"/>
        <v>3.683025348775848E-3</v>
      </c>
      <c r="AS70"/>
      <c r="AT70"/>
      <c r="AU70"/>
    </row>
    <row r="71" spans="1:47" x14ac:dyDescent="0.25">
      <c r="A71" s="439" t="str">
        <f t="shared" si="32"/>
        <v>College of Humanities/Sciences</v>
      </c>
      <c r="B71" s="266">
        <f t="shared" si="36"/>
        <v>42124100.685495943</v>
      </c>
      <c r="C71" s="440">
        <f t="shared" si="37"/>
        <v>96623.01</v>
      </c>
      <c r="D71" s="266">
        <f t="shared" si="38"/>
        <v>1410118.6546721577</v>
      </c>
      <c r="E71" s="442">
        <f t="shared" si="38"/>
        <v>2359.17</v>
      </c>
      <c r="F71" s="266">
        <f>+'Summer Credit Hour Allocation'!AR5</f>
        <v>5936.0119940029854</v>
      </c>
      <c r="G71" s="443">
        <f t="shared" si="39"/>
        <v>237.5532017281582</v>
      </c>
      <c r="H71" s="444">
        <f t="shared" si="33"/>
        <v>0.49678722035890399</v>
      </c>
      <c r="I71" s="316">
        <f t="shared" si="40"/>
        <v>118.0133947738897</v>
      </c>
      <c r="J71" s="266">
        <f t="shared" si="34"/>
        <v>702888.09683081845</v>
      </c>
      <c r="K71" s="437"/>
      <c r="L71" s="445">
        <f t="shared" si="35"/>
        <v>21023841.021867469</v>
      </c>
      <c r="M71" s="3"/>
      <c r="O71" s="5" t="s">
        <v>197</v>
      </c>
      <c r="P71" s="5"/>
      <c r="Q71" s="161">
        <v>471798</v>
      </c>
      <c r="U71" s="126"/>
      <c r="Y71" s="161"/>
      <c r="Z71" s="161"/>
      <c r="AB71" s="189"/>
      <c r="AD71" s="108"/>
      <c r="AE71" s="161"/>
      <c r="AH71" s="161"/>
      <c r="AI71" s="108"/>
      <c r="AN71" s="161"/>
      <c r="AO71" s="108"/>
      <c r="AQ71" s="18">
        <v>467717</v>
      </c>
      <c r="AR71" s="296">
        <f t="shared" si="30"/>
        <v>8.7253617037652553E-3</v>
      </c>
      <c r="AS71"/>
      <c r="AT71"/>
      <c r="AU71"/>
    </row>
    <row r="72" spans="1:47" x14ac:dyDescent="0.25">
      <c r="A72" s="439" t="str">
        <f t="shared" si="32"/>
        <v>College of Arts and Media</v>
      </c>
      <c r="B72" s="266">
        <f t="shared" si="36"/>
        <v>10280945.005361455</v>
      </c>
      <c r="C72" s="440">
        <f t="shared" si="37"/>
        <v>0</v>
      </c>
      <c r="D72" s="266">
        <f t="shared" si="38"/>
        <v>309368.37653841986</v>
      </c>
      <c r="E72" s="442">
        <f t="shared" si="38"/>
        <v>0</v>
      </c>
      <c r="F72" s="266">
        <f>+'Summer Credit Hour Allocation'!AR6</f>
        <v>1203.1594202898523</v>
      </c>
      <c r="G72" s="443">
        <f t="shared" si="39"/>
        <v>257.12999567745572</v>
      </c>
      <c r="H72" s="444">
        <f t="shared" si="33"/>
        <v>0.57480106629727035</v>
      </c>
      <c r="I72" s="316">
        <f t="shared" si="40"/>
        <v>147.79859569241407</v>
      </c>
      <c r="J72" s="266">
        <f t="shared" si="34"/>
        <v>177825.27271293919</v>
      </c>
      <c r="K72" s="437"/>
      <c r="L72" s="445">
        <f t="shared" si="35"/>
        <v>5909498.1516253594</v>
      </c>
      <c r="M72" s="3"/>
      <c r="O72" s="5" t="s">
        <v>198</v>
      </c>
      <c r="P72" s="5"/>
      <c r="Q72" s="161">
        <v>773700</v>
      </c>
      <c r="U72" s="126"/>
      <c r="Y72" s="161"/>
      <c r="Z72" s="161"/>
      <c r="AB72" s="189"/>
      <c r="AD72" s="108"/>
      <c r="AE72" s="161"/>
      <c r="AH72" s="161"/>
      <c r="AI72" s="108"/>
      <c r="AN72" s="161"/>
      <c r="AO72" s="108"/>
      <c r="AQ72" s="18">
        <v>768654</v>
      </c>
      <c r="AR72" s="296">
        <f t="shared" si="30"/>
        <v>6.5647222287270601E-3</v>
      </c>
      <c r="AS72"/>
      <c r="AT72"/>
      <c r="AU72"/>
    </row>
    <row r="73" spans="1:47" x14ac:dyDescent="0.25">
      <c r="A73" s="439" t="str">
        <f t="shared" si="32"/>
        <v>Davidson Honors College</v>
      </c>
      <c r="B73" s="266">
        <f t="shared" si="36"/>
        <v>800956.18670799746</v>
      </c>
      <c r="C73" s="440">
        <f t="shared" si="37"/>
        <v>0</v>
      </c>
      <c r="D73" s="266">
        <f t="shared" si="38"/>
        <v>1099.6506275062318</v>
      </c>
      <c r="E73" s="442">
        <f t="shared" si="38"/>
        <v>0</v>
      </c>
      <c r="F73" s="266">
        <f>+'Summer Credit Hour Allocation'!AR7</f>
        <v>20.212227219723424</v>
      </c>
      <c r="G73" s="443">
        <f t="shared" si="39"/>
        <v>54.405217967922638</v>
      </c>
      <c r="H73" s="444">
        <f t="shared" si="33"/>
        <v>0.83023922243875892</v>
      </c>
      <c r="I73" s="316">
        <f t="shared" si="40"/>
        <v>45.169345862299288</v>
      </c>
      <c r="J73" s="266">
        <f t="shared" si="34"/>
        <v>912.97308193506717</v>
      </c>
      <c r="K73" s="437"/>
      <c r="L73" s="445">
        <f t="shared" si="35"/>
        <v>664985.24165996118</v>
      </c>
      <c r="M73" s="3"/>
      <c r="O73" s="5" t="s">
        <v>199</v>
      </c>
      <c r="P73" s="5"/>
      <c r="Q73" s="161">
        <v>500942</v>
      </c>
      <c r="U73" s="126"/>
      <c r="Y73" s="161"/>
      <c r="Z73" s="161"/>
      <c r="AB73" s="189"/>
      <c r="AD73" s="108"/>
      <c r="AE73" s="161"/>
      <c r="AH73" s="161"/>
      <c r="AI73" s="108"/>
      <c r="AN73" s="161"/>
      <c r="AO73" s="108"/>
      <c r="AQ73" s="18">
        <v>496440</v>
      </c>
      <c r="AR73" s="296">
        <f t="shared" si="30"/>
        <v>9.0685682056239614E-3</v>
      </c>
      <c r="AS73"/>
      <c r="AT73"/>
      <c r="AU73"/>
    </row>
    <row r="74" spans="1:47" x14ac:dyDescent="0.25">
      <c r="A74" s="439" t="str">
        <f t="shared" si="32"/>
        <v>College of Business</v>
      </c>
      <c r="B74" s="266">
        <f t="shared" si="36"/>
        <v>9897834.9957457297</v>
      </c>
      <c r="C74" s="440">
        <f t="shared" si="37"/>
        <v>453222</v>
      </c>
      <c r="D74" s="266">
        <f t="shared" si="38"/>
        <v>427764.09409992408</v>
      </c>
      <c r="E74" s="442">
        <f t="shared" si="38"/>
        <v>13097.7</v>
      </c>
      <c r="F74" s="266">
        <f>+'Summer Credit Hour Allocation'!AR8</f>
        <v>1987.1810761285979</v>
      </c>
      <c r="G74" s="443">
        <f t="shared" si="39"/>
        <v>215.26175910113281</v>
      </c>
      <c r="H74" s="444">
        <f t="shared" si="33"/>
        <v>0.58623047758368829</v>
      </c>
      <c r="I74" s="316">
        <f t="shared" si="40"/>
        <v>126.19300384336195</v>
      </c>
      <c r="J74" s="266">
        <f t="shared" si="34"/>
        <v>263866.04917735228</v>
      </c>
      <c r="K74" s="437"/>
      <c r="L74" s="445">
        <f t="shared" si="35"/>
        <v>6257583.5151819997</v>
      </c>
      <c r="M74" s="3"/>
      <c r="O74" s="5" t="s">
        <v>200</v>
      </c>
      <c r="P74" s="5"/>
      <c r="Q74" s="161">
        <v>494928</v>
      </c>
      <c r="U74" s="126"/>
      <c r="Y74" s="161"/>
      <c r="Z74" s="161"/>
      <c r="AB74" s="189"/>
      <c r="AD74" s="108"/>
      <c r="AE74" s="161"/>
      <c r="AH74" s="161"/>
      <c r="AI74" s="108"/>
      <c r="AN74" s="161"/>
      <c r="AO74" s="108"/>
      <c r="AQ74" s="18">
        <v>492458</v>
      </c>
      <c r="AR74" s="296">
        <f t="shared" si="30"/>
        <v>5.0156561574794534E-3</v>
      </c>
      <c r="AS74"/>
      <c r="AT74"/>
      <c r="AU74"/>
    </row>
    <row r="75" spans="1:47" x14ac:dyDescent="0.25">
      <c r="A75" s="439" t="str">
        <f t="shared" si="32"/>
        <v>School of Law</v>
      </c>
      <c r="B75" s="266">
        <f t="shared" si="36"/>
        <v>4089044.4997787816</v>
      </c>
      <c r="C75" s="440">
        <f t="shared" si="37"/>
        <v>1995650.6625000001</v>
      </c>
      <c r="D75" s="266">
        <f t="shared" si="38"/>
        <v>116196.41630649184</v>
      </c>
      <c r="E75" s="442">
        <f t="shared" si="38"/>
        <v>36744.839999999997</v>
      </c>
      <c r="F75" s="266">
        <f>+'Summer Credit Hour Allocation'!AR9</f>
        <v>229.78110944527683</v>
      </c>
      <c r="G75" s="443">
        <f t="shared" si="39"/>
        <v>505.68306762468836</v>
      </c>
      <c r="H75" s="444">
        <f t="shared" si="33"/>
        <v>0.89802092031493796</v>
      </c>
      <c r="I75" s="316">
        <f t="shared" si="40"/>
        <v>454.11397377600366</v>
      </c>
      <c r="J75" s="266">
        <f t="shared" si="34"/>
        <v>141091.65270885348</v>
      </c>
      <c r="K75" s="437"/>
      <c r="L75" s="445">
        <f t="shared" si="35"/>
        <v>5669791.7211667523</v>
      </c>
      <c r="M75" s="3"/>
      <c r="O75" s="5" t="s">
        <v>201</v>
      </c>
      <c r="P75" s="5"/>
      <c r="Q75" s="161">
        <v>152220</v>
      </c>
      <c r="U75" s="126"/>
      <c r="Y75" s="161"/>
      <c r="Z75" s="161"/>
      <c r="AB75" s="189"/>
      <c r="AD75" s="108"/>
      <c r="AE75" s="161"/>
      <c r="AH75" s="161"/>
      <c r="AI75" s="108"/>
      <c r="AN75" s="161"/>
      <c r="AO75" s="108"/>
      <c r="AQ75" s="18"/>
      <c r="AR75" s="296"/>
      <c r="AS75"/>
      <c r="AT75"/>
      <c r="AU75"/>
    </row>
    <row r="76" spans="1:47" x14ac:dyDescent="0.25">
      <c r="A76" s="439" t="str">
        <f t="shared" si="32"/>
        <v>Missoula College</v>
      </c>
      <c r="B76" s="266">
        <f t="shared" si="36"/>
        <v>7022833.2916269135</v>
      </c>
      <c r="C76" s="440">
        <f t="shared" si="37"/>
        <v>22275</v>
      </c>
      <c r="D76" s="266">
        <f t="shared" si="38"/>
        <v>185605.2</v>
      </c>
      <c r="E76" s="442">
        <f t="shared" si="38"/>
        <v>990</v>
      </c>
      <c r="F76" s="266">
        <f>+'Summer Credit Hour Allocation'!AR12</f>
        <v>1474.0000000000041</v>
      </c>
      <c r="G76" s="443">
        <f t="shared" si="39"/>
        <v>125.91940298507429</v>
      </c>
      <c r="H76" s="444">
        <f t="shared" si="33"/>
        <v>0.70767577942586568</v>
      </c>
      <c r="I76" s="316">
        <f t="shared" si="40"/>
        <v>89.110111652302123</v>
      </c>
      <c r="J76" s="266">
        <f t="shared" si="34"/>
        <v>132338.3045754937</v>
      </c>
      <c r="K76" s="437"/>
      <c r="L76" s="445">
        <f t="shared" si="35"/>
        <v>4992232.7196218288</v>
      </c>
      <c r="M76" s="3"/>
      <c r="O76" s="5" t="s">
        <v>202</v>
      </c>
      <c r="P76" s="5"/>
      <c r="Q76" s="161">
        <v>233100</v>
      </c>
      <c r="U76" s="126"/>
      <c r="Y76" s="161"/>
      <c r="Z76" s="161"/>
      <c r="AB76" s="189"/>
      <c r="AD76" s="108"/>
      <c r="AE76" s="161"/>
      <c r="AH76" s="161"/>
      <c r="AI76" s="108"/>
      <c r="AN76" s="161"/>
      <c r="AO76" s="108"/>
      <c r="AQ76" s="18"/>
      <c r="AR76" s="296"/>
      <c r="AS76"/>
      <c r="AT76"/>
      <c r="AU76"/>
    </row>
    <row r="77" spans="1:47" x14ac:dyDescent="0.25">
      <c r="A77" s="439" t="str">
        <f t="shared" si="32"/>
        <v>Unknown MC</v>
      </c>
      <c r="B77" s="266">
        <f t="shared" si="36"/>
        <v>2809272.3492598035</v>
      </c>
      <c r="C77" s="440">
        <f t="shared" si="37"/>
        <v>0</v>
      </c>
      <c r="D77" s="266">
        <f t="shared" si="38"/>
        <v>0</v>
      </c>
      <c r="E77" s="442">
        <f t="shared" si="38"/>
        <v>0</v>
      </c>
      <c r="F77" s="266"/>
      <c r="G77" s="266"/>
      <c r="H77" s="437"/>
      <c r="I77" s="437"/>
      <c r="J77" s="437"/>
      <c r="K77" s="437"/>
      <c r="L77" s="446"/>
      <c r="M77" s="3"/>
      <c r="O77" s="5" t="s">
        <v>67</v>
      </c>
      <c r="P77" s="5"/>
      <c r="Q77" s="18">
        <f>-D21</f>
        <v>1273375.4711</v>
      </c>
      <c r="U77" s="126"/>
      <c r="Y77" s="161"/>
      <c r="Z77" s="161"/>
      <c r="AB77" s="189"/>
      <c r="AD77" s="108"/>
      <c r="AE77" s="161"/>
      <c r="AH77" s="161"/>
      <c r="AI77" s="108"/>
      <c r="AN77" s="161"/>
      <c r="AO77" s="108"/>
      <c r="AQ77" s="18"/>
      <c r="AR77" s="296"/>
      <c r="AS77"/>
      <c r="AT77"/>
      <c r="AU77"/>
    </row>
    <row r="78" spans="1:47" x14ac:dyDescent="0.25">
      <c r="A78" s="439" t="str">
        <f t="shared" si="32"/>
        <v>Transfers In</v>
      </c>
      <c r="B78" s="266">
        <f t="shared" si="36"/>
        <v>0</v>
      </c>
      <c r="C78" s="440">
        <f t="shared" si="37"/>
        <v>0</v>
      </c>
      <c r="D78" s="266">
        <f t="shared" si="38"/>
        <v>0</v>
      </c>
      <c r="E78" s="442">
        <f t="shared" si="38"/>
        <v>0</v>
      </c>
      <c r="F78" s="437"/>
      <c r="G78" s="266"/>
      <c r="H78" s="437"/>
      <c r="I78" s="437"/>
      <c r="J78" s="437"/>
      <c r="K78" s="437"/>
      <c r="L78" s="446"/>
      <c r="M78" s="3"/>
      <c r="Q78" s="23">
        <f>SUM(Q44:Q77)</f>
        <v>64282320.471100003</v>
      </c>
      <c r="U78" s="126"/>
      <c r="V78" s="3"/>
      <c r="W78" s="1"/>
      <c r="X78" s="108" t="s">
        <v>161</v>
      </c>
      <c r="Y78" s="161">
        <v>0</v>
      </c>
      <c r="Z78" s="161">
        <v>-709950</v>
      </c>
      <c r="AB78" s="189">
        <f t="shared" si="28"/>
        <v>0</v>
      </c>
      <c r="AD78" s="108" t="s">
        <v>161</v>
      </c>
      <c r="AE78" s="161">
        <v>0</v>
      </c>
      <c r="AH78" s="161"/>
      <c r="AI78" s="108" t="s">
        <v>161</v>
      </c>
      <c r="AN78" s="161">
        <v>-700000</v>
      </c>
      <c r="AO78" s="108"/>
      <c r="AQ78" s="23">
        <f>SUM(AQ44:AQ77)</f>
        <v>61929897</v>
      </c>
      <c r="AR78" s="296">
        <f t="shared" si="30"/>
        <v>3.7985263742647657E-2</v>
      </c>
      <c r="AS78"/>
      <c r="AT78"/>
      <c r="AU78"/>
    </row>
    <row r="79" spans="1:47" x14ac:dyDescent="0.25">
      <c r="A79" s="439" t="str">
        <f t="shared" si="32"/>
        <v>Other GL to Detail Difference</v>
      </c>
      <c r="B79" s="266">
        <f t="shared" si="36"/>
        <v>10608705.018969024</v>
      </c>
      <c r="C79" s="440">
        <f t="shared" si="37"/>
        <v>234337.70249999998</v>
      </c>
      <c r="D79" s="266">
        <f t="shared" si="38"/>
        <v>0</v>
      </c>
      <c r="E79" s="442">
        <f t="shared" si="38"/>
        <v>21722.579999999998</v>
      </c>
      <c r="F79" s="437"/>
      <c r="G79" s="266"/>
      <c r="H79" s="437"/>
      <c r="I79" s="437"/>
      <c r="J79" s="437"/>
      <c r="K79" s="437"/>
      <c r="L79" s="446"/>
      <c r="M79" s="3"/>
      <c r="U79" s="126"/>
      <c r="X79" s="108" t="s">
        <v>162</v>
      </c>
      <c r="Y79" s="161">
        <v>0</v>
      </c>
      <c r="Z79" s="161">
        <v>0</v>
      </c>
      <c r="AB79" s="189" t="e">
        <f>+AC20-Z41-SUM(AB46:AB78)</f>
        <v>#REF!</v>
      </c>
      <c r="AD79" s="108" t="s">
        <v>162</v>
      </c>
      <c r="AE79" s="161"/>
      <c r="AH79" s="161"/>
      <c r="AI79" s="108" t="s">
        <v>162</v>
      </c>
      <c r="AN79" s="204">
        <v>1422470</v>
      </c>
      <c r="AO79" s="108"/>
      <c r="AR79" s="296"/>
      <c r="AU79"/>
    </row>
    <row r="80" spans="1:47" ht="15.75" thickBot="1" x14ac:dyDescent="0.3">
      <c r="A80" s="439" t="str">
        <f t="shared" si="32"/>
        <v>Other including research</v>
      </c>
      <c r="B80" s="266">
        <f t="shared" si="36"/>
        <v>346500</v>
      </c>
      <c r="C80" s="440">
        <f t="shared" si="37"/>
        <v>0</v>
      </c>
      <c r="D80" s="266">
        <f t="shared" si="38"/>
        <v>0</v>
      </c>
      <c r="E80" s="442">
        <f t="shared" si="38"/>
        <v>0</v>
      </c>
      <c r="F80" s="266"/>
      <c r="G80" s="441"/>
      <c r="H80" s="444"/>
      <c r="I80" s="316"/>
      <c r="J80" s="266"/>
      <c r="K80" s="437"/>
      <c r="L80" s="445"/>
      <c r="M80" s="3"/>
      <c r="O80" s="138" t="s">
        <v>181</v>
      </c>
      <c r="P80" s="138"/>
      <c r="Q80" s="256">
        <f>+Q78+Q41</f>
        <v>133782320.4711</v>
      </c>
      <c r="R80" s="3"/>
      <c r="U80" s="126"/>
      <c r="X80" s="108" t="s">
        <v>163</v>
      </c>
      <c r="Y80" s="163">
        <f>SUM(Y46:Y79)</f>
        <v>41422372.219999999</v>
      </c>
      <c r="Z80" s="163">
        <f>SUM(Z46:Z79)</f>
        <v>39031078.720000006</v>
      </c>
      <c r="AA80" s="227"/>
      <c r="AB80" s="163" t="e">
        <f>SUM(AB46:AB79)</f>
        <v>#REF!</v>
      </c>
      <c r="AD80" s="108" t="s">
        <v>163</v>
      </c>
      <c r="AE80" s="163">
        <f>SUM(AE46:AE79)</f>
        <v>38839975.420000002</v>
      </c>
      <c r="AF80" s="220"/>
      <c r="AG80" s="204"/>
      <c r="AH80" s="161"/>
      <c r="AI80" s="108" t="s">
        <v>163</v>
      </c>
      <c r="AN80" s="163">
        <f>SUM(AN46:AN79)</f>
        <v>38782350.656999998</v>
      </c>
      <c r="AO80" s="108"/>
      <c r="AQ80" s="256">
        <f>+AQ78+AQ41</f>
        <v>130438570</v>
      </c>
      <c r="AR80" s="296">
        <f t="shared" si="30"/>
        <v>2.5634675932893147E-2</v>
      </c>
      <c r="AU80"/>
    </row>
    <row r="81" spans="1:47" ht="15.75" thickTop="1" x14ac:dyDescent="0.25">
      <c r="A81" s="439" t="s">
        <v>167</v>
      </c>
      <c r="B81" s="269">
        <f>SUM(B68:B80)</f>
        <v>116478807.00390002</v>
      </c>
      <c r="C81" s="269">
        <f t="shared" ref="C81:E81" si="41">SUM(C68:C80)</f>
        <v>5857488.9449999994</v>
      </c>
      <c r="D81" s="269">
        <f t="shared" si="41"/>
        <v>3567763.98</v>
      </c>
      <c r="E81" s="269">
        <f t="shared" si="41"/>
        <v>160111.71</v>
      </c>
      <c r="F81" s="437"/>
      <c r="G81" s="437"/>
      <c r="H81" s="266"/>
      <c r="I81" s="437"/>
      <c r="J81" s="269">
        <f>SUM(J68:J80)</f>
        <v>2016758.1653500434</v>
      </c>
      <c r="K81" s="437"/>
      <c r="L81" s="447">
        <f>SUM(L68:L80)</f>
        <v>61662587.793154642</v>
      </c>
      <c r="M81" s="63"/>
      <c r="Q81" s="18"/>
      <c r="AD81" s="108"/>
      <c r="AE81" s="161"/>
      <c r="AH81" s="161"/>
      <c r="AI81" s="108"/>
      <c r="AN81" s="161"/>
      <c r="AO81" s="108"/>
      <c r="AQ81" s="18"/>
      <c r="AR81" s="296"/>
      <c r="AU81"/>
    </row>
    <row r="82" spans="1:47" x14ac:dyDescent="0.25">
      <c r="A82" s="428"/>
      <c r="B82" s="424">
        <f>SUM(B81:E81)</f>
        <v>126064171.63890001</v>
      </c>
      <c r="C82" s="34"/>
      <c r="D82" s="34"/>
      <c r="E82" s="428"/>
      <c r="F82" s="428"/>
      <c r="G82" s="5"/>
      <c r="H82" s="428"/>
      <c r="I82" s="428"/>
      <c r="J82" s="428"/>
      <c r="K82" s="428"/>
      <c r="L82" s="448"/>
      <c r="O82" t="s">
        <v>182</v>
      </c>
      <c r="Q82" s="18">
        <f>+D20</f>
        <v>127337547.11</v>
      </c>
      <c r="X82" s="108" t="s">
        <v>164</v>
      </c>
      <c r="Y82" s="202">
        <f>+Y80+V41</f>
        <v>114561696.93000001</v>
      </c>
      <c r="Z82" s="202">
        <f>+Z80+X41</f>
        <v>113686268.72</v>
      </c>
      <c r="AA82" s="227"/>
      <c r="AB82" s="202" t="e">
        <f>+AB80+Z41</f>
        <v>#REF!</v>
      </c>
      <c r="AD82" s="108" t="s">
        <v>164</v>
      </c>
      <c r="AE82" s="163">
        <f>+AE80+AC41</f>
        <v>110311409.58</v>
      </c>
      <c r="AG82" s="161"/>
      <c r="AH82" s="161"/>
      <c r="AI82" s="108" t="s">
        <v>164</v>
      </c>
      <c r="AK82" s="194"/>
      <c r="AN82" s="163">
        <f>+AN80+AL41</f>
        <v>107161696.61550468</v>
      </c>
      <c r="AO82" s="108"/>
      <c r="AQ82" s="18">
        <f>AQ94</f>
        <v>130438570</v>
      </c>
      <c r="AR82" s="296">
        <f t="shared" si="30"/>
        <v>-2.3773818510889888E-2</v>
      </c>
      <c r="AU82"/>
    </row>
    <row r="83" spans="1:47" x14ac:dyDescent="0.25">
      <c r="A83" s="449"/>
      <c r="B83" s="20">
        <f>B82-D22</f>
        <v>0</v>
      </c>
      <c r="C83" s="450"/>
      <c r="D83" s="450"/>
      <c r="E83" s="124"/>
      <c r="F83" s="124"/>
      <c r="G83" s="2"/>
      <c r="H83" s="124"/>
      <c r="I83" s="124"/>
      <c r="J83" s="124"/>
      <c r="K83" s="124"/>
      <c r="L83" s="451"/>
      <c r="O83" t="s">
        <v>183</v>
      </c>
      <c r="Q83" s="18">
        <f>+Q80</f>
        <v>133782320.4711</v>
      </c>
      <c r="AD83" s="161"/>
      <c r="AE83" s="161"/>
      <c r="AH83" s="161"/>
      <c r="AI83" s="161"/>
      <c r="AL83" s="108"/>
      <c r="AN83" s="161"/>
      <c r="AO83" s="108"/>
      <c r="AQ83" s="18">
        <f>+AQ80</f>
        <v>130438570</v>
      </c>
      <c r="AR83" s="296">
        <f t="shared" si="30"/>
        <v>2.5634675932893147E-2</v>
      </c>
      <c r="AU83"/>
    </row>
    <row r="84" spans="1:47" ht="15.75" thickBot="1" x14ac:dyDescent="0.3">
      <c r="O84" t="s">
        <v>184</v>
      </c>
      <c r="Q84" s="23">
        <f>+Q82-Q83</f>
        <v>-6444773.3611000031</v>
      </c>
      <c r="X84" s="108" t="s">
        <v>165</v>
      </c>
      <c r="Y84" s="234">
        <f>+Z20-Y82</f>
        <v>10420375.069999993</v>
      </c>
      <c r="Z84" s="234" t="e">
        <f>+AA20-Z82</f>
        <v>#REF!</v>
      </c>
      <c r="AB84" s="234" t="e">
        <f>+AC20-AB82</f>
        <v>#REF!</v>
      </c>
      <c r="AD84" s="108" t="s">
        <v>165</v>
      </c>
      <c r="AE84" s="234">
        <f>+AF20-AE82</f>
        <v>10657110.420000002</v>
      </c>
      <c r="AG84" s="204"/>
      <c r="AH84" s="161"/>
      <c r="AI84" s="108" t="s">
        <v>165</v>
      </c>
      <c r="AN84" s="234" t="e">
        <f>+AO20-AN82</f>
        <v>#REF!</v>
      </c>
      <c r="AO84" s="108"/>
      <c r="AQ84" s="23">
        <f>+AQ82-AQ83</f>
        <v>0</v>
      </c>
      <c r="AR84" s="296"/>
      <c r="AU84"/>
    </row>
    <row r="85" spans="1:47" ht="15.75" thickTop="1" x14ac:dyDescent="0.25">
      <c r="O85" t="s">
        <v>203</v>
      </c>
      <c r="Q85" s="18">
        <f>Q77</f>
        <v>1273375.4711</v>
      </c>
      <c r="Y85" s="204"/>
      <c r="Z85" s="204"/>
      <c r="AB85" s="204"/>
      <c r="AD85" s="108"/>
      <c r="AE85" s="204"/>
      <c r="AG85" s="204"/>
      <c r="AH85" s="161"/>
      <c r="AI85" s="108"/>
      <c r="AN85" s="204"/>
      <c r="AO85" s="108"/>
      <c r="AQ85" s="18"/>
      <c r="AR85" s="296"/>
      <c r="AU85"/>
    </row>
    <row r="86" spans="1:47" x14ac:dyDescent="0.25">
      <c r="O86" t="s">
        <v>204</v>
      </c>
      <c r="Q86" s="19">
        <f>SUM(Q84:Q85)</f>
        <v>-5171397.8900000034</v>
      </c>
      <c r="AQ86" s="18"/>
      <c r="AR86" s="296"/>
      <c r="AU86"/>
    </row>
    <row r="87" spans="1:47" x14ac:dyDescent="0.25">
      <c r="Z87" s="204"/>
      <c r="AA87" s="194"/>
      <c r="AD87" s="108"/>
      <c r="AE87" s="204"/>
      <c r="AH87" s="161"/>
      <c r="AI87" s="161"/>
      <c r="AQ87" s="18"/>
      <c r="AR87" s="296"/>
      <c r="AU87"/>
    </row>
    <row r="88" spans="1:47" x14ac:dyDescent="0.25">
      <c r="O88" t="s">
        <v>205</v>
      </c>
      <c r="Q88" s="14">
        <f>D14</f>
        <v>63844296.109999999</v>
      </c>
      <c r="Z88" s="204"/>
      <c r="AA88" s="194"/>
      <c r="AD88" s="108"/>
      <c r="AE88" s="204"/>
      <c r="AH88" s="161"/>
      <c r="AI88" s="161"/>
      <c r="AQ88" s="18">
        <f>79653078-17150000</f>
        <v>62503078</v>
      </c>
      <c r="AR88" s="296">
        <f t="shared" si="30"/>
        <v>2.1458432975092867E-2</v>
      </c>
      <c r="AS88" s="18" t="s">
        <v>206</v>
      </c>
      <c r="AU88"/>
    </row>
    <row r="89" spans="1:47" x14ac:dyDescent="0.25">
      <c r="O89" t="s">
        <v>49</v>
      </c>
      <c r="Q89" s="14">
        <f>D16</f>
        <v>63143251</v>
      </c>
      <c r="Z89" s="204"/>
      <c r="AA89" s="194"/>
      <c r="AD89" s="108"/>
      <c r="AE89" s="204"/>
      <c r="AH89" s="161"/>
      <c r="AI89" s="161"/>
      <c r="AQ89" s="18">
        <v>60784492</v>
      </c>
      <c r="AR89" s="296">
        <f t="shared" si="30"/>
        <v>3.8805276187880322E-2</v>
      </c>
      <c r="AU89"/>
    </row>
    <row r="90" spans="1:47" x14ac:dyDescent="0.25">
      <c r="O90" t="s">
        <v>207</v>
      </c>
      <c r="Q90" s="14"/>
      <c r="AA90" s="194"/>
      <c r="AB90" s="194"/>
      <c r="AD90" s="194"/>
      <c r="AH90" s="161"/>
      <c r="AI90" s="161"/>
      <c r="AQ90" s="18">
        <v>6800000</v>
      </c>
      <c r="AR90" s="296">
        <f t="shared" si="30"/>
        <v>-1</v>
      </c>
    </row>
    <row r="91" spans="1:47" x14ac:dyDescent="0.25">
      <c r="O91" t="s">
        <v>208</v>
      </c>
      <c r="Q91" s="14"/>
      <c r="AA91" s="194"/>
      <c r="AB91" s="194"/>
      <c r="AD91" s="194"/>
      <c r="AH91" s="161"/>
      <c r="AI91" s="161"/>
      <c r="AQ91" s="18">
        <v>110000</v>
      </c>
      <c r="AR91" s="296">
        <f t="shared" si="30"/>
        <v>-1</v>
      </c>
    </row>
    <row r="92" spans="1:47" x14ac:dyDescent="0.25">
      <c r="O92" t="s">
        <v>209</v>
      </c>
      <c r="Q92" s="14"/>
      <c r="AA92" s="194"/>
      <c r="AB92" s="194"/>
      <c r="AD92" s="194"/>
      <c r="AH92" s="161"/>
      <c r="AI92" s="161"/>
      <c r="AQ92" s="18">
        <v>220000</v>
      </c>
      <c r="AR92" s="296">
        <f t="shared" si="30"/>
        <v>-1</v>
      </c>
    </row>
    <row r="93" spans="1:47" x14ac:dyDescent="0.25">
      <c r="O93" t="s">
        <v>50</v>
      </c>
      <c r="Q93" s="14">
        <v>350000</v>
      </c>
      <c r="AA93" s="194"/>
      <c r="AB93" s="194"/>
      <c r="AD93" s="194"/>
      <c r="AH93" s="161"/>
      <c r="AI93" s="161"/>
      <c r="AQ93" s="18">
        <v>21000</v>
      </c>
      <c r="AR93" s="296">
        <f t="shared" si="30"/>
        <v>15.666666666666668</v>
      </c>
    </row>
    <row r="94" spans="1:47" x14ac:dyDescent="0.25">
      <c r="O94" t="s">
        <v>210</v>
      </c>
      <c r="Q94" s="23">
        <f>SUM(Q88:Q93)</f>
        <v>127337547.11</v>
      </c>
      <c r="AA94" s="194"/>
      <c r="AB94" s="194"/>
      <c r="AD94" s="194"/>
      <c r="AH94" s="161"/>
      <c r="AI94" s="161"/>
      <c r="AQ94" s="23">
        <f>SUM(AQ88:AQ93)</f>
        <v>130438570</v>
      </c>
      <c r="AR94" s="296">
        <f t="shared" si="30"/>
        <v>-2.3773818510889888E-2</v>
      </c>
    </row>
    <row r="95" spans="1:47" x14ac:dyDescent="0.25">
      <c r="AA95" s="194"/>
      <c r="AB95" s="194"/>
      <c r="AD95" s="194"/>
      <c r="AH95" s="161"/>
      <c r="AI95" s="161"/>
    </row>
    <row r="96" spans="1:47" x14ac:dyDescent="0.25">
      <c r="O96" t="s">
        <v>211</v>
      </c>
      <c r="AA96" s="194"/>
      <c r="AB96" s="194"/>
      <c r="AD96" s="194"/>
    </row>
    <row r="97" spans="27:30" x14ac:dyDescent="0.25">
      <c r="AA97" s="194"/>
      <c r="AB97" s="194"/>
      <c r="AD97" s="194"/>
    </row>
    <row r="98" spans="27:30" x14ac:dyDescent="0.25">
      <c r="AA98" s="194"/>
      <c r="AB98" s="194"/>
      <c r="AD98" s="194"/>
    </row>
    <row r="99" spans="27:30" x14ac:dyDescent="0.25">
      <c r="AA99" s="194"/>
      <c r="AB99" s="194"/>
      <c r="AD99" s="194"/>
    </row>
    <row r="100" spans="27:30" x14ac:dyDescent="0.25">
      <c r="AA100" s="194"/>
      <c r="AB100" s="194"/>
      <c r="AD100" s="194"/>
    </row>
    <row r="101" spans="27:30" x14ac:dyDescent="0.25">
      <c r="AA101" s="194"/>
      <c r="AB101" s="194"/>
      <c r="AD101" s="194"/>
    </row>
  </sheetData>
  <sortState ref="A44:AY56">
    <sortCondition ref="A44:A56"/>
  </sortState>
  <mergeCells count="3">
    <mergeCell ref="X1:AB1"/>
    <mergeCell ref="AD1:AG1"/>
    <mergeCell ref="AI1:AO1"/>
  </mergeCells>
  <pageMargins left="0.45" right="0.45" top="0.5" bottom="0.5" header="0.05" footer="0.3"/>
  <pageSetup paperSize="5" scale="48" orientation="landscape" r:id="rId1"/>
  <colBreaks count="1" manualBreakCount="1">
    <brk id="22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7"/>
  <sheetViews>
    <sheetView showGridLines="0" topLeftCell="A39" zoomScale="80" zoomScaleNormal="80" zoomScaleSheetLayoutView="100" workbookViewId="0">
      <selection activeCell="F89" sqref="F89"/>
    </sheetView>
  </sheetViews>
  <sheetFormatPr defaultRowHeight="15" x14ac:dyDescent="0.25"/>
  <cols>
    <col min="1" max="1" width="32.85546875" bestFit="1" customWidth="1"/>
    <col min="2" max="2" width="17" customWidth="1"/>
    <col min="3" max="4" width="14.28515625" style="4" customWidth="1"/>
    <col min="5" max="5" width="18" customWidth="1"/>
    <col min="6" max="6" width="15.28515625" customWidth="1"/>
    <col min="7" max="7" width="15.140625" style="1" customWidth="1"/>
    <col min="8" max="8" width="13" customWidth="1"/>
    <col min="9" max="9" width="14" customWidth="1"/>
    <col min="10" max="10" width="16.42578125" customWidth="1"/>
    <col min="11" max="11" width="2.140625" customWidth="1"/>
    <col min="12" max="13" width="17.7109375" customWidth="1"/>
    <col min="14" max="14" width="14.7109375" customWidth="1"/>
    <col min="15" max="15" width="19.28515625" customWidth="1"/>
    <col min="16" max="16" width="17" customWidth="1"/>
    <col min="17" max="17" width="17.5703125" customWidth="1"/>
    <col min="18" max="18" width="16.140625" bestFit="1" customWidth="1"/>
    <col min="19" max="19" width="24.42578125" customWidth="1"/>
    <col min="20" max="20" width="14.28515625" style="18" bestFit="1" customWidth="1"/>
    <col min="21" max="21" width="16.85546875" style="5" customWidth="1"/>
    <col min="22" max="22" width="14.28515625" customWidth="1"/>
    <col min="23" max="23" width="6.42578125" bestFit="1" customWidth="1"/>
    <col min="24" max="24" width="15.28515625" style="18" bestFit="1" customWidth="1"/>
    <col min="25" max="25" width="14.42578125" style="18" bestFit="1" customWidth="1"/>
    <col min="26" max="27" width="14.42578125" style="18" customWidth="1"/>
    <col min="28" max="28" width="14.28515625" bestFit="1" customWidth="1"/>
    <col min="29" max="29" width="14" bestFit="1" customWidth="1"/>
  </cols>
  <sheetData>
    <row r="1" spans="1:30" ht="18.75" x14ac:dyDescent="0.3">
      <c r="A1" s="73"/>
      <c r="B1" s="74"/>
      <c r="C1" s="73"/>
      <c r="D1" s="73"/>
      <c r="E1" s="73"/>
      <c r="F1" s="75"/>
      <c r="G1" s="73"/>
      <c r="H1" s="73"/>
      <c r="I1" s="73"/>
      <c r="J1" s="73"/>
      <c r="K1" s="73"/>
      <c r="P1" s="4"/>
      <c r="Q1" s="4"/>
      <c r="R1" s="22"/>
      <c r="S1" s="4"/>
      <c r="T1" s="4"/>
      <c r="U1" s="18"/>
      <c r="V1" s="4"/>
      <c r="W1" s="4"/>
      <c r="AA1"/>
    </row>
    <row r="2" spans="1:30" ht="18.75" x14ac:dyDescent="0.3">
      <c r="A2" s="73" t="s">
        <v>4</v>
      </c>
      <c r="B2" s="74"/>
      <c r="C2" s="73"/>
      <c r="D2" s="73"/>
      <c r="E2" s="73"/>
      <c r="F2" s="75"/>
      <c r="G2" s="73"/>
      <c r="H2" s="73"/>
      <c r="I2" s="73"/>
      <c r="J2" s="73"/>
      <c r="K2" s="73"/>
      <c r="P2" s="4"/>
      <c r="Q2" s="4"/>
      <c r="R2" s="22"/>
      <c r="S2" s="4"/>
      <c r="T2" s="4"/>
      <c r="U2" s="18"/>
      <c r="V2" s="4"/>
      <c r="W2" s="4"/>
      <c r="AA2"/>
    </row>
    <row r="3" spans="1:30" ht="18.75" x14ac:dyDescent="0.3">
      <c r="A3" s="73"/>
      <c r="B3" s="74"/>
      <c r="C3" s="73"/>
      <c r="D3" s="73"/>
      <c r="E3" s="73"/>
      <c r="F3" s="73"/>
      <c r="G3" s="75"/>
      <c r="H3" s="73"/>
      <c r="I3" s="73"/>
      <c r="J3" s="73"/>
      <c r="K3" s="73"/>
      <c r="L3" s="73"/>
      <c r="S3" s="4"/>
      <c r="T3" s="4"/>
      <c r="U3" s="18"/>
      <c r="V3" s="4"/>
      <c r="W3" s="4"/>
      <c r="X3"/>
    </row>
    <row r="4" spans="1:30" x14ac:dyDescent="0.25">
      <c r="B4" s="9" t="s">
        <v>10</v>
      </c>
      <c r="C4" s="91" t="s">
        <v>185</v>
      </c>
      <c r="D4" s="91" t="s">
        <v>212</v>
      </c>
      <c r="E4" s="91" t="s">
        <v>213</v>
      </c>
      <c r="F4" s="8" t="s">
        <v>214</v>
      </c>
      <c r="S4" s="12"/>
      <c r="T4" s="12"/>
      <c r="U4" s="18"/>
      <c r="V4" s="12"/>
      <c r="W4" s="12"/>
      <c r="X4"/>
    </row>
    <row r="5" spans="1:30" x14ac:dyDescent="0.25">
      <c r="B5" s="1"/>
      <c r="C5"/>
      <c r="D5"/>
      <c r="G5" s="27"/>
      <c r="H5" s="27"/>
      <c r="I5" s="27"/>
      <c r="J5" s="27"/>
      <c r="T5"/>
      <c r="U5" s="18"/>
      <c r="V5" s="26"/>
      <c r="W5" s="26"/>
      <c r="X5"/>
    </row>
    <row r="6" spans="1:30" x14ac:dyDescent="0.25">
      <c r="A6" s="59" t="s">
        <v>187</v>
      </c>
      <c r="B6" s="1">
        <f>+'Net Tuition AY'!M33</f>
        <v>49317810.269999996</v>
      </c>
      <c r="C6" s="1">
        <f>+'Net Tuition AY'!N33</f>
        <v>50858554.600000001</v>
      </c>
      <c r="D6" s="1">
        <f>+'Net Tuition AY'!O33</f>
        <v>54162109.609999999</v>
      </c>
      <c r="E6" s="1">
        <f>+'Net Tuition AY'!P33</f>
        <v>57832146</v>
      </c>
      <c r="F6" s="80">
        <f>E6/D6-1</f>
        <v>6.7760218655190663E-2</v>
      </c>
      <c r="G6" s="301"/>
      <c r="H6" s="62" t="s">
        <v>15</v>
      </c>
      <c r="I6" s="27"/>
      <c r="J6" s="27"/>
      <c r="S6" s="6"/>
      <c r="T6" s="6"/>
      <c r="U6" s="39"/>
      <c r="V6" s="26"/>
      <c r="W6" s="26"/>
      <c r="X6" s="26"/>
      <c r="AB6" s="18"/>
      <c r="AC6" s="18"/>
      <c r="AD6" s="18"/>
    </row>
    <row r="7" spans="1:30" x14ac:dyDescent="0.25">
      <c r="A7" t="s">
        <v>17</v>
      </c>
      <c r="B7" s="1">
        <f>+'Net Tuition AY'!M55</f>
        <v>5324996.5</v>
      </c>
      <c r="C7" s="1">
        <f>+'Net Tuition AY'!N55</f>
        <v>5747252</v>
      </c>
      <c r="D7" s="1">
        <f>+'Net Tuition AY'!O55</f>
        <v>5916655.5</v>
      </c>
      <c r="E7" s="1">
        <f>+'Net Tuition AY'!P55</f>
        <v>7033221</v>
      </c>
      <c r="F7" s="80">
        <f t="shared" ref="F7:F22" si="0">E7/D7-1</f>
        <v>0.1887156519422164</v>
      </c>
      <c r="G7" s="295" t="s">
        <v>18</v>
      </c>
      <c r="H7" s="27" t="s">
        <v>19</v>
      </c>
      <c r="I7" s="27"/>
      <c r="J7" s="27"/>
      <c r="K7" s="27"/>
      <c r="P7" s="5"/>
      <c r="Q7" s="5"/>
      <c r="R7" s="18"/>
      <c r="S7" s="18"/>
      <c r="U7" s="39"/>
      <c r="V7" s="18"/>
      <c r="W7" s="18"/>
      <c r="X7" s="26"/>
      <c r="AB7" s="18"/>
      <c r="AC7" s="18"/>
      <c r="AD7" s="18"/>
    </row>
    <row r="8" spans="1:30" x14ac:dyDescent="0.25">
      <c r="B8" s="23">
        <f>SUM(B6:B7)</f>
        <v>54642806.769999996</v>
      </c>
      <c r="C8" s="23">
        <f>SUM(C6:C7)</f>
        <v>56605806.600000001</v>
      </c>
      <c r="D8" s="23">
        <f>SUM(D6:D7)</f>
        <v>60078765.109999999</v>
      </c>
      <c r="E8" s="23">
        <f>SUM(E6:E7)</f>
        <v>64865367</v>
      </c>
      <c r="F8" s="80">
        <f t="shared" si="0"/>
        <v>7.9672108460219881E-2</v>
      </c>
      <c r="G8" s="62"/>
      <c r="H8" s="27" t="s">
        <v>20</v>
      </c>
      <c r="I8" s="27"/>
      <c r="J8" s="27"/>
      <c r="K8" s="27"/>
      <c r="P8" s="5"/>
      <c r="Q8" s="5"/>
      <c r="R8" s="18"/>
      <c r="S8" s="18"/>
      <c r="U8" s="18"/>
      <c r="V8" s="18"/>
      <c r="W8" s="18"/>
      <c r="AB8" s="18"/>
      <c r="AC8" s="18"/>
      <c r="AD8" s="18"/>
    </row>
    <row r="9" spans="1:30" x14ac:dyDescent="0.25">
      <c r="B9" s="1"/>
      <c r="C9" s="1"/>
      <c r="D9" s="1"/>
      <c r="E9" s="1"/>
      <c r="F9" s="80"/>
      <c r="G9" s="322">
        <f>E7-D7</f>
        <v>1116565.5</v>
      </c>
      <c r="H9" s="27" t="s">
        <v>21</v>
      </c>
      <c r="I9" s="27"/>
      <c r="J9" s="27"/>
      <c r="K9" s="27"/>
      <c r="P9" s="5"/>
      <c r="Q9" s="5"/>
      <c r="R9" s="18"/>
      <c r="S9" s="18"/>
      <c r="U9" s="18"/>
      <c r="V9" s="18"/>
      <c r="W9" s="18"/>
      <c r="AB9" s="18"/>
      <c r="AC9" s="18"/>
      <c r="AD9" s="18"/>
    </row>
    <row r="10" spans="1:30" x14ac:dyDescent="0.25">
      <c r="A10" s="59" t="s">
        <v>22</v>
      </c>
      <c r="B10" s="1">
        <f>+'Net Tuition Summer'!K30</f>
        <v>2993739.5700000003</v>
      </c>
      <c r="C10" s="1">
        <f>+'Net Tuition Summer'!L30</f>
        <v>3950284.28</v>
      </c>
      <c r="D10" s="1">
        <f>+'Net Tuition Summer'!M30</f>
        <v>3603802</v>
      </c>
      <c r="E10" s="1">
        <f>+'Net Tuition Summer'!N30</f>
        <v>4136678</v>
      </c>
      <c r="F10" s="80">
        <f t="shared" si="0"/>
        <v>0.14786494929521665</v>
      </c>
      <c r="G10"/>
      <c r="H10" s="27"/>
      <c r="I10" s="27"/>
      <c r="J10" s="27"/>
      <c r="K10" s="27"/>
      <c r="P10" s="5"/>
      <c r="Q10" s="5"/>
      <c r="R10" s="18"/>
      <c r="S10" s="3"/>
      <c r="T10" s="3"/>
      <c r="U10" s="18"/>
      <c r="V10" s="18"/>
      <c r="AB10" s="18"/>
      <c r="AC10" s="18"/>
      <c r="AD10" s="18"/>
    </row>
    <row r="11" spans="1:30" x14ac:dyDescent="0.25">
      <c r="A11" t="s">
        <v>23</v>
      </c>
      <c r="B11" s="1">
        <f>+'Net Tuition Summer'!K51</f>
        <v>168185</v>
      </c>
      <c r="C11" s="1">
        <f>+'Net Tuition Summer'!L51</f>
        <v>180241</v>
      </c>
      <c r="D11" s="1">
        <f>+'Net Tuition Summer'!M51</f>
        <v>161729</v>
      </c>
      <c r="E11" s="1">
        <f>+'Net Tuition Summer'!N51</f>
        <v>150012</v>
      </c>
      <c r="F11" s="80">
        <f t="shared" si="0"/>
        <v>-7.244835496416846E-2</v>
      </c>
      <c r="G11"/>
      <c r="H11" s="27"/>
      <c r="I11" s="27"/>
      <c r="J11" s="27"/>
      <c r="K11" s="27"/>
      <c r="P11" s="5"/>
      <c r="Q11" s="5"/>
      <c r="R11" s="18"/>
      <c r="S11" s="3"/>
      <c r="T11" s="3"/>
      <c r="U11" s="18"/>
      <c r="V11" s="18"/>
      <c r="AB11" s="18"/>
      <c r="AC11" s="18"/>
      <c r="AD11" s="18"/>
    </row>
    <row r="12" spans="1:30" x14ac:dyDescent="0.25">
      <c r="B12" s="23">
        <f>SUM(B10:B11)</f>
        <v>3161924.5700000003</v>
      </c>
      <c r="C12" s="23">
        <f>SUM(C10:C11)</f>
        <v>4130525.28</v>
      </c>
      <c r="D12" s="23">
        <f>SUM(D10:D11)</f>
        <v>3765531</v>
      </c>
      <c r="E12" s="23">
        <f>SUM(E10:E11)</f>
        <v>4286690</v>
      </c>
      <c r="F12" s="80">
        <f t="shared" si="0"/>
        <v>0.138402525433996</v>
      </c>
      <c r="G12" s="3"/>
      <c r="H12" s="27"/>
      <c r="I12" s="27"/>
      <c r="J12" s="27"/>
      <c r="K12" s="27"/>
      <c r="P12" s="5"/>
      <c r="Q12" s="5"/>
      <c r="R12" s="18"/>
      <c r="S12" s="3"/>
      <c r="T12" s="3"/>
      <c r="U12" s="18"/>
      <c r="V12" s="18"/>
      <c r="AB12" s="18"/>
      <c r="AC12" s="18"/>
      <c r="AD12" s="18"/>
    </row>
    <row r="13" spans="1:30" x14ac:dyDescent="0.25">
      <c r="B13" s="1"/>
      <c r="C13" s="1"/>
      <c r="D13" s="1"/>
      <c r="E13" s="1"/>
      <c r="F13" s="80"/>
      <c r="G13"/>
      <c r="H13" s="27"/>
      <c r="I13" s="27"/>
      <c r="J13" s="27"/>
      <c r="K13" s="27"/>
      <c r="P13" s="5"/>
      <c r="Q13" s="5"/>
      <c r="R13" s="18"/>
      <c r="S13" s="3"/>
      <c r="T13" s="3"/>
      <c r="U13" s="18"/>
      <c r="V13" s="18"/>
      <c r="AB13" s="18"/>
      <c r="AC13" s="18"/>
      <c r="AD13" s="18"/>
    </row>
    <row r="14" spans="1:30" x14ac:dyDescent="0.25">
      <c r="A14" t="s">
        <v>24</v>
      </c>
      <c r="B14" s="23">
        <f>+B12+B8</f>
        <v>57804731.339999996</v>
      </c>
      <c r="C14" s="23">
        <f>+C12+C8</f>
        <v>60736331.880000003</v>
      </c>
      <c r="D14" s="23">
        <f>+D12+D8</f>
        <v>63844296.109999999</v>
      </c>
      <c r="E14" s="23">
        <f>+E12+E8</f>
        <v>69152057</v>
      </c>
      <c r="F14" s="80">
        <f t="shared" si="0"/>
        <v>8.3136023316085161E-2</v>
      </c>
      <c r="G14" s="27"/>
      <c r="H14" s="27"/>
      <c r="I14" s="27"/>
      <c r="J14" s="27"/>
      <c r="K14" s="27"/>
      <c r="P14" s="5"/>
      <c r="Q14" s="5"/>
      <c r="R14" s="18"/>
      <c r="S14" s="3"/>
      <c r="T14" s="3"/>
      <c r="U14" s="18"/>
      <c r="V14" s="18"/>
      <c r="AB14" s="18"/>
      <c r="AC14" s="18"/>
      <c r="AD14" s="18"/>
    </row>
    <row r="15" spans="1:30" x14ac:dyDescent="0.25">
      <c r="B15" s="1"/>
      <c r="C15" s="10"/>
      <c r="D15" s="10"/>
      <c r="E15" s="10"/>
      <c r="F15" s="80"/>
      <c r="K15" s="27"/>
      <c r="P15" s="5"/>
      <c r="Q15" s="5"/>
      <c r="R15" s="18"/>
      <c r="S15" s="3"/>
      <c r="T15" s="3"/>
      <c r="U15" s="18"/>
      <c r="V15" s="18"/>
      <c r="AB15" s="18"/>
      <c r="AC15" s="18"/>
      <c r="AD15" s="18"/>
    </row>
    <row r="16" spans="1:30" x14ac:dyDescent="0.25">
      <c r="A16" s="59" t="s">
        <v>25</v>
      </c>
      <c r="B16" s="14">
        <f>+Appropriations!I6</f>
        <v>61862743</v>
      </c>
      <c r="C16" s="14">
        <f>+Appropriations!J6</f>
        <v>60854268</v>
      </c>
      <c r="D16" s="14">
        <f>+Appropriations!K6</f>
        <v>63143251</v>
      </c>
      <c r="E16" s="14">
        <f>+Appropriations!L6</f>
        <v>66600428</v>
      </c>
      <c r="F16" s="80">
        <f t="shared" si="0"/>
        <v>5.4751330431181078E-2</v>
      </c>
      <c r="K16" s="27"/>
      <c r="P16" s="5"/>
      <c r="Q16" s="5"/>
      <c r="R16" s="18"/>
      <c r="S16" s="3"/>
      <c r="T16" s="3"/>
      <c r="U16" s="18"/>
      <c r="V16" s="18"/>
      <c r="AB16" s="18"/>
      <c r="AC16" s="18"/>
      <c r="AD16" s="18"/>
    </row>
    <row r="17" spans="1:31" x14ac:dyDescent="0.25">
      <c r="B17" s="1"/>
      <c r="C17" s="1"/>
      <c r="D17" s="1"/>
      <c r="E17" s="1"/>
      <c r="F17" s="80"/>
      <c r="P17" s="5"/>
      <c r="Q17" s="5"/>
      <c r="R17" s="18"/>
      <c r="S17" s="3"/>
      <c r="T17" s="3"/>
      <c r="U17" s="18"/>
      <c r="V17" s="18"/>
      <c r="AB17" s="18"/>
      <c r="AC17" s="18"/>
      <c r="AD17" s="18"/>
    </row>
    <row r="18" spans="1:31" x14ac:dyDescent="0.25">
      <c r="A18" t="s">
        <v>26</v>
      </c>
      <c r="B18" s="45">
        <v>725980</v>
      </c>
      <c r="C18" s="45">
        <v>350000</v>
      </c>
      <c r="D18" s="45">
        <v>350000</v>
      </c>
      <c r="E18" s="45">
        <v>440030</v>
      </c>
      <c r="F18" s="80">
        <f t="shared" si="0"/>
        <v>0.25722857142857136</v>
      </c>
      <c r="P18" s="5"/>
      <c r="Q18" s="5"/>
      <c r="R18" s="18"/>
      <c r="S18" s="3"/>
      <c r="T18" s="3"/>
      <c r="U18" s="18"/>
      <c r="V18" s="18"/>
      <c r="AB18" s="18"/>
      <c r="AC18" s="18"/>
      <c r="AD18" s="18"/>
    </row>
    <row r="19" spans="1:31" x14ac:dyDescent="0.25">
      <c r="B19" s="1"/>
      <c r="C19" s="1"/>
      <c r="D19" s="1"/>
      <c r="E19" s="1"/>
      <c r="F19" s="80"/>
      <c r="P19" s="53"/>
      <c r="Q19" s="53"/>
      <c r="R19" s="138"/>
      <c r="S19" s="3"/>
      <c r="T19" s="3"/>
      <c r="U19" s="18"/>
      <c r="V19" s="18"/>
      <c r="W19" s="18"/>
      <c r="AB19" s="18"/>
      <c r="AC19" s="18"/>
      <c r="AD19" s="18"/>
    </row>
    <row r="20" spans="1:31" x14ac:dyDescent="0.25">
      <c r="A20" t="s">
        <v>27</v>
      </c>
      <c r="B20" s="19">
        <f>SUM(B14:B19)</f>
        <v>120393454.34</v>
      </c>
      <c r="C20" s="19">
        <f>SUM(C14:C19)</f>
        <v>121940599.88</v>
      </c>
      <c r="D20" s="19">
        <f>SUM(D14:D19)</f>
        <v>127337547.11</v>
      </c>
      <c r="E20" s="19">
        <f>SUM(E14:E19)</f>
        <v>136192515</v>
      </c>
      <c r="F20" s="80">
        <f t="shared" si="0"/>
        <v>6.9539331414564476E-2</v>
      </c>
      <c r="P20" s="18"/>
      <c r="Q20" s="211"/>
      <c r="R20" s="211"/>
      <c r="S20" s="3"/>
      <c r="T20" s="3"/>
      <c r="U20" s="18"/>
      <c r="V20" s="18"/>
      <c r="W20" s="18"/>
      <c r="AB20" s="18"/>
      <c r="AC20" s="18"/>
      <c r="AD20" s="18"/>
    </row>
    <row r="21" spans="1:31" x14ac:dyDescent="0.25">
      <c r="A21" s="59" t="s">
        <v>29</v>
      </c>
      <c r="B21" s="1">
        <f>+B20*-B23</f>
        <v>-601967.27170000004</v>
      </c>
      <c r="C21" s="1">
        <f>+C20*-B23</f>
        <v>-609702.99939999997</v>
      </c>
      <c r="D21" s="1">
        <f>D20*-D23</f>
        <v>-636687.73554999998</v>
      </c>
      <c r="E21" s="1">
        <f>E20*-E23</f>
        <v>-1361925.1500000001</v>
      </c>
      <c r="F21" s="80">
        <f t="shared" si="0"/>
        <v>1.139078662829129</v>
      </c>
      <c r="J21" s="191" t="s">
        <v>215</v>
      </c>
      <c r="P21" s="18"/>
      <c r="Q21" s="211" t="s">
        <v>216</v>
      </c>
      <c r="R21" s="211" t="s">
        <v>217</v>
      </c>
      <c r="S21" s="3"/>
      <c r="T21" s="3"/>
      <c r="U21" s="18"/>
      <c r="V21" s="18"/>
      <c r="W21" s="18"/>
      <c r="AB21" s="18"/>
      <c r="AC21" s="18"/>
      <c r="AD21" s="18"/>
    </row>
    <row r="22" spans="1:31" ht="15.75" thickBot="1" x14ac:dyDescent="0.3">
      <c r="A22" t="s">
        <v>30</v>
      </c>
      <c r="B22" s="24">
        <f>B21+B20</f>
        <v>119791487.06830001</v>
      </c>
      <c r="C22" s="24">
        <f>C21+C20</f>
        <v>121330896.88059999</v>
      </c>
      <c r="D22" s="24">
        <f>D21+D20</f>
        <v>126700859.37445</v>
      </c>
      <c r="E22" s="24">
        <f>E21+E20</f>
        <v>134830589.84999999</v>
      </c>
      <c r="F22" s="80">
        <f t="shared" si="0"/>
        <v>6.416476190996856E-2</v>
      </c>
      <c r="G22"/>
      <c r="H22" s="1"/>
      <c r="J22" s="219">
        <f>+J36</f>
        <v>7428719.0344164716</v>
      </c>
      <c r="P22" s="18"/>
      <c r="Q22" s="211">
        <f>+Q36</f>
        <v>5595579</v>
      </c>
      <c r="R22" s="325">
        <f>+Q22/J22</f>
        <v>0.7532360524171493</v>
      </c>
      <c r="T22"/>
      <c r="U22" s="18"/>
      <c r="V22" s="18"/>
      <c r="W22" s="18"/>
      <c r="AB22" s="18"/>
      <c r="AC22" s="18"/>
      <c r="AD22" s="18"/>
    </row>
    <row r="23" spans="1:31" ht="16.5" thickTop="1" thickBot="1" x14ac:dyDescent="0.3">
      <c r="A23" t="s">
        <v>188</v>
      </c>
      <c r="B23" s="98">
        <v>5.0000000000000001E-3</v>
      </c>
      <c r="C23" s="98">
        <v>5.0000000000000001E-3</v>
      </c>
      <c r="D23" s="98">
        <v>5.0000000000000001E-3</v>
      </c>
      <c r="E23" s="98">
        <v>0.01</v>
      </c>
      <c r="F23" s="80"/>
      <c r="O23" s="105"/>
      <c r="P23" s="4"/>
      <c r="Q23" s="324"/>
      <c r="S23" s="18"/>
      <c r="U23" s="18"/>
      <c r="V23" s="38"/>
      <c r="AB23" s="18"/>
    </row>
    <row r="24" spans="1:31" x14ac:dyDescent="0.25">
      <c r="B24" s="299"/>
      <c r="C24" s="299"/>
      <c r="D24" s="299"/>
      <c r="E24" s="299"/>
      <c r="O24" s="105"/>
      <c r="S24" s="18"/>
      <c r="U24" s="18"/>
      <c r="V24" s="38"/>
      <c r="AB24" s="18"/>
    </row>
    <row r="25" spans="1:31" x14ac:dyDescent="0.25">
      <c r="C25"/>
      <c r="D25" s="6" t="s">
        <v>32</v>
      </c>
      <c r="E25" s="6"/>
      <c r="F25" s="6" t="s">
        <v>32</v>
      </c>
      <c r="G25"/>
      <c r="R25" s="3"/>
      <c r="S25" s="3"/>
      <c r="U25" s="1"/>
      <c r="Y25" s="3"/>
      <c r="Z25"/>
      <c r="AB25" s="18"/>
      <c r="AC25" s="18"/>
      <c r="AD25" s="18"/>
      <c r="AE25" s="18"/>
    </row>
    <row r="26" spans="1:31" x14ac:dyDescent="0.25">
      <c r="B26" s="58" t="s">
        <v>36</v>
      </c>
      <c r="C26" s="58"/>
      <c r="D26" s="6" t="s">
        <v>37</v>
      </c>
      <c r="E26" s="15" t="s">
        <v>31</v>
      </c>
      <c r="F26" s="6" t="s">
        <v>37</v>
      </c>
      <c r="G26" s="6"/>
      <c r="H26" s="6"/>
      <c r="I26" s="6"/>
      <c r="J26" s="6" t="s">
        <v>38</v>
      </c>
      <c r="K26" s="6"/>
      <c r="L26" s="69" t="s">
        <v>39</v>
      </c>
      <c r="M26" s="69" t="s">
        <v>40</v>
      </c>
      <c r="N26" s="7" t="s">
        <v>41</v>
      </c>
      <c r="O26" s="6"/>
      <c r="P26" s="7"/>
      <c r="Q26" s="84" t="s">
        <v>218</v>
      </c>
      <c r="R26" s="39"/>
      <c r="S26" s="7" t="s">
        <v>5</v>
      </c>
      <c r="T26" s="7" t="s">
        <v>171</v>
      </c>
      <c r="U26" s="84" t="s">
        <v>189</v>
      </c>
      <c r="V26" s="58" t="s">
        <v>170</v>
      </c>
      <c r="W26" s="3"/>
    </row>
    <row r="27" spans="1:31" x14ac:dyDescent="0.25">
      <c r="B27" s="6" t="s">
        <v>46</v>
      </c>
      <c r="C27" s="6"/>
      <c r="D27" s="6" t="s">
        <v>47</v>
      </c>
      <c r="E27" s="15" t="s">
        <v>48</v>
      </c>
      <c r="F27" s="6" t="s">
        <v>47</v>
      </c>
      <c r="G27" s="6" t="s">
        <v>49</v>
      </c>
      <c r="H27" s="6" t="s">
        <v>50</v>
      </c>
      <c r="I27" s="6" t="s">
        <v>51</v>
      </c>
      <c r="J27" s="6" t="s">
        <v>52</v>
      </c>
      <c r="K27" s="6"/>
      <c r="L27" s="6" t="s">
        <v>53</v>
      </c>
      <c r="M27" s="6" t="s">
        <v>52</v>
      </c>
      <c r="N27" s="6" t="s">
        <v>40</v>
      </c>
      <c r="O27" s="6" t="s">
        <v>40</v>
      </c>
      <c r="P27" s="6" t="s">
        <v>5</v>
      </c>
      <c r="Q27" s="39" t="s">
        <v>41</v>
      </c>
      <c r="R27" s="39"/>
      <c r="S27" s="6" t="s">
        <v>55</v>
      </c>
      <c r="T27" s="6" t="s">
        <v>56</v>
      </c>
      <c r="U27" s="39" t="s">
        <v>63</v>
      </c>
      <c r="V27" s="39" t="s">
        <v>63</v>
      </c>
      <c r="W27" s="18"/>
      <c r="Z27"/>
      <c r="AA27"/>
    </row>
    <row r="28" spans="1:31" x14ac:dyDescent="0.25">
      <c r="B28" s="8" t="s">
        <v>64</v>
      </c>
      <c r="C28" s="8" t="s">
        <v>65</v>
      </c>
      <c r="D28" s="8" t="s">
        <v>64</v>
      </c>
      <c r="E28" s="16" t="s">
        <v>66</v>
      </c>
      <c r="F28" s="8" t="s">
        <v>64</v>
      </c>
      <c r="G28" s="8" t="s">
        <v>64</v>
      </c>
      <c r="H28" s="8" t="s">
        <v>53</v>
      </c>
      <c r="I28" s="8" t="s">
        <v>67</v>
      </c>
      <c r="J28" s="8" t="s">
        <v>53</v>
      </c>
      <c r="K28" s="6"/>
      <c r="L28" s="8" t="s">
        <v>68</v>
      </c>
      <c r="M28" s="8" t="s">
        <v>53</v>
      </c>
      <c r="N28" s="8" t="s">
        <v>68</v>
      </c>
      <c r="O28" s="8" t="s">
        <v>57</v>
      </c>
      <c r="P28" s="8" t="s">
        <v>64</v>
      </c>
      <c r="Q28" s="40" t="s">
        <v>64</v>
      </c>
      <c r="R28" s="40" t="s">
        <v>173</v>
      </c>
      <c r="S28" s="8" t="s">
        <v>69</v>
      </c>
      <c r="T28" s="8" t="s">
        <v>70</v>
      </c>
      <c r="U28" s="40" t="s">
        <v>64</v>
      </c>
      <c r="V28" s="257" t="s">
        <v>64</v>
      </c>
      <c r="W28" s="18"/>
      <c r="Z28"/>
      <c r="AA28"/>
    </row>
    <row r="29" spans="1:31" x14ac:dyDescent="0.25">
      <c r="A29" s="270" t="s">
        <v>75</v>
      </c>
      <c r="B29" s="271">
        <f>+'Wtd Rev Alloc - Revised'!I22</f>
        <v>2427493.5554079232</v>
      </c>
      <c r="C29" s="272">
        <f t="shared" ref="C29:C42" si="1">+B29/$B$43</f>
        <v>4.1974813720520122E-2</v>
      </c>
      <c r="D29" s="271">
        <f>C55</f>
        <v>0</v>
      </c>
      <c r="E29" s="271">
        <f>+'Summer Credit Hour Allocation'!BD46</f>
        <v>473201.4870238594</v>
      </c>
      <c r="F29" s="271">
        <f>D55</f>
        <v>0</v>
      </c>
      <c r="G29" s="271">
        <f t="shared" ref="G29:G42" si="2">$E$16*C29</f>
        <v>2795540.5590069126</v>
      </c>
      <c r="H29" s="271"/>
      <c r="I29" s="271">
        <f>-(+B29+SUM(D29:H29))*$E$23</f>
        <v>-56962.356014386954</v>
      </c>
      <c r="J29" s="271">
        <f>+B29+SUM(D29:I29)</f>
        <v>5639273.2454243079</v>
      </c>
      <c r="K29" s="271"/>
      <c r="L29" s="271">
        <f t="shared" ref="L29:L42" si="3">+D29+F29</f>
        <v>0</v>
      </c>
      <c r="M29" s="271">
        <f>+J29-L29</f>
        <v>5639273.2454243079</v>
      </c>
      <c r="N29" s="273">
        <v>0.46220097627584811</v>
      </c>
      <c r="O29" s="271">
        <f>+M29*N29</f>
        <v>2606477.5995213855</v>
      </c>
      <c r="P29" s="271">
        <f t="shared" ref="P29:P38" si="4">+O29+L29</f>
        <v>2606477.5995213855</v>
      </c>
      <c r="Q29" s="270">
        <v>3748048</v>
      </c>
      <c r="R29" s="270">
        <f t="shared" ref="R29:R38" si="5">+P29-Q29</f>
        <v>-1141570.4004786145</v>
      </c>
      <c r="S29" s="274">
        <f t="shared" ref="S29:S37" si="6">+P29/J29</f>
        <v>0.46220097627584811</v>
      </c>
      <c r="T29" s="270">
        <f t="shared" ref="T29:T41" si="7">+J29-P29</f>
        <v>3032795.6459029224</v>
      </c>
      <c r="U29" s="270">
        <v>3600000</v>
      </c>
      <c r="V29" s="270">
        <v>3429082</v>
      </c>
      <c r="W29" s="296">
        <f t="shared" ref="W29:W37" si="8">Q29/U29-1</f>
        <v>4.1124444444444519E-2</v>
      </c>
      <c r="Y29"/>
      <c r="Z29"/>
      <c r="AA29"/>
    </row>
    <row r="30" spans="1:31" x14ac:dyDescent="0.25">
      <c r="A30" s="5" t="s">
        <v>77</v>
      </c>
      <c r="B30" s="1">
        <f>+'Wtd Rev Alloc - Revised'!I23</f>
        <v>7421871.7734816428</v>
      </c>
      <c r="C30" s="51">
        <f t="shared" si="1"/>
        <v>0.12833471151981188</v>
      </c>
      <c r="D30" s="14">
        <f>C49+C51+C60+C61+C62+C63+C64</f>
        <v>2706980</v>
      </c>
      <c r="E30" s="1">
        <f>+'Summer Credit Hour Allocation'!BD47</f>
        <v>792834.17800334876</v>
      </c>
      <c r="F30" s="14">
        <f>D49+D51+D60+D61+D62+D63+D64</f>
        <v>61736</v>
      </c>
      <c r="G30" s="1">
        <f t="shared" si="2"/>
        <v>8547146.7144760024</v>
      </c>
      <c r="H30" s="14"/>
      <c r="I30" s="14">
        <f t="shared" ref="I30:I42" si="9">-(+B30+SUM(D30:H30))*$E$23</f>
        <v>-195305.68665960993</v>
      </c>
      <c r="J30" s="14">
        <f t="shared" ref="J30:J42" si="10">+B30+SUM(D30:I30)</f>
        <v>19335262.979301386</v>
      </c>
      <c r="K30" s="14"/>
      <c r="L30" s="1">
        <f t="shared" si="3"/>
        <v>2768716</v>
      </c>
      <c r="M30" s="1">
        <f t="shared" ref="M30:M42" si="11">+J30-L30</f>
        <v>16566546.979301386</v>
      </c>
      <c r="N30" s="111">
        <v>0.55000000000000004</v>
      </c>
      <c r="O30" s="1">
        <f t="shared" ref="O30:O38" si="12">+M30*N30</f>
        <v>9111600.8386157621</v>
      </c>
      <c r="P30" s="14">
        <f t="shared" si="4"/>
        <v>11880316.838615762</v>
      </c>
      <c r="Q30" s="18">
        <v>11819067</v>
      </c>
      <c r="R30" s="18">
        <f t="shared" si="5"/>
        <v>61249.83861576207</v>
      </c>
      <c r="S30" s="118">
        <f t="shared" si="6"/>
        <v>0.61443782023206894</v>
      </c>
      <c r="T30" s="18">
        <f t="shared" si="7"/>
        <v>7454946.1406856235</v>
      </c>
      <c r="U30" s="18">
        <v>11350000</v>
      </c>
      <c r="V30" s="18">
        <v>10790958</v>
      </c>
      <c r="W30" s="296">
        <f t="shared" si="8"/>
        <v>4.1327488986784067E-2</v>
      </c>
      <c r="Y30"/>
      <c r="Z30"/>
      <c r="AA30"/>
    </row>
    <row r="31" spans="1:31" x14ac:dyDescent="0.25">
      <c r="A31" s="270" t="s">
        <v>79</v>
      </c>
      <c r="B31" s="271">
        <f>+'Wtd Rev Alloc - Revised'!I24</f>
        <v>4060390.620012274</v>
      </c>
      <c r="C31" s="272">
        <f t="shared" si="1"/>
        <v>7.0209924771117316E-2</v>
      </c>
      <c r="D31" s="271">
        <f>C56</f>
        <v>188798</v>
      </c>
      <c r="E31" s="271">
        <f>+'Summer Credit Hour Allocation'!BD48</f>
        <v>3224.5416492256172</v>
      </c>
      <c r="F31" s="271">
        <f>D56</f>
        <v>5233</v>
      </c>
      <c r="G31" s="271">
        <f t="shared" si="2"/>
        <v>4676011.039604215</v>
      </c>
      <c r="H31" s="271"/>
      <c r="I31" s="271">
        <f t="shared" si="9"/>
        <v>-89336.572012657154</v>
      </c>
      <c r="J31" s="271">
        <f t="shared" si="10"/>
        <v>8844320.6292530559</v>
      </c>
      <c r="K31" s="271"/>
      <c r="L31" s="271">
        <f t="shared" si="3"/>
        <v>194031</v>
      </c>
      <c r="M31" s="271">
        <f t="shared" si="11"/>
        <v>8650289.6292530559</v>
      </c>
      <c r="N31" s="273">
        <v>0.57889243528477141</v>
      </c>
      <c r="O31" s="271">
        <f t="shared" si="12"/>
        <v>5007587.2293969039</v>
      </c>
      <c r="P31" s="271">
        <f t="shared" si="4"/>
        <v>5201618.2293969039</v>
      </c>
      <c r="Q31" s="270">
        <v>4976050</v>
      </c>
      <c r="R31" s="270">
        <f t="shared" si="5"/>
        <v>225568.22939690389</v>
      </c>
      <c r="S31" s="274">
        <f t="shared" si="6"/>
        <v>0.58813089749282466</v>
      </c>
      <c r="T31" s="270">
        <f t="shared" si="7"/>
        <v>3642702.399856152</v>
      </c>
      <c r="U31" s="270">
        <v>4600000</v>
      </c>
      <c r="V31" s="270">
        <v>4380715</v>
      </c>
      <c r="W31" s="296">
        <f t="shared" si="8"/>
        <v>8.1749999999999989E-2</v>
      </c>
      <c r="Y31"/>
      <c r="Z31"/>
      <c r="AA31"/>
    </row>
    <row r="32" spans="1:31" x14ac:dyDescent="0.25">
      <c r="A32" s="5" t="s">
        <v>81</v>
      </c>
      <c r="B32" s="1">
        <f>+'Wtd Rev Alloc - Revised'!I25</f>
        <v>20461273.329161763</v>
      </c>
      <c r="C32" s="51">
        <f t="shared" si="1"/>
        <v>0.35380449705535327</v>
      </c>
      <c r="D32" s="14">
        <f>C65</f>
        <v>111140</v>
      </c>
      <c r="E32" s="1">
        <f>+'Summer Credit Hour Allocation'!BD49</f>
        <v>1629602.7359773961</v>
      </c>
      <c r="F32" s="14">
        <f>D65</f>
        <v>3557</v>
      </c>
      <c r="G32" s="1">
        <f t="shared" si="2"/>
        <v>23563530.932211269</v>
      </c>
      <c r="H32" s="14"/>
      <c r="I32" s="14">
        <f t="shared" si="9"/>
        <v>-457691.03997350426</v>
      </c>
      <c r="J32" s="14">
        <f t="shared" si="10"/>
        <v>45311412.957376927</v>
      </c>
      <c r="K32" s="14"/>
      <c r="L32" s="1">
        <f t="shared" si="3"/>
        <v>114697</v>
      </c>
      <c r="M32" s="1">
        <f t="shared" si="11"/>
        <v>45196715.957376927</v>
      </c>
      <c r="N32" s="111">
        <v>0.48292317766690557</v>
      </c>
      <c r="O32" s="1">
        <f t="shared" si="12"/>
        <v>21826541.690245003</v>
      </c>
      <c r="P32" s="14">
        <f t="shared" si="4"/>
        <v>21941238.690245003</v>
      </c>
      <c r="Q32" s="18">
        <v>24565465</v>
      </c>
      <c r="R32" s="18">
        <f t="shared" si="5"/>
        <v>-2624226.3097549975</v>
      </c>
      <c r="S32" s="118">
        <f t="shared" si="6"/>
        <v>0.48423205674218239</v>
      </c>
      <c r="T32" s="18">
        <f t="shared" si="7"/>
        <v>23370174.267131925</v>
      </c>
      <c r="U32" s="18">
        <v>25160000</v>
      </c>
      <c r="V32" s="18">
        <v>25812543</v>
      </c>
      <c r="W32" s="296">
        <f t="shared" si="8"/>
        <v>-2.3630166931637553E-2</v>
      </c>
      <c r="Y32"/>
      <c r="Z32"/>
      <c r="AA32"/>
    </row>
    <row r="33" spans="1:27" x14ac:dyDescent="0.25">
      <c r="A33" s="270" t="s">
        <v>83</v>
      </c>
      <c r="B33" s="271">
        <f>+'Wtd Rev Alloc - Revised'!I26</f>
        <v>5368259.6216687933</v>
      </c>
      <c r="C33" s="272">
        <f t="shared" si="1"/>
        <v>9.2824838657531272E-2</v>
      </c>
      <c r="D33" s="271">
        <f>C50</f>
        <v>0</v>
      </c>
      <c r="E33" s="271">
        <f>+'Summer Credit Hour Allocation'!BD50</f>
        <v>407098.38321473415</v>
      </c>
      <c r="F33" s="271">
        <f>D50</f>
        <v>0</v>
      </c>
      <c r="G33" s="271">
        <f t="shared" si="2"/>
        <v>6182173.9836225286</v>
      </c>
      <c r="H33" s="271"/>
      <c r="I33" s="271">
        <f t="shared" si="9"/>
        <v>-119575.31988506057</v>
      </c>
      <c r="J33" s="271">
        <f t="shared" si="10"/>
        <v>11837956.668620996</v>
      </c>
      <c r="K33" s="271"/>
      <c r="L33" s="271">
        <f t="shared" si="3"/>
        <v>0</v>
      </c>
      <c r="M33" s="271">
        <f t="shared" si="11"/>
        <v>11837956.668620996</v>
      </c>
      <c r="N33" s="273">
        <v>0.55875985952710761</v>
      </c>
      <c r="O33" s="271">
        <f t="shared" si="12"/>
        <v>6614575.0052466542</v>
      </c>
      <c r="P33" s="271">
        <f t="shared" si="4"/>
        <v>6614575.0052466542</v>
      </c>
      <c r="Q33" s="270">
        <v>7222209</v>
      </c>
      <c r="R33" s="270">
        <f t="shared" si="5"/>
        <v>-607633.99475334585</v>
      </c>
      <c r="S33" s="274">
        <f t="shared" si="6"/>
        <v>0.55875985952710761</v>
      </c>
      <c r="T33" s="270">
        <f t="shared" si="7"/>
        <v>5223381.663374342</v>
      </c>
      <c r="U33" s="270">
        <v>7250000</v>
      </c>
      <c r="V33" s="270">
        <v>7623965</v>
      </c>
      <c r="W33" s="296">
        <f t="shared" si="8"/>
        <v>-3.8332413793102926E-3</v>
      </c>
      <c r="Y33"/>
      <c r="Z33"/>
      <c r="AA33"/>
    </row>
    <row r="34" spans="1:27" x14ac:dyDescent="0.25">
      <c r="A34" s="5" t="s">
        <v>85</v>
      </c>
      <c r="B34" s="1">
        <f>+'Wtd Rev Alloc - Revised'!I27</f>
        <v>596247.35818182712</v>
      </c>
      <c r="C34" s="51">
        <f t="shared" si="1"/>
        <v>1.0309964257280493E-2</v>
      </c>
      <c r="D34" s="14"/>
      <c r="E34" s="1">
        <f>+'Summer Credit Hour Allocation'!BD51</f>
        <v>403.06770615320215</v>
      </c>
      <c r="F34" s="14"/>
      <c r="G34" s="1">
        <f t="shared" si="2"/>
        <v>686648.03219958302</v>
      </c>
      <c r="H34" s="14"/>
      <c r="I34" s="14">
        <f t="shared" si="9"/>
        <v>-12832.984580875633</v>
      </c>
      <c r="J34" s="14">
        <f t="shared" si="10"/>
        <v>1270465.4735066877</v>
      </c>
      <c r="K34" s="14"/>
      <c r="L34" s="1">
        <f t="shared" si="3"/>
        <v>0</v>
      </c>
      <c r="M34" s="1">
        <f t="shared" si="11"/>
        <v>1270465.4735066877</v>
      </c>
      <c r="N34" s="111">
        <v>0.8070693993178123</v>
      </c>
      <c r="O34" s="1">
        <f t="shared" si="12"/>
        <v>1025353.8065570624</v>
      </c>
      <c r="P34" s="14">
        <f t="shared" si="4"/>
        <v>1025353.8065570624</v>
      </c>
      <c r="Q34" s="18">
        <v>580626</v>
      </c>
      <c r="R34" s="18">
        <f t="shared" si="5"/>
        <v>444727.80655706243</v>
      </c>
      <c r="S34" s="118">
        <f t="shared" si="6"/>
        <v>0.8070693993178123</v>
      </c>
      <c r="T34" s="18">
        <f t="shared" si="7"/>
        <v>245111.66694962524</v>
      </c>
      <c r="U34" s="18">
        <v>570000</v>
      </c>
      <c r="V34" s="18">
        <v>570001</v>
      </c>
      <c r="W34" s="296">
        <f t="shared" si="8"/>
        <v>1.8642105263157793E-2</v>
      </c>
      <c r="Y34"/>
      <c r="Z34"/>
      <c r="AA34"/>
    </row>
    <row r="35" spans="1:27" x14ac:dyDescent="0.25">
      <c r="A35" s="270" t="s">
        <v>87</v>
      </c>
      <c r="B35" s="271">
        <f>+'Wtd Rev Alloc - Revised'!I28</f>
        <v>5312226.5919813113</v>
      </c>
      <c r="C35" s="272">
        <f t="shared" si="1"/>
        <v>9.1855947935622351E-2</v>
      </c>
      <c r="D35" s="271">
        <f>C52</f>
        <v>521435</v>
      </c>
      <c r="E35" s="271">
        <f>+'Summer Credit Hour Allocation'!BD52</f>
        <v>432491.64870238595</v>
      </c>
      <c r="F35" s="271">
        <f>D52</f>
        <v>16860</v>
      </c>
      <c r="G35" s="271">
        <f t="shared" si="2"/>
        <v>6117645.4468581649</v>
      </c>
      <c r="H35" s="271"/>
      <c r="I35" s="271">
        <f t="shared" si="9"/>
        <v>-124006.58687541861</v>
      </c>
      <c r="J35" s="271">
        <f t="shared" si="10"/>
        <v>12276652.100666445</v>
      </c>
      <c r="K35" s="271"/>
      <c r="L35" s="271">
        <f t="shared" si="3"/>
        <v>538295</v>
      </c>
      <c r="M35" s="271">
        <f t="shared" si="11"/>
        <v>11738357.100666445</v>
      </c>
      <c r="N35" s="273">
        <v>0.56987030559154417</v>
      </c>
      <c r="O35" s="271">
        <f t="shared" si="12"/>
        <v>6689341.1480994597</v>
      </c>
      <c r="P35" s="271">
        <f t="shared" si="4"/>
        <v>7227636.1480994597</v>
      </c>
      <c r="Q35" s="270">
        <v>6548928</v>
      </c>
      <c r="R35" s="270">
        <f t="shared" si="5"/>
        <v>678708.14809945971</v>
      </c>
      <c r="S35" s="274">
        <f t="shared" si="6"/>
        <v>0.58873022456237101</v>
      </c>
      <c r="T35" s="270">
        <f t="shared" si="7"/>
        <v>5049015.952566985</v>
      </c>
      <c r="U35" s="270">
        <v>6275000</v>
      </c>
      <c r="V35" s="270">
        <v>5997256</v>
      </c>
      <c r="W35" s="296">
        <f t="shared" si="8"/>
        <v>4.3653864541832732E-2</v>
      </c>
      <c r="Y35"/>
      <c r="Z35"/>
      <c r="AA35"/>
    </row>
    <row r="36" spans="1:27" ht="15.75" customHeight="1" x14ac:dyDescent="0.25">
      <c r="A36" s="5" t="s">
        <v>89</v>
      </c>
      <c r="B36" s="1">
        <f>+'Wtd Rev Alloc - Revised'!I29</f>
        <v>1933148.4013173024</v>
      </c>
      <c r="C36" s="51">
        <f t="shared" si="1"/>
        <v>3.342688340351925E-2</v>
      </c>
      <c r="D36" s="14">
        <f>C57+C58</f>
        <v>3191325.5</v>
      </c>
      <c r="E36" s="1">
        <f>+'Summer Credit Hour Allocation'!BD53</f>
        <v>112858.95772289661</v>
      </c>
      <c r="F36" s="14">
        <f>D57+D58</f>
        <v>40179</v>
      </c>
      <c r="G36" s="1">
        <f t="shared" si="2"/>
        <v>2226244.7413804787</v>
      </c>
      <c r="H36" s="14"/>
      <c r="I36" s="14">
        <f t="shared" si="9"/>
        <v>-75037.566004206776</v>
      </c>
      <c r="J36" s="14">
        <f t="shared" si="10"/>
        <v>7428719.0344164716</v>
      </c>
      <c r="K36" s="14"/>
      <c r="L36" s="1">
        <f t="shared" si="3"/>
        <v>3231504.5</v>
      </c>
      <c r="M36" s="1">
        <f t="shared" si="11"/>
        <v>4197214.5344164716</v>
      </c>
      <c r="N36" s="111">
        <v>0.87295948582682992</v>
      </c>
      <c r="O36" s="1">
        <f t="shared" si="12"/>
        <v>3663998.2418691004</v>
      </c>
      <c r="P36" s="14">
        <f t="shared" si="4"/>
        <v>6895502.7418691004</v>
      </c>
      <c r="Q36" s="18">
        <v>5595579</v>
      </c>
      <c r="R36" s="18">
        <f t="shared" si="5"/>
        <v>1299923.7418691004</v>
      </c>
      <c r="S36" s="118">
        <f t="shared" si="6"/>
        <v>0.92822230991951149</v>
      </c>
      <c r="T36" s="18">
        <f t="shared" si="7"/>
        <v>533216.29254737124</v>
      </c>
      <c r="U36" s="18">
        <v>5100000</v>
      </c>
      <c r="V36" s="18">
        <v>4971897</v>
      </c>
      <c r="W36" s="296">
        <f t="shared" si="8"/>
        <v>9.7172352941176543E-2</v>
      </c>
      <c r="Y36"/>
      <c r="Z36"/>
      <c r="AA36"/>
    </row>
    <row r="37" spans="1:27" x14ac:dyDescent="0.25">
      <c r="A37" s="270" t="s">
        <v>91</v>
      </c>
      <c r="B37" s="271">
        <f>+'Wtd Rev Alloc - Revised'!I30</f>
        <v>3535271.0999999996</v>
      </c>
      <c r="C37" s="272">
        <f t="shared" si="1"/>
        <v>6.1129861928346893E-2</v>
      </c>
      <c r="D37" s="271">
        <f>C53+C54+C59</f>
        <v>34000</v>
      </c>
      <c r="E37" s="271">
        <f>+'Summer Credit Hour Allocation'!BD56</f>
        <v>284963</v>
      </c>
      <c r="F37" s="271">
        <f>D53+D54+D59</f>
        <v>1500</v>
      </c>
      <c r="G37" s="271">
        <f t="shared" si="2"/>
        <v>4071274.9680088083</v>
      </c>
      <c r="H37" s="271"/>
      <c r="I37" s="271">
        <f t="shared" si="9"/>
        <v>-79270.090680088091</v>
      </c>
      <c r="J37" s="271">
        <f t="shared" si="10"/>
        <v>7847738.9773287205</v>
      </c>
      <c r="K37" s="271"/>
      <c r="L37" s="271">
        <f t="shared" si="3"/>
        <v>35500</v>
      </c>
      <c r="M37" s="271">
        <f t="shared" si="11"/>
        <v>7812238.9773287205</v>
      </c>
      <c r="N37" s="273">
        <v>0.68792638407917106</v>
      </c>
      <c r="O37" s="271">
        <f t="shared" si="12"/>
        <v>5374245.3112361077</v>
      </c>
      <c r="P37" s="271">
        <f t="shared" si="4"/>
        <v>5409745.3112361077</v>
      </c>
      <c r="Q37" s="270">
        <v>5590230</v>
      </c>
      <c r="R37" s="270">
        <f t="shared" si="5"/>
        <v>-180484.68876389228</v>
      </c>
      <c r="S37" s="274">
        <f t="shared" si="6"/>
        <v>0.6893380790141318</v>
      </c>
      <c r="T37" s="270">
        <f t="shared" si="7"/>
        <v>2437993.6660926128</v>
      </c>
      <c r="U37" s="270">
        <v>4800000</v>
      </c>
      <c r="V37" s="270">
        <v>4932256</v>
      </c>
      <c r="W37" s="296">
        <f t="shared" si="8"/>
        <v>0.16463125000000001</v>
      </c>
      <c r="Y37"/>
      <c r="Z37"/>
      <c r="AA37"/>
    </row>
    <row r="38" spans="1:27" ht="15.75" customHeight="1" x14ac:dyDescent="0.25">
      <c r="A38" s="5" t="s">
        <v>219</v>
      </c>
      <c r="B38" s="1">
        <f>+'Wtd Rev Alloc - Revised'!I31</f>
        <v>2564516.8063019305</v>
      </c>
      <c r="C38" s="51">
        <f t="shared" si="1"/>
        <v>4.4344140476853998E-2</v>
      </c>
      <c r="D38" s="14">
        <f>C66</f>
        <v>279542.5</v>
      </c>
      <c r="E38" s="1"/>
      <c r="F38" s="14">
        <f>D66</f>
        <v>20947</v>
      </c>
      <c r="G38" s="1">
        <f t="shared" si="2"/>
        <v>2953338.7350506005</v>
      </c>
      <c r="H38" s="14"/>
      <c r="I38" s="14">
        <f t="shared" ref="I38" si="13">-(+B38+SUM(D38:H38))*$E$23</f>
        <v>-58183.450413525308</v>
      </c>
      <c r="J38" s="14">
        <f t="shared" ref="J38" si="14">+B38+SUM(D38:I38)</f>
        <v>5760161.5909390058</v>
      </c>
      <c r="K38" s="14"/>
      <c r="L38" s="1"/>
      <c r="M38" s="1">
        <f t="shared" si="11"/>
        <v>5760161.5909390058</v>
      </c>
      <c r="N38" s="111">
        <v>0.53500000000000003</v>
      </c>
      <c r="O38" s="1">
        <f t="shared" si="12"/>
        <v>3081686.4511523684</v>
      </c>
      <c r="P38" s="14">
        <f t="shared" si="4"/>
        <v>3081686.4511523684</v>
      </c>
      <c r="Q38" s="18">
        <v>0</v>
      </c>
      <c r="R38" s="18">
        <f t="shared" si="5"/>
        <v>3081686.4511523684</v>
      </c>
      <c r="S38" s="118"/>
      <c r="T38" s="18">
        <f t="shared" si="7"/>
        <v>2678475.1397866374</v>
      </c>
      <c r="U38" s="18">
        <f>795000+209350</f>
        <v>1004350</v>
      </c>
      <c r="V38" s="18"/>
      <c r="W38" s="296"/>
      <c r="Y38"/>
      <c r="Z38"/>
      <c r="AA38"/>
    </row>
    <row r="39" spans="1:27" x14ac:dyDescent="0.25">
      <c r="A39" s="270" t="s">
        <v>92</v>
      </c>
      <c r="B39" s="271">
        <f>+'Wtd Rev Alloc - Revised'!I32</f>
        <v>1595447.6588683852</v>
      </c>
      <c r="C39" s="272">
        <f t="shared" si="1"/>
        <v>2.7587557599339042E-2</v>
      </c>
      <c r="D39" s="271"/>
      <c r="E39" s="271"/>
      <c r="F39" s="271"/>
      <c r="G39" s="271">
        <f t="shared" si="2"/>
        <v>1837343.1435906328</v>
      </c>
      <c r="H39" s="271"/>
      <c r="I39" s="271">
        <f t="shared" si="9"/>
        <v>-34327.908024590186</v>
      </c>
      <c r="J39" s="271">
        <f t="shared" si="10"/>
        <v>3398462.8944344278</v>
      </c>
      <c r="K39" s="271"/>
      <c r="L39" s="271">
        <f t="shared" si="3"/>
        <v>0</v>
      </c>
      <c r="M39" s="271">
        <f t="shared" si="11"/>
        <v>3398462.8944344278</v>
      </c>
      <c r="N39" s="273"/>
      <c r="O39" s="271"/>
      <c r="P39" s="271"/>
      <c r="Q39" s="270"/>
      <c r="R39" s="270"/>
      <c r="S39" s="274"/>
      <c r="T39" s="270">
        <f t="shared" si="7"/>
        <v>3398462.8944344278</v>
      </c>
      <c r="U39" s="270"/>
      <c r="V39" s="270"/>
      <c r="W39" s="296"/>
      <c r="Y39"/>
      <c r="Z39"/>
      <c r="AA39"/>
    </row>
    <row r="40" spans="1:27" ht="15.75" customHeight="1" x14ac:dyDescent="0.25">
      <c r="A40" s="5" t="s">
        <v>191</v>
      </c>
      <c r="B40" s="1">
        <f>+'Wtd Rev Alloc - Revised'!I33</f>
        <v>0</v>
      </c>
      <c r="C40" s="51">
        <f t="shared" si="1"/>
        <v>0</v>
      </c>
      <c r="D40" s="14"/>
      <c r="E40" s="1"/>
      <c r="F40" s="14"/>
      <c r="G40" s="1">
        <f t="shared" si="2"/>
        <v>0</v>
      </c>
      <c r="H40" s="14"/>
      <c r="I40" s="14">
        <f t="shared" si="9"/>
        <v>0</v>
      </c>
      <c r="J40" s="14">
        <f t="shared" si="10"/>
        <v>0</v>
      </c>
      <c r="K40" s="14"/>
      <c r="L40" s="1">
        <f t="shared" si="3"/>
        <v>0</v>
      </c>
      <c r="M40" s="1">
        <f t="shared" si="11"/>
        <v>0</v>
      </c>
      <c r="N40" s="111"/>
      <c r="O40" s="1"/>
      <c r="P40" s="14"/>
      <c r="Q40" s="18"/>
      <c r="R40" s="18"/>
      <c r="S40" s="118"/>
      <c r="T40" s="18">
        <f t="shared" si="7"/>
        <v>0</v>
      </c>
      <c r="U40" s="18"/>
      <c r="V40" s="18"/>
      <c r="W40" s="296"/>
      <c r="Y40"/>
      <c r="Z40"/>
      <c r="AA40"/>
    </row>
    <row r="41" spans="1:27" x14ac:dyDescent="0.25">
      <c r="A41" s="270" t="s">
        <v>95</v>
      </c>
      <c r="B41" s="271">
        <f>+'Wtd Rev Alloc - Revised'!I34</f>
        <v>2555999.1836168459</v>
      </c>
      <c r="C41" s="272">
        <f t="shared" si="1"/>
        <v>4.4196858674703951E-2</v>
      </c>
      <c r="D41" s="271"/>
      <c r="E41" s="271"/>
      <c r="F41" s="271"/>
      <c r="G41" s="271">
        <f t="shared" si="2"/>
        <v>2943529.7039907961</v>
      </c>
      <c r="H41" s="271"/>
      <c r="I41" s="271">
        <f t="shared" si="9"/>
        <v>-54995.288876076418</v>
      </c>
      <c r="J41" s="271">
        <f t="shared" si="10"/>
        <v>5444533.5987315662</v>
      </c>
      <c r="K41" s="271"/>
      <c r="L41" s="271">
        <f t="shared" si="3"/>
        <v>0</v>
      </c>
      <c r="M41" s="271">
        <f t="shared" si="11"/>
        <v>5444533.5987315662</v>
      </c>
      <c r="N41" s="273"/>
      <c r="O41" s="271"/>
      <c r="P41" s="271"/>
      <c r="Q41" s="270"/>
      <c r="R41" s="270"/>
      <c r="S41" s="274"/>
      <c r="T41" s="270">
        <f t="shared" si="7"/>
        <v>5444533.5987315662</v>
      </c>
      <c r="U41" s="270"/>
      <c r="V41" s="270"/>
      <c r="W41" s="296"/>
      <c r="Y41"/>
      <c r="Z41"/>
      <c r="AA41"/>
    </row>
    <row r="42" spans="1:27" ht="15.75" customHeight="1" x14ac:dyDescent="0.25">
      <c r="A42" s="5" t="s">
        <v>97</v>
      </c>
      <c r="B42" s="1">
        <f>+'Wtd Rev Alloc - Revised'!I35</f>
        <v>0</v>
      </c>
      <c r="C42" s="51">
        <f t="shared" si="1"/>
        <v>0</v>
      </c>
      <c r="D42" s="14"/>
      <c r="E42" s="1"/>
      <c r="F42" s="14"/>
      <c r="G42" s="1">
        <f t="shared" si="2"/>
        <v>0</v>
      </c>
      <c r="H42" s="14">
        <f>E18</f>
        <v>440030</v>
      </c>
      <c r="I42" s="14">
        <f t="shared" si="9"/>
        <v>-4400.3</v>
      </c>
      <c r="J42" s="14">
        <f t="shared" si="10"/>
        <v>435629.7</v>
      </c>
      <c r="K42" s="14"/>
      <c r="L42" s="1">
        <f t="shared" si="3"/>
        <v>0</v>
      </c>
      <c r="M42" s="1">
        <f t="shared" si="11"/>
        <v>435629.7</v>
      </c>
      <c r="N42" s="111"/>
      <c r="O42" s="1"/>
      <c r="P42" s="14"/>
      <c r="Q42" s="18"/>
      <c r="R42" s="18"/>
      <c r="S42" s="118"/>
      <c r="T42" s="18">
        <f>+J42-P42-C21</f>
        <v>1045332.6994</v>
      </c>
      <c r="U42" s="18"/>
      <c r="V42" s="18"/>
      <c r="W42" s="296"/>
      <c r="Y42"/>
      <c r="Z42"/>
      <c r="AA42"/>
    </row>
    <row r="43" spans="1:27" x14ac:dyDescent="0.25">
      <c r="B43" s="25">
        <f t="shared" ref="B43:J43" si="15">SUM(B29:B42)</f>
        <v>57832146.000000007</v>
      </c>
      <c r="C43" s="61">
        <f>SUM(C29:C42)</f>
        <v>0.99999999999999989</v>
      </c>
      <c r="D43" s="25">
        <f t="shared" si="15"/>
        <v>7033221</v>
      </c>
      <c r="E43" s="25">
        <f t="shared" si="15"/>
        <v>4136678</v>
      </c>
      <c r="F43" s="25">
        <f t="shared" si="15"/>
        <v>150012</v>
      </c>
      <c r="G43" s="25">
        <f t="shared" si="15"/>
        <v>66600427.999999993</v>
      </c>
      <c r="H43" s="25">
        <f t="shared" si="15"/>
        <v>440030</v>
      </c>
      <c r="I43" s="25">
        <f t="shared" si="15"/>
        <v>-1361925.1500000001</v>
      </c>
      <c r="J43" s="25">
        <f t="shared" si="15"/>
        <v>134830589.84999999</v>
      </c>
      <c r="K43" s="3"/>
      <c r="L43" s="25">
        <f>SUM(L29:L42)</f>
        <v>6882743.5</v>
      </c>
      <c r="M43" s="25">
        <f>SUM(M29:M42)</f>
        <v>127947846.34999999</v>
      </c>
      <c r="N43" s="3"/>
      <c r="O43" s="25">
        <f>SUM(O29:O42)</f>
        <v>65001407.321939804</v>
      </c>
      <c r="P43" s="25">
        <f>SUM(P29:P42)</f>
        <v>71884150.821939811</v>
      </c>
      <c r="Q43" s="25">
        <f>SUM(Q29:Q42)</f>
        <v>70646202</v>
      </c>
      <c r="R43" s="25">
        <f>SUM(R29:R42)</f>
        <v>1237948.8219398069</v>
      </c>
      <c r="S43" s="3"/>
      <c r="T43" s="78">
        <f>SUM(T29:T42)</f>
        <v>63556142.027460195</v>
      </c>
      <c r="U43" s="78">
        <f>SUM(U29:U42)</f>
        <v>69709350</v>
      </c>
      <c r="V43" s="78">
        <f>SUM(V29:V42)</f>
        <v>68508673</v>
      </c>
      <c r="W43" s="78">
        <f t="shared" ref="W43" si="16">SUM(W29:W42)</f>
        <v>0.4608380978664478</v>
      </c>
      <c r="Y43"/>
      <c r="Z43"/>
      <c r="AA43"/>
    </row>
    <row r="44" spans="1:27" x14ac:dyDescent="0.25">
      <c r="A44" t="s">
        <v>220</v>
      </c>
      <c r="B44" s="3">
        <f>+B43-E6</f>
        <v>0</v>
      </c>
      <c r="C44" s="296"/>
      <c r="D44" s="3">
        <f>+D43-E7</f>
        <v>0</v>
      </c>
      <c r="E44" s="3">
        <f>+E43-E10</f>
        <v>0</v>
      </c>
      <c r="F44" s="3">
        <f>+F43-E11</f>
        <v>0</v>
      </c>
      <c r="G44" s="3">
        <f>+G43-E16</f>
        <v>0</v>
      </c>
      <c r="H44" s="3">
        <f>+H43-E18</f>
        <v>0</v>
      </c>
      <c r="I44" s="3">
        <f>+I43-E21</f>
        <v>0</v>
      </c>
      <c r="J44" s="3">
        <f>+J43-E22</f>
        <v>0</v>
      </c>
      <c r="K44" s="3"/>
      <c r="L44" s="3"/>
      <c r="M44" s="3"/>
      <c r="N44" s="3"/>
      <c r="O44" s="3"/>
      <c r="P44" s="3"/>
      <c r="Q44" s="139">
        <f>+Q43/E22</f>
        <v>0.52396271557214436</v>
      </c>
      <c r="S44" s="3"/>
      <c r="T44" s="5"/>
      <c r="V44" s="5"/>
      <c r="W44" s="296"/>
      <c r="Y44"/>
      <c r="Z44"/>
      <c r="AA44"/>
    </row>
    <row r="45" spans="1:27" x14ac:dyDescent="0.25">
      <c r="B45" s="3"/>
      <c r="C45" s="29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5"/>
      <c r="V45" s="5"/>
      <c r="W45" s="296"/>
      <c r="Y45"/>
      <c r="Z45"/>
      <c r="AA45"/>
    </row>
    <row r="46" spans="1:27" x14ac:dyDescent="0.25">
      <c r="B46" s="1"/>
      <c r="C46" s="48"/>
      <c r="D46" s="187"/>
      <c r="E46" s="48">
        <v>2024</v>
      </c>
      <c r="F46" s="48"/>
      <c r="G46" s="187"/>
      <c r="H46" s="48"/>
      <c r="O46" s="248" t="s">
        <v>144</v>
      </c>
      <c r="S46" s="18" t="s">
        <v>144</v>
      </c>
      <c r="U46" s="18">
        <v>107808</v>
      </c>
      <c r="V46" s="5"/>
      <c r="W46" s="12"/>
      <c r="AA46"/>
    </row>
    <row r="47" spans="1:27" x14ac:dyDescent="0.25">
      <c r="A47" s="13" t="s">
        <v>100</v>
      </c>
      <c r="C47" s="42" t="s">
        <v>101</v>
      </c>
      <c r="D47" s="42" t="s">
        <v>31</v>
      </c>
      <c r="E47" s="42" t="s">
        <v>38</v>
      </c>
      <c r="F47" s="297"/>
      <c r="G47" s="48"/>
      <c r="H47" s="48"/>
      <c r="O47" s="248" t="s">
        <v>147</v>
      </c>
      <c r="Q47" s="18">
        <v>5797676</v>
      </c>
      <c r="R47" s="5"/>
      <c r="S47" s="18" t="s">
        <v>147</v>
      </c>
      <c r="U47" s="18">
        <v>5823664</v>
      </c>
      <c r="V47" s="3"/>
      <c r="W47" s="35"/>
      <c r="X47"/>
      <c r="Y47"/>
      <c r="Z47"/>
      <c r="AA47"/>
    </row>
    <row r="48" spans="1:27" x14ac:dyDescent="0.25">
      <c r="A48" s="13"/>
      <c r="C48" s="30"/>
      <c r="D48" s="30"/>
      <c r="E48" s="30"/>
      <c r="F48" s="297"/>
      <c r="G48" s="48"/>
      <c r="H48" s="48"/>
      <c r="O48" s="248" t="s">
        <v>221</v>
      </c>
      <c r="Q48" s="18">
        <v>237764</v>
      </c>
      <c r="R48" s="5"/>
      <c r="S48" s="18" t="s">
        <v>192</v>
      </c>
      <c r="U48" s="14">
        <v>1206041</v>
      </c>
      <c r="V48" s="296"/>
      <c r="W48" s="3"/>
      <c r="X48"/>
      <c r="Y48"/>
      <c r="Z48"/>
      <c r="AA48"/>
    </row>
    <row r="49" spans="1:27" x14ac:dyDescent="0.25">
      <c r="A49" s="1" t="s">
        <v>134</v>
      </c>
      <c r="B49" s="1" t="s">
        <v>224</v>
      </c>
      <c r="C49" s="300">
        <f>VALUE('Net Tuition AY'!P37)</f>
        <v>0</v>
      </c>
      <c r="D49" s="300">
        <f>'Net Tuition Summer'!N33</f>
        <v>0</v>
      </c>
      <c r="E49" s="300">
        <f>SUM(C49:D49)</f>
        <v>0</v>
      </c>
      <c r="F49" s="1" t="s">
        <v>134</v>
      </c>
      <c r="G49" s="48"/>
      <c r="H49" s="48"/>
      <c r="O49" s="338" t="s">
        <v>223</v>
      </c>
      <c r="Q49" s="18">
        <v>817772</v>
      </c>
      <c r="R49" s="5"/>
      <c r="S49" s="18"/>
      <c r="U49" s="14"/>
      <c r="V49" s="18"/>
      <c r="W49" s="18"/>
      <c r="X49"/>
      <c r="Y49"/>
      <c r="Z49"/>
      <c r="AA49"/>
    </row>
    <row r="50" spans="1:27" x14ac:dyDescent="0.25">
      <c r="A50" s="1" t="s">
        <v>234</v>
      </c>
      <c r="B50" s="1" t="s">
        <v>235</v>
      </c>
      <c r="C50" s="300">
        <f>'Net Tuition AY'!P38</f>
        <v>0</v>
      </c>
      <c r="D50" s="300">
        <f>'Net Tuition Summer'!N34</f>
        <v>0</v>
      </c>
      <c r="E50" s="300">
        <f t="shared" ref="E50:E66" si="17">SUM(C50:D50)</f>
        <v>0</v>
      </c>
      <c r="F50" s="1" t="s">
        <v>234</v>
      </c>
      <c r="G50" s="48"/>
      <c r="H50" s="48"/>
      <c r="O50" s="338" t="s">
        <v>156</v>
      </c>
      <c r="Q50" s="18">
        <v>4238204</v>
      </c>
      <c r="R50" s="5"/>
      <c r="S50" s="18" t="s">
        <v>156</v>
      </c>
      <c r="U50" s="18">
        <f>4543022-795000</f>
        <v>3748022</v>
      </c>
      <c r="V50" s="18"/>
      <c r="W50" s="18"/>
      <c r="X50"/>
      <c r="Y50"/>
      <c r="Z50"/>
      <c r="AA50"/>
    </row>
    <row r="51" spans="1:27" ht="15.75" thickBot="1" x14ac:dyDescent="0.3">
      <c r="A51" s="1" t="s">
        <v>106</v>
      </c>
      <c r="B51" s="1" t="s">
        <v>224</v>
      </c>
      <c r="C51" s="300">
        <f>'Net Tuition AY'!P39</f>
        <v>54556</v>
      </c>
      <c r="D51" s="300">
        <f>'Net Tuition Summer'!N35</f>
        <v>28464</v>
      </c>
      <c r="E51" s="300">
        <f t="shared" si="17"/>
        <v>83020</v>
      </c>
      <c r="F51" s="1" t="s">
        <v>106</v>
      </c>
      <c r="G51" s="48"/>
      <c r="H51" s="48"/>
      <c r="M51" s="43" t="s">
        <v>225</v>
      </c>
      <c r="N51" s="3">
        <v>87889777.075599998</v>
      </c>
      <c r="O51" s="248" t="s">
        <v>174</v>
      </c>
      <c r="Q51" s="18">
        <v>3550360</v>
      </c>
      <c r="R51" s="5"/>
      <c r="S51" s="18" t="s">
        <v>174</v>
      </c>
      <c r="U51" s="18">
        <v>3875068</v>
      </c>
      <c r="V51" s="18"/>
      <c r="W51" s="18"/>
      <c r="X51"/>
      <c r="Y51"/>
      <c r="Z51"/>
      <c r="AA51"/>
    </row>
    <row r="52" spans="1:27" x14ac:dyDescent="0.25">
      <c r="A52" s="1" t="s">
        <v>88</v>
      </c>
      <c r="B52" s="1" t="s">
        <v>237</v>
      </c>
      <c r="C52" s="300">
        <f>'Net Tuition AY'!P40</f>
        <v>521435</v>
      </c>
      <c r="D52" s="300">
        <f>'Net Tuition Summer'!N36</f>
        <v>16860</v>
      </c>
      <c r="E52" s="300">
        <f t="shared" si="17"/>
        <v>538295</v>
      </c>
      <c r="F52" s="1" t="s">
        <v>88</v>
      </c>
      <c r="G52" s="48"/>
      <c r="H52" s="48"/>
      <c r="N52" s="466" t="s">
        <v>226</v>
      </c>
      <c r="O52" s="339" t="s">
        <v>114</v>
      </c>
      <c r="P52" s="128"/>
      <c r="Q52" s="335">
        <v>4262106</v>
      </c>
      <c r="R52" s="336"/>
      <c r="S52" s="171" t="s">
        <v>114</v>
      </c>
      <c r="T52" s="335"/>
      <c r="U52" s="171">
        <v>4225001</v>
      </c>
      <c r="V52" s="335"/>
      <c r="W52" s="335"/>
      <c r="X52"/>
      <c r="Y52"/>
      <c r="Z52"/>
      <c r="AA52"/>
    </row>
    <row r="53" spans="1:27" x14ac:dyDescent="0.25">
      <c r="A53" s="1" t="s">
        <v>129</v>
      </c>
      <c r="B53" s="1" t="s">
        <v>130</v>
      </c>
      <c r="C53" s="300">
        <f>'Net Tuition AY'!P41</f>
        <v>34000</v>
      </c>
      <c r="D53" s="300">
        <f>'Net Tuition Summer'!N37</f>
        <v>1500</v>
      </c>
      <c r="E53" s="300">
        <f t="shared" si="17"/>
        <v>35500</v>
      </c>
      <c r="F53" s="1" t="s">
        <v>129</v>
      </c>
      <c r="G53" s="48"/>
      <c r="H53" s="48"/>
      <c r="M53" s="43"/>
      <c r="N53" s="467"/>
      <c r="O53" s="248" t="s">
        <v>227</v>
      </c>
      <c r="Q53" s="18">
        <v>593847</v>
      </c>
      <c r="S53" s="18" t="s">
        <v>227</v>
      </c>
      <c r="U53" s="5">
        <v>538630</v>
      </c>
      <c r="V53" s="18"/>
      <c r="X53"/>
      <c r="Y53"/>
      <c r="Z53"/>
      <c r="AA53"/>
    </row>
    <row r="54" spans="1:27" x14ac:dyDescent="0.25">
      <c r="A54" s="1" t="s">
        <v>132</v>
      </c>
      <c r="B54" s="1" t="s">
        <v>130</v>
      </c>
      <c r="C54" s="300">
        <f>'Net Tuition AY'!P42</f>
        <v>0</v>
      </c>
      <c r="D54" s="300">
        <f>'Net Tuition Summer'!N38</f>
        <v>0</v>
      </c>
      <c r="E54" s="300">
        <f t="shared" si="17"/>
        <v>0</v>
      </c>
      <c r="F54" s="1" t="s">
        <v>132</v>
      </c>
      <c r="G54" s="48"/>
      <c r="H54" s="48"/>
      <c r="N54" s="467"/>
      <c r="O54" s="248" t="s">
        <v>137</v>
      </c>
      <c r="Q54" s="18">
        <v>646840</v>
      </c>
      <c r="R54" s="3"/>
      <c r="S54" s="5" t="s">
        <v>137</v>
      </c>
      <c r="U54" s="5">
        <v>405012</v>
      </c>
      <c r="V54" s="18"/>
      <c r="W54" s="18"/>
      <c r="X54"/>
      <c r="Y54"/>
      <c r="Z54"/>
      <c r="AA54"/>
    </row>
    <row r="55" spans="1:27" x14ac:dyDescent="0.25">
      <c r="A55" s="1" t="s">
        <v>76</v>
      </c>
      <c r="B55" s="1" t="s">
        <v>222</v>
      </c>
      <c r="C55" s="300">
        <f>'Net Tuition AY'!P43</f>
        <v>0</v>
      </c>
      <c r="D55" s="300">
        <f>'Net Tuition Summer'!N39</f>
        <v>0</v>
      </c>
      <c r="E55" s="300">
        <f t="shared" si="17"/>
        <v>0</v>
      </c>
      <c r="F55" s="1" t="s">
        <v>76</v>
      </c>
      <c r="G55" s="48"/>
      <c r="H55" s="48"/>
      <c r="L55" s="3"/>
      <c r="N55" s="467"/>
      <c r="O55" s="248" t="s">
        <v>140</v>
      </c>
      <c r="Q55" s="18">
        <v>558906</v>
      </c>
      <c r="S55" s="5" t="s">
        <v>140</v>
      </c>
      <c r="U55" s="5">
        <v>557285</v>
      </c>
      <c r="V55" s="18"/>
      <c r="W55" s="18"/>
      <c r="X55"/>
      <c r="Y55"/>
      <c r="Z55"/>
      <c r="AA55"/>
    </row>
    <row r="56" spans="1:27" ht="15.75" thickBot="1" x14ac:dyDescent="0.3">
      <c r="A56" s="1" t="s">
        <v>80</v>
      </c>
      <c r="B56" s="1" t="s">
        <v>228</v>
      </c>
      <c r="C56" s="300">
        <f>'Net Tuition AY'!P44</f>
        <v>188798</v>
      </c>
      <c r="D56" s="300">
        <f>'Net Tuition Summer'!N40</f>
        <v>5233</v>
      </c>
      <c r="E56" s="300">
        <f t="shared" si="17"/>
        <v>194031</v>
      </c>
      <c r="F56" s="1" t="s">
        <v>80</v>
      </c>
      <c r="G56" s="48"/>
      <c r="H56" s="48"/>
      <c r="N56" s="468"/>
      <c r="O56" s="340" t="s">
        <v>155</v>
      </c>
      <c r="P56" s="135"/>
      <c r="Q56" s="337">
        <v>993192</v>
      </c>
      <c r="R56" s="135"/>
      <c r="S56" s="321" t="s">
        <v>155</v>
      </c>
      <c r="T56" s="337"/>
      <c r="U56" s="321">
        <v>1404070</v>
      </c>
      <c r="V56" s="337"/>
      <c r="W56" s="337"/>
      <c r="X56"/>
      <c r="Y56"/>
      <c r="Z56"/>
      <c r="AA56"/>
    </row>
    <row r="57" spans="1:27" x14ac:dyDescent="0.25">
      <c r="A57" s="1" t="s">
        <v>90</v>
      </c>
      <c r="B57" s="1" t="s">
        <v>239</v>
      </c>
      <c r="C57" s="300">
        <f>'Net Tuition AY'!P45</f>
        <v>3118990</v>
      </c>
      <c r="D57" s="300">
        <f>'Net Tuition Summer'!N41</f>
        <v>25168</v>
      </c>
      <c r="E57" s="300">
        <f t="shared" si="17"/>
        <v>3144158</v>
      </c>
      <c r="F57" s="1" t="s">
        <v>90</v>
      </c>
      <c r="G57" s="48"/>
      <c r="H57" s="48"/>
      <c r="N57" s="466" t="s">
        <v>229</v>
      </c>
      <c r="O57" s="339" t="s">
        <v>230</v>
      </c>
      <c r="P57" s="128"/>
      <c r="Q57" s="335">
        <v>294467</v>
      </c>
      <c r="R57" s="128"/>
      <c r="S57" s="171"/>
      <c r="T57" s="335"/>
      <c r="U57" s="171"/>
      <c r="V57" s="335"/>
      <c r="W57" s="128"/>
      <c r="X57"/>
      <c r="Y57"/>
      <c r="Z57"/>
      <c r="AA57"/>
    </row>
    <row r="58" spans="1:27" x14ac:dyDescent="0.25">
      <c r="A58" s="1" t="s">
        <v>127</v>
      </c>
      <c r="B58" s="1" t="s">
        <v>239</v>
      </c>
      <c r="C58" s="300">
        <f>'Net Tuition AY'!P46</f>
        <v>72335.5</v>
      </c>
      <c r="D58" s="300">
        <f>'Net Tuition Summer'!N42</f>
        <v>15011</v>
      </c>
      <c r="E58" s="300">
        <f t="shared" si="17"/>
        <v>87346.5</v>
      </c>
      <c r="F58" s="1" t="s">
        <v>127</v>
      </c>
      <c r="G58" s="48"/>
      <c r="H58" s="48"/>
      <c r="N58" s="467"/>
      <c r="O58" s="248" t="s">
        <v>233</v>
      </c>
      <c r="Q58" s="18">
        <v>600377</v>
      </c>
      <c r="S58" s="5"/>
      <c r="V58" s="18"/>
      <c r="X58"/>
      <c r="Y58"/>
      <c r="Z58"/>
      <c r="AA58"/>
    </row>
    <row r="59" spans="1:27" ht="15.75" thickBot="1" x14ac:dyDescent="0.3">
      <c r="A59" s="1" t="s">
        <v>242</v>
      </c>
      <c r="B59" s="1" t="s">
        <v>130</v>
      </c>
      <c r="C59" s="300">
        <f>'Net Tuition AY'!P47</f>
        <v>0</v>
      </c>
      <c r="D59" s="300">
        <f>'Net Tuition Summer'!N43</f>
        <v>0</v>
      </c>
      <c r="E59" s="300">
        <f t="shared" si="17"/>
        <v>0</v>
      </c>
      <c r="F59" s="1" t="s">
        <v>242</v>
      </c>
      <c r="G59" s="48"/>
      <c r="H59" s="48"/>
      <c r="N59" s="468"/>
      <c r="O59" s="340" t="s">
        <v>236</v>
      </c>
      <c r="P59" s="135"/>
      <c r="Q59" s="337">
        <v>2286863</v>
      </c>
      <c r="R59" s="135"/>
      <c r="S59" s="135"/>
      <c r="T59" s="337"/>
      <c r="U59" s="321"/>
      <c r="V59" s="135"/>
      <c r="W59" s="135"/>
      <c r="X59"/>
      <c r="Y59"/>
      <c r="Z59"/>
      <c r="AA59"/>
    </row>
    <row r="60" spans="1:27" x14ac:dyDescent="0.25">
      <c r="A60" s="1" t="s">
        <v>110</v>
      </c>
      <c r="B60" s="1" t="s">
        <v>224</v>
      </c>
      <c r="C60" s="300">
        <f>'Net Tuition AY'!P48</f>
        <v>1243278</v>
      </c>
      <c r="D60" s="300">
        <f>'Net Tuition Summer'!N44</f>
        <v>0</v>
      </c>
      <c r="E60" s="300">
        <f t="shared" si="17"/>
        <v>1243278</v>
      </c>
      <c r="F60" s="1" t="s">
        <v>110</v>
      </c>
      <c r="G60" s="48"/>
      <c r="H60" s="48"/>
      <c r="N60" s="466" t="s">
        <v>238</v>
      </c>
      <c r="O60" s="341" t="s">
        <v>133</v>
      </c>
      <c r="P60" s="128"/>
      <c r="Q60" s="335">
        <v>-8068988</v>
      </c>
      <c r="R60" s="128"/>
      <c r="S60" s="335" t="s">
        <v>133</v>
      </c>
      <c r="T60" s="335"/>
      <c r="U60" s="335">
        <v>-7568988</v>
      </c>
      <c r="V60" s="335"/>
      <c r="W60" s="335"/>
      <c r="X60"/>
      <c r="Y60"/>
      <c r="Z60"/>
      <c r="AA60"/>
    </row>
    <row r="61" spans="1:27" x14ac:dyDescent="0.25">
      <c r="A61" s="1" t="s">
        <v>115</v>
      </c>
      <c r="B61" s="1" t="s">
        <v>224</v>
      </c>
      <c r="C61" s="300">
        <f>'Net Tuition AY'!P49</f>
        <v>790514</v>
      </c>
      <c r="D61" s="300">
        <f>'Net Tuition Summer'!N45</f>
        <v>0</v>
      </c>
      <c r="E61" s="300">
        <f t="shared" si="17"/>
        <v>790514</v>
      </c>
      <c r="F61" s="1" t="s">
        <v>115</v>
      </c>
      <c r="G61" s="48"/>
      <c r="H61" s="48"/>
      <c r="N61" s="467"/>
      <c r="O61" s="248" t="s">
        <v>240</v>
      </c>
      <c r="Q61" s="18">
        <v>179500</v>
      </c>
      <c r="S61" s="248" t="s">
        <v>240</v>
      </c>
      <c r="U61" s="5">
        <v>182875</v>
      </c>
      <c r="X61"/>
      <c r="Y61"/>
      <c r="Z61"/>
      <c r="AA61"/>
    </row>
    <row r="62" spans="1:27" x14ac:dyDescent="0.25">
      <c r="A62" s="1" t="s">
        <v>103</v>
      </c>
      <c r="B62" s="1" t="s">
        <v>224</v>
      </c>
      <c r="C62" s="300">
        <f>'Net Tuition AY'!P50</f>
        <v>262518</v>
      </c>
      <c r="D62" s="300">
        <f>'Net Tuition Summer'!N46</f>
        <v>33272</v>
      </c>
      <c r="E62" s="300">
        <f t="shared" si="17"/>
        <v>295790</v>
      </c>
      <c r="F62" s="1" t="s">
        <v>103</v>
      </c>
      <c r="G62" s="48"/>
      <c r="H62" s="48"/>
      <c r="N62" s="467"/>
      <c r="O62" s="338" t="s">
        <v>201</v>
      </c>
      <c r="Q62" s="18">
        <v>147305</v>
      </c>
      <c r="S62" s="18" t="s">
        <v>201</v>
      </c>
      <c r="U62" s="18">
        <v>152220</v>
      </c>
      <c r="V62" s="18"/>
      <c r="X62"/>
      <c r="Y62"/>
      <c r="Z62"/>
      <c r="AA62"/>
    </row>
    <row r="63" spans="1:27" ht="15.75" thickBot="1" x14ac:dyDescent="0.3">
      <c r="A63" s="1" t="s">
        <v>117</v>
      </c>
      <c r="B63" s="1" t="s">
        <v>224</v>
      </c>
      <c r="C63" s="300">
        <f>'Net Tuition AY'!P51</f>
        <v>356114</v>
      </c>
      <c r="D63" s="300">
        <f>'Net Tuition Summer'!N47</f>
        <v>0</v>
      </c>
      <c r="E63" s="300">
        <f t="shared" si="17"/>
        <v>356114</v>
      </c>
      <c r="F63" s="1" t="s">
        <v>117</v>
      </c>
      <c r="G63" s="48"/>
      <c r="H63" s="48"/>
      <c r="N63" s="468"/>
      <c r="O63" s="342" t="s">
        <v>202</v>
      </c>
      <c r="P63" s="135"/>
      <c r="Q63" s="337">
        <v>225573</v>
      </c>
      <c r="R63" s="135"/>
      <c r="S63" s="337" t="s">
        <v>202</v>
      </c>
      <c r="T63" s="337"/>
      <c r="U63" s="337">
        <v>233100</v>
      </c>
      <c r="V63" s="337"/>
      <c r="W63" s="135"/>
      <c r="X63"/>
      <c r="Y63"/>
      <c r="Z63"/>
      <c r="AA63"/>
    </row>
    <row r="64" spans="1:27" x14ac:dyDescent="0.25">
      <c r="A64" s="1" t="s">
        <v>119</v>
      </c>
      <c r="B64" s="1" t="s">
        <v>224</v>
      </c>
      <c r="C64" s="300">
        <f>'Net Tuition AY'!P52</f>
        <v>0</v>
      </c>
      <c r="D64" s="300">
        <f>'Net Tuition Summer'!N48</f>
        <v>0</v>
      </c>
      <c r="E64" s="300">
        <f t="shared" si="17"/>
        <v>0</v>
      </c>
      <c r="F64" s="1" t="s">
        <v>119</v>
      </c>
      <c r="G64" s="48"/>
      <c r="H64" s="48"/>
      <c r="N64" s="466" t="s">
        <v>241</v>
      </c>
      <c r="O64" s="341" t="s">
        <v>122</v>
      </c>
      <c r="P64" s="128"/>
      <c r="Q64" s="335">
        <v>3512477</v>
      </c>
      <c r="R64" s="128"/>
      <c r="S64" s="335" t="s">
        <v>122</v>
      </c>
      <c r="T64" s="335"/>
      <c r="U64" s="335">
        <v>4906800</v>
      </c>
      <c r="V64" s="335"/>
      <c r="W64" s="335"/>
      <c r="X64"/>
      <c r="Y64"/>
      <c r="Z64"/>
      <c r="AA64"/>
    </row>
    <row r="65" spans="1:27" x14ac:dyDescent="0.25">
      <c r="A65" s="1" t="s">
        <v>231</v>
      </c>
      <c r="B65" s="1" t="s">
        <v>232</v>
      </c>
      <c r="C65" s="300">
        <f>'Net Tuition AY'!P53</f>
        <v>111140</v>
      </c>
      <c r="D65" s="300">
        <f>'Net Tuition Summer'!N49</f>
        <v>3557</v>
      </c>
      <c r="E65" s="300">
        <f t="shared" si="17"/>
        <v>114697</v>
      </c>
      <c r="F65" s="1" t="s">
        <v>231</v>
      </c>
      <c r="G65" s="414"/>
      <c r="H65" s="414"/>
      <c r="M65" s="3"/>
      <c r="N65" s="467"/>
      <c r="O65" s="338" t="s">
        <v>131</v>
      </c>
      <c r="Q65" s="18">
        <v>9218807</v>
      </c>
      <c r="S65" s="18" t="s">
        <v>131</v>
      </c>
      <c r="U65" s="18">
        <v>8143171</v>
      </c>
      <c r="V65" s="18"/>
      <c r="W65" s="18"/>
      <c r="X65"/>
      <c r="Y65"/>
      <c r="Z65"/>
      <c r="AA65"/>
    </row>
    <row r="66" spans="1:27" x14ac:dyDescent="0.25">
      <c r="A66" s="1" t="s">
        <v>3041</v>
      </c>
      <c r="B66" s="1"/>
      <c r="C66" s="300">
        <f>'Net Tuition AY'!P54</f>
        <v>279542.5</v>
      </c>
      <c r="D66" s="300">
        <f>'Net Tuition Summer'!N50</f>
        <v>20947</v>
      </c>
      <c r="E66" s="300">
        <f t="shared" si="17"/>
        <v>300489.5</v>
      </c>
      <c r="F66" s="1" t="s">
        <v>3041</v>
      </c>
      <c r="G66" s="414"/>
      <c r="H66" s="414"/>
      <c r="M66" s="3"/>
      <c r="N66" s="467"/>
      <c r="O66" s="338"/>
      <c r="Q66" s="18"/>
      <c r="S66" s="18"/>
      <c r="U66" s="18"/>
      <c r="V66" s="18"/>
      <c r="W66" s="18"/>
      <c r="X66"/>
      <c r="Y66"/>
      <c r="Z66"/>
      <c r="AA66"/>
    </row>
    <row r="67" spans="1:27" ht="15.75" thickBot="1" x14ac:dyDescent="0.3">
      <c r="C67" s="33">
        <f>SUM(C49:C66)</f>
        <v>7033221</v>
      </c>
      <c r="D67" s="33">
        <f t="shared" ref="D67:E67" si="18">SUM(D49:D66)</f>
        <v>150012</v>
      </c>
      <c r="E67" s="33">
        <f t="shared" si="18"/>
        <v>7183233</v>
      </c>
      <c r="F67" s="63"/>
      <c r="G67" s="63"/>
      <c r="H67" s="63"/>
      <c r="M67" s="3"/>
      <c r="N67" s="467"/>
      <c r="O67" s="338" t="s">
        <v>193</v>
      </c>
      <c r="Q67" s="18">
        <v>288983</v>
      </c>
      <c r="S67" s="18" t="s">
        <v>193</v>
      </c>
      <c r="U67" s="18">
        <v>2964224</v>
      </c>
      <c r="V67" s="18"/>
      <c r="W67" s="18"/>
      <c r="X67"/>
      <c r="Y67"/>
      <c r="Z67"/>
      <c r="AA67"/>
    </row>
    <row r="68" spans="1:27" ht="15.75" thickTop="1" x14ac:dyDescent="0.25">
      <c r="B68" s="328" t="s">
        <v>243</v>
      </c>
      <c r="C68" s="137">
        <f>C67-'Net Tuition AY'!P55</f>
        <v>0</v>
      </c>
      <c r="D68" s="137">
        <f>D67-'Net Tuition Summer'!N51</f>
        <v>0</v>
      </c>
      <c r="E68" s="3"/>
      <c r="F68" s="5"/>
      <c r="G68" s="5"/>
      <c r="M68" s="3"/>
      <c r="N68" s="467"/>
      <c r="O68" s="338" t="s">
        <v>176</v>
      </c>
      <c r="Q68" s="18">
        <v>14062486</v>
      </c>
      <c r="S68" s="18" t="s">
        <v>176</v>
      </c>
      <c r="U68" s="18">
        <v>14108889</v>
      </c>
      <c r="V68" s="18"/>
      <c r="X68"/>
      <c r="Y68"/>
      <c r="Z68"/>
      <c r="AA68"/>
    </row>
    <row r="69" spans="1:27" ht="15.75" thickBot="1" x14ac:dyDescent="0.3">
      <c r="I69" s="48"/>
      <c r="J69" s="48"/>
      <c r="K69" s="48"/>
      <c r="L69" s="48"/>
      <c r="M69" s="3"/>
      <c r="N69" s="468"/>
      <c r="O69" s="342" t="s">
        <v>177</v>
      </c>
      <c r="P69" s="135"/>
      <c r="Q69" s="337">
        <v>2891987</v>
      </c>
      <c r="R69" s="135"/>
      <c r="S69" s="321" t="s">
        <v>177</v>
      </c>
      <c r="T69" s="337"/>
      <c r="U69" s="321">
        <v>2035020</v>
      </c>
      <c r="V69" s="337"/>
      <c r="W69" s="135"/>
      <c r="X69"/>
      <c r="Y69"/>
      <c r="Z69"/>
      <c r="AA69"/>
    </row>
    <row r="70" spans="1:27" x14ac:dyDescent="0.25">
      <c r="A70" s="308"/>
      <c r="B70" s="309"/>
      <c r="C70" s="309"/>
      <c r="D70" s="309"/>
      <c r="E70" s="309"/>
      <c r="F70" s="309"/>
      <c r="G70" s="309"/>
      <c r="H70" s="309" t="s">
        <v>141</v>
      </c>
      <c r="I70" s="309"/>
      <c r="J70" s="309" t="s">
        <v>5</v>
      </c>
      <c r="K70" s="309"/>
      <c r="L70" s="310" t="s">
        <v>5</v>
      </c>
      <c r="M70" s="3"/>
      <c r="N70" s="466" t="s">
        <v>244</v>
      </c>
      <c r="O70" s="341" t="s">
        <v>109</v>
      </c>
      <c r="P70" s="128"/>
      <c r="Q70" s="335">
        <v>2959029</v>
      </c>
      <c r="R70" s="128"/>
      <c r="S70" s="335" t="s">
        <v>109</v>
      </c>
      <c r="T70" s="335"/>
      <c r="U70" s="335">
        <v>2823277</v>
      </c>
      <c r="V70" s="335"/>
      <c r="W70" s="335"/>
      <c r="X70"/>
      <c r="Y70"/>
      <c r="Z70"/>
      <c r="AA70"/>
    </row>
    <row r="71" spans="1:27" x14ac:dyDescent="0.25">
      <c r="A71" s="311"/>
      <c r="B71" s="260" t="s">
        <v>245</v>
      </c>
      <c r="C71" s="260" t="s">
        <v>246</v>
      </c>
      <c r="D71" s="260" t="s">
        <v>247</v>
      </c>
      <c r="E71" s="260" t="s">
        <v>247</v>
      </c>
      <c r="F71" s="259"/>
      <c r="G71" s="260" t="s">
        <v>248</v>
      </c>
      <c r="H71" s="255" t="s">
        <v>32</v>
      </c>
      <c r="I71" s="261"/>
      <c r="J71" s="261" t="s">
        <v>145</v>
      </c>
      <c r="K71" s="259"/>
      <c r="L71" s="312" t="s">
        <v>146</v>
      </c>
      <c r="M71" s="3"/>
      <c r="N71" s="467"/>
      <c r="O71" s="248" t="s">
        <v>128</v>
      </c>
      <c r="Q71" s="18">
        <v>1572279</v>
      </c>
      <c r="S71" s="18" t="s">
        <v>128</v>
      </c>
      <c r="U71" s="18">
        <v>1381615</v>
      </c>
      <c r="V71" s="18"/>
      <c r="W71" s="18"/>
      <c r="X71"/>
      <c r="Y71"/>
      <c r="Z71"/>
      <c r="AA71"/>
    </row>
    <row r="72" spans="1:27" ht="15.75" thickBot="1" x14ac:dyDescent="0.3">
      <c r="A72" s="311"/>
      <c r="B72" s="262" t="s">
        <v>148</v>
      </c>
      <c r="C72" s="262" t="s">
        <v>148</v>
      </c>
      <c r="D72" s="263" t="s">
        <v>149</v>
      </c>
      <c r="E72" s="263" t="s">
        <v>150</v>
      </c>
      <c r="F72" s="264" t="s">
        <v>151</v>
      </c>
      <c r="G72" s="265" t="s">
        <v>152</v>
      </c>
      <c r="H72" s="264" t="s">
        <v>153</v>
      </c>
      <c r="I72" s="264" t="s">
        <v>154</v>
      </c>
      <c r="J72" s="264" t="s">
        <v>64</v>
      </c>
      <c r="K72" s="259"/>
      <c r="L72" s="313" t="s">
        <v>64</v>
      </c>
      <c r="M72" s="3"/>
      <c r="N72" s="468"/>
      <c r="O72" s="340" t="s">
        <v>178</v>
      </c>
      <c r="P72" s="135"/>
      <c r="Q72" s="337">
        <v>1438621</v>
      </c>
      <c r="R72" s="135"/>
      <c r="S72" s="337" t="s">
        <v>178</v>
      </c>
      <c r="T72" s="337"/>
      <c r="U72" s="337">
        <v>1350613</v>
      </c>
      <c r="V72" s="337"/>
      <c r="W72" s="337"/>
      <c r="X72"/>
      <c r="Y72"/>
      <c r="Z72"/>
      <c r="AA72"/>
    </row>
    <row r="73" spans="1:27" x14ac:dyDescent="0.25">
      <c r="A73" s="314" t="str">
        <f t="shared" ref="A73:A81" si="19">+A29</f>
        <v>College of Education</v>
      </c>
      <c r="B73" s="266">
        <f t="shared" ref="B73:B86" si="20">((+B29+G29+H29)*(1-$E$23))</f>
        <v>5170803.7732706871</v>
      </c>
      <c r="C73" s="266">
        <f t="shared" ref="C73:C86" si="21">+D29*(1-$E$23)</f>
        <v>0</v>
      </c>
      <c r="D73" s="266">
        <f t="shared" ref="D73:D86" si="22">((+E29)*(1-$E$23))</f>
        <v>468469.47215362079</v>
      </c>
      <c r="E73" s="266">
        <f t="shared" ref="E73:E86" si="23">+F29*(1-$E$23)</f>
        <v>0</v>
      </c>
      <c r="F73" s="266">
        <f>+'Summer Credit Hour Allocation'!BD2</f>
        <v>1301.7689409794893</v>
      </c>
      <c r="G73" s="307">
        <f>IFERROR(+D73/F73,"N/A")</f>
        <v>359.87144677236694</v>
      </c>
      <c r="H73" s="268">
        <f t="shared" ref="H73:H81" si="24">+N29</f>
        <v>0.46220097627584811</v>
      </c>
      <c r="I73" s="307">
        <f t="shared" ref="I73:I81" si="25">IFERROR(+H73*G73,"N/A")</f>
        <v>166.33293403198991</v>
      </c>
      <c r="J73" s="266">
        <f t="shared" ref="J73:J81" si="26">(+D73*H73)+E73</f>
        <v>216527.04738483476</v>
      </c>
      <c r="K73" s="259"/>
      <c r="L73" s="315">
        <f t="shared" ref="L73:L82" si="27">P29-J73</f>
        <v>2389950.5521365507</v>
      </c>
      <c r="M73" s="3"/>
      <c r="N73" s="466" t="s">
        <v>249</v>
      </c>
      <c r="O73" s="339" t="s">
        <v>116</v>
      </c>
      <c r="P73" s="128"/>
      <c r="Q73" s="335">
        <v>1130444</v>
      </c>
      <c r="R73" s="128"/>
      <c r="S73" s="335" t="s">
        <v>116</v>
      </c>
      <c r="T73" s="335"/>
      <c r="U73" s="335">
        <v>1111462</v>
      </c>
      <c r="V73" s="335"/>
      <c r="W73" s="335"/>
      <c r="X73"/>
      <c r="Y73"/>
      <c r="Z73"/>
      <c r="AA73"/>
    </row>
    <row r="74" spans="1:27" x14ac:dyDescent="0.25">
      <c r="A74" s="314" t="str">
        <f t="shared" si="19"/>
        <v>College of Health</v>
      </c>
      <c r="B74" s="266">
        <f t="shared" si="20"/>
        <v>15809328.303078068</v>
      </c>
      <c r="C74" s="266">
        <f t="shared" si="21"/>
        <v>2679910.2000000002</v>
      </c>
      <c r="D74" s="266">
        <f t="shared" si="22"/>
        <v>784905.83622331521</v>
      </c>
      <c r="E74" s="266">
        <f t="shared" si="23"/>
        <v>61118.64</v>
      </c>
      <c r="F74" s="266">
        <f>+'Summer Credit Hour Allocation'!BD3</f>
        <v>2181.0728338216827</v>
      </c>
      <c r="G74" s="307">
        <f t="shared" ref="G74:G81" si="28">IFERROR(+D74/F74,"N/A")</f>
        <v>359.87144677236694</v>
      </c>
      <c r="H74" s="268">
        <f t="shared" si="24"/>
        <v>0.55000000000000004</v>
      </c>
      <c r="I74" s="307">
        <f t="shared" si="25"/>
        <v>197.92929572480182</v>
      </c>
      <c r="J74" s="266">
        <f t="shared" si="26"/>
        <v>492816.84992282343</v>
      </c>
      <c r="K74" s="259"/>
      <c r="L74" s="315">
        <f t="shared" si="27"/>
        <v>11387499.988692939</v>
      </c>
      <c r="M74" s="3"/>
      <c r="N74" s="467"/>
      <c r="O74" s="248" t="s">
        <v>179</v>
      </c>
      <c r="Q74" s="18">
        <v>525557</v>
      </c>
      <c r="S74" s="18" t="s">
        <v>179</v>
      </c>
      <c r="U74" s="18">
        <v>493450</v>
      </c>
      <c r="V74" s="18"/>
      <c r="X74"/>
      <c r="Y74"/>
      <c r="Z74"/>
      <c r="AA74"/>
    </row>
    <row r="75" spans="1:27" ht="15.75" thickBot="1" x14ac:dyDescent="0.3">
      <c r="A75" s="314" t="str">
        <f t="shared" si="19"/>
        <v>College of Forestry</v>
      </c>
      <c r="B75" s="266">
        <f t="shared" si="20"/>
        <v>8649037.6430203244</v>
      </c>
      <c r="C75" s="266">
        <f t="shared" si="21"/>
        <v>186910.02</v>
      </c>
      <c r="D75" s="266">
        <f t="shared" si="22"/>
        <v>3192.2962327333612</v>
      </c>
      <c r="E75" s="266">
        <f t="shared" si="23"/>
        <v>5180.67</v>
      </c>
      <c r="F75" s="266">
        <f>+'Summer Credit Hour Allocation'!BD4</f>
        <v>8.8706571787358719</v>
      </c>
      <c r="G75" s="307">
        <f t="shared" si="28"/>
        <v>359.87144677236694</v>
      </c>
      <c r="H75" s="268">
        <f t="shared" si="24"/>
        <v>0.57889243528477141</v>
      </c>
      <c r="I75" s="307">
        <f t="shared" si="25"/>
        <v>208.32685821150949</v>
      </c>
      <c r="J75" s="266">
        <f t="shared" si="26"/>
        <v>7028.6661403174166</v>
      </c>
      <c r="K75" s="259"/>
      <c r="L75" s="315">
        <f t="shared" si="27"/>
        <v>5194589.5632565869</v>
      </c>
      <c r="M75" s="3"/>
      <c r="N75" s="468"/>
      <c r="O75" s="340" t="s">
        <v>180</v>
      </c>
      <c r="P75" s="135"/>
      <c r="Q75" s="337">
        <v>5992060</v>
      </c>
      <c r="R75" s="135"/>
      <c r="S75" s="337" t="s">
        <v>180</v>
      </c>
      <c r="T75" s="337"/>
      <c r="U75" s="337">
        <v>5813462</v>
      </c>
      <c r="V75" s="337"/>
      <c r="W75" s="135"/>
      <c r="X75"/>
      <c r="Y75"/>
      <c r="Z75"/>
      <c r="AA75"/>
    </row>
    <row r="76" spans="1:27" x14ac:dyDescent="0.25">
      <c r="A76" s="314" t="str">
        <f t="shared" si="19"/>
        <v>College of Humanities/Sciences</v>
      </c>
      <c r="B76" s="266">
        <f t="shared" si="20"/>
        <v>43584556.218759298</v>
      </c>
      <c r="C76" s="266">
        <f t="shared" si="21"/>
        <v>110028.6</v>
      </c>
      <c r="D76" s="266">
        <f t="shared" si="22"/>
        <v>1613306.7086176223</v>
      </c>
      <c r="E76" s="266">
        <f t="shared" si="23"/>
        <v>3521.43</v>
      </c>
      <c r="F76" s="266">
        <f>+'Summer Credit Hour Allocation'!BD5</f>
        <v>4483.0083717036414</v>
      </c>
      <c r="G76" s="307">
        <f t="shared" si="28"/>
        <v>359.87144677236694</v>
      </c>
      <c r="H76" s="268">
        <f t="shared" si="24"/>
        <v>0.48292317766690557</v>
      </c>
      <c r="I76" s="307">
        <f t="shared" si="25"/>
        <v>173.79026262689811</v>
      </c>
      <c r="J76" s="266">
        <f t="shared" si="26"/>
        <v>782624.63227695867</v>
      </c>
      <c r="K76" s="259"/>
      <c r="L76" s="315">
        <f t="shared" si="27"/>
        <v>21158614.057968043</v>
      </c>
      <c r="M76" s="3"/>
      <c r="N76" s="466" t="s">
        <v>250</v>
      </c>
      <c r="O76" s="339" t="s">
        <v>195</v>
      </c>
      <c r="P76" s="128"/>
      <c r="Q76" s="335">
        <v>996532</v>
      </c>
      <c r="R76" s="128"/>
      <c r="S76" s="335" t="s">
        <v>195</v>
      </c>
      <c r="T76" s="335"/>
      <c r="U76" s="335">
        <v>925973</v>
      </c>
      <c r="V76" s="335"/>
      <c r="W76" s="128"/>
      <c r="X76"/>
      <c r="Y76"/>
      <c r="Z76"/>
      <c r="AA76"/>
    </row>
    <row r="77" spans="1:27" x14ac:dyDescent="0.25">
      <c r="A77" s="314" t="str">
        <f t="shared" si="19"/>
        <v>College of Arts and Media</v>
      </c>
      <c r="B77" s="266">
        <f t="shared" si="20"/>
        <v>11434929.269238409</v>
      </c>
      <c r="C77" s="266">
        <f t="shared" si="21"/>
        <v>0</v>
      </c>
      <c r="D77" s="266">
        <f t="shared" si="22"/>
        <v>403027.39938258682</v>
      </c>
      <c r="E77" s="266">
        <f t="shared" si="23"/>
        <v>0</v>
      </c>
      <c r="F77" s="266">
        <f>+'Summer Credit Hour Allocation'!BD6</f>
        <v>1119.9204688154039</v>
      </c>
      <c r="G77" s="307">
        <f t="shared" si="28"/>
        <v>359.87144677236694</v>
      </c>
      <c r="H77" s="268">
        <f t="shared" si="24"/>
        <v>0.55875985952710761</v>
      </c>
      <c r="I77" s="307">
        <f t="shared" si="25"/>
        <v>201.08171904634474</v>
      </c>
      <c r="J77" s="266">
        <f t="shared" si="26"/>
        <v>225195.53306458972</v>
      </c>
      <c r="K77" s="259"/>
      <c r="L77" s="315">
        <f t="shared" si="27"/>
        <v>6389379.4721820643</v>
      </c>
      <c r="M77" s="3"/>
      <c r="N77" s="467"/>
      <c r="O77" s="248" t="s">
        <v>196</v>
      </c>
      <c r="Q77" s="18">
        <v>890564</v>
      </c>
      <c r="S77" s="18" t="s">
        <v>196</v>
      </c>
      <c r="U77" s="18">
        <v>806833</v>
      </c>
      <c r="V77" s="18"/>
      <c r="X77"/>
      <c r="Y77"/>
      <c r="Z77"/>
      <c r="AA77"/>
    </row>
    <row r="78" spans="1:27" x14ac:dyDescent="0.25">
      <c r="A78" s="314" t="str">
        <f t="shared" si="19"/>
        <v>Davidson Honors College</v>
      </c>
      <c r="B78" s="266">
        <f t="shared" si="20"/>
        <v>1270066.4364775962</v>
      </c>
      <c r="C78" s="266">
        <f t="shared" si="21"/>
        <v>0</v>
      </c>
      <c r="D78" s="266">
        <f t="shared" si="22"/>
        <v>399.03702909167015</v>
      </c>
      <c r="E78" s="266">
        <f t="shared" si="23"/>
        <v>0</v>
      </c>
      <c r="F78" s="266">
        <f>+'Summer Credit Hour Allocation'!BD7</f>
        <v>1.108832147341984</v>
      </c>
      <c r="G78" s="307">
        <f t="shared" si="28"/>
        <v>359.87144677236694</v>
      </c>
      <c r="H78" s="268">
        <f t="shared" si="24"/>
        <v>0.8070693993178123</v>
      </c>
      <c r="I78" s="307">
        <f t="shared" si="25"/>
        <v>290.44123237820622</v>
      </c>
      <c r="J78" s="266">
        <f t="shared" si="26"/>
        <v>322.05057537457861</v>
      </c>
      <c r="K78" s="259"/>
      <c r="L78" s="315">
        <f t="shared" si="27"/>
        <v>1025031.7559816878</v>
      </c>
      <c r="M78" s="63"/>
      <c r="N78" s="467"/>
      <c r="O78" s="248" t="s">
        <v>197</v>
      </c>
      <c r="Q78" s="18">
        <v>711255</v>
      </c>
      <c r="S78" s="18" t="s">
        <v>197</v>
      </c>
      <c r="U78" s="18">
        <v>702119</v>
      </c>
      <c r="V78" s="18"/>
      <c r="X78"/>
      <c r="Y78"/>
      <c r="Z78"/>
      <c r="AA78"/>
    </row>
    <row r="79" spans="1:27" x14ac:dyDescent="0.25">
      <c r="A79" s="314" t="str">
        <f t="shared" si="19"/>
        <v>College of Business</v>
      </c>
      <c r="B79" s="266">
        <f t="shared" si="20"/>
        <v>11315573.31845108</v>
      </c>
      <c r="C79" s="266">
        <f t="shared" si="21"/>
        <v>516220.65</v>
      </c>
      <c r="D79" s="266">
        <f t="shared" si="22"/>
        <v>428166.73221536208</v>
      </c>
      <c r="E79" s="266">
        <f t="shared" si="23"/>
        <v>16691.400000000001</v>
      </c>
      <c r="F79" s="266">
        <f>+'Summer Credit Hour Allocation'!BD8</f>
        <v>1189.776894097949</v>
      </c>
      <c r="G79" s="307">
        <f t="shared" si="28"/>
        <v>359.87144677236688</v>
      </c>
      <c r="H79" s="268">
        <f t="shared" si="24"/>
        <v>0.56987030559154417</v>
      </c>
      <c r="I79" s="307">
        <f t="shared" si="25"/>
        <v>205.08005134583985</v>
      </c>
      <c r="J79" s="266">
        <f t="shared" si="26"/>
        <v>260690.90653170124</v>
      </c>
      <c r="K79" s="259"/>
      <c r="L79" s="315">
        <f t="shared" si="27"/>
        <v>6966945.2415677588</v>
      </c>
      <c r="N79" s="467"/>
      <c r="O79" s="248" t="s">
        <v>198</v>
      </c>
      <c r="Q79" s="18">
        <v>619378</v>
      </c>
      <c r="S79" s="18" t="s">
        <v>198</v>
      </c>
      <c r="U79" s="18">
        <v>588968</v>
      </c>
      <c r="V79" s="18"/>
      <c r="X79"/>
      <c r="Y79"/>
      <c r="Z79"/>
      <c r="AA79"/>
    </row>
    <row r="80" spans="1:27" x14ac:dyDescent="0.25">
      <c r="A80" s="314" t="str">
        <f t="shared" si="19"/>
        <v>School of Law</v>
      </c>
      <c r="B80" s="266">
        <f t="shared" si="20"/>
        <v>4117799.2112708036</v>
      </c>
      <c r="C80" s="266">
        <f t="shared" si="21"/>
        <v>3159412.2450000001</v>
      </c>
      <c r="D80" s="266">
        <f t="shared" si="22"/>
        <v>111730.36814566764</v>
      </c>
      <c r="E80" s="266">
        <f t="shared" si="23"/>
        <v>39777.21</v>
      </c>
      <c r="F80" s="266">
        <f>+'Summer Credit Hour Allocation'!BD9</f>
        <v>310.47300125575555</v>
      </c>
      <c r="G80" s="307">
        <f t="shared" si="28"/>
        <v>359.87144677236694</v>
      </c>
      <c r="H80" s="268">
        <f t="shared" si="24"/>
        <v>0.87295948582682992</v>
      </c>
      <c r="I80" s="307">
        <f t="shared" si="25"/>
        <v>314.15319313816281</v>
      </c>
      <c r="J80" s="266">
        <f t="shared" si="26"/>
        <v>137313.29472768444</v>
      </c>
      <c r="K80" s="259"/>
      <c r="L80" s="315">
        <f t="shared" si="27"/>
        <v>6758189.4471414164</v>
      </c>
      <c r="N80" s="467"/>
      <c r="O80" s="248" t="s">
        <v>199</v>
      </c>
      <c r="Q80" s="18">
        <v>578086</v>
      </c>
      <c r="S80" s="18" t="s">
        <v>199</v>
      </c>
      <c r="U80" s="18">
        <v>543408</v>
      </c>
      <c r="V80" s="18"/>
      <c r="X80"/>
      <c r="Y80"/>
      <c r="Z80"/>
      <c r="AA80"/>
    </row>
    <row r="81" spans="1:27" ht="15.75" thickBot="1" x14ac:dyDescent="0.3">
      <c r="A81" s="314" t="str">
        <f t="shared" si="19"/>
        <v>Missoula College</v>
      </c>
      <c r="B81" s="266">
        <f t="shared" si="20"/>
        <v>7530480.6073287204</v>
      </c>
      <c r="C81" s="266">
        <f t="shared" si="21"/>
        <v>33660</v>
      </c>
      <c r="D81" s="266">
        <f t="shared" si="22"/>
        <v>282113.37</v>
      </c>
      <c r="E81" s="266">
        <f t="shared" si="23"/>
        <v>1485</v>
      </c>
      <c r="F81" s="266">
        <f>+'Summer Credit Hour Allocation'!BD12</f>
        <v>1943.9999999999995</v>
      </c>
      <c r="G81" s="307">
        <f t="shared" si="28"/>
        <v>145.12004629629632</v>
      </c>
      <c r="H81" s="268">
        <f t="shared" si="24"/>
        <v>0.68792638407917106</v>
      </c>
      <c r="I81" s="307">
        <f t="shared" si="25"/>
        <v>99.831908706013024</v>
      </c>
      <c r="J81" s="266">
        <f t="shared" si="26"/>
        <v>195558.23052448928</v>
      </c>
      <c r="K81" s="259"/>
      <c r="L81" s="315">
        <f t="shared" si="27"/>
        <v>5214187.0807116181</v>
      </c>
      <c r="N81" s="468"/>
      <c r="O81" s="340" t="s">
        <v>200</v>
      </c>
      <c r="P81" s="135"/>
      <c r="Q81" s="337">
        <v>463096</v>
      </c>
      <c r="R81" s="135"/>
      <c r="S81" s="337" t="s">
        <v>200</v>
      </c>
      <c r="T81" s="337"/>
      <c r="U81" s="337">
        <v>440375</v>
      </c>
      <c r="V81" s="337"/>
      <c r="W81" s="135"/>
      <c r="X81"/>
      <c r="Y81"/>
      <c r="Z81"/>
      <c r="AA81"/>
    </row>
    <row r="82" spans="1:27" x14ac:dyDescent="0.25">
      <c r="A82" s="314" t="s">
        <v>219</v>
      </c>
      <c r="B82" s="266">
        <f t="shared" si="20"/>
        <v>5462676.9859390054</v>
      </c>
      <c r="C82" s="266">
        <f t="shared" si="21"/>
        <v>276747.07500000001</v>
      </c>
      <c r="D82" s="266">
        <f t="shared" si="22"/>
        <v>0</v>
      </c>
      <c r="E82" s="266">
        <f t="shared" si="23"/>
        <v>20737.53</v>
      </c>
      <c r="F82" s="266"/>
      <c r="G82" s="266"/>
      <c r="H82" s="259"/>
      <c r="I82" s="259"/>
      <c r="J82" s="259"/>
      <c r="K82" s="259"/>
      <c r="L82" s="315">
        <f t="shared" si="27"/>
        <v>3081686.4511523684</v>
      </c>
      <c r="X82"/>
      <c r="Y82"/>
      <c r="Z82"/>
      <c r="AA82"/>
    </row>
    <row r="83" spans="1:27" x14ac:dyDescent="0.25">
      <c r="A83" s="314" t="s">
        <v>92</v>
      </c>
      <c r="B83" s="266">
        <f t="shared" si="20"/>
        <v>3398462.8944344283</v>
      </c>
      <c r="C83" s="266">
        <f t="shared" si="21"/>
        <v>0</v>
      </c>
      <c r="D83" s="266">
        <f t="shared" si="22"/>
        <v>0</v>
      </c>
      <c r="E83" s="266">
        <f t="shared" si="23"/>
        <v>0</v>
      </c>
      <c r="F83" s="266"/>
      <c r="G83" s="266"/>
      <c r="H83" s="259"/>
      <c r="I83" s="259"/>
      <c r="J83" s="259"/>
      <c r="K83" s="259"/>
      <c r="L83" s="315"/>
      <c r="X83"/>
      <c r="Y83"/>
      <c r="Z83"/>
      <c r="AA83"/>
    </row>
    <row r="84" spans="1:27" x14ac:dyDescent="0.25">
      <c r="A84" s="314" t="s">
        <v>191</v>
      </c>
      <c r="B84" s="266">
        <f t="shared" si="20"/>
        <v>0</v>
      </c>
      <c r="C84" s="266">
        <f t="shared" si="21"/>
        <v>0</v>
      </c>
      <c r="D84" s="266">
        <f t="shared" si="22"/>
        <v>0</v>
      </c>
      <c r="E84" s="266">
        <f t="shared" si="23"/>
        <v>0</v>
      </c>
      <c r="F84" s="266"/>
      <c r="G84" s="266"/>
      <c r="H84" s="259"/>
      <c r="I84" s="259"/>
      <c r="J84" s="259"/>
      <c r="K84" s="259"/>
      <c r="L84" s="315"/>
      <c r="O84" s="18" t="s">
        <v>67</v>
      </c>
      <c r="Q84" s="5">
        <v>0</v>
      </c>
      <c r="S84" s="18" t="s">
        <v>67</v>
      </c>
      <c r="U84" s="18"/>
      <c r="V84" s="18"/>
      <c r="W84" s="18"/>
      <c r="X84"/>
      <c r="Y84"/>
      <c r="Z84"/>
      <c r="AA84"/>
    </row>
    <row r="85" spans="1:27" x14ac:dyDescent="0.25">
      <c r="A85" s="314" t="s">
        <v>251</v>
      </c>
      <c r="B85" s="266">
        <f t="shared" si="20"/>
        <v>5444533.5987315653</v>
      </c>
      <c r="C85" s="266">
        <f t="shared" si="21"/>
        <v>0</v>
      </c>
      <c r="D85" s="266">
        <f t="shared" si="22"/>
        <v>0</v>
      </c>
      <c r="E85" s="266">
        <f t="shared" si="23"/>
        <v>0</v>
      </c>
      <c r="F85" s="266"/>
      <c r="G85" s="267"/>
      <c r="H85" s="268"/>
      <c r="I85" s="316"/>
      <c r="J85" s="266"/>
      <c r="K85" s="259"/>
      <c r="L85" s="315"/>
      <c r="Q85" s="78">
        <f>SUM(Q47:Q81)</f>
        <v>65213405</v>
      </c>
      <c r="U85" s="78">
        <f>SUM(U46:U84)</f>
        <v>64029467</v>
      </c>
      <c r="V85" s="18"/>
      <c r="W85" s="18"/>
      <c r="X85"/>
      <c r="Y85"/>
      <c r="Z85"/>
      <c r="AA85"/>
    </row>
    <row r="86" spans="1:27" x14ac:dyDescent="0.25">
      <c r="A86" s="314" t="s">
        <v>252</v>
      </c>
      <c r="B86" s="266">
        <f t="shared" si="20"/>
        <v>435629.7</v>
      </c>
      <c r="C86" s="266">
        <f t="shared" si="21"/>
        <v>0</v>
      </c>
      <c r="D86" s="266">
        <f t="shared" si="22"/>
        <v>0</v>
      </c>
      <c r="E86" s="266">
        <f t="shared" si="23"/>
        <v>0</v>
      </c>
      <c r="F86" s="266"/>
      <c r="G86" s="267"/>
      <c r="H86" s="268"/>
      <c r="I86" s="316"/>
      <c r="J86" s="266"/>
      <c r="K86" s="259"/>
      <c r="L86" s="315"/>
      <c r="Q86" s="5"/>
      <c r="V86" s="18"/>
      <c r="W86" s="18"/>
      <c r="X86"/>
      <c r="Y86"/>
      <c r="Z86"/>
      <c r="AA86"/>
    </row>
    <row r="87" spans="1:27" x14ac:dyDescent="0.25">
      <c r="A87" s="314" t="s">
        <v>167</v>
      </c>
      <c r="B87" s="306">
        <f>SUM(B73:B86)</f>
        <v>123623877.95999999</v>
      </c>
      <c r="C87" s="306">
        <f t="shared" ref="C87:F87" si="29">SUM(C73:C85)</f>
        <v>6962888.79</v>
      </c>
      <c r="D87" s="306">
        <f t="shared" si="29"/>
        <v>4095311.22</v>
      </c>
      <c r="E87" s="306">
        <f t="shared" si="29"/>
        <v>148511.87999999998</v>
      </c>
      <c r="F87" s="306">
        <f t="shared" si="29"/>
        <v>12540</v>
      </c>
      <c r="G87" s="307">
        <f t="shared" ref="G87" si="30">IFERROR(+D87/F87,"N/A")</f>
        <v>326.5798421052632</v>
      </c>
      <c r="H87" s="317">
        <f>(J87-E87)/D87</f>
        <v>0.52976812129769557</v>
      </c>
      <c r="I87" s="259"/>
      <c r="J87" s="269">
        <f>SUM(J73:J85)</f>
        <v>2318077.2111487738</v>
      </c>
      <c r="K87" s="259"/>
      <c r="L87" s="318">
        <f>SUM(L73:L85)</f>
        <v>69566073.610791042</v>
      </c>
      <c r="Q87" s="5"/>
      <c r="V87" s="18"/>
      <c r="W87" s="18"/>
      <c r="X87"/>
      <c r="Y87"/>
      <c r="Z87"/>
      <c r="AA87"/>
    </row>
    <row r="88" spans="1:27" x14ac:dyDescent="0.25">
      <c r="A88" s="129"/>
      <c r="C88" s="63"/>
      <c r="D88" s="34"/>
      <c r="G88" s="5"/>
      <c r="J88" s="3"/>
      <c r="L88" s="132"/>
      <c r="O88" s="248" t="s">
        <v>253</v>
      </c>
      <c r="Q88" s="5">
        <f>Q43</f>
        <v>70646202</v>
      </c>
      <c r="S88" s="248" t="s">
        <v>253</v>
      </c>
      <c r="U88" s="3">
        <f>+U43</f>
        <v>69709350</v>
      </c>
      <c r="V88" s="18"/>
      <c r="W88" s="18"/>
      <c r="X88"/>
      <c r="Y88"/>
      <c r="Z88"/>
      <c r="AA88"/>
    </row>
    <row r="89" spans="1:27" x14ac:dyDescent="0.25">
      <c r="A89" s="326" t="s">
        <v>255</v>
      </c>
      <c r="B89" s="3">
        <f>SUM(B87:E87)</f>
        <v>134830589.84999999</v>
      </c>
      <c r="C89" s="34"/>
      <c r="D89" s="34"/>
      <c r="G89" s="5"/>
      <c r="J89" s="3">
        <f>J87+L87</f>
        <v>71884150.821939811</v>
      </c>
      <c r="L89" s="132"/>
      <c r="O89" s="248" t="s">
        <v>254</v>
      </c>
      <c r="Q89" s="2">
        <f>Q85</f>
        <v>65213405</v>
      </c>
      <c r="S89" s="248" t="s">
        <v>254</v>
      </c>
      <c r="U89" s="3">
        <f>+U85</f>
        <v>64029467</v>
      </c>
      <c r="V89" s="18"/>
      <c r="W89" s="18"/>
      <c r="X89"/>
      <c r="Y89"/>
      <c r="Z89"/>
      <c r="AA89"/>
    </row>
    <row r="90" spans="1:27" x14ac:dyDescent="0.25">
      <c r="A90" s="326" t="s">
        <v>257</v>
      </c>
      <c r="B90" s="3">
        <f>J43</f>
        <v>134830589.84999999</v>
      </c>
      <c r="C90" s="34"/>
      <c r="D90" s="34"/>
      <c r="G90" s="5"/>
      <c r="J90" s="3">
        <f>P43</f>
        <v>71884150.821939811</v>
      </c>
      <c r="L90" s="132"/>
      <c r="N90" s="1"/>
      <c r="O90" s="248" t="s">
        <v>256</v>
      </c>
      <c r="Q90" s="29">
        <f>SUM(Q88:Q89)</f>
        <v>135859607</v>
      </c>
      <c r="S90" s="248" t="s">
        <v>256</v>
      </c>
      <c r="U90" s="305">
        <f>SUM(U88:U89)</f>
        <v>133738817</v>
      </c>
      <c r="V90" s="18"/>
      <c r="W90" s="18"/>
      <c r="X90"/>
      <c r="Y90"/>
      <c r="Z90"/>
      <c r="AA90"/>
    </row>
    <row r="91" spans="1:27" ht="15.75" thickBot="1" x14ac:dyDescent="0.3">
      <c r="A91" s="327" t="s">
        <v>243</v>
      </c>
      <c r="B91" s="319">
        <f>B89-B90</f>
        <v>0</v>
      </c>
      <c r="C91" s="320"/>
      <c r="D91" s="320"/>
      <c r="E91" s="135"/>
      <c r="F91" s="135"/>
      <c r="G91" s="321"/>
      <c r="H91" s="135"/>
      <c r="I91" s="135"/>
      <c r="J91" s="319">
        <f>J89-J90</f>
        <v>0</v>
      </c>
      <c r="K91" s="135"/>
      <c r="L91" s="136"/>
      <c r="N91" s="1"/>
      <c r="O91" t="s">
        <v>73</v>
      </c>
      <c r="Q91" s="323">
        <v>24482366</v>
      </c>
      <c r="U91" s="18"/>
      <c r="V91" s="296"/>
      <c r="W91" s="18"/>
      <c r="X91"/>
      <c r="Y91"/>
      <c r="Z91"/>
      <c r="AA91"/>
    </row>
    <row r="92" spans="1:27" x14ac:dyDescent="0.25">
      <c r="B92" s="11"/>
      <c r="N92" s="1"/>
      <c r="O92" s="248" t="s">
        <v>258</v>
      </c>
      <c r="Q92" s="5">
        <f>SUM(Q90:Q91)</f>
        <v>160341973</v>
      </c>
      <c r="U92" s="18"/>
      <c r="V92" s="296"/>
      <c r="W92" s="18"/>
      <c r="X92"/>
      <c r="Y92"/>
      <c r="Z92"/>
      <c r="AA92"/>
    </row>
    <row r="93" spans="1:27" x14ac:dyDescent="0.25">
      <c r="Q93" s="5"/>
      <c r="V93" s="296"/>
      <c r="W93" s="18"/>
      <c r="X93"/>
      <c r="Y93"/>
      <c r="Z93"/>
      <c r="AA93"/>
    </row>
    <row r="94" spans="1:27" x14ac:dyDescent="0.25">
      <c r="Q94" s="5"/>
      <c r="V94" s="18"/>
      <c r="W94" s="18"/>
      <c r="X94"/>
      <c r="Y94"/>
      <c r="Z94"/>
      <c r="AA94"/>
    </row>
    <row r="95" spans="1:27" x14ac:dyDescent="0.25">
      <c r="O95" t="s">
        <v>259</v>
      </c>
      <c r="Q95" s="5">
        <f>+E20</f>
        <v>136192515</v>
      </c>
      <c r="S95" t="s">
        <v>182</v>
      </c>
      <c r="U95" s="18">
        <v>129349974</v>
      </c>
      <c r="V95" s="18"/>
      <c r="W95" s="18"/>
      <c r="X95"/>
      <c r="Y95"/>
      <c r="Z95"/>
      <c r="AA95"/>
    </row>
    <row r="96" spans="1:27" x14ac:dyDescent="0.25">
      <c r="O96" t="s">
        <v>260</v>
      </c>
      <c r="Q96" s="2">
        <f>Q90</f>
        <v>135859607</v>
      </c>
      <c r="S96" t="s">
        <v>183</v>
      </c>
      <c r="U96" s="18">
        <f>+U90</f>
        <v>133738817</v>
      </c>
      <c r="V96" s="18"/>
      <c r="W96" s="18"/>
      <c r="X96"/>
      <c r="Y96"/>
      <c r="Z96"/>
      <c r="AA96"/>
    </row>
    <row r="97" spans="1:34" x14ac:dyDescent="0.25">
      <c r="O97" t="s">
        <v>184</v>
      </c>
      <c r="Q97" s="3">
        <f>+Q95-Q96</f>
        <v>332908</v>
      </c>
      <c r="S97" t="s">
        <v>184</v>
      </c>
      <c r="U97" s="23">
        <f>U95-U96</f>
        <v>-4388843</v>
      </c>
      <c r="V97" s="18"/>
      <c r="W97" s="18"/>
      <c r="X97" s="331"/>
      <c r="Y97"/>
      <c r="Z97"/>
      <c r="AA97"/>
    </row>
    <row r="98" spans="1:34" x14ac:dyDescent="0.25">
      <c r="O98" t="s">
        <v>261</v>
      </c>
      <c r="Q98" s="3"/>
      <c r="S98" t="s">
        <v>203</v>
      </c>
      <c r="U98" s="18"/>
      <c r="V98" s="18"/>
      <c r="W98" s="18"/>
      <c r="X98" s="331"/>
      <c r="Y98"/>
      <c r="Z98"/>
      <c r="AA98"/>
    </row>
    <row r="99" spans="1:34" x14ac:dyDescent="0.25">
      <c r="O99" t="s">
        <v>262</v>
      </c>
      <c r="Q99" s="32">
        <f>Q95-Q96</f>
        <v>332908</v>
      </c>
      <c r="S99" t="s">
        <v>204</v>
      </c>
      <c r="U99" s="19">
        <f>U97+U98</f>
        <v>-4388843</v>
      </c>
      <c r="V99" s="18"/>
      <c r="W99" s="18"/>
      <c r="X99" s="331"/>
      <c r="Y99"/>
      <c r="Z99"/>
      <c r="AA99"/>
    </row>
    <row r="100" spans="1:34" x14ac:dyDescent="0.25">
      <c r="Q100" s="5"/>
      <c r="U100"/>
      <c r="V100" s="18"/>
      <c r="W100" s="18"/>
      <c r="X100" s="331"/>
    </row>
    <row r="101" spans="1:34" x14ac:dyDescent="0.25">
      <c r="O101" t="s">
        <v>263</v>
      </c>
      <c r="Q101" s="2">
        <v>0</v>
      </c>
      <c r="S101" t="s">
        <v>205</v>
      </c>
      <c r="U101" s="14">
        <v>66053324</v>
      </c>
      <c r="V101" s="18"/>
      <c r="W101" s="18"/>
      <c r="X101"/>
    </row>
    <row r="102" spans="1:34" ht="15.75" thickBot="1" x14ac:dyDescent="0.3">
      <c r="Q102" s="33">
        <f>Q99+Q101</f>
        <v>332908</v>
      </c>
      <c r="S102" t="s">
        <v>49</v>
      </c>
      <c r="U102" s="14">
        <v>62700650</v>
      </c>
      <c r="V102" s="18"/>
      <c r="W102" s="18"/>
      <c r="X102"/>
    </row>
    <row r="103" spans="1:34" s="108" customFormat="1" ht="15.75" thickTop="1" x14ac:dyDescent="0.25">
      <c r="A103"/>
      <c r="B103"/>
      <c r="C103" s="4"/>
      <c r="D103" s="4"/>
      <c r="E103"/>
      <c r="F103"/>
      <c r="G103" s="1"/>
      <c r="H103"/>
      <c r="I103"/>
      <c r="J103"/>
      <c r="K103"/>
      <c r="L103"/>
      <c r="M103"/>
      <c r="N103"/>
      <c r="O103"/>
      <c r="P103"/>
      <c r="Q103"/>
      <c r="R103"/>
      <c r="S103" t="s">
        <v>207</v>
      </c>
      <c r="T103" s="18"/>
      <c r="U103" s="14"/>
      <c r="V103"/>
      <c r="W103" s="35"/>
      <c r="X103" s="18"/>
      <c r="Y103" s="18"/>
      <c r="Z103" s="18"/>
      <c r="AA103" s="18"/>
      <c r="AB103"/>
      <c r="AC103"/>
      <c r="AD103"/>
      <c r="AE103"/>
      <c r="AF103"/>
      <c r="AG103"/>
      <c r="AH103"/>
    </row>
    <row r="104" spans="1:34" s="108" customFormat="1" x14ac:dyDescent="0.25">
      <c r="A104"/>
      <c r="B104"/>
      <c r="C104" s="4"/>
      <c r="D104" s="4"/>
      <c r="E104"/>
      <c r="F104"/>
      <c r="G104" s="1"/>
      <c r="H104"/>
      <c r="I104"/>
      <c r="J104"/>
      <c r="K104"/>
      <c r="L104"/>
      <c r="M104"/>
      <c r="N104"/>
      <c r="O104"/>
      <c r="P104" s="344" t="s">
        <v>264</v>
      </c>
      <c r="Q104" s="331">
        <v>750000</v>
      </c>
      <c r="R104"/>
      <c r="S104" t="s">
        <v>208</v>
      </c>
      <c r="T104" s="18"/>
      <c r="U104" s="14"/>
      <c r="V104" s="3"/>
      <c r="W104" s="35"/>
      <c r="X104" s="18"/>
      <c r="Y104" s="18"/>
      <c r="Z104" s="18"/>
      <c r="AA104" s="18"/>
      <c r="AB104"/>
      <c r="AC104"/>
      <c r="AD104"/>
      <c r="AE104"/>
      <c r="AF104"/>
      <c r="AG104"/>
      <c r="AH104"/>
    </row>
    <row r="105" spans="1:34" s="108" customFormat="1" x14ac:dyDescent="0.25">
      <c r="A105"/>
      <c r="B105"/>
      <c r="C105" s="4"/>
      <c r="D105" s="4"/>
      <c r="E105"/>
      <c r="F105"/>
      <c r="G105" s="1"/>
      <c r="H105"/>
      <c r="I105"/>
      <c r="J105"/>
      <c r="K105"/>
      <c r="L105"/>
      <c r="M105"/>
      <c r="N105"/>
      <c r="O105"/>
      <c r="P105" s="344" t="s">
        <v>265</v>
      </c>
      <c r="Q105" s="331">
        <v>798659</v>
      </c>
      <c r="R105"/>
      <c r="S105" t="s">
        <v>209</v>
      </c>
      <c r="T105" s="18"/>
      <c r="U105" s="14"/>
      <c r="V105" s="3"/>
      <c r="W105" s="35"/>
      <c r="X105" s="18"/>
      <c r="Y105" s="18"/>
      <c r="Z105" s="18"/>
      <c r="AA105" s="18"/>
      <c r="AB105"/>
      <c r="AC105"/>
      <c r="AD105"/>
      <c r="AE105"/>
      <c r="AF105"/>
      <c r="AG105"/>
      <c r="AH105"/>
    </row>
    <row r="106" spans="1:34" s="108" customFormat="1" x14ac:dyDescent="0.25">
      <c r="A106"/>
      <c r="B106"/>
      <c r="C106" s="4"/>
      <c r="D106" s="4"/>
      <c r="E106"/>
      <c r="F106"/>
      <c r="G106" s="1"/>
      <c r="H106"/>
      <c r="I106"/>
      <c r="J106"/>
      <c r="K106"/>
      <c r="L106"/>
      <c r="M106"/>
      <c r="N106"/>
      <c r="O106"/>
      <c r="P106" s="344" t="s">
        <v>266</v>
      </c>
      <c r="Q106" s="331">
        <v>1499716</v>
      </c>
      <c r="R106"/>
      <c r="S106" t="s">
        <v>50</v>
      </c>
      <c r="T106" s="18"/>
      <c r="U106" s="14">
        <v>596000</v>
      </c>
      <c r="V106" s="3"/>
      <c r="W106" s="35"/>
      <c r="X106" s="18"/>
      <c r="Y106" s="18"/>
      <c r="Z106" s="18"/>
      <c r="AA106" s="18"/>
      <c r="AB106"/>
      <c r="AC106"/>
      <c r="AD106"/>
      <c r="AE106"/>
      <c r="AF106"/>
      <c r="AG106"/>
      <c r="AH106"/>
    </row>
    <row r="107" spans="1:34" s="108" customFormat="1" x14ac:dyDescent="0.25">
      <c r="A107"/>
      <c r="B107"/>
      <c r="C107" s="4"/>
      <c r="D107" s="4"/>
      <c r="E107"/>
      <c r="F107"/>
      <c r="G107" s="1"/>
      <c r="H107"/>
      <c r="I107"/>
      <c r="J107"/>
      <c r="K107"/>
      <c r="L107"/>
      <c r="M107"/>
      <c r="N107"/>
      <c r="O107"/>
      <c r="P107" s="344" t="s">
        <v>267</v>
      </c>
      <c r="Q107" s="331">
        <v>276940</v>
      </c>
      <c r="R107"/>
      <c r="S107" t="s">
        <v>210</v>
      </c>
      <c r="T107" s="18"/>
      <c r="U107" s="23">
        <v>129415110.90341294</v>
      </c>
      <c r="V107" s="3"/>
      <c r="W107" s="35"/>
      <c r="X107" s="18"/>
      <c r="Y107" s="18"/>
      <c r="Z107" s="18"/>
      <c r="AA107" s="18"/>
      <c r="AB107"/>
      <c r="AC107"/>
      <c r="AD107"/>
      <c r="AE107"/>
      <c r="AF107"/>
      <c r="AG107"/>
      <c r="AH107"/>
    </row>
    <row r="108" spans="1:34" s="108" customFormat="1" x14ac:dyDescent="0.25">
      <c r="A108"/>
      <c r="B108"/>
      <c r="C108" s="4"/>
      <c r="D108" s="4"/>
      <c r="E108"/>
      <c r="F108"/>
      <c r="G108" s="1"/>
      <c r="H108"/>
      <c r="I108"/>
      <c r="J108"/>
      <c r="K108"/>
      <c r="L108"/>
      <c r="M108"/>
      <c r="N108"/>
      <c r="O108"/>
      <c r="P108"/>
      <c r="Q108" s="331"/>
      <c r="R108"/>
      <c r="S108"/>
      <c r="T108" s="18"/>
      <c r="U108" s="5"/>
      <c r="V108" s="3"/>
      <c r="W108" s="35"/>
      <c r="X108" s="18"/>
      <c r="Y108" s="18"/>
      <c r="Z108" s="18"/>
      <c r="AA108" s="18"/>
      <c r="AB108"/>
      <c r="AC108"/>
      <c r="AD108"/>
      <c r="AE108"/>
      <c r="AF108"/>
      <c r="AG108"/>
      <c r="AH108"/>
    </row>
    <row r="109" spans="1:34" s="108" customFormat="1" x14ac:dyDescent="0.25">
      <c r="A109"/>
      <c r="B109"/>
      <c r="C109" s="4"/>
      <c r="D109" s="4"/>
      <c r="E109"/>
      <c r="F109"/>
      <c r="G109" s="1"/>
      <c r="H109"/>
      <c r="I109"/>
      <c r="J109"/>
      <c r="K109"/>
      <c r="L109"/>
      <c r="M109"/>
      <c r="N109"/>
      <c r="O109"/>
      <c r="P109"/>
      <c r="Q109" s="332">
        <f>SUM(Q104:Q108)</f>
        <v>3325315</v>
      </c>
      <c r="R109"/>
      <c r="S109"/>
      <c r="T109" s="18"/>
      <c r="U109" s="5"/>
      <c r="V109" s="3"/>
      <c r="W109" s="35"/>
      <c r="X109" s="18"/>
      <c r="Y109" s="18"/>
      <c r="Z109" s="18"/>
      <c r="AA109" s="18"/>
      <c r="AB109"/>
      <c r="AC109"/>
      <c r="AD109"/>
      <c r="AE109"/>
      <c r="AF109"/>
      <c r="AG109"/>
      <c r="AH109"/>
    </row>
    <row r="110" spans="1:34" s="108" customFormat="1" x14ac:dyDescent="0.25">
      <c r="A110"/>
      <c r="B110"/>
      <c r="C110" s="4"/>
      <c r="D110" s="4"/>
      <c r="E110"/>
      <c r="F110"/>
      <c r="G110" s="1"/>
      <c r="H110"/>
      <c r="I110"/>
      <c r="J110"/>
      <c r="K110"/>
      <c r="L110"/>
      <c r="M110"/>
      <c r="N110"/>
      <c r="O110"/>
      <c r="P110" s="18"/>
      <c r="Q110" s="333"/>
      <c r="R110"/>
      <c r="S110"/>
      <c r="T110" s="18"/>
      <c r="U110" s="5"/>
      <c r="V110" s="3"/>
      <c r="W110" s="35"/>
      <c r="X110" s="18"/>
      <c r="Y110" s="18"/>
      <c r="Z110" s="18"/>
      <c r="AA110" s="18"/>
      <c r="AB110"/>
      <c r="AC110"/>
      <c r="AD110"/>
      <c r="AE110"/>
      <c r="AF110"/>
      <c r="AG110"/>
      <c r="AH110"/>
    </row>
    <row r="111" spans="1:34" ht="15.75" thickBot="1" x14ac:dyDescent="0.3">
      <c r="P111" s="343" t="s">
        <v>268</v>
      </c>
      <c r="Q111" s="334">
        <f>Q109+Q96</f>
        <v>139184922</v>
      </c>
      <c r="V111" s="3"/>
      <c r="W111" s="35"/>
    </row>
    <row r="112" spans="1:34" ht="15.75" thickTop="1" x14ac:dyDescent="0.25">
      <c r="V112" s="3"/>
      <c r="W112" s="35"/>
    </row>
    <row r="113" spans="18:23" x14ac:dyDescent="0.25">
      <c r="V113" s="3"/>
      <c r="W113" s="35"/>
    </row>
    <row r="114" spans="18:23" x14ac:dyDescent="0.25">
      <c r="V114" s="3"/>
      <c r="W114" s="35"/>
    </row>
    <row r="115" spans="18:23" x14ac:dyDescent="0.25">
      <c r="V115" s="3"/>
      <c r="W115" s="35"/>
    </row>
    <row r="116" spans="18:23" x14ac:dyDescent="0.25">
      <c r="V116" s="3"/>
      <c r="W116" s="35"/>
    </row>
    <row r="117" spans="18:23" x14ac:dyDescent="0.25">
      <c r="V117" s="3"/>
      <c r="W117" s="35"/>
    </row>
    <row r="118" spans="18:23" x14ac:dyDescent="0.25">
      <c r="R118" s="5"/>
      <c r="V118" s="3"/>
      <c r="W118" s="35"/>
    </row>
    <row r="119" spans="18:23" x14ac:dyDescent="0.25">
      <c r="R119" s="5"/>
      <c r="V119" s="3"/>
      <c r="W119" s="35"/>
    </row>
    <row r="120" spans="18:23" x14ac:dyDescent="0.25">
      <c r="R120" s="5"/>
      <c r="V120" s="3"/>
      <c r="W120" s="35"/>
    </row>
    <row r="121" spans="18:23" x14ac:dyDescent="0.25">
      <c r="R121" s="5"/>
      <c r="V121" s="3"/>
      <c r="W121" s="35"/>
    </row>
    <row r="122" spans="18:23" x14ac:dyDescent="0.25">
      <c r="R122" s="5"/>
      <c r="V122" s="3"/>
      <c r="W122" s="35"/>
    </row>
    <row r="123" spans="18:23" x14ac:dyDescent="0.25">
      <c r="R123" s="5"/>
      <c r="V123" s="3"/>
      <c r="W123" s="35"/>
    </row>
    <row r="124" spans="18:23" x14ac:dyDescent="0.25">
      <c r="R124" s="5"/>
      <c r="V124" s="3"/>
      <c r="W124" s="35"/>
    </row>
    <row r="125" spans="18:23" x14ac:dyDescent="0.25">
      <c r="R125" s="5"/>
      <c r="V125" s="3"/>
      <c r="W125" s="35"/>
    </row>
    <row r="126" spans="18:23" x14ac:dyDescent="0.25">
      <c r="R126" s="5"/>
      <c r="V126" s="3"/>
      <c r="W126" s="35"/>
    </row>
    <row r="127" spans="18:23" x14ac:dyDescent="0.25">
      <c r="R127" s="5"/>
      <c r="V127" s="3"/>
      <c r="W127" s="35"/>
    </row>
    <row r="128" spans="18:23" x14ac:dyDescent="0.25">
      <c r="R128" s="5"/>
      <c r="V128" s="3"/>
      <c r="W128" s="35"/>
    </row>
    <row r="129" spans="18:23" x14ac:dyDescent="0.25">
      <c r="R129" s="5"/>
      <c r="V129" s="3"/>
      <c r="W129" s="35"/>
    </row>
    <row r="130" spans="18:23" x14ac:dyDescent="0.25">
      <c r="R130" s="5"/>
      <c r="U130" s="3"/>
      <c r="V130" s="3"/>
      <c r="W130" s="35"/>
    </row>
    <row r="131" spans="18:23" x14ac:dyDescent="0.25">
      <c r="R131" s="5"/>
      <c r="U131" s="3"/>
      <c r="V131" s="3"/>
      <c r="W131" s="35"/>
    </row>
    <row r="132" spans="18:23" x14ac:dyDescent="0.25">
      <c r="R132" s="5"/>
      <c r="U132" s="3"/>
      <c r="V132" s="3"/>
      <c r="W132" s="35"/>
    </row>
    <row r="133" spans="18:23" x14ac:dyDescent="0.25">
      <c r="R133" s="5"/>
      <c r="U133" s="3"/>
      <c r="V133" s="3"/>
      <c r="W133" s="35"/>
    </row>
    <row r="134" spans="18:23" x14ac:dyDescent="0.25">
      <c r="R134" s="5"/>
      <c r="U134" s="3"/>
      <c r="V134" s="3"/>
      <c r="W134" s="35"/>
    </row>
    <row r="135" spans="18:23" x14ac:dyDescent="0.25">
      <c r="R135" s="5"/>
      <c r="U135" s="3"/>
      <c r="V135" s="3"/>
      <c r="W135" s="35"/>
    </row>
    <row r="136" spans="18:23" x14ac:dyDescent="0.25">
      <c r="R136" s="5"/>
      <c r="U136" s="3"/>
      <c r="V136" s="3"/>
      <c r="W136" s="35"/>
    </row>
    <row r="137" spans="18:23" x14ac:dyDescent="0.25">
      <c r="R137" s="5"/>
      <c r="U137" s="3"/>
      <c r="V137" s="3"/>
      <c r="W137" s="35"/>
    </row>
    <row r="138" spans="18:23" x14ac:dyDescent="0.25">
      <c r="R138" s="5"/>
      <c r="U138" s="3"/>
      <c r="V138" s="3"/>
      <c r="W138" s="35"/>
    </row>
    <row r="139" spans="18:23" x14ac:dyDescent="0.25">
      <c r="R139" s="5"/>
      <c r="U139" s="3"/>
      <c r="V139" s="3"/>
      <c r="W139" s="35"/>
    </row>
    <row r="140" spans="18:23" x14ac:dyDescent="0.25">
      <c r="R140" s="5"/>
      <c r="U140" s="3"/>
      <c r="V140" s="3"/>
      <c r="W140" s="35"/>
    </row>
    <row r="141" spans="18:23" x14ac:dyDescent="0.25">
      <c r="R141" s="5"/>
      <c r="U141" s="3"/>
      <c r="V141" s="3"/>
      <c r="W141" s="35"/>
    </row>
    <row r="142" spans="18:23" x14ac:dyDescent="0.25">
      <c r="R142" s="5"/>
      <c r="U142" s="3"/>
      <c r="V142" s="3"/>
      <c r="W142" s="35"/>
    </row>
    <row r="143" spans="18:23" x14ac:dyDescent="0.25">
      <c r="R143" s="5"/>
      <c r="U143" s="3"/>
      <c r="V143" s="3"/>
      <c r="W143" s="35"/>
    </row>
    <row r="144" spans="18:23" x14ac:dyDescent="0.25">
      <c r="R144" s="5"/>
      <c r="U144" s="3"/>
      <c r="V144" s="3"/>
      <c r="W144" s="35"/>
    </row>
    <row r="145" spans="18:23" x14ac:dyDescent="0.25">
      <c r="R145" s="5"/>
      <c r="U145" s="3"/>
      <c r="V145" s="3"/>
      <c r="W145" s="35"/>
    </row>
    <row r="146" spans="18:23" x14ac:dyDescent="0.25">
      <c r="R146" s="5"/>
      <c r="U146" s="3"/>
      <c r="V146" s="3"/>
      <c r="W146" s="35"/>
    </row>
    <row r="147" spans="18:23" x14ac:dyDescent="0.25">
      <c r="R147" s="5"/>
      <c r="U147" s="3"/>
      <c r="V147" s="3"/>
      <c r="W147" s="35"/>
    </row>
    <row r="148" spans="18:23" x14ac:dyDescent="0.25">
      <c r="R148" s="5"/>
      <c r="U148" s="3"/>
      <c r="V148" s="3"/>
      <c r="W148" s="35"/>
    </row>
    <row r="149" spans="18:23" x14ac:dyDescent="0.25">
      <c r="R149" s="5"/>
      <c r="U149" s="3"/>
      <c r="V149" s="3"/>
      <c r="W149" s="35"/>
    </row>
    <row r="150" spans="18:23" x14ac:dyDescent="0.25">
      <c r="R150" s="5"/>
      <c r="U150" s="3"/>
      <c r="V150" s="3"/>
      <c r="W150" s="35"/>
    </row>
    <row r="151" spans="18:23" x14ac:dyDescent="0.25">
      <c r="R151" s="5"/>
      <c r="U151" s="3"/>
      <c r="V151" s="3"/>
      <c r="W151" s="35"/>
    </row>
    <row r="152" spans="18:23" x14ac:dyDescent="0.25">
      <c r="R152" s="5"/>
      <c r="U152" s="3"/>
      <c r="V152" s="3"/>
      <c r="W152" s="35"/>
    </row>
    <row r="153" spans="18:23" x14ac:dyDescent="0.25">
      <c r="R153" s="5"/>
      <c r="U153" s="3"/>
      <c r="V153" s="3"/>
      <c r="W153" s="35"/>
    </row>
    <row r="154" spans="18:23" x14ac:dyDescent="0.25">
      <c r="R154" s="5"/>
      <c r="U154" s="3"/>
      <c r="V154" s="3"/>
      <c r="W154" s="35"/>
    </row>
    <row r="155" spans="18:23" x14ac:dyDescent="0.25">
      <c r="U155" s="3"/>
      <c r="V155" s="3"/>
      <c r="W155" s="35"/>
    </row>
    <row r="156" spans="18:23" x14ac:dyDescent="0.25">
      <c r="U156" s="3"/>
      <c r="V156" s="3"/>
      <c r="W156" s="35"/>
    </row>
    <row r="157" spans="18:23" x14ac:dyDescent="0.25">
      <c r="U157" s="3"/>
      <c r="V157" s="3"/>
      <c r="W157" s="35"/>
    </row>
    <row r="158" spans="18:23" x14ac:dyDescent="0.25">
      <c r="U158" s="3"/>
      <c r="V158" s="3"/>
      <c r="W158" s="35"/>
    </row>
    <row r="159" spans="18:23" x14ac:dyDescent="0.25">
      <c r="U159" s="3"/>
      <c r="V159" s="3"/>
      <c r="W159" s="35"/>
    </row>
    <row r="160" spans="18:23" x14ac:dyDescent="0.25">
      <c r="U160" s="3"/>
      <c r="V160" s="3"/>
      <c r="W160" s="35"/>
    </row>
    <row r="161" spans="21:23" x14ac:dyDescent="0.25">
      <c r="U161" s="3"/>
      <c r="V161" s="3"/>
      <c r="W161" s="35"/>
    </row>
    <row r="162" spans="21:23" x14ac:dyDescent="0.25">
      <c r="U162" s="3"/>
      <c r="V162" s="3"/>
      <c r="W162" s="35"/>
    </row>
    <row r="163" spans="21:23" x14ac:dyDescent="0.25">
      <c r="U163" s="3"/>
      <c r="V163" s="3"/>
      <c r="W163" s="35"/>
    </row>
    <row r="164" spans="21:23" x14ac:dyDescent="0.25">
      <c r="U164" s="3"/>
      <c r="V164" s="3"/>
      <c r="W164" s="35"/>
    </row>
    <row r="165" spans="21:23" x14ac:dyDescent="0.25">
      <c r="U165" s="3"/>
      <c r="V165" s="3"/>
      <c r="W165" s="35"/>
    </row>
    <row r="166" spans="21:23" x14ac:dyDescent="0.25">
      <c r="U166" s="3"/>
      <c r="V166" s="3"/>
      <c r="W166" s="35"/>
    </row>
    <row r="167" spans="21:23" x14ac:dyDescent="0.25">
      <c r="U167" s="3"/>
      <c r="V167" s="3"/>
      <c r="W167" s="35"/>
    </row>
    <row r="168" spans="21:23" x14ac:dyDescent="0.25">
      <c r="U168" s="3"/>
      <c r="V168" s="3"/>
      <c r="W168" s="35"/>
    </row>
    <row r="169" spans="21:23" x14ac:dyDescent="0.25">
      <c r="U169" s="3"/>
      <c r="V169" s="3"/>
      <c r="W169" s="35"/>
    </row>
    <row r="170" spans="21:23" x14ac:dyDescent="0.25">
      <c r="U170" s="3"/>
      <c r="V170" s="3"/>
      <c r="W170" s="35"/>
    </row>
    <row r="171" spans="21:23" x14ac:dyDescent="0.25">
      <c r="U171" s="3"/>
      <c r="V171" s="3"/>
      <c r="W171" s="35"/>
    </row>
    <row r="172" spans="21:23" x14ac:dyDescent="0.25">
      <c r="U172" s="3"/>
      <c r="V172" s="3"/>
      <c r="W172" s="35"/>
    </row>
    <row r="173" spans="21:23" x14ac:dyDescent="0.25">
      <c r="U173" s="3"/>
      <c r="V173" s="3"/>
      <c r="W173" s="35"/>
    </row>
    <row r="174" spans="21:23" x14ac:dyDescent="0.25">
      <c r="U174" s="18"/>
      <c r="V174" s="3"/>
      <c r="W174" s="35"/>
    </row>
    <row r="175" spans="21:23" x14ac:dyDescent="0.25">
      <c r="U175" s="18"/>
      <c r="V175" s="3"/>
      <c r="W175" s="35"/>
    </row>
    <row r="176" spans="21:23" x14ac:dyDescent="0.25">
      <c r="U176" s="18"/>
      <c r="V176" s="3"/>
      <c r="W176" s="35"/>
    </row>
    <row r="177" spans="21:23" x14ac:dyDescent="0.25">
      <c r="U177" s="18"/>
      <c r="V177" s="3"/>
      <c r="W177" s="35"/>
    </row>
    <row r="178" spans="21:23" x14ac:dyDescent="0.25">
      <c r="U178" s="18"/>
      <c r="V178" s="3"/>
      <c r="W178" s="35"/>
    </row>
    <row r="179" spans="21:23" x14ac:dyDescent="0.25">
      <c r="U179" s="18"/>
      <c r="V179" s="3"/>
      <c r="W179" s="35"/>
    </row>
    <row r="180" spans="21:23" x14ac:dyDescent="0.25">
      <c r="U180" s="18"/>
      <c r="V180" s="3"/>
      <c r="W180" s="35"/>
    </row>
    <row r="181" spans="21:23" x14ac:dyDescent="0.25">
      <c r="U181" s="18"/>
      <c r="V181" s="3"/>
      <c r="W181" s="35"/>
    </row>
    <row r="182" spans="21:23" x14ac:dyDescent="0.25">
      <c r="U182" s="18"/>
      <c r="V182" s="3"/>
      <c r="W182" s="35"/>
    </row>
    <row r="183" spans="21:23" x14ac:dyDescent="0.25">
      <c r="U183" s="18"/>
      <c r="V183" s="3"/>
      <c r="W183" s="35"/>
    </row>
    <row r="184" spans="21:23" x14ac:dyDescent="0.25">
      <c r="U184" s="18"/>
      <c r="V184" s="3"/>
      <c r="W184" s="35"/>
    </row>
    <row r="185" spans="21:23" x14ac:dyDescent="0.25">
      <c r="U185" s="18"/>
      <c r="V185" s="3"/>
      <c r="W185" s="35"/>
    </row>
    <row r="186" spans="21:23" x14ac:dyDescent="0.25">
      <c r="U186" s="18"/>
      <c r="V186" s="3"/>
      <c r="W186" s="35"/>
    </row>
    <row r="187" spans="21:23" x14ac:dyDescent="0.25">
      <c r="U187" s="18"/>
      <c r="V187" s="3"/>
      <c r="W187" s="35"/>
    </row>
    <row r="188" spans="21:23" x14ac:dyDescent="0.25">
      <c r="U188" s="18"/>
      <c r="V188" s="3"/>
      <c r="W188" s="35"/>
    </row>
    <row r="189" spans="21:23" x14ac:dyDescent="0.25">
      <c r="U189" s="18"/>
      <c r="V189" s="3"/>
      <c r="W189" s="35"/>
    </row>
    <row r="190" spans="21:23" x14ac:dyDescent="0.25">
      <c r="U190" s="18"/>
      <c r="V190" s="3"/>
      <c r="W190" s="35"/>
    </row>
    <row r="191" spans="21:23" x14ac:dyDescent="0.25">
      <c r="U191" s="18"/>
      <c r="V191" s="3"/>
      <c r="W191" s="35"/>
    </row>
    <row r="192" spans="21:23" x14ac:dyDescent="0.25">
      <c r="U192" s="18"/>
      <c r="V192" s="3"/>
      <c r="W192" s="35"/>
    </row>
    <row r="193" spans="21:23" x14ac:dyDescent="0.25">
      <c r="U193" s="18"/>
      <c r="V193" s="3"/>
      <c r="W193" s="35"/>
    </row>
    <row r="194" spans="21:23" x14ac:dyDescent="0.25">
      <c r="U194" s="18"/>
      <c r="V194" s="3"/>
      <c r="W194" s="35"/>
    </row>
    <row r="195" spans="21:23" x14ac:dyDescent="0.25">
      <c r="U195" s="18"/>
      <c r="V195" s="3"/>
      <c r="W195" s="35"/>
    </row>
    <row r="196" spans="21:23" x14ac:dyDescent="0.25">
      <c r="U196" s="18"/>
      <c r="V196" s="3"/>
      <c r="W196" s="35"/>
    </row>
    <row r="197" spans="21:23" x14ac:dyDescent="0.25">
      <c r="U197" s="18"/>
      <c r="V197" s="3"/>
      <c r="W197" s="35"/>
    </row>
    <row r="198" spans="21:23" x14ac:dyDescent="0.25">
      <c r="U198" s="18"/>
      <c r="V198" s="3"/>
      <c r="W198" s="35"/>
    </row>
    <row r="199" spans="21:23" x14ac:dyDescent="0.25">
      <c r="U199" s="18"/>
      <c r="V199" s="3"/>
      <c r="W199" s="35"/>
    </row>
    <row r="200" spans="21:23" x14ac:dyDescent="0.25">
      <c r="U200" s="18"/>
      <c r="V200" s="3"/>
      <c r="W200" s="35"/>
    </row>
    <row r="201" spans="21:23" x14ac:dyDescent="0.25">
      <c r="U201" s="18"/>
      <c r="V201" s="3"/>
      <c r="W201" s="35"/>
    </row>
    <row r="202" spans="21:23" x14ac:dyDescent="0.25">
      <c r="U202" s="18"/>
      <c r="V202" s="3"/>
      <c r="W202" s="35"/>
    </row>
    <row r="203" spans="21:23" x14ac:dyDescent="0.25">
      <c r="U203" s="18"/>
      <c r="V203" s="3"/>
      <c r="W203" s="35"/>
    </row>
    <row r="204" spans="21:23" x14ac:dyDescent="0.25">
      <c r="U204" s="18"/>
      <c r="V204" s="3"/>
      <c r="W204" s="35"/>
    </row>
    <row r="205" spans="21:23" x14ac:dyDescent="0.25">
      <c r="U205" s="18"/>
      <c r="V205" s="3"/>
      <c r="W205" s="35"/>
    </row>
    <row r="206" spans="21:23" x14ac:dyDescent="0.25">
      <c r="U206" s="18"/>
      <c r="V206" s="3"/>
      <c r="W206" s="35"/>
    </row>
    <row r="207" spans="21:23" x14ac:dyDescent="0.25">
      <c r="U207" s="18"/>
      <c r="V207" s="3"/>
      <c r="W207" s="35"/>
    </row>
    <row r="208" spans="21:23" x14ac:dyDescent="0.25">
      <c r="U208" s="18"/>
      <c r="V208" s="3"/>
      <c r="W208" s="35"/>
    </row>
    <row r="209" spans="21:23" x14ac:dyDescent="0.25">
      <c r="U209" s="18"/>
      <c r="V209" s="3"/>
      <c r="W209" s="35"/>
    </row>
    <row r="210" spans="21:23" x14ac:dyDescent="0.25">
      <c r="U210" s="18"/>
      <c r="V210" s="3"/>
      <c r="W210" s="35"/>
    </row>
    <row r="211" spans="21:23" x14ac:dyDescent="0.25">
      <c r="U211" s="18"/>
      <c r="V211" s="3"/>
      <c r="W211" s="35"/>
    </row>
    <row r="212" spans="21:23" x14ac:dyDescent="0.25">
      <c r="U212" s="18"/>
      <c r="V212" s="3"/>
      <c r="W212" s="35"/>
    </row>
    <row r="213" spans="21:23" x14ac:dyDescent="0.25">
      <c r="U213" s="18"/>
      <c r="V213" s="3"/>
      <c r="W213" s="35"/>
    </row>
    <row r="214" spans="21:23" x14ac:dyDescent="0.25">
      <c r="U214" s="18"/>
      <c r="V214" s="3"/>
      <c r="W214" s="35"/>
    </row>
    <row r="215" spans="21:23" x14ac:dyDescent="0.25">
      <c r="U215" s="18"/>
      <c r="V215" s="3"/>
      <c r="W215" s="35"/>
    </row>
    <row r="216" spans="21:23" x14ac:dyDescent="0.25">
      <c r="U216" s="18"/>
      <c r="V216" s="3"/>
      <c r="W216" s="35"/>
    </row>
    <row r="217" spans="21:23" x14ac:dyDescent="0.25">
      <c r="U217" s="18"/>
      <c r="V217" s="3"/>
      <c r="W217" s="35"/>
    </row>
    <row r="218" spans="21:23" x14ac:dyDescent="0.25">
      <c r="U218" s="18"/>
      <c r="V218" s="3"/>
      <c r="W218" s="35"/>
    </row>
    <row r="219" spans="21:23" x14ac:dyDescent="0.25">
      <c r="U219" s="18"/>
      <c r="V219" s="3"/>
      <c r="W219" s="35"/>
    </row>
    <row r="220" spans="21:23" x14ac:dyDescent="0.25">
      <c r="U220" s="18"/>
      <c r="V220" s="3"/>
      <c r="W220" s="35"/>
    </row>
    <row r="221" spans="21:23" x14ac:dyDescent="0.25">
      <c r="U221" s="18"/>
      <c r="V221" s="3"/>
      <c r="W221" s="35"/>
    </row>
    <row r="222" spans="21:23" x14ac:dyDescent="0.25">
      <c r="U222" s="18"/>
      <c r="V222" s="3"/>
      <c r="W222" s="35"/>
    </row>
    <row r="223" spans="21:23" x14ac:dyDescent="0.25">
      <c r="U223" s="18"/>
      <c r="V223" s="3"/>
      <c r="W223" s="35"/>
    </row>
    <row r="224" spans="21:23" x14ac:dyDescent="0.25">
      <c r="U224" s="18"/>
      <c r="V224" s="3"/>
      <c r="W224" s="35"/>
    </row>
    <row r="225" spans="21:23" x14ac:dyDescent="0.25">
      <c r="U225" s="18"/>
      <c r="V225" s="3"/>
      <c r="W225" s="35"/>
    </row>
    <row r="226" spans="21:23" x14ac:dyDescent="0.25">
      <c r="U226" s="18"/>
      <c r="V226" s="3"/>
      <c r="W226" s="35"/>
    </row>
    <row r="227" spans="21:23" x14ac:dyDescent="0.25">
      <c r="U227" s="18"/>
      <c r="V227" s="3"/>
      <c r="W227" s="35"/>
    </row>
    <row r="228" spans="21:23" x14ac:dyDescent="0.25">
      <c r="U228" s="18"/>
      <c r="V228" s="3"/>
      <c r="W228" s="35"/>
    </row>
    <row r="229" spans="21:23" x14ac:dyDescent="0.25">
      <c r="U229" s="18"/>
      <c r="V229" s="3"/>
      <c r="W229" s="35"/>
    </row>
    <row r="230" spans="21:23" x14ac:dyDescent="0.25">
      <c r="U230" s="18"/>
      <c r="V230" s="3"/>
      <c r="W230" s="35"/>
    </row>
    <row r="231" spans="21:23" x14ac:dyDescent="0.25">
      <c r="U231" s="18"/>
      <c r="V231" s="3"/>
      <c r="W231" s="35"/>
    </row>
    <row r="232" spans="21:23" x14ac:dyDescent="0.25">
      <c r="U232" s="18"/>
      <c r="V232" s="3"/>
      <c r="W232" s="35"/>
    </row>
    <row r="233" spans="21:23" x14ac:dyDescent="0.25">
      <c r="U233" s="18"/>
      <c r="V233" s="3"/>
      <c r="W233" s="35"/>
    </row>
    <row r="234" spans="21:23" x14ac:dyDescent="0.25">
      <c r="U234" s="18"/>
      <c r="V234" s="3"/>
      <c r="W234" s="35"/>
    </row>
    <row r="235" spans="21:23" x14ac:dyDescent="0.25">
      <c r="U235" s="18"/>
      <c r="V235" s="3"/>
      <c r="W235" s="35"/>
    </row>
    <row r="236" spans="21:23" x14ac:dyDescent="0.25">
      <c r="U236" s="18"/>
      <c r="V236" s="3"/>
      <c r="W236" s="35"/>
    </row>
    <row r="237" spans="21:23" x14ac:dyDescent="0.25">
      <c r="U237" s="18"/>
      <c r="V237" s="3"/>
      <c r="W237" s="35"/>
    </row>
    <row r="238" spans="21:23" x14ac:dyDescent="0.25">
      <c r="U238" s="18"/>
      <c r="V238" s="3"/>
      <c r="W238" s="35"/>
    </row>
    <row r="239" spans="21:23" x14ac:dyDescent="0.25">
      <c r="U239" s="18"/>
      <c r="V239" s="3"/>
      <c r="W239" s="35"/>
    </row>
    <row r="240" spans="21:23" x14ac:dyDescent="0.25">
      <c r="U240" s="18"/>
      <c r="V240" s="3"/>
      <c r="W240" s="35"/>
    </row>
    <row r="241" spans="21:23" x14ac:dyDescent="0.25">
      <c r="U241" s="18"/>
      <c r="V241" s="3"/>
      <c r="W241" s="35"/>
    </row>
    <row r="242" spans="21:23" x14ac:dyDescent="0.25">
      <c r="U242" s="18"/>
      <c r="V242" s="3"/>
      <c r="W242" s="35"/>
    </row>
    <row r="243" spans="21:23" x14ac:dyDescent="0.25">
      <c r="U243" s="18"/>
      <c r="V243" s="3"/>
      <c r="W243" s="35"/>
    </row>
    <row r="244" spans="21:23" x14ac:dyDescent="0.25">
      <c r="U244" s="18"/>
      <c r="V244" s="3"/>
      <c r="W244" s="35"/>
    </row>
    <row r="245" spans="21:23" x14ac:dyDescent="0.25">
      <c r="U245" s="18"/>
      <c r="V245" s="3"/>
      <c r="W245" s="35"/>
    </row>
    <row r="246" spans="21:23" x14ac:dyDescent="0.25">
      <c r="U246" s="18"/>
      <c r="V246" s="3"/>
      <c r="W246" s="35"/>
    </row>
    <row r="247" spans="21:23" x14ac:dyDescent="0.25">
      <c r="U247" s="18"/>
      <c r="V247" s="3"/>
      <c r="W247" s="35"/>
    </row>
    <row r="248" spans="21:23" x14ac:dyDescent="0.25">
      <c r="U248" s="18"/>
      <c r="V248" s="3"/>
      <c r="W248" s="35"/>
    </row>
    <row r="249" spans="21:23" x14ac:dyDescent="0.25">
      <c r="U249" s="18"/>
      <c r="V249" s="3"/>
      <c r="W249" s="35"/>
    </row>
    <row r="250" spans="21:23" x14ac:dyDescent="0.25">
      <c r="U250" s="18"/>
      <c r="V250" s="3"/>
      <c r="W250" s="35"/>
    </row>
    <row r="251" spans="21:23" x14ac:dyDescent="0.25">
      <c r="U251" s="18"/>
      <c r="V251" s="3"/>
      <c r="W251" s="35"/>
    </row>
    <row r="252" spans="21:23" x14ac:dyDescent="0.25">
      <c r="U252" s="18"/>
      <c r="V252" s="3"/>
      <c r="W252" s="35"/>
    </row>
    <row r="253" spans="21:23" x14ac:dyDescent="0.25">
      <c r="U253" s="18"/>
      <c r="V253" s="3"/>
      <c r="W253" s="35"/>
    </row>
    <row r="254" spans="21:23" x14ac:dyDescent="0.25">
      <c r="U254" s="18"/>
      <c r="V254" s="3"/>
      <c r="W254" s="35"/>
    </row>
    <row r="255" spans="21:23" x14ac:dyDescent="0.25">
      <c r="U255" s="18"/>
      <c r="V255" s="3"/>
      <c r="W255" s="35"/>
    </row>
    <row r="256" spans="21:23" x14ac:dyDescent="0.25">
      <c r="U256" s="18"/>
      <c r="V256" s="3"/>
      <c r="W256" s="35"/>
    </row>
    <row r="257" spans="21:23" x14ac:dyDescent="0.25">
      <c r="U257" s="18"/>
      <c r="V257" s="3"/>
      <c r="W257" s="35"/>
    </row>
    <row r="258" spans="21:23" x14ac:dyDescent="0.25">
      <c r="U258" s="18"/>
      <c r="V258" s="3"/>
      <c r="W258" s="35"/>
    </row>
    <row r="259" spans="21:23" x14ac:dyDescent="0.25">
      <c r="U259" s="18"/>
      <c r="V259" s="3"/>
      <c r="W259" s="35"/>
    </row>
    <row r="260" spans="21:23" x14ac:dyDescent="0.25">
      <c r="U260" s="18"/>
      <c r="V260" s="3"/>
      <c r="W260" s="35"/>
    </row>
    <row r="261" spans="21:23" x14ac:dyDescent="0.25">
      <c r="U261" s="18"/>
      <c r="V261" s="3"/>
      <c r="W261" s="35"/>
    </row>
    <row r="262" spans="21:23" x14ac:dyDescent="0.25">
      <c r="U262" s="18"/>
      <c r="V262" s="3"/>
      <c r="W262" s="35"/>
    </row>
    <row r="263" spans="21:23" x14ac:dyDescent="0.25">
      <c r="U263" s="18"/>
      <c r="V263" s="3"/>
      <c r="W263" s="35"/>
    </row>
    <row r="264" spans="21:23" x14ac:dyDescent="0.25">
      <c r="U264" s="18"/>
      <c r="V264" s="3"/>
      <c r="W264" s="35"/>
    </row>
    <row r="265" spans="21:23" x14ac:dyDescent="0.25">
      <c r="U265" s="18"/>
      <c r="V265" s="3"/>
      <c r="W265" s="35"/>
    </row>
    <row r="266" spans="21:23" x14ac:dyDescent="0.25">
      <c r="U266" s="18"/>
      <c r="V266" s="3"/>
      <c r="W266" s="35"/>
    </row>
    <row r="267" spans="21:23" x14ac:dyDescent="0.25">
      <c r="U267" s="18"/>
      <c r="V267" s="3"/>
      <c r="W267" s="35"/>
    </row>
    <row r="268" spans="21:23" x14ac:dyDescent="0.25">
      <c r="U268" s="18"/>
      <c r="V268" s="3"/>
      <c r="W268" s="35"/>
    </row>
    <row r="269" spans="21:23" x14ac:dyDescent="0.25">
      <c r="U269" s="18"/>
      <c r="V269" s="3"/>
      <c r="W269" s="35"/>
    </row>
    <row r="270" spans="21:23" x14ac:dyDescent="0.25">
      <c r="U270" s="18"/>
      <c r="V270" s="3"/>
      <c r="W270" s="35"/>
    </row>
    <row r="271" spans="21:23" x14ac:dyDescent="0.25">
      <c r="U271" s="18"/>
      <c r="V271" s="3"/>
      <c r="W271" s="35"/>
    </row>
    <row r="272" spans="21:23" x14ac:dyDescent="0.25">
      <c r="U272" s="18"/>
      <c r="V272" s="3"/>
      <c r="W272" s="35"/>
    </row>
    <row r="273" spans="21:23" x14ac:dyDescent="0.25">
      <c r="U273" s="18"/>
      <c r="V273" s="3"/>
      <c r="W273" s="35"/>
    </row>
    <row r="274" spans="21:23" x14ac:dyDescent="0.25">
      <c r="U274" s="18"/>
      <c r="V274" s="3"/>
      <c r="W274" s="35"/>
    </row>
    <row r="275" spans="21:23" x14ac:dyDescent="0.25">
      <c r="U275" s="18"/>
      <c r="V275" s="3"/>
      <c r="W275" s="35"/>
    </row>
    <row r="276" spans="21:23" x14ac:dyDescent="0.25">
      <c r="U276" s="18"/>
      <c r="V276" s="3"/>
      <c r="W276" s="35"/>
    </row>
    <row r="277" spans="21:23" x14ac:dyDescent="0.25">
      <c r="U277" s="18"/>
      <c r="V277" s="3"/>
      <c r="W277" s="35"/>
    </row>
    <row r="278" spans="21:23" x14ac:dyDescent="0.25">
      <c r="U278" s="18"/>
      <c r="V278" s="3"/>
      <c r="W278" s="35"/>
    </row>
    <row r="279" spans="21:23" x14ac:dyDescent="0.25">
      <c r="U279" s="18"/>
      <c r="V279" s="3"/>
      <c r="W279" s="35"/>
    </row>
    <row r="280" spans="21:23" x14ac:dyDescent="0.25">
      <c r="U280" s="18"/>
      <c r="V280" s="3"/>
      <c r="W280" s="35"/>
    </row>
    <row r="281" spans="21:23" x14ac:dyDescent="0.25">
      <c r="U281" s="18"/>
      <c r="V281" s="3"/>
      <c r="W281" s="35"/>
    </row>
    <row r="282" spans="21:23" x14ac:dyDescent="0.25">
      <c r="U282" s="18"/>
      <c r="V282" s="3"/>
      <c r="W282" s="35"/>
    </row>
    <row r="283" spans="21:23" x14ac:dyDescent="0.25">
      <c r="U283" s="18"/>
      <c r="V283" s="3"/>
      <c r="W283" s="35"/>
    </row>
    <row r="284" spans="21:23" x14ac:dyDescent="0.25">
      <c r="U284" s="18"/>
      <c r="V284" s="3"/>
      <c r="W284" s="35"/>
    </row>
    <row r="285" spans="21:23" x14ac:dyDescent="0.25">
      <c r="U285" s="18"/>
      <c r="V285" s="3"/>
      <c r="W285" s="35"/>
    </row>
    <row r="286" spans="21:23" x14ac:dyDescent="0.25">
      <c r="U286" s="18"/>
      <c r="V286" s="3"/>
      <c r="W286" s="35"/>
    </row>
    <row r="287" spans="21:23" x14ac:dyDescent="0.25">
      <c r="U287" s="18"/>
      <c r="V287" s="3"/>
      <c r="W287" s="35"/>
    </row>
    <row r="288" spans="21:23" x14ac:dyDescent="0.25">
      <c r="U288" s="18"/>
      <c r="V288" s="3"/>
      <c r="W288" s="35"/>
    </row>
    <row r="289" spans="21:23" x14ac:dyDescent="0.25">
      <c r="U289" s="18"/>
      <c r="V289" s="3"/>
      <c r="W289" s="35"/>
    </row>
    <row r="290" spans="21:23" x14ac:dyDescent="0.25">
      <c r="U290" s="18"/>
      <c r="V290" s="3"/>
      <c r="W290" s="35"/>
    </row>
    <row r="291" spans="21:23" x14ac:dyDescent="0.25">
      <c r="U291" s="18"/>
      <c r="V291" s="3"/>
      <c r="W291" s="35"/>
    </row>
    <row r="292" spans="21:23" x14ac:dyDescent="0.25">
      <c r="U292" s="18"/>
      <c r="V292" s="3"/>
      <c r="W292" s="35"/>
    </row>
    <row r="293" spans="21:23" x14ac:dyDescent="0.25">
      <c r="U293" s="18"/>
      <c r="V293" s="3"/>
      <c r="W293" s="35"/>
    </row>
    <row r="294" spans="21:23" x14ac:dyDescent="0.25">
      <c r="U294" s="18"/>
      <c r="V294" s="3"/>
      <c r="W294" s="35"/>
    </row>
    <row r="295" spans="21:23" x14ac:dyDescent="0.25">
      <c r="U295" s="18"/>
      <c r="V295" s="3"/>
      <c r="W295" s="35"/>
    </row>
    <row r="296" spans="21:23" x14ac:dyDescent="0.25">
      <c r="U296" s="18"/>
      <c r="V296" s="3"/>
      <c r="W296" s="35"/>
    </row>
    <row r="297" spans="21:23" x14ac:dyDescent="0.25">
      <c r="U297" s="18"/>
      <c r="V297" s="3"/>
      <c r="W297" s="35"/>
    </row>
    <row r="298" spans="21:23" x14ac:dyDescent="0.25">
      <c r="U298" s="18"/>
      <c r="V298" s="3"/>
      <c r="W298" s="35"/>
    </row>
    <row r="299" spans="21:23" x14ac:dyDescent="0.25">
      <c r="U299" s="18"/>
      <c r="V299" s="3"/>
      <c r="W299" s="35"/>
    </row>
    <row r="300" spans="21:23" x14ac:dyDescent="0.25">
      <c r="U300" s="18"/>
      <c r="V300" s="3"/>
      <c r="W300" s="35"/>
    </row>
    <row r="301" spans="21:23" x14ac:dyDescent="0.25">
      <c r="U301" s="18"/>
      <c r="V301" s="3"/>
      <c r="W301" s="35"/>
    </row>
    <row r="302" spans="21:23" x14ac:dyDescent="0.25">
      <c r="U302" s="18"/>
      <c r="V302" s="3"/>
      <c r="W302" s="35"/>
    </row>
    <row r="303" spans="21:23" x14ac:dyDescent="0.25">
      <c r="U303" s="18"/>
      <c r="V303" s="3"/>
      <c r="W303" s="35"/>
    </row>
    <row r="304" spans="21:23" x14ac:dyDescent="0.25">
      <c r="U304" s="18"/>
      <c r="V304" s="3"/>
      <c r="W304" s="35"/>
    </row>
    <row r="305" spans="21:23" x14ac:dyDescent="0.25">
      <c r="U305" s="18"/>
      <c r="V305" s="3"/>
      <c r="W305" s="35"/>
    </row>
    <row r="306" spans="21:23" x14ac:dyDescent="0.25">
      <c r="U306" s="18"/>
      <c r="V306" s="3"/>
      <c r="W306" s="35"/>
    </row>
    <row r="307" spans="21:23" x14ac:dyDescent="0.25">
      <c r="U307" s="18"/>
      <c r="V307" s="3"/>
      <c r="W307" s="35"/>
    </row>
    <row r="308" spans="21:23" x14ac:dyDescent="0.25">
      <c r="U308" s="18"/>
      <c r="V308" s="3"/>
      <c r="W308" s="35"/>
    </row>
    <row r="309" spans="21:23" x14ac:dyDescent="0.25">
      <c r="U309" s="18"/>
      <c r="V309" s="3"/>
      <c r="W309" s="35"/>
    </row>
    <row r="310" spans="21:23" x14ac:dyDescent="0.25">
      <c r="U310" s="18"/>
      <c r="V310" s="3"/>
      <c r="W310" s="35"/>
    </row>
    <row r="311" spans="21:23" x14ac:dyDescent="0.25">
      <c r="U311" s="18"/>
      <c r="V311" s="3"/>
      <c r="W311" s="35"/>
    </row>
    <row r="312" spans="21:23" x14ac:dyDescent="0.25">
      <c r="U312" s="18"/>
      <c r="V312" s="3"/>
      <c r="W312" s="35"/>
    </row>
    <row r="313" spans="21:23" x14ac:dyDescent="0.25">
      <c r="U313" s="18"/>
      <c r="V313" s="3"/>
      <c r="W313" s="35"/>
    </row>
    <row r="314" spans="21:23" x14ac:dyDescent="0.25">
      <c r="U314" s="18"/>
      <c r="V314" s="3"/>
      <c r="W314" s="35"/>
    </row>
    <row r="315" spans="21:23" x14ac:dyDescent="0.25">
      <c r="U315" s="18"/>
      <c r="V315" s="3"/>
      <c r="W315" s="35"/>
    </row>
    <row r="316" spans="21:23" x14ac:dyDescent="0.25">
      <c r="U316" s="18"/>
      <c r="V316" s="3"/>
      <c r="W316" s="35"/>
    </row>
    <row r="317" spans="21:23" x14ac:dyDescent="0.25">
      <c r="U317" s="18"/>
      <c r="V317" s="3"/>
      <c r="W317" s="35"/>
    </row>
    <row r="318" spans="21:23" x14ac:dyDescent="0.25">
      <c r="U318" s="18"/>
      <c r="V318" s="3"/>
      <c r="W318" s="35"/>
    </row>
    <row r="319" spans="21:23" x14ac:dyDescent="0.25">
      <c r="U319" s="18"/>
      <c r="V319" s="3"/>
      <c r="W319" s="35"/>
    </row>
    <row r="320" spans="21:23" x14ac:dyDescent="0.25">
      <c r="U320" s="18"/>
      <c r="V320" s="3"/>
      <c r="W320" s="35"/>
    </row>
    <row r="321" spans="21:23" x14ac:dyDescent="0.25">
      <c r="U321" s="18"/>
      <c r="V321" s="3"/>
      <c r="W321" s="35"/>
    </row>
    <row r="322" spans="21:23" x14ac:dyDescent="0.25">
      <c r="U322" s="18"/>
      <c r="V322" s="3"/>
      <c r="W322" s="35"/>
    </row>
    <row r="323" spans="21:23" x14ac:dyDescent="0.25">
      <c r="U323" s="18"/>
      <c r="V323" s="3"/>
      <c r="W323" s="35"/>
    </row>
    <row r="324" spans="21:23" x14ac:dyDescent="0.25">
      <c r="U324" s="18"/>
      <c r="V324" s="3"/>
      <c r="W324" s="35"/>
    </row>
    <row r="325" spans="21:23" x14ac:dyDescent="0.25">
      <c r="U325" s="18"/>
      <c r="V325" s="3"/>
      <c r="W325" s="35"/>
    </row>
    <row r="326" spans="21:23" x14ac:dyDescent="0.25">
      <c r="U326" s="18"/>
      <c r="V326" s="3"/>
      <c r="W326" s="35"/>
    </row>
    <row r="327" spans="21:23" x14ac:dyDescent="0.25">
      <c r="U327" s="18"/>
      <c r="V327" s="3"/>
      <c r="W327" s="35"/>
    </row>
    <row r="328" spans="21:23" x14ac:dyDescent="0.25">
      <c r="U328" s="18"/>
      <c r="V328" s="3"/>
      <c r="W328" s="35"/>
    </row>
    <row r="329" spans="21:23" x14ac:dyDescent="0.25">
      <c r="U329" s="18"/>
      <c r="V329" s="3"/>
      <c r="W329" s="35"/>
    </row>
    <row r="330" spans="21:23" x14ac:dyDescent="0.25">
      <c r="U330" s="18"/>
      <c r="V330" s="3"/>
      <c r="W330" s="35"/>
    </row>
    <row r="331" spans="21:23" x14ac:dyDescent="0.25">
      <c r="U331" s="18"/>
      <c r="V331" s="3"/>
      <c r="W331" s="35"/>
    </row>
    <row r="332" spans="21:23" x14ac:dyDescent="0.25">
      <c r="U332" s="18"/>
      <c r="V332" s="3"/>
      <c r="W332" s="35"/>
    </row>
    <row r="333" spans="21:23" x14ac:dyDescent="0.25">
      <c r="U333" s="18"/>
      <c r="V333" s="3"/>
      <c r="W333" s="35"/>
    </row>
    <row r="334" spans="21:23" x14ac:dyDescent="0.25">
      <c r="U334" s="18"/>
      <c r="V334" s="3"/>
      <c r="W334" s="35"/>
    </row>
    <row r="335" spans="21:23" x14ac:dyDescent="0.25">
      <c r="U335" s="18"/>
      <c r="V335" s="3"/>
      <c r="W335" s="35"/>
    </row>
    <row r="336" spans="21:23" x14ac:dyDescent="0.25">
      <c r="U336" s="18"/>
      <c r="V336" s="3"/>
      <c r="W336" s="35"/>
    </row>
    <row r="337" spans="21:23" x14ac:dyDescent="0.25">
      <c r="U337" s="18"/>
      <c r="V337" s="3"/>
      <c r="W337" s="35"/>
    </row>
    <row r="338" spans="21:23" x14ac:dyDescent="0.25">
      <c r="U338" s="18"/>
      <c r="V338" s="3"/>
      <c r="W338" s="35"/>
    </row>
    <row r="339" spans="21:23" x14ac:dyDescent="0.25">
      <c r="U339" s="18"/>
      <c r="V339" s="3"/>
      <c r="W339" s="35"/>
    </row>
    <row r="340" spans="21:23" x14ac:dyDescent="0.25">
      <c r="U340" s="18"/>
      <c r="V340" s="3"/>
      <c r="W340" s="35"/>
    </row>
    <row r="341" spans="21:23" x14ac:dyDescent="0.25">
      <c r="U341" s="18"/>
      <c r="V341" s="3"/>
      <c r="W341" s="35"/>
    </row>
    <row r="342" spans="21:23" x14ac:dyDescent="0.25">
      <c r="U342" s="18"/>
      <c r="V342" s="3"/>
      <c r="W342" s="35"/>
    </row>
    <row r="343" spans="21:23" x14ac:dyDescent="0.25">
      <c r="U343" s="18"/>
      <c r="V343" s="3"/>
      <c r="W343" s="35"/>
    </row>
    <row r="344" spans="21:23" x14ac:dyDescent="0.25">
      <c r="U344" s="18"/>
      <c r="V344" s="3"/>
      <c r="W344" s="35"/>
    </row>
    <row r="345" spans="21:23" x14ac:dyDescent="0.25">
      <c r="U345" s="18"/>
      <c r="V345" s="3"/>
      <c r="W345" s="35"/>
    </row>
    <row r="346" spans="21:23" x14ac:dyDescent="0.25">
      <c r="U346" s="18"/>
      <c r="V346" s="3"/>
      <c r="W346" s="35"/>
    </row>
    <row r="347" spans="21:23" x14ac:dyDescent="0.25">
      <c r="U347" s="18"/>
      <c r="V347" s="3"/>
      <c r="W347" s="35"/>
    </row>
    <row r="348" spans="21:23" x14ac:dyDescent="0.25">
      <c r="U348" s="18"/>
      <c r="V348" s="3"/>
      <c r="W348" s="35"/>
    </row>
    <row r="349" spans="21:23" x14ac:dyDescent="0.25">
      <c r="U349" s="18"/>
      <c r="V349" s="3"/>
      <c r="W349" s="35"/>
    </row>
    <row r="350" spans="21:23" x14ac:dyDescent="0.25">
      <c r="U350" s="18"/>
      <c r="V350" s="3"/>
      <c r="W350" s="35"/>
    </row>
    <row r="351" spans="21:23" x14ac:dyDescent="0.25">
      <c r="U351" s="18"/>
      <c r="V351" s="3"/>
      <c r="W351" s="35"/>
    </row>
    <row r="352" spans="21:23" x14ac:dyDescent="0.25">
      <c r="U352" s="18"/>
      <c r="V352" s="3"/>
      <c r="W352" s="35"/>
    </row>
    <row r="353" spans="21:23" x14ac:dyDescent="0.25">
      <c r="U353" s="18"/>
      <c r="V353" s="3"/>
      <c r="W353" s="35"/>
    </row>
    <row r="354" spans="21:23" x14ac:dyDescent="0.25">
      <c r="U354" s="18"/>
      <c r="V354" s="3"/>
      <c r="W354" s="35"/>
    </row>
    <row r="355" spans="21:23" x14ac:dyDescent="0.25">
      <c r="U355" s="18"/>
      <c r="V355" s="3"/>
      <c r="W355" s="35"/>
    </row>
    <row r="356" spans="21:23" x14ac:dyDescent="0.25">
      <c r="U356" s="18"/>
      <c r="V356" s="3"/>
      <c r="W356" s="35"/>
    </row>
    <row r="357" spans="21:23" x14ac:dyDescent="0.25">
      <c r="U357" s="18"/>
      <c r="V357" s="3"/>
      <c r="W357" s="35"/>
    </row>
    <row r="358" spans="21:23" x14ac:dyDescent="0.25">
      <c r="U358" s="18"/>
      <c r="V358" s="3"/>
      <c r="W358" s="35"/>
    </row>
    <row r="359" spans="21:23" x14ac:dyDescent="0.25">
      <c r="U359" s="18"/>
      <c r="V359" s="3"/>
      <c r="W359" s="35"/>
    </row>
    <row r="360" spans="21:23" x14ac:dyDescent="0.25">
      <c r="U360" s="18"/>
      <c r="V360" s="3"/>
      <c r="W360" s="35"/>
    </row>
    <row r="361" spans="21:23" x14ac:dyDescent="0.25">
      <c r="U361" s="18"/>
      <c r="V361" s="3"/>
      <c r="W361" s="35"/>
    </row>
    <row r="362" spans="21:23" x14ac:dyDescent="0.25">
      <c r="U362" s="18"/>
      <c r="V362" s="3"/>
      <c r="W362" s="35"/>
    </row>
    <row r="363" spans="21:23" x14ac:dyDescent="0.25">
      <c r="U363" s="18"/>
      <c r="V363" s="3"/>
      <c r="W363" s="35"/>
    </row>
    <row r="364" spans="21:23" x14ac:dyDescent="0.25">
      <c r="U364" s="18"/>
      <c r="V364" s="3"/>
      <c r="W364" s="35"/>
    </row>
    <row r="365" spans="21:23" x14ac:dyDescent="0.25">
      <c r="U365" s="18"/>
      <c r="V365" s="3"/>
      <c r="W365" s="35"/>
    </row>
    <row r="366" spans="21:23" x14ac:dyDescent="0.25">
      <c r="U366" s="18"/>
      <c r="V366" s="3"/>
      <c r="W366" s="35"/>
    </row>
    <row r="367" spans="21:23" x14ac:dyDescent="0.25">
      <c r="U367" s="18"/>
      <c r="V367" s="3"/>
      <c r="W367" s="35"/>
    </row>
    <row r="368" spans="21:23" x14ac:dyDescent="0.25">
      <c r="U368" s="18"/>
      <c r="V368" s="3"/>
      <c r="W368" s="35"/>
    </row>
    <row r="369" spans="21:23" x14ac:dyDescent="0.25">
      <c r="U369" s="18"/>
      <c r="V369" s="3"/>
      <c r="W369" s="35"/>
    </row>
    <row r="370" spans="21:23" x14ac:dyDescent="0.25">
      <c r="U370" s="18"/>
      <c r="V370" s="3"/>
      <c r="W370" s="35"/>
    </row>
    <row r="371" spans="21:23" x14ac:dyDescent="0.25">
      <c r="U371" s="18"/>
      <c r="V371" s="3"/>
      <c r="W371" s="35"/>
    </row>
    <row r="372" spans="21:23" x14ac:dyDescent="0.25">
      <c r="U372" s="18"/>
      <c r="V372" s="3"/>
      <c r="W372" s="35"/>
    </row>
    <row r="373" spans="21:23" x14ac:dyDescent="0.25">
      <c r="U373" s="18"/>
      <c r="V373" s="3"/>
      <c r="W373" s="35"/>
    </row>
    <row r="374" spans="21:23" x14ac:dyDescent="0.25">
      <c r="U374" s="18"/>
      <c r="V374" s="3"/>
      <c r="W374" s="35"/>
    </row>
    <row r="375" spans="21:23" x14ac:dyDescent="0.25">
      <c r="U375" s="18"/>
      <c r="V375" s="3"/>
      <c r="W375" s="35"/>
    </row>
    <row r="376" spans="21:23" x14ac:dyDescent="0.25">
      <c r="U376" s="18"/>
      <c r="V376" s="3"/>
      <c r="W376" s="35"/>
    </row>
    <row r="377" spans="21:23" x14ac:dyDescent="0.25">
      <c r="U377" s="18"/>
      <c r="V377" s="3"/>
      <c r="W377" s="35"/>
    </row>
    <row r="378" spans="21:23" x14ac:dyDescent="0.25">
      <c r="U378" s="18"/>
      <c r="V378" s="3"/>
      <c r="W378" s="35"/>
    </row>
    <row r="379" spans="21:23" x14ac:dyDescent="0.25">
      <c r="U379" s="18"/>
      <c r="V379" s="3"/>
      <c r="W379" s="35"/>
    </row>
    <row r="380" spans="21:23" x14ac:dyDescent="0.25">
      <c r="U380" s="18"/>
      <c r="V380" s="3"/>
      <c r="W380" s="35"/>
    </row>
    <row r="381" spans="21:23" x14ac:dyDescent="0.25">
      <c r="U381" s="18"/>
      <c r="V381" s="3"/>
      <c r="W381" s="35"/>
    </row>
    <row r="382" spans="21:23" x14ac:dyDescent="0.25">
      <c r="U382" s="18"/>
      <c r="V382" s="3"/>
      <c r="W382" s="35"/>
    </row>
    <row r="383" spans="21:23" x14ac:dyDescent="0.25">
      <c r="U383" s="18"/>
      <c r="V383" s="3"/>
      <c r="W383" s="35"/>
    </row>
    <row r="384" spans="21:23" x14ac:dyDescent="0.25">
      <c r="U384" s="18"/>
      <c r="V384" s="3"/>
      <c r="W384" s="35"/>
    </row>
    <row r="385" spans="21:23" x14ac:dyDescent="0.25">
      <c r="U385" s="18"/>
      <c r="V385" s="3"/>
      <c r="W385" s="35"/>
    </row>
    <row r="386" spans="21:23" x14ac:dyDescent="0.25">
      <c r="U386" s="18"/>
      <c r="V386" s="3"/>
      <c r="W386" s="35"/>
    </row>
    <row r="387" spans="21:23" x14ac:dyDescent="0.25">
      <c r="U387" s="18"/>
      <c r="V387" s="3"/>
      <c r="W387" s="35"/>
    </row>
    <row r="388" spans="21:23" x14ac:dyDescent="0.25">
      <c r="U388" s="18"/>
      <c r="V388" s="3"/>
      <c r="W388" s="35"/>
    </row>
    <row r="389" spans="21:23" x14ac:dyDescent="0.25">
      <c r="U389" s="18"/>
      <c r="V389" s="3"/>
      <c r="W389" s="35"/>
    </row>
    <row r="390" spans="21:23" x14ac:dyDescent="0.25">
      <c r="U390" s="18"/>
      <c r="V390" s="3"/>
      <c r="W390" s="35"/>
    </row>
    <row r="391" spans="21:23" x14ac:dyDescent="0.25">
      <c r="U391" s="18"/>
      <c r="V391" s="3"/>
      <c r="W391" s="35"/>
    </row>
    <row r="392" spans="21:23" x14ac:dyDescent="0.25">
      <c r="U392" s="18"/>
      <c r="V392" s="3"/>
      <c r="W392" s="35"/>
    </row>
    <row r="393" spans="21:23" x14ac:dyDescent="0.25">
      <c r="U393" s="18"/>
      <c r="V393" s="3"/>
      <c r="W393" s="35"/>
    </row>
    <row r="394" spans="21:23" x14ac:dyDescent="0.25">
      <c r="U394" s="18"/>
      <c r="V394" s="3"/>
      <c r="W394" s="35"/>
    </row>
    <row r="395" spans="21:23" x14ac:dyDescent="0.25">
      <c r="U395" s="18"/>
      <c r="V395" s="3"/>
      <c r="W395" s="35"/>
    </row>
    <row r="396" spans="21:23" x14ac:dyDescent="0.25">
      <c r="U396" s="18"/>
      <c r="V396" s="3"/>
      <c r="W396" s="35"/>
    </row>
    <row r="397" spans="21:23" x14ac:dyDescent="0.25">
      <c r="U397" s="18"/>
      <c r="V397" s="3"/>
      <c r="W397" s="35"/>
    </row>
    <row r="398" spans="21:23" x14ac:dyDescent="0.25">
      <c r="U398" s="18"/>
      <c r="V398" s="3"/>
      <c r="W398" s="35"/>
    </row>
    <row r="399" spans="21:23" x14ac:dyDescent="0.25">
      <c r="U399" s="18"/>
      <c r="V399" s="3"/>
      <c r="W399" s="35"/>
    </row>
    <row r="400" spans="21:23" x14ac:dyDescent="0.25">
      <c r="U400" s="18"/>
      <c r="V400" s="3"/>
      <c r="W400" s="35"/>
    </row>
    <row r="401" spans="15:23" x14ac:dyDescent="0.25">
      <c r="U401" s="18"/>
      <c r="V401" s="3"/>
      <c r="W401" s="35"/>
    </row>
    <row r="402" spans="15:23" x14ac:dyDescent="0.25">
      <c r="U402" s="18"/>
      <c r="V402" s="3"/>
      <c r="W402" s="35"/>
    </row>
    <row r="403" spans="15:23" x14ac:dyDescent="0.25">
      <c r="U403" s="18"/>
      <c r="V403" s="3"/>
      <c r="W403" s="35"/>
    </row>
    <row r="404" spans="15:23" x14ac:dyDescent="0.25">
      <c r="U404" s="18"/>
      <c r="V404" s="3"/>
      <c r="W404" s="35"/>
    </row>
    <row r="405" spans="15:23" x14ac:dyDescent="0.25">
      <c r="U405" s="18"/>
      <c r="V405" s="3"/>
      <c r="W405" s="35"/>
    </row>
    <row r="406" spans="15:23" x14ac:dyDescent="0.25">
      <c r="U406" s="18"/>
      <c r="V406" s="3"/>
      <c r="W406" s="35"/>
    </row>
    <row r="407" spans="15:23" x14ac:dyDescent="0.25">
      <c r="U407" s="18"/>
      <c r="V407" s="3"/>
      <c r="W407" s="35"/>
    </row>
    <row r="408" spans="15:23" x14ac:dyDescent="0.25">
      <c r="R408" s="6"/>
      <c r="U408" s="18"/>
      <c r="V408" s="3"/>
      <c r="W408" s="35"/>
    </row>
    <row r="409" spans="15:23" x14ac:dyDescent="0.25">
      <c r="O409" s="5" t="s">
        <v>144</v>
      </c>
      <c r="U409" s="18"/>
      <c r="V409" s="3"/>
      <c r="W409" s="35"/>
    </row>
    <row r="410" spans="15:23" x14ac:dyDescent="0.25">
      <c r="O410" s="5" t="s">
        <v>147</v>
      </c>
      <c r="P410" s="5"/>
      <c r="R410" s="6"/>
      <c r="U410" s="18"/>
      <c r="V410" s="3"/>
      <c r="W410" s="35"/>
    </row>
    <row r="411" spans="15:23" x14ac:dyDescent="0.25">
      <c r="O411" s="18" t="s">
        <v>192</v>
      </c>
      <c r="P411" s="5"/>
      <c r="U411" s="18"/>
      <c r="V411" s="3"/>
      <c r="W411" s="35"/>
    </row>
    <row r="412" spans="15:23" x14ac:dyDescent="0.25">
      <c r="O412" s="5" t="s">
        <v>156</v>
      </c>
      <c r="R412" s="126"/>
      <c r="U412" s="18"/>
      <c r="V412" s="3"/>
      <c r="W412" s="35"/>
    </row>
    <row r="413" spans="15:23" x14ac:dyDescent="0.25">
      <c r="O413" s="5" t="s">
        <v>174</v>
      </c>
      <c r="P413" s="5"/>
      <c r="R413" s="126"/>
      <c r="U413" s="18"/>
      <c r="V413" s="3"/>
      <c r="W413" s="35"/>
    </row>
    <row r="414" spans="15:23" x14ac:dyDescent="0.25">
      <c r="O414" s="5" t="s">
        <v>114</v>
      </c>
      <c r="P414" s="5"/>
      <c r="R414" s="126"/>
      <c r="U414" s="18"/>
      <c r="V414" s="3"/>
      <c r="W414" s="35"/>
    </row>
    <row r="415" spans="15:23" x14ac:dyDescent="0.25">
      <c r="O415" s="5" t="s">
        <v>131</v>
      </c>
      <c r="P415" s="5"/>
      <c r="R415" s="126"/>
      <c r="U415" s="18"/>
      <c r="V415" s="3"/>
      <c r="W415" s="35"/>
    </row>
    <row r="416" spans="15:23" x14ac:dyDescent="0.25">
      <c r="O416" s="5" t="s">
        <v>137</v>
      </c>
      <c r="P416" s="5"/>
      <c r="R416" s="126"/>
      <c r="U416" s="18"/>
      <c r="V416" s="3"/>
      <c r="W416" s="35"/>
    </row>
    <row r="417" spans="15:23" x14ac:dyDescent="0.25">
      <c r="O417" s="5" t="s">
        <v>140</v>
      </c>
      <c r="P417" s="5"/>
      <c r="R417" s="126"/>
      <c r="U417" s="18"/>
      <c r="V417" s="3"/>
      <c r="W417" s="35"/>
    </row>
    <row r="418" spans="15:23" x14ac:dyDescent="0.25">
      <c r="O418" s="5" t="s">
        <v>155</v>
      </c>
      <c r="P418" s="5"/>
      <c r="R418" s="188"/>
      <c r="U418" s="18"/>
      <c r="V418" s="3"/>
      <c r="W418" s="35"/>
    </row>
    <row r="419" spans="15:23" x14ac:dyDescent="0.25">
      <c r="O419" s="5" t="s">
        <v>133</v>
      </c>
      <c r="P419" s="5"/>
      <c r="R419" s="126"/>
      <c r="U419" s="18"/>
      <c r="V419" s="3"/>
      <c r="W419" s="35"/>
    </row>
    <row r="420" spans="15:23" x14ac:dyDescent="0.25">
      <c r="O420" s="5" t="s">
        <v>122</v>
      </c>
      <c r="P420" s="5"/>
      <c r="R420" s="126"/>
      <c r="U420" s="18"/>
      <c r="V420" s="3"/>
      <c r="W420" s="35"/>
    </row>
    <row r="421" spans="15:23" x14ac:dyDescent="0.25">
      <c r="O421" s="5" t="s">
        <v>193</v>
      </c>
      <c r="P421" s="5"/>
      <c r="R421" s="126"/>
      <c r="U421" s="18"/>
      <c r="V421" s="3"/>
      <c r="W421" s="35"/>
    </row>
    <row r="422" spans="15:23" x14ac:dyDescent="0.25">
      <c r="O422" s="5" t="s">
        <v>176</v>
      </c>
      <c r="P422" s="5"/>
      <c r="R422" s="126"/>
      <c r="U422" s="18"/>
      <c r="V422" s="3"/>
      <c r="W422" s="35"/>
    </row>
    <row r="423" spans="15:23" x14ac:dyDescent="0.25">
      <c r="O423" s="5" t="s">
        <v>177</v>
      </c>
      <c r="P423" s="5"/>
      <c r="R423" s="126"/>
      <c r="U423" s="18"/>
      <c r="V423" s="3"/>
      <c r="W423" s="35"/>
    </row>
    <row r="424" spans="15:23" x14ac:dyDescent="0.25">
      <c r="O424" s="5" t="s">
        <v>109</v>
      </c>
      <c r="P424" s="5"/>
      <c r="R424" s="126"/>
      <c r="U424" s="18"/>
      <c r="V424" s="3"/>
      <c r="W424" s="35"/>
    </row>
    <row r="425" spans="15:23" x14ac:dyDescent="0.25">
      <c r="O425" s="5" t="s">
        <v>128</v>
      </c>
      <c r="P425" s="5"/>
      <c r="U425" s="18"/>
      <c r="V425" s="3"/>
      <c r="W425" s="35"/>
    </row>
    <row r="426" spans="15:23" x14ac:dyDescent="0.25">
      <c r="O426" s="5" t="s">
        <v>178</v>
      </c>
      <c r="P426" s="5"/>
      <c r="U426" s="18"/>
      <c r="V426" s="3"/>
      <c r="W426" s="35"/>
    </row>
    <row r="427" spans="15:23" x14ac:dyDescent="0.25">
      <c r="O427" s="5" t="s">
        <v>116</v>
      </c>
      <c r="P427" s="5"/>
      <c r="U427" s="18"/>
      <c r="V427" s="3"/>
      <c r="W427" s="35"/>
    </row>
    <row r="428" spans="15:23" x14ac:dyDescent="0.25">
      <c r="O428" s="5" t="s">
        <v>179</v>
      </c>
      <c r="P428" s="5"/>
      <c r="U428" s="18"/>
    </row>
    <row r="429" spans="15:23" x14ac:dyDescent="0.25">
      <c r="O429" s="5" t="s">
        <v>180</v>
      </c>
      <c r="P429" s="5"/>
      <c r="U429" s="18"/>
    </row>
    <row r="430" spans="15:23" x14ac:dyDescent="0.25">
      <c r="O430" s="5" t="s">
        <v>194</v>
      </c>
      <c r="P430" s="5"/>
      <c r="U430" s="18"/>
    </row>
    <row r="431" spans="15:23" x14ac:dyDescent="0.25">
      <c r="O431" s="5" t="s">
        <v>195</v>
      </c>
      <c r="P431" s="5"/>
      <c r="U431" s="18"/>
    </row>
    <row r="432" spans="15:23" x14ac:dyDescent="0.25">
      <c r="O432" s="5" t="s">
        <v>196</v>
      </c>
      <c r="P432" s="5"/>
      <c r="U432" s="18"/>
      <c r="W432" s="6"/>
    </row>
    <row r="433" spans="15:23" x14ac:dyDescent="0.25">
      <c r="O433" s="5" t="s">
        <v>197</v>
      </c>
      <c r="P433" s="5"/>
      <c r="U433" s="18"/>
      <c r="W433" s="1"/>
    </row>
    <row r="434" spans="15:23" x14ac:dyDescent="0.25">
      <c r="O434" s="5" t="s">
        <v>198</v>
      </c>
      <c r="P434" s="5"/>
      <c r="U434" s="18"/>
      <c r="W434" s="1"/>
    </row>
    <row r="435" spans="15:23" x14ac:dyDescent="0.25">
      <c r="O435" s="5" t="s">
        <v>199</v>
      </c>
      <c r="P435" s="5"/>
      <c r="U435" s="18"/>
      <c r="W435" s="1"/>
    </row>
    <row r="436" spans="15:23" x14ac:dyDescent="0.25">
      <c r="O436" s="5" t="s">
        <v>200</v>
      </c>
      <c r="P436" s="5"/>
      <c r="U436" s="18"/>
      <c r="W436" s="1"/>
    </row>
    <row r="437" spans="15:23" x14ac:dyDescent="0.25">
      <c r="O437" s="5" t="s">
        <v>201</v>
      </c>
      <c r="P437" s="5"/>
      <c r="U437" s="18"/>
      <c r="W437" s="1"/>
    </row>
    <row r="438" spans="15:23" x14ac:dyDescent="0.25">
      <c r="O438" s="5" t="s">
        <v>202</v>
      </c>
      <c r="P438" s="5"/>
      <c r="U438" s="18"/>
      <c r="W438" s="1"/>
    </row>
    <row r="439" spans="15:23" x14ac:dyDescent="0.25">
      <c r="O439" s="5" t="s">
        <v>67</v>
      </c>
      <c r="P439" s="5"/>
      <c r="U439" s="18"/>
      <c r="W439" s="1"/>
    </row>
    <row r="440" spans="15:23" x14ac:dyDescent="0.25">
      <c r="P440" s="5"/>
      <c r="R440" s="3"/>
      <c r="U440" s="18"/>
      <c r="W440" s="1"/>
    </row>
    <row r="441" spans="15:23" x14ac:dyDescent="0.25">
      <c r="U441" s="18"/>
      <c r="W441" s="1"/>
    </row>
    <row r="442" spans="15:23" x14ac:dyDescent="0.25">
      <c r="O442" s="138" t="s">
        <v>181</v>
      </c>
      <c r="U442" s="18"/>
      <c r="W442" s="1"/>
    </row>
    <row r="443" spans="15:23" x14ac:dyDescent="0.25">
      <c r="P443" s="138"/>
      <c r="U443" s="18"/>
      <c r="W443" s="1"/>
    </row>
    <row r="444" spans="15:23" x14ac:dyDescent="0.25">
      <c r="O444" t="s">
        <v>182</v>
      </c>
      <c r="U444" s="18"/>
      <c r="W444" s="63"/>
    </row>
    <row r="445" spans="15:23" x14ac:dyDescent="0.25">
      <c r="O445" t="s">
        <v>183</v>
      </c>
      <c r="U445" s="18"/>
    </row>
    <row r="446" spans="15:23" x14ac:dyDescent="0.25">
      <c r="O446" t="s">
        <v>184</v>
      </c>
      <c r="U446" s="18"/>
      <c r="W446" s="3"/>
    </row>
    <row r="447" spans="15:23" x14ac:dyDescent="0.25">
      <c r="O447" t="s">
        <v>203</v>
      </c>
    </row>
    <row r="448" spans="15:23" x14ac:dyDescent="0.25">
      <c r="O448" t="s">
        <v>204</v>
      </c>
      <c r="S448" s="6"/>
      <c r="U448" s="300"/>
    </row>
    <row r="450" spans="15:23" x14ac:dyDescent="0.25">
      <c r="O450" t="s">
        <v>205</v>
      </c>
      <c r="S450" s="6"/>
      <c r="U450" s="300"/>
    </row>
    <row r="451" spans="15:23" x14ac:dyDescent="0.25">
      <c r="O451" t="s">
        <v>49</v>
      </c>
    </row>
    <row r="452" spans="15:23" x14ac:dyDescent="0.25">
      <c r="O452" t="s">
        <v>207</v>
      </c>
      <c r="S452" s="126"/>
    </row>
    <row r="453" spans="15:23" x14ac:dyDescent="0.25">
      <c r="O453" t="s">
        <v>208</v>
      </c>
      <c r="S453" s="126"/>
    </row>
    <row r="454" spans="15:23" x14ac:dyDescent="0.25">
      <c r="O454" t="s">
        <v>209</v>
      </c>
      <c r="S454" s="126"/>
    </row>
    <row r="455" spans="15:23" x14ac:dyDescent="0.25">
      <c r="O455" t="s">
        <v>50</v>
      </c>
      <c r="S455" s="126"/>
    </row>
    <row r="456" spans="15:23" x14ac:dyDescent="0.25">
      <c r="O456" t="s">
        <v>210</v>
      </c>
      <c r="S456" s="126"/>
    </row>
    <row r="457" spans="15:23" x14ac:dyDescent="0.25">
      <c r="S457" s="126"/>
    </row>
    <row r="458" spans="15:23" x14ac:dyDescent="0.25">
      <c r="O458" t="s">
        <v>211</v>
      </c>
      <c r="S458" s="188"/>
    </row>
    <row r="459" spans="15:23" x14ac:dyDescent="0.25">
      <c r="S459" s="126"/>
      <c r="V459" s="3"/>
      <c r="W459" s="1"/>
    </row>
    <row r="460" spans="15:23" x14ac:dyDescent="0.25">
      <c r="S460" s="126"/>
    </row>
    <row r="461" spans="15:23" x14ac:dyDescent="0.25">
      <c r="S461" s="126"/>
      <c r="U461" s="300"/>
    </row>
    <row r="462" spans="15:23" x14ac:dyDescent="0.25">
      <c r="S462" s="126"/>
      <c r="U462" s="300"/>
    </row>
    <row r="463" spans="15:23" x14ac:dyDescent="0.25">
      <c r="S463" s="126"/>
    </row>
    <row r="464" spans="15:23" x14ac:dyDescent="0.25">
      <c r="S464" s="126"/>
    </row>
    <row r="482" spans="21:21" x14ac:dyDescent="0.25">
      <c r="U482" s="18"/>
    </row>
    <row r="483" spans="21:21" x14ac:dyDescent="0.25">
      <c r="U483" s="18"/>
    </row>
    <row r="484" spans="21:21" x14ac:dyDescent="0.25">
      <c r="U484" s="18"/>
    </row>
    <row r="485" spans="21:21" x14ac:dyDescent="0.25">
      <c r="U485" s="18"/>
    </row>
    <row r="486" spans="21:21" x14ac:dyDescent="0.25">
      <c r="U486" s="18"/>
    </row>
    <row r="487" spans="21:21" x14ac:dyDescent="0.25">
      <c r="U487" s="18"/>
    </row>
    <row r="488" spans="21:21" x14ac:dyDescent="0.25">
      <c r="U488" s="18"/>
    </row>
    <row r="489" spans="21:21" x14ac:dyDescent="0.25">
      <c r="U489" s="18"/>
    </row>
    <row r="490" spans="21:21" x14ac:dyDescent="0.25">
      <c r="U490" s="18"/>
    </row>
    <row r="491" spans="21:21" x14ac:dyDescent="0.25">
      <c r="U491" s="18"/>
    </row>
    <row r="492" spans="21:21" x14ac:dyDescent="0.25">
      <c r="U492" s="18"/>
    </row>
    <row r="493" spans="21:21" x14ac:dyDescent="0.25">
      <c r="U493" s="18"/>
    </row>
    <row r="494" spans="21:21" x14ac:dyDescent="0.25">
      <c r="U494" s="18"/>
    </row>
    <row r="495" spans="21:21" x14ac:dyDescent="0.25">
      <c r="U495" s="18"/>
    </row>
    <row r="496" spans="21:21" x14ac:dyDescent="0.25">
      <c r="U496" s="18"/>
    </row>
    <row r="497" spans="21:21" x14ac:dyDescent="0.25">
      <c r="U497" s="18"/>
    </row>
    <row r="498" spans="21:21" x14ac:dyDescent="0.25">
      <c r="U498" s="18"/>
    </row>
    <row r="499" spans="21:21" x14ac:dyDescent="0.25">
      <c r="U499" s="18"/>
    </row>
    <row r="500" spans="21:21" x14ac:dyDescent="0.25">
      <c r="U500" s="18"/>
    </row>
    <row r="501" spans="21:21" x14ac:dyDescent="0.25">
      <c r="U501" s="18"/>
    </row>
    <row r="502" spans="21:21" x14ac:dyDescent="0.25">
      <c r="U502" s="18"/>
    </row>
    <row r="503" spans="21:21" x14ac:dyDescent="0.25">
      <c r="U503" s="18"/>
    </row>
    <row r="504" spans="21:21" x14ac:dyDescent="0.25">
      <c r="U504" s="18"/>
    </row>
    <row r="505" spans="21:21" x14ac:dyDescent="0.25">
      <c r="U505" s="18"/>
    </row>
    <row r="506" spans="21:21" x14ac:dyDescent="0.25">
      <c r="U506" s="18"/>
    </row>
    <row r="507" spans="21:21" x14ac:dyDescent="0.25">
      <c r="U507" s="18"/>
    </row>
  </sheetData>
  <sortState ref="A49:K66">
    <sortCondition ref="A49:A66"/>
  </sortState>
  <mergeCells count="7">
    <mergeCell ref="N76:N81"/>
    <mergeCell ref="N52:N56"/>
    <mergeCell ref="N57:N59"/>
    <mergeCell ref="N60:N63"/>
    <mergeCell ref="N64:N69"/>
    <mergeCell ref="N70:N72"/>
    <mergeCell ref="N73:N75"/>
  </mergeCells>
  <pageMargins left="0.45" right="0.45" top="0.5" bottom="0.5" header="0.05" footer="0.3"/>
  <pageSetup paperSize="5" scale="47" fitToHeight="2" orientation="landscape" r:id="rId1"/>
  <colBreaks count="1" manualBreakCount="1">
    <brk id="22" max="7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12"/>
  <sheetViews>
    <sheetView showGridLines="0" tabSelected="1" zoomScale="90" zoomScaleNormal="90" zoomScaleSheetLayoutView="100" workbookViewId="0"/>
  </sheetViews>
  <sheetFormatPr defaultRowHeight="15" x14ac:dyDescent="0.25"/>
  <cols>
    <col min="1" max="1" width="32.85546875" bestFit="1" customWidth="1"/>
    <col min="2" max="2" width="23.140625" bestFit="1" customWidth="1"/>
    <col min="3" max="4" width="14.28515625" style="4" customWidth="1"/>
    <col min="5" max="5" width="18" customWidth="1"/>
    <col min="6" max="6" width="15.28515625" customWidth="1"/>
    <col min="7" max="7" width="15.140625" style="1" customWidth="1"/>
    <col min="8" max="8" width="12.7109375" customWidth="1"/>
    <col min="9" max="9" width="14" customWidth="1"/>
    <col min="10" max="10" width="16.42578125" customWidth="1"/>
    <col min="11" max="11" width="2.140625" customWidth="1"/>
    <col min="12" max="13" width="17.7109375" customWidth="1"/>
    <col min="14" max="14" width="14.7109375" customWidth="1"/>
    <col min="15" max="15" width="19.28515625" customWidth="1"/>
    <col min="16" max="16" width="17" customWidth="1"/>
    <col min="17" max="17" width="17.5703125" customWidth="1"/>
    <col min="18" max="18" width="16.140625" bestFit="1" customWidth="1"/>
    <col min="19" max="19" width="24.42578125" customWidth="1"/>
    <col min="20" max="20" width="14.28515625" style="18" bestFit="1" customWidth="1"/>
    <col min="21" max="21" width="16.85546875" style="5" customWidth="1"/>
    <col min="22" max="22" width="14.28515625" customWidth="1"/>
    <col min="23" max="23" width="8.42578125" bestFit="1" customWidth="1"/>
    <col min="24" max="24" width="15.28515625" style="18" bestFit="1" customWidth="1"/>
    <col min="25" max="25" width="14.42578125" style="18" bestFit="1" customWidth="1"/>
    <col min="26" max="27" width="14.42578125" style="18" customWidth="1"/>
    <col min="28" max="28" width="14.28515625" bestFit="1" customWidth="1"/>
    <col min="29" max="29" width="14" bestFit="1" customWidth="1"/>
  </cols>
  <sheetData>
    <row r="1" spans="1:30" ht="18.75" x14ac:dyDescent="0.3">
      <c r="A1" s="73"/>
      <c r="B1" s="74"/>
      <c r="C1" s="73"/>
      <c r="D1" s="73"/>
      <c r="E1" s="73"/>
      <c r="F1" s="75"/>
      <c r="G1" s="73"/>
      <c r="H1" s="73"/>
      <c r="I1" s="73"/>
      <c r="J1" s="73"/>
      <c r="K1" s="73"/>
      <c r="P1" s="4"/>
      <c r="Q1" s="4"/>
      <c r="R1" s="22"/>
      <c r="S1" s="4"/>
      <c r="T1" s="4"/>
      <c r="U1" s="18"/>
      <c r="V1" s="4"/>
      <c r="W1" s="4"/>
      <c r="AA1"/>
    </row>
    <row r="2" spans="1:30" ht="18.75" x14ac:dyDescent="0.3">
      <c r="A2" s="73" t="s">
        <v>4</v>
      </c>
      <c r="B2" s="74"/>
      <c r="C2" s="73"/>
      <c r="D2" s="73"/>
      <c r="E2" s="73"/>
      <c r="F2" s="75"/>
      <c r="G2" s="73"/>
      <c r="H2" s="73"/>
      <c r="I2" s="73"/>
      <c r="J2" s="73"/>
      <c r="K2" s="73"/>
      <c r="P2" s="4"/>
      <c r="Q2" s="4"/>
      <c r="R2" s="22"/>
      <c r="S2" s="4"/>
      <c r="T2" s="4"/>
      <c r="U2" s="18"/>
      <c r="V2" s="4"/>
      <c r="W2" s="4"/>
      <c r="AA2"/>
    </row>
    <row r="3" spans="1:30" ht="18.75" x14ac:dyDescent="0.3">
      <c r="A3" s="73"/>
      <c r="B3" s="74"/>
      <c r="C3" s="73"/>
      <c r="D3" s="73"/>
      <c r="E3" s="73"/>
      <c r="F3" s="73"/>
      <c r="G3" s="75"/>
      <c r="H3" s="73"/>
      <c r="I3" s="73"/>
      <c r="J3" s="73"/>
      <c r="K3" s="73"/>
      <c r="L3" s="73"/>
      <c r="S3" s="4"/>
      <c r="T3" s="4"/>
      <c r="U3" s="18"/>
      <c r="V3" s="4"/>
      <c r="W3" s="4"/>
      <c r="X3"/>
    </row>
    <row r="4" spans="1:30" x14ac:dyDescent="0.25">
      <c r="B4" s="91" t="s">
        <v>185</v>
      </c>
      <c r="C4" s="91" t="s">
        <v>269</v>
      </c>
      <c r="D4" s="91" t="s">
        <v>270</v>
      </c>
      <c r="E4" s="91" t="s">
        <v>271</v>
      </c>
      <c r="F4" s="91" t="s">
        <v>3043</v>
      </c>
      <c r="S4" s="12"/>
      <c r="T4" s="12"/>
      <c r="U4" s="18"/>
      <c r="V4" s="12"/>
      <c r="W4" s="12"/>
      <c r="X4"/>
    </row>
    <row r="5" spans="1:30" x14ac:dyDescent="0.25">
      <c r="C5"/>
      <c r="D5"/>
      <c r="G5" s="27"/>
      <c r="H5" s="27"/>
      <c r="I5" s="27"/>
      <c r="J5" s="27"/>
      <c r="T5"/>
      <c r="U5" s="18"/>
      <c r="V5" s="26"/>
      <c r="W5" s="26"/>
      <c r="X5"/>
    </row>
    <row r="6" spans="1:30" x14ac:dyDescent="0.25">
      <c r="A6" s="59" t="s">
        <v>272</v>
      </c>
      <c r="B6" s="1">
        <f>+'Net Tuition AY'!N25+'Net Tuition AY'!N31</f>
        <v>50858554.600000001</v>
      </c>
      <c r="C6" s="1">
        <f>+'Net Tuition AY'!O25+'Net Tuition AY'!O31</f>
        <v>54162109.609999999</v>
      </c>
      <c r="D6" s="1">
        <f>+'Net Tuition AY'!P25+'Net Tuition AY'!P31</f>
        <v>57832146</v>
      </c>
      <c r="E6" s="1">
        <f>+'Net Tuition AY'!Q25+'Net Tuition AY'!Q31</f>
        <v>61319780.580679737</v>
      </c>
      <c r="F6" s="80">
        <f>+E6/D6-1</f>
        <v>6.0306158804477761E-2</v>
      </c>
      <c r="G6" s="301"/>
      <c r="H6" s="62" t="s">
        <v>15</v>
      </c>
      <c r="I6" s="27"/>
      <c r="J6" s="27"/>
      <c r="S6" s="6"/>
      <c r="T6" s="6"/>
      <c r="U6" s="39"/>
      <c r="V6" s="26"/>
      <c r="W6" s="26"/>
      <c r="X6" s="26"/>
      <c r="AB6" s="18"/>
      <c r="AC6" s="18"/>
      <c r="AD6" s="18"/>
    </row>
    <row r="7" spans="1:30" x14ac:dyDescent="0.25">
      <c r="A7" t="s">
        <v>17</v>
      </c>
      <c r="B7" s="1">
        <f>+'Net Tuition AY'!N55</f>
        <v>5747252</v>
      </c>
      <c r="C7" s="1">
        <f>+'Net Tuition AY'!O55</f>
        <v>5916655.5</v>
      </c>
      <c r="D7" s="1">
        <f>+'Net Tuition AY'!P55</f>
        <v>7033221</v>
      </c>
      <c r="E7" s="1">
        <f>+'Net Tuition AY'!Q55</f>
        <v>8242897</v>
      </c>
      <c r="F7" s="80">
        <f t="shared" ref="F7:F24" si="0">+E7/D7-1</f>
        <v>0.17199459536391637</v>
      </c>
      <c r="G7" s="295" t="s">
        <v>18</v>
      </c>
      <c r="H7" s="27" t="s">
        <v>19</v>
      </c>
      <c r="I7" s="27"/>
      <c r="J7" s="27"/>
      <c r="K7" s="27"/>
      <c r="P7" s="5"/>
      <c r="Q7" s="5"/>
      <c r="R7" s="18"/>
      <c r="S7" s="18"/>
      <c r="U7" s="39"/>
      <c r="V7" s="18"/>
      <c r="W7" s="18"/>
      <c r="X7" s="26"/>
      <c r="AB7" s="18"/>
      <c r="AC7" s="18"/>
      <c r="AD7" s="18"/>
    </row>
    <row r="8" spans="1:30" x14ac:dyDescent="0.25">
      <c r="B8" s="23">
        <f>SUM(B6:B7)</f>
        <v>56605806.600000001</v>
      </c>
      <c r="C8" s="23">
        <f>SUM(C6:C7)</f>
        <v>60078765.109999999</v>
      </c>
      <c r="D8" s="23">
        <f>SUM(D6:D7)</f>
        <v>64865367</v>
      </c>
      <c r="E8" s="23">
        <f>SUM(E6:E7)</f>
        <v>69562677.580679744</v>
      </c>
      <c r="F8" s="80">
        <f t="shared" si="0"/>
        <v>7.2416310859379607E-2</v>
      </c>
      <c r="G8" s="62"/>
      <c r="H8" s="27" t="s">
        <v>20</v>
      </c>
      <c r="I8" s="27"/>
      <c r="J8" s="27"/>
      <c r="K8" s="27"/>
      <c r="P8" s="5"/>
      <c r="Q8" s="5"/>
      <c r="R8" s="18"/>
      <c r="S8" s="18"/>
      <c r="U8" s="18"/>
      <c r="V8" s="18"/>
      <c r="W8" s="18"/>
      <c r="AB8" s="18"/>
      <c r="AC8" s="18"/>
      <c r="AD8" s="18"/>
    </row>
    <row r="9" spans="1:30" x14ac:dyDescent="0.25">
      <c r="B9" s="1"/>
      <c r="C9" s="1"/>
      <c r="D9" s="1"/>
      <c r="E9" s="1"/>
      <c r="F9" s="80"/>
      <c r="G9" s="322"/>
      <c r="H9" s="27" t="s">
        <v>21</v>
      </c>
      <c r="I9" s="27"/>
      <c r="J9" s="27"/>
      <c r="K9" s="27"/>
      <c r="P9" s="5"/>
      <c r="Q9" s="5"/>
      <c r="R9" s="18"/>
      <c r="S9" s="18"/>
      <c r="U9" s="18"/>
      <c r="V9" s="18"/>
      <c r="W9" s="18"/>
      <c r="AB9" s="18"/>
      <c r="AC9" s="18"/>
      <c r="AD9" s="18"/>
    </row>
    <row r="10" spans="1:30" x14ac:dyDescent="0.25">
      <c r="A10" s="59" t="s">
        <v>273</v>
      </c>
      <c r="B10" s="1">
        <f>+'Net Tuition Summer'!L23+'Net Tuition Summer'!L28</f>
        <v>3950284.28</v>
      </c>
      <c r="C10" s="1">
        <f>+'Net Tuition Summer'!M23+'Net Tuition Summer'!M28</f>
        <v>3603802</v>
      </c>
      <c r="D10" s="1">
        <f>+'Net Tuition Summer'!N23+'Net Tuition Summer'!N28</f>
        <v>4136678</v>
      </c>
      <c r="E10" s="1">
        <f>+'Net Tuition Summer'!O23+'Net Tuition Summer'!O28</f>
        <v>4107254.7627745024</v>
      </c>
      <c r="F10" s="80">
        <f t="shared" si="0"/>
        <v>-7.1127695279877834E-3</v>
      </c>
      <c r="G10"/>
      <c r="H10" s="27"/>
      <c r="I10" s="27"/>
      <c r="J10" s="27"/>
      <c r="K10" s="27"/>
      <c r="P10" s="5"/>
      <c r="Q10" s="5"/>
      <c r="R10" s="18"/>
      <c r="S10" s="3"/>
      <c r="T10" s="3"/>
      <c r="U10" s="18"/>
      <c r="V10" s="18"/>
      <c r="AB10" s="18"/>
      <c r="AC10" s="18"/>
      <c r="AD10" s="18"/>
    </row>
    <row r="11" spans="1:30" x14ac:dyDescent="0.25">
      <c r="A11" t="s">
        <v>23</v>
      </c>
      <c r="B11" s="1">
        <f>+'Net Tuition Summer'!L51</f>
        <v>180241</v>
      </c>
      <c r="C11" s="1">
        <f>+'Net Tuition Summer'!M51</f>
        <v>161729</v>
      </c>
      <c r="D11" s="1">
        <f>+'Net Tuition Summer'!N51</f>
        <v>150012</v>
      </c>
      <c r="E11" s="1">
        <f>+'Net Tuition Summer'!O51</f>
        <v>141722</v>
      </c>
      <c r="F11" s="80">
        <f t="shared" si="0"/>
        <v>-5.5262245687011657E-2</v>
      </c>
      <c r="G11"/>
      <c r="H11" s="27"/>
      <c r="I11" s="27"/>
      <c r="J11" s="27"/>
      <c r="K11" s="27"/>
      <c r="P11" s="5"/>
      <c r="Q11" s="5"/>
      <c r="R11" s="18"/>
      <c r="S11" s="3"/>
      <c r="T11" s="3"/>
      <c r="U11" s="18"/>
      <c r="V11" s="18"/>
      <c r="AB11" s="18"/>
      <c r="AC11" s="18"/>
      <c r="AD11" s="18"/>
    </row>
    <row r="12" spans="1:30" x14ac:dyDescent="0.25">
      <c r="B12" s="23">
        <f>SUM(B10:B11)</f>
        <v>4130525.28</v>
      </c>
      <c r="C12" s="23">
        <f>SUM(C10:C11)</f>
        <v>3765531</v>
      </c>
      <c r="D12" s="23">
        <f>SUM(D10:D11)</f>
        <v>4286690</v>
      </c>
      <c r="E12" s="23">
        <f>SUM(E10:E11)</f>
        <v>4248976.7627745029</v>
      </c>
      <c r="F12" s="80">
        <f t="shared" si="0"/>
        <v>-8.7977523976534577E-3</v>
      </c>
      <c r="G12" s="3"/>
      <c r="H12" s="27"/>
      <c r="I12" s="27"/>
      <c r="J12" s="27"/>
      <c r="K12" s="27"/>
      <c r="P12" s="5"/>
      <c r="Q12" s="5"/>
      <c r="R12" s="18"/>
      <c r="S12" s="3"/>
      <c r="T12" s="3"/>
      <c r="U12" s="18"/>
      <c r="V12" s="18"/>
      <c r="AB12" s="18"/>
      <c r="AC12" s="18"/>
      <c r="AD12" s="18"/>
    </row>
    <row r="13" spans="1:30" x14ac:dyDescent="0.25">
      <c r="B13" s="18"/>
      <c r="C13" s="18"/>
      <c r="D13" s="18"/>
      <c r="E13" s="18"/>
      <c r="F13" s="80"/>
      <c r="G13" s="3"/>
      <c r="H13" s="27"/>
      <c r="I13" s="27"/>
      <c r="J13" s="27"/>
      <c r="K13" s="27"/>
      <c r="P13" s="5"/>
      <c r="Q13" s="5"/>
      <c r="R13" s="18"/>
      <c r="S13" s="3"/>
      <c r="T13" s="3"/>
      <c r="U13" s="18"/>
      <c r="V13" s="18"/>
      <c r="AB13" s="18"/>
      <c r="AC13" s="18"/>
      <c r="AD13" s="18"/>
    </row>
    <row r="14" spans="1:30" x14ac:dyDescent="0.25">
      <c r="A14" t="s">
        <v>274</v>
      </c>
      <c r="B14" s="18">
        <f>+B6+B10</f>
        <v>54808838.880000003</v>
      </c>
      <c r="C14" s="18">
        <f t="shared" ref="C14:D14" si="1">+C6+C10</f>
        <v>57765911.609999999</v>
      </c>
      <c r="D14" s="18">
        <f t="shared" si="1"/>
        <v>61968824</v>
      </c>
      <c r="E14" s="18">
        <f>+E6+E10</f>
        <v>65427035.343454242</v>
      </c>
      <c r="F14" s="80">
        <f t="shared" si="0"/>
        <v>5.5805663561636187E-2</v>
      </c>
      <c r="G14" s="3"/>
      <c r="H14" s="27"/>
      <c r="I14" s="27"/>
      <c r="J14" s="27"/>
      <c r="K14" s="27"/>
      <c r="P14" s="5"/>
      <c r="Q14" s="5"/>
      <c r="R14" s="18"/>
      <c r="S14" s="3"/>
      <c r="T14" s="3"/>
      <c r="U14" s="18"/>
      <c r="V14" s="18"/>
      <c r="AB14" s="18"/>
      <c r="AC14" s="18"/>
      <c r="AD14" s="18"/>
    </row>
    <row r="15" spans="1:30" x14ac:dyDescent="0.25">
      <c r="A15" t="s">
        <v>275</v>
      </c>
      <c r="B15" s="1">
        <f>+B7+B11</f>
        <v>5927493</v>
      </c>
      <c r="C15" s="1">
        <f t="shared" ref="C15:D15" si="2">+C7+C11</f>
        <v>6078384.5</v>
      </c>
      <c r="D15" s="1">
        <f t="shared" si="2"/>
        <v>7183233</v>
      </c>
      <c r="E15" s="1">
        <f>+E7+E11</f>
        <v>8384619</v>
      </c>
      <c r="F15" s="80">
        <f t="shared" si="0"/>
        <v>0.16724864695325903</v>
      </c>
      <c r="G15"/>
      <c r="H15" s="27"/>
      <c r="I15" s="27"/>
      <c r="J15" s="27"/>
      <c r="K15" s="27"/>
      <c r="P15" s="5"/>
      <c r="Q15" s="5"/>
      <c r="R15" s="18"/>
      <c r="S15" s="3"/>
      <c r="T15" s="3"/>
      <c r="U15" s="18"/>
      <c r="V15" s="18"/>
      <c r="AB15" s="18"/>
      <c r="AC15" s="18"/>
      <c r="AD15" s="18"/>
    </row>
    <row r="16" spans="1:30" x14ac:dyDescent="0.25">
      <c r="A16" s="59" t="s">
        <v>276</v>
      </c>
      <c r="B16" s="23">
        <f>SUM(B14:B15)</f>
        <v>60736331.880000003</v>
      </c>
      <c r="C16" s="23">
        <f t="shared" ref="C16:E16" si="3">SUM(C14:C15)</f>
        <v>63844296.109999999</v>
      </c>
      <c r="D16" s="23">
        <f t="shared" si="3"/>
        <v>69152057</v>
      </c>
      <c r="E16" s="23">
        <f t="shared" si="3"/>
        <v>73811654.343454242</v>
      </c>
      <c r="F16" s="80">
        <f t="shared" si="0"/>
        <v>6.7381905117504193E-2</v>
      </c>
      <c r="G16" s="27"/>
      <c r="H16" s="27"/>
      <c r="I16" s="27"/>
      <c r="J16" s="27"/>
      <c r="K16" s="27"/>
      <c r="P16" s="5"/>
      <c r="Q16" s="5"/>
      <c r="R16" s="18"/>
      <c r="S16" s="3"/>
      <c r="T16" s="3"/>
      <c r="U16" s="18"/>
      <c r="V16" s="18"/>
      <c r="AB16" s="18"/>
      <c r="AC16" s="18"/>
      <c r="AD16" s="18"/>
    </row>
    <row r="17" spans="1:31" x14ac:dyDescent="0.25">
      <c r="B17" s="10"/>
      <c r="C17" s="10"/>
      <c r="D17" s="10"/>
      <c r="E17" s="10"/>
      <c r="F17" s="80"/>
      <c r="H17" s="3"/>
      <c r="K17" s="27"/>
      <c r="P17" s="5"/>
      <c r="Q17" s="5"/>
      <c r="R17" s="18"/>
      <c r="S17" s="3"/>
      <c r="T17" s="3"/>
      <c r="U17" s="18"/>
      <c r="V17" s="18"/>
      <c r="AB17" s="18"/>
      <c r="AC17" s="18"/>
      <c r="AD17" s="18"/>
    </row>
    <row r="18" spans="1:31" x14ac:dyDescent="0.25">
      <c r="A18" s="59" t="s">
        <v>25</v>
      </c>
      <c r="B18" s="14">
        <f>+Appropriations!J6</f>
        <v>60854268</v>
      </c>
      <c r="C18" s="14">
        <f>+Appropriations!K6</f>
        <v>63143251</v>
      </c>
      <c r="D18" s="14">
        <f>+Appropriations!L6</f>
        <v>66600428</v>
      </c>
      <c r="E18" s="14">
        <f>+Appropriations!M6</f>
        <v>69043468</v>
      </c>
      <c r="F18" s="80">
        <f t="shared" si="0"/>
        <v>3.6682046547809044E-2</v>
      </c>
      <c r="K18" s="27"/>
      <c r="P18" s="18"/>
      <c r="Q18" s="18"/>
      <c r="R18" s="18"/>
      <c r="S18" s="3"/>
      <c r="T18" s="3"/>
      <c r="U18" s="18"/>
      <c r="V18" s="18"/>
      <c r="AB18" s="18"/>
      <c r="AC18" s="18"/>
      <c r="AD18" s="18"/>
    </row>
    <row r="19" spans="1:31" x14ac:dyDescent="0.25">
      <c r="B19" s="1"/>
      <c r="C19" s="1"/>
      <c r="D19" s="1"/>
      <c r="E19" s="1"/>
      <c r="F19" s="80"/>
      <c r="P19" s="18"/>
      <c r="Q19" s="18"/>
      <c r="R19" s="18"/>
      <c r="S19" s="3"/>
      <c r="T19" s="3"/>
      <c r="U19" s="18"/>
      <c r="V19" s="18"/>
      <c r="AB19" s="18"/>
      <c r="AC19" s="18"/>
      <c r="AD19" s="18"/>
    </row>
    <row r="20" spans="1:31" x14ac:dyDescent="0.25">
      <c r="A20" t="s">
        <v>26</v>
      </c>
      <c r="B20" s="45">
        <v>350000</v>
      </c>
      <c r="C20" s="45">
        <v>350000</v>
      </c>
      <c r="D20" s="45">
        <v>350000</v>
      </c>
      <c r="E20" s="45">
        <v>600000</v>
      </c>
      <c r="F20" s="80">
        <f t="shared" si="0"/>
        <v>0.71428571428571419</v>
      </c>
      <c r="P20" s="18"/>
      <c r="Q20" s="18"/>
      <c r="R20" s="18"/>
      <c r="S20" s="3"/>
      <c r="T20" s="3"/>
      <c r="U20" s="18"/>
      <c r="V20" s="18"/>
      <c r="AB20" s="18"/>
      <c r="AC20" s="18"/>
      <c r="AD20" s="18"/>
    </row>
    <row r="21" spans="1:31" x14ac:dyDescent="0.25">
      <c r="B21" s="1"/>
      <c r="C21" s="1"/>
      <c r="D21" s="1"/>
      <c r="E21" s="1"/>
      <c r="F21" s="80"/>
      <c r="P21" s="138"/>
      <c r="Q21" s="138"/>
      <c r="R21" s="138"/>
      <c r="S21" s="3"/>
      <c r="T21" s="3"/>
      <c r="U21" s="18"/>
      <c r="V21" s="18"/>
      <c r="W21" s="18"/>
      <c r="AB21" s="18"/>
      <c r="AC21" s="18"/>
      <c r="AD21" s="18"/>
    </row>
    <row r="22" spans="1:31" x14ac:dyDescent="0.25">
      <c r="A22" t="s">
        <v>27</v>
      </c>
      <c r="B22" s="19">
        <f>SUM(B16:B21)</f>
        <v>121940599.88</v>
      </c>
      <c r="C22" s="19">
        <f>SUM(C16:C21)</f>
        <v>127337547.11</v>
      </c>
      <c r="D22" s="19">
        <f>SUM(D16:D21)</f>
        <v>136102485</v>
      </c>
      <c r="E22" s="19">
        <f>SUM(E16:E21)</f>
        <v>143455122.34345424</v>
      </c>
      <c r="F22" s="80">
        <f t="shared" si="0"/>
        <v>5.4022800123408876E-2</v>
      </c>
      <c r="P22" s="18"/>
      <c r="Q22" s="39"/>
      <c r="R22" s="39"/>
      <c r="S22" s="3"/>
      <c r="T22" s="3"/>
      <c r="U22" s="18"/>
      <c r="V22" s="18"/>
      <c r="W22" s="18"/>
      <c r="AB22" s="18"/>
      <c r="AC22" s="18"/>
      <c r="AD22" s="18"/>
    </row>
    <row r="23" spans="1:31" x14ac:dyDescent="0.25">
      <c r="A23" s="59" t="s">
        <v>29</v>
      </c>
      <c r="B23" s="1">
        <f>B22*-B25</f>
        <v>-609702.99939999997</v>
      </c>
      <c r="C23" s="1">
        <f>C22*-C25</f>
        <v>-636687.73554999998</v>
      </c>
      <c r="D23" s="1">
        <f>D22*-D25</f>
        <v>-680512.42500000005</v>
      </c>
      <c r="E23" s="1">
        <f>E22*-E25</f>
        <v>-1434551.2234345425</v>
      </c>
      <c r="F23" s="80">
        <f t="shared" si="0"/>
        <v>1.1080456002468178</v>
      </c>
      <c r="J23" s="6"/>
      <c r="P23" s="18"/>
      <c r="Q23" s="39"/>
      <c r="R23" s="39"/>
      <c r="S23" s="3"/>
      <c r="T23" s="3"/>
      <c r="U23" s="18"/>
      <c r="V23" s="18"/>
      <c r="W23" s="18"/>
      <c r="AB23" s="18"/>
      <c r="AC23" s="18"/>
      <c r="AD23" s="18"/>
    </row>
    <row r="24" spans="1:31" ht="15.75" thickBot="1" x14ac:dyDescent="0.3">
      <c r="A24" t="s">
        <v>30</v>
      </c>
      <c r="B24" s="24">
        <f>B23+B22</f>
        <v>121330896.88059999</v>
      </c>
      <c r="C24" s="24">
        <f>C23+C22</f>
        <v>126700859.37445</v>
      </c>
      <c r="D24" s="24">
        <f>D23+D22</f>
        <v>135421972.57499999</v>
      </c>
      <c r="E24" s="24">
        <f>E23+E22</f>
        <v>142020571.1200197</v>
      </c>
      <c r="F24" s="80">
        <f t="shared" si="0"/>
        <v>4.8726203137864132E-2</v>
      </c>
      <c r="G24"/>
      <c r="H24" s="1"/>
      <c r="J24" s="72"/>
      <c r="P24" s="18"/>
      <c r="Q24" s="39"/>
      <c r="R24" s="382"/>
      <c r="T24"/>
      <c r="U24" s="18"/>
      <c r="V24" s="18"/>
      <c r="W24" s="18"/>
      <c r="AB24" s="18"/>
      <c r="AC24" s="18"/>
      <c r="AD24" s="18"/>
    </row>
    <row r="25" spans="1:31" ht="16.5" thickTop="1" thickBot="1" x14ac:dyDescent="0.3">
      <c r="A25" t="s">
        <v>188</v>
      </c>
      <c r="B25" s="98">
        <v>5.0000000000000001E-3</v>
      </c>
      <c r="C25" s="98">
        <v>5.0000000000000001E-3</v>
      </c>
      <c r="D25" s="98">
        <v>5.0000000000000001E-3</v>
      </c>
      <c r="E25" s="98">
        <v>0.01</v>
      </c>
      <c r="F25" s="80"/>
      <c r="O25" s="105"/>
      <c r="P25" s="22"/>
      <c r="Q25" s="324"/>
      <c r="S25" s="18"/>
      <c r="U25" s="18"/>
      <c r="V25" s="38"/>
      <c r="AB25" s="18"/>
    </row>
    <row r="26" spans="1:31" ht="14.65" customHeight="1" x14ac:dyDescent="0.25">
      <c r="B26" s="299"/>
      <c r="C26" s="299"/>
      <c r="D26" s="299"/>
      <c r="E26" s="299"/>
      <c r="O26" s="105"/>
      <c r="S26" s="18"/>
      <c r="U26" s="18"/>
      <c r="V26" s="38"/>
      <c r="AB26" s="18"/>
    </row>
    <row r="27" spans="1:31" x14ac:dyDescent="0.25">
      <c r="A27" s="6"/>
      <c r="B27" s="6"/>
      <c r="C27" s="6"/>
      <c r="D27" s="58" t="s">
        <v>277</v>
      </c>
      <c r="E27" s="6"/>
      <c r="F27" s="6" t="s">
        <v>32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72"/>
      <c r="S27" s="72"/>
      <c r="T27" s="39"/>
      <c r="U27" s="15"/>
      <c r="V27" s="6"/>
      <c r="Y27" s="3"/>
      <c r="Z27"/>
      <c r="AB27" s="18"/>
      <c r="AC27" s="18"/>
      <c r="AD27" s="18"/>
      <c r="AE27" s="18"/>
    </row>
    <row r="28" spans="1:31" x14ac:dyDescent="0.25">
      <c r="A28" s="6"/>
      <c r="B28" s="58" t="s">
        <v>36</v>
      </c>
      <c r="C28" s="58"/>
      <c r="D28" s="6" t="s">
        <v>37</v>
      </c>
      <c r="E28" s="15" t="s">
        <v>31</v>
      </c>
      <c r="F28" s="6" t="s">
        <v>37</v>
      </c>
      <c r="G28" s="6"/>
      <c r="H28" s="6"/>
      <c r="I28" s="6"/>
      <c r="J28" s="6" t="s">
        <v>38</v>
      </c>
      <c r="K28" s="6"/>
      <c r="L28" s="69" t="s">
        <v>39</v>
      </c>
      <c r="M28" s="69" t="s">
        <v>40</v>
      </c>
      <c r="N28" s="7" t="s">
        <v>41</v>
      </c>
      <c r="O28" s="6"/>
      <c r="P28" s="7"/>
      <c r="Q28" s="384" t="s">
        <v>278</v>
      </c>
      <c r="R28" s="39"/>
      <c r="S28" s="7" t="s">
        <v>5</v>
      </c>
      <c r="T28" s="7" t="s">
        <v>171</v>
      </c>
      <c r="U28" s="84" t="s">
        <v>218</v>
      </c>
      <c r="V28" s="58" t="s">
        <v>218</v>
      </c>
      <c r="W28" s="3"/>
    </row>
    <row r="29" spans="1:31" x14ac:dyDescent="0.25">
      <c r="A29" s="6"/>
      <c r="B29" s="6" t="s">
        <v>46</v>
      </c>
      <c r="C29" s="6"/>
      <c r="D29" s="6"/>
      <c r="E29" s="15" t="s">
        <v>48</v>
      </c>
      <c r="F29" s="6" t="s">
        <v>47</v>
      </c>
      <c r="G29" s="6" t="s">
        <v>49</v>
      </c>
      <c r="H29" s="6" t="s">
        <v>50</v>
      </c>
      <c r="I29" s="6" t="s">
        <v>51</v>
      </c>
      <c r="J29" s="6" t="s">
        <v>52</v>
      </c>
      <c r="K29" s="6"/>
      <c r="L29" s="6" t="s">
        <v>53</v>
      </c>
      <c r="M29" s="6" t="s">
        <v>52</v>
      </c>
      <c r="N29" s="6" t="s">
        <v>40</v>
      </c>
      <c r="O29" s="6" t="s">
        <v>40</v>
      </c>
      <c r="P29" s="6" t="s">
        <v>5</v>
      </c>
      <c r="Q29" s="385" t="s">
        <v>279</v>
      </c>
      <c r="R29" s="39"/>
      <c r="S29" s="6" t="s">
        <v>55</v>
      </c>
      <c r="T29" s="6" t="s">
        <v>56</v>
      </c>
      <c r="U29" s="39" t="s">
        <v>63</v>
      </c>
      <c r="V29" s="84" t="s">
        <v>280</v>
      </c>
      <c r="W29" s="18"/>
      <c r="Z29"/>
      <c r="AA29"/>
    </row>
    <row r="30" spans="1:31" ht="21.75" customHeight="1" x14ac:dyDescent="0.25">
      <c r="A30" s="6"/>
      <c r="B30" s="378" t="s">
        <v>281</v>
      </c>
      <c r="C30" s="422" t="s">
        <v>65</v>
      </c>
      <c r="D30" s="422" t="s">
        <v>64</v>
      </c>
      <c r="E30" s="16" t="s">
        <v>66</v>
      </c>
      <c r="F30" s="422" t="s">
        <v>64</v>
      </c>
      <c r="G30" s="422" t="s">
        <v>64</v>
      </c>
      <c r="H30" s="422" t="s">
        <v>53</v>
      </c>
      <c r="I30" s="422" t="s">
        <v>67</v>
      </c>
      <c r="J30" s="422" t="s">
        <v>53</v>
      </c>
      <c r="K30" s="6"/>
      <c r="L30" s="422" t="s">
        <v>68</v>
      </c>
      <c r="M30" s="422" t="s">
        <v>53</v>
      </c>
      <c r="N30" s="422" t="s">
        <v>68</v>
      </c>
      <c r="O30" s="422" t="s">
        <v>57</v>
      </c>
      <c r="P30" s="422" t="s">
        <v>64</v>
      </c>
      <c r="Q30" s="386" t="s">
        <v>64</v>
      </c>
      <c r="R30" s="40" t="s">
        <v>173</v>
      </c>
      <c r="S30" s="422" t="s">
        <v>69</v>
      </c>
      <c r="T30" s="422" t="s">
        <v>70</v>
      </c>
      <c r="U30" s="40" t="s">
        <v>64</v>
      </c>
      <c r="V30" s="257" t="s">
        <v>64</v>
      </c>
      <c r="W30" s="379"/>
      <c r="X30" s="379"/>
      <c r="Y30" s="379"/>
      <c r="Z30"/>
      <c r="AA30"/>
    </row>
    <row r="31" spans="1:31" x14ac:dyDescent="0.25">
      <c r="A31" s="270" t="s">
        <v>75</v>
      </c>
      <c r="B31" s="271">
        <f>+'Wtd Rev Alloc - Revised'!I4</f>
        <v>2668440.661361983</v>
      </c>
      <c r="C31" s="272">
        <f t="shared" ref="C31:C44" si="4">+B31/$B$45</f>
        <v>4.3516800551023818E-2</v>
      </c>
      <c r="D31" s="271">
        <f>C51</f>
        <v>0</v>
      </c>
      <c r="E31" s="271">
        <f>+'Summer Credit Hour Allocation'!BH46</f>
        <v>564752.88083503244</v>
      </c>
      <c r="F31" s="271">
        <f>D51</f>
        <v>0</v>
      </c>
      <c r="G31" s="271">
        <f t="shared" ref="G31:G44" si="5">$E$18*C31</f>
        <v>3004550.8263069955</v>
      </c>
      <c r="H31" s="271"/>
      <c r="I31" s="271">
        <f t="shared" ref="I31:I44" si="6">-(+B31+SUM(D31:H31))*$E$25</f>
        <v>-62377.443685040111</v>
      </c>
      <c r="J31" s="271">
        <f>+B31+SUM(D31:I31)</f>
        <v>6175366.9248189712</v>
      </c>
      <c r="K31" s="271"/>
      <c r="L31" s="271">
        <f t="shared" ref="L31:L44" si="7">+D31+F31</f>
        <v>0</v>
      </c>
      <c r="M31" s="271">
        <f>+J31-L31</f>
        <v>6175366.9248189712</v>
      </c>
      <c r="N31" s="273">
        <v>0.46220097627584811</v>
      </c>
      <c r="O31" s="271">
        <f>+M31*N31</f>
        <v>2854260.6215129104</v>
      </c>
      <c r="P31" s="271">
        <f>+O31+L31</f>
        <v>2854260.6215129104</v>
      </c>
      <c r="Q31" s="387"/>
      <c r="R31" s="270">
        <f t="shared" ref="R31:R40" si="8">+P31-Q31</f>
        <v>2854260.6215129104</v>
      </c>
      <c r="S31" s="274">
        <f t="shared" ref="S31:S39" si="9">+P31/J31</f>
        <v>0.46220097627584811</v>
      </c>
      <c r="T31" s="270">
        <f t="shared" ref="T31:T43" si="10">+J31-P31</f>
        <v>3321106.3033060608</v>
      </c>
      <c r="U31" s="270">
        <v>3600000</v>
      </c>
      <c r="V31" s="270">
        <v>3748048</v>
      </c>
      <c r="W31" s="296"/>
      <c r="Y31"/>
      <c r="Z31"/>
      <c r="AA31"/>
    </row>
    <row r="32" spans="1:31" x14ac:dyDescent="0.25">
      <c r="A32" s="5" t="s">
        <v>77</v>
      </c>
      <c r="B32" s="1">
        <f>+'Wtd Rev Alloc - Revised'!I5</f>
        <v>7899760.4312842079</v>
      </c>
      <c r="C32" s="51">
        <f t="shared" si="4"/>
        <v>0.12882890898297208</v>
      </c>
      <c r="D32" s="14">
        <f>C51+C53+C62+C63+C64+C65+C66</f>
        <v>2987656</v>
      </c>
      <c r="E32" s="1">
        <f>+'Summer Credit Hour Allocation'!BH47</f>
        <v>790264.54842364194</v>
      </c>
      <c r="F32" s="14">
        <f>D51+D53+D62+D63+D64+D65+D66</f>
        <v>87782</v>
      </c>
      <c r="G32" s="1">
        <f t="shared" si="5"/>
        <v>8894794.654840745</v>
      </c>
      <c r="H32" s="14"/>
      <c r="I32" s="14">
        <f t="shared" si="6"/>
        <v>-206602.57634548598</v>
      </c>
      <c r="J32" s="14">
        <f t="shared" ref="J32:J44" si="11">+B32+SUM(D32:I32)</f>
        <v>20453655.058203109</v>
      </c>
      <c r="K32" s="14"/>
      <c r="L32" s="1">
        <f t="shared" si="7"/>
        <v>3075438</v>
      </c>
      <c r="M32" s="1">
        <f t="shared" ref="M32:M44" si="12">+J32-L32</f>
        <v>17378217.058203109</v>
      </c>
      <c r="N32" s="111">
        <v>0.55000000000000004</v>
      </c>
      <c r="O32" s="1">
        <f t="shared" ref="O32:O40" si="13">+M32*N32</f>
        <v>9558019.3820117097</v>
      </c>
      <c r="P32" s="14">
        <f t="shared" ref="P32:P43" si="14">+O32+L32</f>
        <v>12633457.38201171</v>
      </c>
      <c r="Q32" s="388"/>
      <c r="R32" s="18">
        <f t="shared" si="8"/>
        <v>12633457.38201171</v>
      </c>
      <c r="S32" s="118">
        <f t="shared" si="9"/>
        <v>0.61766258138517671</v>
      </c>
      <c r="T32" s="18">
        <f t="shared" si="10"/>
        <v>7820197.6761913989</v>
      </c>
      <c r="U32" s="18">
        <v>11350000</v>
      </c>
      <c r="V32" s="18">
        <v>11819067</v>
      </c>
      <c r="W32" s="296"/>
      <c r="Y32"/>
      <c r="Z32"/>
      <c r="AA32"/>
    </row>
    <row r="33" spans="1:27" x14ac:dyDescent="0.25">
      <c r="A33" s="270" t="s">
        <v>79</v>
      </c>
      <c r="B33" s="271">
        <f>+'Wtd Rev Alloc - Revised'!I6</f>
        <v>4764876.2972844755</v>
      </c>
      <c r="C33" s="272">
        <f t="shared" si="4"/>
        <v>7.770537096125496E-2</v>
      </c>
      <c r="D33" s="271">
        <f>C58</f>
        <v>190000</v>
      </c>
      <c r="E33" s="271"/>
      <c r="F33" s="271">
        <f>D58+D67</f>
        <v>0</v>
      </c>
      <c r="G33" s="271">
        <f t="shared" si="5"/>
        <v>5365048.293391536</v>
      </c>
      <c r="H33" s="271"/>
      <c r="I33" s="271">
        <f t="shared" si="6"/>
        <v>-103199.24590676012</v>
      </c>
      <c r="J33" s="271">
        <f t="shared" si="11"/>
        <v>10216725.344769251</v>
      </c>
      <c r="K33" s="271"/>
      <c r="L33" s="271">
        <f t="shared" si="7"/>
        <v>190000</v>
      </c>
      <c r="M33" s="271">
        <f t="shared" si="12"/>
        <v>10026725.344769251</v>
      </c>
      <c r="N33" s="273">
        <v>0.57889243528477141</v>
      </c>
      <c r="O33" s="271">
        <f t="shared" si="13"/>
        <v>5804395.4527650103</v>
      </c>
      <c r="P33" s="271">
        <f t="shared" si="14"/>
        <v>5994395.4527650103</v>
      </c>
      <c r="Q33" s="387"/>
      <c r="R33" s="270">
        <f t="shared" si="8"/>
        <v>5994395.4527650103</v>
      </c>
      <c r="S33" s="274">
        <f t="shared" si="9"/>
        <v>0.5867237544791214</v>
      </c>
      <c r="T33" s="270">
        <f t="shared" si="10"/>
        <v>4222329.8920042403</v>
      </c>
      <c r="U33" s="270">
        <v>4600000</v>
      </c>
      <c r="V33" s="270">
        <v>4976050</v>
      </c>
      <c r="W33" s="296"/>
      <c r="Y33"/>
      <c r="Z33"/>
      <c r="AA33"/>
    </row>
    <row r="34" spans="1:27" x14ac:dyDescent="0.25">
      <c r="A34" s="5" t="s">
        <v>81</v>
      </c>
      <c r="B34" s="1">
        <f>+'Wtd Rev Alloc - Revised'!I7</f>
        <v>22351822.54841372</v>
      </c>
      <c r="C34" s="51">
        <f t="shared" si="4"/>
        <v>0.36451243524925792</v>
      </c>
      <c r="D34" s="14">
        <f>C67</f>
        <v>100000</v>
      </c>
      <c r="E34" s="1">
        <f>+'Summer Credit Hour Allocation'!BH49</f>
        <v>1557938.9816138826</v>
      </c>
      <c r="F34" s="14"/>
      <c r="G34" s="1">
        <f t="shared" si="5"/>
        <v>25167202.65873421</v>
      </c>
      <c r="H34" s="14"/>
      <c r="I34" s="14">
        <f t="shared" si="6"/>
        <v>-491769.64188761817</v>
      </c>
      <c r="J34" s="14">
        <f t="shared" si="11"/>
        <v>48685194.546874195</v>
      </c>
      <c r="K34" s="14"/>
      <c r="L34" s="1">
        <f t="shared" si="7"/>
        <v>100000</v>
      </c>
      <c r="M34" s="1">
        <f t="shared" si="12"/>
        <v>48585194.546874195</v>
      </c>
      <c r="N34" s="111">
        <v>0.48292317766690557</v>
      </c>
      <c r="O34" s="1">
        <f t="shared" si="13"/>
        <v>23462916.538141299</v>
      </c>
      <c r="P34" s="14">
        <f t="shared" si="14"/>
        <v>23562916.538141299</v>
      </c>
      <c r="Q34" s="388"/>
      <c r="R34" s="18">
        <f t="shared" si="8"/>
        <v>23562916.538141299</v>
      </c>
      <c r="S34" s="118">
        <f t="shared" si="9"/>
        <v>0.48398525994293562</v>
      </c>
      <c r="T34" s="18">
        <f t="shared" si="10"/>
        <v>25122278.008732896</v>
      </c>
      <c r="U34" s="18">
        <v>25160000</v>
      </c>
      <c r="V34" s="18">
        <v>24565465</v>
      </c>
      <c r="W34" s="296"/>
      <c r="Y34"/>
      <c r="Z34"/>
      <c r="AA34"/>
    </row>
    <row r="35" spans="1:27" x14ac:dyDescent="0.25">
      <c r="A35" s="270" t="s">
        <v>83</v>
      </c>
      <c r="B35" s="271">
        <f>+'Wtd Rev Alloc - Revised'!I8</f>
        <v>6078478.3609471507</v>
      </c>
      <c r="C35" s="272">
        <f t="shared" si="4"/>
        <v>9.9127529540807294E-2</v>
      </c>
      <c r="D35" s="271">
        <f>C52</f>
        <v>0</v>
      </c>
      <c r="E35" s="271">
        <f>+'Summer Credit Hour Allocation'!BH50</f>
        <v>350536.27086312359</v>
      </c>
      <c r="F35" s="271">
        <f>D52</f>
        <v>0</v>
      </c>
      <c r="G35" s="271">
        <f t="shared" si="5"/>
        <v>6844108.4137697835</v>
      </c>
      <c r="H35" s="271"/>
      <c r="I35" s="271">
        <f t="shared" si="6"/>
        <v>-132731.23045580057</v>
      </c>
      <c r="J35" s="271">
        <f t="shared" si="11"/>
        <v>13140391.815124257</v>
      </c>
      <c r="K35" s="271"/>
      <c r="L35" s="271">
        <f t="shared" si="7"/>
        <v>0</v>
      </c>
      <c r="M35" s="271">
        <f t="shared" si="12"/>
        <v>13140391.815124257</v>
      </c>
      <c r="N35" s="273">
        <v>0.55875985952710761</v>
      </c>
      <c r="O35" s="271">
        <f t="shared" si="13"/>
        <v>7342323.484749984</v>
      </c>
      <c r="P35" s="271">
        <f t="shared" si="14"/>
        <v>7342323.484749984</v>
      </c>
      <c r="Q35" s="387"/>
      <c r="R35" s="270">
        <f t="shared" si="8"/>
        <v>7342323.484749984</v>
      </c>
      <c r="S35" s="274">
        <f t="shared" si="9"/>
        <v>0.55875985952710761</v>
      </c>
      <c r="T35" s="270">
        <f t="shared" si="10"/>
        <v>5798068.3303742725</v>
      </c>
      <c r="U35" s="270">
        <v>7250000</v>
      </c>
      <c r="V35" s="270">
        <v>7222209</v>
      </c>
      <c r="W35" s="296"/>
      <c r="Y35"/>
      <c r="Z35"/>
      <c r="AA35"/>
    </row>
    <row r="36" spans="1:27" x14ac:dyDescent="0.25">
      <c r="A36" s="5" t="s">
        <v>85</v>
      </c>
      <c r="B36" s="1">
        <f>+'Wtd Rev Alloc - Revised'!I9</f>
        <v>582933.465321386</v>
      </c>
      <c r="C36" s="51">
        <f t="shared" si="4"/>
        <v>9.5064506069849394E-3</v>
      </c>
      <c r="D36" s="14"/>
      <c r="E36" s="1">
        <f>+'Summer Credit Hour Allocation'!BH51</f>
        <v>11684.542362104119</v>
      </c>
      <c r="F36" s="14"/>
      <c r="G36" s="1">
        <f t="shared" si="5"/>
        <v>656358.31827694527</v>
      </c>
      <c r="H36" s="14"/>
      <c r="I36" s="14">
        <f t="shared" si="6"/>
        <v>-12509.763259604355</v>
      </c>
      <c r="J36" s="14">
        <f t="shared" si="11"/>
        <v>1238466.5627008311</v>
      </c>
      <c r="K36" s="14"/>
      <c r="L36" s="1">
        <f t="shared" si="7"/>
        <v>0</v>
      </c>
      <c r="M36" s="1">
        <f t="shared" si="12"/>
        <v>1238466.5627008311</v>
      </c>
      <c r="N36" s="111">
        <v>0.8070693993178123</v>
      </c>
      <c r="O36" s="1">
        <f t="shared" si="13"/>
        <v>999528.46483415551</v>
      </c>
      <c r="P36" s="14">
        <f t="shared" si="14"/>
        <v>999528.46483415551</v>
      </c>
      <c r="Q36" s="388"/>
      <c r="R36" s="18">
        <f t="shared" si="8"/>
        <v>999528.46483415551</v>
      </c>
      <c r="S36" s="118">
        <f t="shared" si="9"/>
        <v>0.8070693993178123</v>
      </c>
      <c r="T36" s="18">
        <f t="shared" si="10"/>
        <v>238938.09786667558</v>
      </c>
      <c r="U36" s="18">
        <v>570000</v>
      </c>
      <c r="V36" s="18">
        <v>580626</v>
      </c>
      <c r="W36" s="296"/>
      <c r="Y36"/>
      <c r="Z36"/>
      <c r="AA36"/>
    </row>
    <row r="37" spans="1:27" x14ac:dyDescent="0.25">
      <c r="A37" s="270" t="s">
        <v>87</v>
      </c>
      <c r="B37" s="271">
        <f>+'Wtd Rev Alloc - Revised'!I10</f>
        <v>6331619.3697060701</v>
      </c>
      <c r="C37" s="272">
        <f t="shared" si="4"/>
        <v>0.10325574080252009</v>
      </c>
      <c r="D37" s="271">
        <f>C54</f>
        <v>514613</v>
      </c>
      <c r="E37" s="271">
        <f>+'Summer Credit Hour Allocation'!BH52</f>
        <v>417917.13181792403</v>
      </c>
      <c r="F37" s="271">
        <f>D54</f>
        <v>28700</v>
      </c>
      <c r="G37" s="271">
        <f t="shared" si="5"/>
        <v>7129134.4359150901</v>
      </c>
      <c r="H37" s="271"/>
      <c r="I37" s="271">
        <f t="shared" si="6"/>
        <v>-144219.83937439084</v>
      </c>
      <c r="J37" s="271">
        <f t="shared" si="11"/>
        <v>14277764.098064695</v>
      </c>
      <c r="K37" s="271"/>
      <c r="L37" s="271">
        <f t="shared" si="7"/>
        <v>543313</v>
      </c>
      <c r="M37" s="271">
        <f t="shared" si="12"/>
        <v>13734451.098064695</v>
      </c>
      <c r="N37" s="273">
        <v>0.56987030559154417</v>
      </c>
      <c r="O37" s="271">
        <f t="shared" si="13"/>
        <v>7826855.844386247</v>
      </c>
      <c r="P37" s="271">
        <f t="shared" si="14"/>
        <v>8370168.844386247</v>
      </c>
      <c r="Q37" s="387"/>
      <c r="R37" s="270">
        <f t="shared" si="8"/>
        <v>8370168.844386247</v>
      </c>
      <c r="S37" s="274">
        <f t="shared" si="9"/>
        <v>0.58623806829255543</v>
      </c>
      <c r="T37" s="270">
        <f t="shared" si="10"/>
        <v>5907595.2536784476</v>
      </c>
      <c r="U37" s="270">
        <v>6275000</v>
      </c>
      <c r="V37" s="270">
        <v>6548928</v>
      </c>
      <c r="W37" s="296"/>
      <c r="Y37"/>
      <c r="Z37"/>
      <c r="AA37"/>
    </row>
    <row r="38" spans="1:27" ht="15.75" customHeight="1" x14ac:dyDescent="0.25">
      <c r="A38" s="5" t="s">
        <v>89</v>
      </c>
      <c r="B38" s="1">
        <f>+'Wtd Rev Alloc - Revised'!I11</f>
        <v>2135820.2525062948</v>
      </c>
      <c r="C38" s="51">
        <f t="shared" si="4"/>
        <v>3.4830852822380069E-2</v>
      </c>
      <c r="D38" s="14">
        <f>C59+C60</f>
        <v>4232788</v>
      </c>
      <c r="E38" s="1">
        <f>+'Summer Credit Hour Allocation'!BH53</f>
        <v>161636.16934244032</v>
      </c>
      <c r="F38" s="14">
        <f>D59+D60</f>
        <v>23740</v>
      </c>
      <c r="G38" s="1">
        <f t="shared" si="5"/>
        <v>2404842.8722547079</v>
      </c>
      <c r="H38" s="14"/>
      <c r="I38" s="14">
        <f t="shared" si="6"/>
        <v>-89588.272941034433</v>
      </c>
      <c r="J38" s="14">
        <f t="shared" si="11"/>
        <v>8869239.0211624093</v>
      </c>
      <c r="K38" s="14"/>
      <c r="L38" s="1">
        <f t="shared" si="7"/>
        <v>4256528</v>
      </c>
      <c r="M38" s="1">
        <f t="shared" si="12"/>
        <v>4612711.0211624093</v>
      </c>
      <c r="N38" s="111">
        <v>0.87295948582682992</v>
      </c>
      <c r="O38" s="1">
        <f t="shared" si="13"/>
        <v>4026709.8413016885</v>
      </c>
      <c r="P38" s="14">
        <f t="shared" si="14"/>
        <v>8283237.8413016889</v>
      </c>
      <c r="Q38" s="388"/>
      <c r="R38" s="18">
        <f t="shared" si="8"/>
        <v>8283237.8413016889</v>
      </c>
      <c r="S38" s="118">
        <f t="shared" si="9"/>
        <v>0.93392880962363345</v>
      </c>
      <c r="T38" s="18">
        <f t="shared" si="10"/>
        <v>586001.17986072041</v>
      </c>
      <c r="U38" s="18">
        <v>5100000</v>
      </c>
      <c r="V38" s="18">
        <v>5595579</v>
      </c>
      <c r="W38" s="296"/>
      <c r="Y38"/>
      <c r="Z38"/>
      <c r="AA38"/>
    </row>
    <row r="39" spans="1:27" x14ac:dyDescent="0.25">
      <c r="A39" s="270" t="s">
        <v>91</v>
      </c>
      <c r="B39" s="271">
        <f>+'Wtd Rev Alloc - Revised'!I12</f>
        <v>3513080.1146675134</v>
      </c>
      <c r="C39" s="272">
        <f t="shared" si="4"/>
        <v>5.729113968444946E-2</v>
      </c>
      <c r="D39" s="271">
        <f>C55+C56+C61</f>
        <v>217840</v>
      </c>
      <c r="E39" s="271">
        <f>+'Summer Credit Hour Allocation'!BH56</f>
        <v>252524.23751635355</v>
      </c>
      <c r="F39" s="271">
        <f>D55+D56+D61</f>
        <v>1500</v>
      </c>
      <c r="G39" s="271">
        <f t="shared" si="5"/>
        <v>3955578.9694868163</v>
      </c>
      <c r="H39" s="271"/>
      <c r="I39" s="271">
        <f t="shared" si="6"/>
        <v>-79405.233216706838</v>
      </c>
      <c r="J39" s="271">
        <f t="shared" si="11"/>
        <v>7861118.0884539764</v>
      </c>
      <c r="K39" s="271"/>
      <c r="L39" s="271">
        <f t="shared" si="7"/>
        <v>219340</v>
      </c>
      <c r="M39" s="271">
        <f t="shared" si="12"/>
        <v>7641778.0884539764</v>
      </c>
      <c r="N39" s="273">
        <v>0.68792638407917106</v>
      </c>
      <c r="O39" s="271">
        <f t="shared" si="13"/>
        <v>5256980.768325584</v>
      </c>
      <c r="P39" s="271">
        <f t="shared" si="14"/>
        <v>5476320.768325584</v>
      </c>
      <c r="Q39" s="387"/>
      <c r="R39" s="270">
        <f t="shared" si="8"/>
        <v>5476320.768325584</v>
      </c>
      <c r="S39" s="274">
        <f t="shared" si="9"/>
        <v>0.6966338257109933</v>
      </c>
      <c r="T39" s="270">
        <f t="shared" si="10"/>
        <v>2384797.3201283924</v>
      </c>
      <c r="U39" s="270">
        <v>4800000</v>
      </c>
      <c r="V39" s="270">
        <v>5590230</v>
      </c>
      <c r="W39" s="296"/>
      <c r="Y39"/>
      <c r="Z39"/>
      <c r="AA39"/>
    </row>
    <row r="40" spans="1:27" ht="15.75" customHeight="1" x14ac:dyDescent="0.25">
      <c r="A40" s="5" t="s">
        <v>219</v>
      </c>
      <c r="B40" s="1">
        <f>+'Wtd Rev Alloc - Revised'!I13</f>
        <v>3073718.3401058265</v>
      </c>
      <c r="C40" s="51">
        <f t="shared" si="4"/>
        <v>5.0126049229117363E-2</v>
      </c>
      <c r="D40" s="14">
        <f>C68</f>
        <v>0</v>
      </c>
      <c r="E40" s="1"/>
      <c r="F40" s="14">
        <f>D68</f>
        <v>0</v>
      </c>
      <c r="G40" s="1">
        <f t="shared" si="5"/>
        <v>3460876.2759169894</v>
      </c>
      <c r="H40" s="14"/>
      <c r="I40" s="14">
        <f t="shared" si="6"/>
        <v>-65345.946160228159</v>
      </c>
      <c r="J40" s="14">
        <f t="shared" si="11"/>
        <v>6469248.6698625879</v>
      </c>
      <c r="K40" s="14"/>
      <c r="L40" s="1">
        <f t="shared" si="7"/>
        <v>0</v>
      </c>
      <c r="M40" s="1">
        <f t="shared" si="12"/>
        <v>6469248.6698625879</v>
      </c>
      <c r="N40" s="111">
        <v>0.53500000000000003</v>
      </c>
      <c r="O40" s="1">
        <f t="shared" si="13"/>
        <v>3461048.0383764845</v>
      </c>
      <c r="P40" s="14">
        <f t="shared" si="14"/>
        <v>3461048.0383764845</v>
      </c>
      <c r="Q40" s="388"/>
      <c r="R40" s="18">
        <f t="shared" si="8"/>
        <v>3461048.0383764845</v>
      </c>
      <c r="S40" s="118"/>
      <c r="T40" s="18">
        <f t="shared" si="10"/>
        <v>3008200.6314861034</v>
      </c>
      <c r="U40" s="18">
        <f>795000+209350</f>
        <v>1004350</v>
      </c>
      <c r="V40" s="18">
        <v>0</v>
      </c>
      <c r="W40" s="296"/>
      <c r="Y40"/>
      <c r="Z40"/>
      <c r="AA40"/>
    </row>
    <row r="41" spans="1:27" x14ac:dyDescent="0.25">
      <c r="A41" s="270" t="s">
        <v>92</v>
      </c>
      <c r="B41" s="271">
        <f>+'Wtd Rev Alloc - Revised'!I14</f>
        <v>0</v>
      </c>
      <c r="C41" s="272">
        <f t="shared" si="4"/>
        <v>0</v>
      </c>
      <c r="D41" s="271"/>
      <c r="E41" s="271"/>
      <c r="F41" s="271"/>
      <c r="G41" s="271">
        <f t="shared" si="5"/>
        <v>0</v>
      </c>
      <c r="H41" s="271"/>
      <c r="I41" s="271">
        <f t="shared" si="6"/>
        <v>0</v>
      </c>
      <c r="J41" s="271">
        <f t="shared" si="11"/>
        <v>0</v>
      </c>
      <c r="K41" s="271"/>
      <c r="L41" s="271">
        <f t="shared" si="7"/>
        <v>0</v>
      </c>
      <c r="M41" s="271">
        <f t="shared" si="12"/>
        <v>0</v>
      </c>
      <c r="N41" s="273"/>
      <c r="O41" s="271"/>
      <c r="P41" s="271">
        <f t="shared" si="14"/>
        <v>0</v>
      </c>
      <c r="Q41" s="387"/>
      <c r="R41" s="270"/>
      <c r="S41" s="274"/>
      <c r="T41" s="270">
        <f t="shared" si="10"/>
        <v>0</v>
      </c>
      <c r="U41" s="270"/>
      <c r="V41" s="270"/>
      <c r="W41" s="296"/>
      <c r="Y41"/>
      <c r="Z41"/>
      <c r="AA41"/>
    </row>
    <row r="42" spans="1:27" ht="15.75" customHeight="1" x14ac:dyDescent="0.25">
      <c r="A42" s="5" t="s">
        <v>191</v>
      </c>
      <c r="B42" s="1">
        <f>+'Wtd Rev Alloc - Revised'!I15</f>
        <v>1919230.739081102</v>
      </c>
      <c r="C42" s="51">
        <f t="shared" si="4"/>
        <v>3.1298721569232128E-2</v>
      </c>
      <c r="D42" s="14"/>
      <c r="E42" s="1"/>
      <c r="F42" s="14"/>
      <c r="G42" s="1">
        <f t="shared" si="5"/>
        <v>2160972.2811061884</v>
      </c>
      <c r="H42" s="14"/>
      <c r="I42" s="14">
        <f t="shared" si="6"/>
        <v>-40802.030201872905</v>
      </c>
      <c r="J42" s="14">
        <f t="shared" si="11"/>
        <v>4039400.9899854176</v>
      </c>
      <c r="K42" s="14"/>
      <c r="L42" s="1">
        <f t="shared" si="7"/>
        <v>0</v>
      </c>
      <c r="M42" s="1">
        <f t="shared" si="12"/>
        <v>4039400.9899854176</v>
      </c>
      <c r="N42" s="111"/>
      <c r="O42" s="1"/>
      <c r="P42" s="14">
        <f t="shared" si="14"/>
        <v>0</v>
      </c>
      <c r="Q42" s="388"/>
      <c r="R42" s="18"/>
      <c r="S42" s="118"/>
      <c r="T42" s="18">
        <f t="shared" si="10"/>
        <v>4039400.9899854176</v>
      </c>
      <c r="U42" s="18"/>
      <c r="V42" s="18"/>
      <c r="W42" s="296"/>
      <c r="Y42"/>
      <c r="Z42"/>
      <c r="AA42"/>
    </row>
    <row r="43" spans="1:27" x14ac:dyDescent="0.25">
      <c r="A43" s="270" t="s">
        <v>95</v>
      </c>
      <c r="B43" s="271">
        <f>+'Wtd Rev Alloc - Revised'!I16</f>
        <v>0</v>
      </c>
      <c r="C43" s="272">
        <f t="shared" si="4"/>
        <v>0</v>
      </c>
      <c r="D43" s="271"/>
      <c r="E43" s="271"/>
      <c r="F43" s="271"/>
      <c r="G43" s="271">
        <f t="shared" si="5"/>
        <v>0</v>
      </c>
      <c r="H43" s="271"/>
      <c r="I43" s="271">
        <f t="shared" si="6"/>
        <v>0</v>
      </c>
      <c r="J43" s="271">
        <f t="shared" si="11"/>
        <v>0</v>
      </c>
      <c r="K43" s="271"/>
      <c r="L43" s="271">
        <f t="shared" si="7"/>
        <v>0</v>
      </c>
      <c r="M43" s="271">
        <f t="shared" si="12"/>
        <v>0</v>
      </c>
      <c r="N43" s="273"/>
      <c r="O43" s="271"/>
      <c r="P43" s="271">
        <f t="shared" si="14"/>
        <v>0</v>
      </c>
      <c r="Q43" s="387"/>
      <c r="R43" s="270"/>
      <c r="S43" s="274"/>
      <c r="T43" s="270">
        <f t="shared" si="10"/>
        <v>0</v>
      </c>
      <c r="U43" s="270"/>
      <c r="V43" s="270"/>
      <c r="W43" s="296"/>
      <c r="Y43"/>
      <c r="Z43"/>
      <c r="AA43"/>
    </row>
    <row r="44" spans="1:27" ht="15.75" customHeight="1" x14ac:dyDescent="0.25">
      <c r="A44" s="5" t="s">
        <v>97</v>
      </c>
      <c r="B44" s="1">
        <f>+'Wtd Rev Alloc - Revised'!I35</f>
        <v>0</v>
      </c>
      <c r="C44" s="51">
        <f t="shared" si="4"/>
        <v>0</v>
      </c>
      <c r="D44" s="14"/>
      <c r="E44" s="1"/>
      <c r="F44" s="14"/>
      <c r="G44" s="1">
        <f t="shared" si="5"/>
        <v>0</v>
      </c>
      <c r="H44" s="14">
        <f>+E20</f>
        <v>600000</v>
      </c>
      <c r="I44" s="14">
        <f t="shared" si="6"/>
        <v>-6000</v>
      </c>
      <c r="J44" s="14">
        <f t="shared" si="11"/>
        <v>594000</v>
      </c>
      <c r="K44" s="14"/>
      <c r="L44" s="1">
        <f t="shared" si="7"/>
        <v>0</v>
      </c>
      <c r="M44" s="1">
        <f t="shared" si="12"/>
        <v>594000</v>
      </c>
      <c r="N44" s="111"/>
      <c r="O44" s="1"/>
      <c r="P44" s="14"/>
      <c r="Q44" s="388"/>
      <c r="R44" s="18"/>
      <c r="S44" s="118"/>
      <c r="T44" s="18">
        <f>+J44-P44-B23</f>
        <v>1203702.9994000001</v>
      </c>
      <c r="U44" s="18"/>
      <c r="V44" s="18"/>
      <c r="W44" s="296"/>
      <c r="Y44"/>
      <c r="Z44"/>
      <c r="AA44"/>
    </row>
    <row r="45" spans="1:27" ht="15.75" thickBot="1" x14ac:dyDescent="0.3">
      <c r="B45" s="25">
        <f t="shared" ref="B45:J45" si="15">SUM(B31:B44)</f>
        <v>61319780.580679722</v>
      </c>
      <c r="C45" s="61">
        <f>SUM(C31:C44)</f>
        <v>1.0000000000000002</v>
      </c>
      <c r="D45" s="25">
        <f t="shared" si="15"/>
        <v>8242897</v>
      </c>
      <c r="E45" s="25">
        <f t="shared" si="15"/>
        <v>4107254.7627745024</v>
      </c>
      <c r="F45" s="25">
        <f t="shared" si="15"/>
        <v>141722</v>
      </c>
      <c r="G45" s="25">
        <f t="shared" si="15"/>
        <v>69043468</v>
      </c>
      <c r="H45" s="25">
        <f t="shared" si="15"/>
        <v>600000</v>
      </c>
      <c r="I45" s="25">
        <f t="shared" si="15"/>
        <v>-1434551.2234345425</v>
      </c>
      <c r="J45" s="25">
        <f t="shared" si="15"/>
        <v>142020571.1200197</v>
      </c>
      <c r="K45" s="3"/>
      <c r="L45" s="25">
        <f>SUM(L31:L44)</f>
        <v>8384619</v>
      </c>
      <c r="M45" s="25">
        <f>SUM(M31:M44)</f>
        <v>133635952.1200197</v>
      </c>
      <c r="N45" s="3"/>
      <c r="O45" s="25">
        <f>SUM(O31:O44)</f>
        <v>70593038.436405078</v>
      </c>
      <c r="P45" s="19">
        <f>SUM(P31:P44)</f>
        <v>78977657.436405078</v>
      </c>
      <c r="Q45" s="389">
        <f>SUM(Q31:Q44)</f>
        <v>0</v>
      </c>
      <c r="R45" s="19">
        <f>SUM(R31:R44)</f>
        <v>78977657.436405078</v>
      </c>
      <c r="S45" s="3"/>
      <c r="T45" s="78">
        <f>SUM(T31:T44)</f>
        <v>63652616.683014624</v>
      </c>
      <c r="U45" s="78">
        <f>SUM(U31:U44)</f>
        <v>69709350</v>
      </c>
      <c r="V45" s="78">
        <f>SUM(V31:V44)</f>
        <v>70646202</v>
      </c>
      <c r="W45" s="5"/>
      <c r="Y45"/>
      <c r="Z45"/>
      <c r="AA45"/>
    </row>
    <row r="46" spans="1:27" x14ac:dyDescent="0.25">
      <c r="A46" t="s">
        <v>220</v>
      </c>
      <c r="B46" s="3">
        <f>+B45-E6</f>
        <v>0</v>
      </c>
      <c r="C46" s="296"/>
      <c r="D46" s="3">
        <f>+D45-E7</f>
        <v>0</v>
      </c>
      <c r="E46" s="3">
        <f>+E45-E10</f>
        <v>0</v>
      </c>
      <c r="F46" s="3">
        <f>+F45-E11</f>
        <v>0</v>
      </c>
      <c r="G46" s="3">
        <f>+G45-E18</f>
        <v>0</v>
      </c>
      <c r="H46" s="3">
        <f>+H45-E20</f>
        <v>0</v>
      </c>
      <c r="I46" s="3">
        <f>+I45-E23</f>
        <v>0</v>
      </c>
      <c r="J46" s="3">
        <f>+J45-E24</f>
        <v>0</v>
      </c>
      <c r="K46" s="3"/>
      <c r="L46" s="3">
        <f>+L45-E69</f>
        <v>0</v>
      </c>
      <c r="M46" s="3"/>
      <c r="N46" s="3"/>
      <c r="O46" s="3"/>
      <c r="P46" s="460">
        <f>P45/E24</f>
        <v>0.55610012559139832</v>
      </c>
      <c r="Q46" s="390"/>
      <c r="R46" s="457"/>
      <c r="S46" s="458"/>
      <c r="T46" s="5"/>
      <c r="V46" s="5"/>
      <c r="W46" s="296"/>
      <c r="Y46"/>
      <c r="Z46"/>
      <c r="AA46"/>
    </row>
    <row r="47" spans="1:27" x14ac:dyDescent="0.25">
      <c r="B47" s="3"/>
      <c r="C47" s="29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461">
        <f>Q47/E24</f>
        <v>0.52234842047852281</v>
      </c>
      <c r="Q47" s="390">
        <v>74184221</v>
      </c>
      <c r="R47" s="457"/>
      <c r="S47" s="459"/>
      <c r="T47" s="5"/>
      <c r="V47" s="5"/>
      <c r="W47" s="296"/>
      <c r="Y47"/>
      <c r="Z47"/>
      <c r="AA47"/>
    </row>
    <row r="48" spans="1:27" x14ac:dyDescent="0.25">
      <c r="B48" s="1"/>
      <c r="C48" s="48"/>
      <c r="D48" s="187"/>
      <c r="E48" s="48">
        <v>2024</v>
      </c>
      <c r="F48" s="48"/>
      <c r="G48" s="187"/>
      <c r="H48" s="48"/>
      <c r="O48" s="248"/>
      <c r="Q48" s="391"/>
      <c r="S48" s="18" t="s">
        <v>144</v>
      </c>
      <c r="U48"/>
      <c r="V48" s="5"/>
      <c r="W48" s="12"/>
      <c r="AA48"/>
    </row>
    <row r="49" spans="1:27" x14ac:dyDescent="0.25">
      <c r="A49" s="13" t="s">
        <v>100</v>
      </c>
      <c r="C49" s="42" t="s">
        <v>101</v>
      </c>
      <c r="D49" s="42" t="s">
        <v>31</v>
      </c>
      <c r="E49" s="42" t="s">
        <v>38</v>
      </c>
      <c r="F49" s="297"/>
      <c r="G49" s="48"/>
      <c r="H49" s="48"/>
      <c r="N49" s="403"/>
      <c r="O49" s="406" t="s">
        <v>147</v>
      </c>
      <c r="P49" s="403"/>
      <c r="Q49" s="388">
        <v>5931682</v>
      </c>
      <c r="R49" s="5"/>
      <c r="S49" s="18" t="s">
        <v>147</v>
      </c>
      <c r="U49" s="18">
        <v>5797676</v>
      </c>
      <c r="V49" s="3"/>
      <c r="W49" s="35"/>
      <c r="X49"/>
      <c r="Y49"/>
      <c r="Z49"/>
      <c r="AA49"/>
    </row>
    <row r="50" spans="1:27" x14ac:dyDescent="0.25">
      <c r="A50" s="13"/>
      <c r="C50" s="30"/>
      <c r="D50" s="30"/>
      <c r="E50" s="30"/>
      <c r="F50" s="297"/>
      <c r="G50" s="48"/>
      <c r="H50" s="48"/>
      <c r="N50" s="403"/>
      <c r="O50" s="406" t="s">
        <v>221</v>
      </c>
      <c r="P50" s="403"/>
      <c r="Q50" s="388">
        <v>241459</v>
      </c>
      <c r="R50" s="5"/>
      <c r="S50" s="18" t="s">
        <v>192</v>
      </c>
      <c r="U50" s="18">
        <v>237764</v>
      </c>
      <c r="V50" s="296"/>
      <c r="W50" s="3"/>
      <c r="X50"/>
      <c r="Y50"/>
      <c r="Z50"/>
      <c r="AA50"/>
    </row>
    <row r="51" spans="1:27" x14ac:dyDescent="0.25">
      <c r="A51" s="1" t="s">
        <v>134</v>
      </c>
      <c r="B51" s="1" t="s">
        <v>224</v>
      </c>
      <c r="C51" s="300">
        <f>'Net Tuition AY'!Q37</f>
        <v>0</v>
      </c>
      <c r="D51" s="300">
        <f>'Net Tuition Summer'!O33</f>
        <v>0</v>
      </c>
      <c r="E51" s="300">
        <f t="shared" ref="E51:E68" si="16">SUM(C51:D51)</f>
        <v>0</v>
      </c>
      <c r="F51" s="1" t="s">
        <v>134</v>
      </c>
      <c r="G51" s="48"/>
      <c r="H51" s="48"/>
      <c r="N51" s="403"/>
      <c r="O51" s="406" t="s">
        <v>223</v>
      </c>
      <c r="P51" s="403"/>
      <c r="Q51" s="388">
        <v>875869</v>
      </c>
      <c r="R51" s="5"/>
      <c r="S51" s="18"/>
      <c r="U51" s="18">
        <v>817772</v>
      </c>
      <c r="V51" s="18"/>
      <c r="W51" s="18"/>
      <c r="X51"/>
      <c r="Y51"/>
      <c r="Z51"/>
      <c r="AA51"/>
    </row>
    <row r="52" spans="1:27" x14ac:dyDescent="0.25">
      <c r="A52" s="1" t="s">
        <v>234</v>
      </c>
      <c r="B52" s="1" t="s">
        <v>235</v>
      </c>
      <c r="C52" s="300">
        <f>'Net Tuition AY'!Q38</f>
        <v>0</v>
      </c>
      <c r="D52" s="300">
        <f>'Net Tuition Summer'!O34</f>
        <v>0</v>
      </c>
      <c r="E52" s="300">
        <f t="shared" si="16"/>
        <v>0</v>
      </c>
      <c r="G52" s="48"/>
      <c r="H52" s="48"/>
      <c r="N52" s="403"/>
      <c r="O52" s="406" t="s">
        <v>156</v>
      </c>
      <c r="P52" s="403"/>
      <c r="Q52" s="388">
        <v>5581665</v>
      </c>
      <c r="R52" s="5"/>
      <c r="S52" s="18" t="s">
        <v>156</v>
      </c>
      <c r="U52" s="18">
        <v>4238204</v>
      </c>
      <c r="V52" s="18"/>
      <c r="W52" s="18"/>
      <c r="X52"/>
      <c r="Y52"/>
      <c r="Z52"/>
      <c r="AA52"/>
    </row>
    <row r="53" spans="1:27" ht="15.75" thickBot="1" x14ac:dyDescent="0.3">
      <c r="A53" s="1" t="s">
        <v>106</v>
      </c>
      <c r="B53" s="1" t="s">
        <v>224</v>
      </c>
      <c r="C53" s="300">
        <f>'Net Tuition AY'!Q39</f>
        <v>47440</v>
      </c>
      <c r="D53" s="300">
        <f>'Net Tuition Summer'!O35</f>
        <v>23720</v>
      </c>
      <c r="E53" s="300">
        <f t="shared" si="16"/>
        <v>71160</v>
      </c>
      <c r="F53" s="1" t="s">
        <v>106</v>
      </c>
      <c r="G53" s="48"/>
      <c r="H53" s="48"/>
      <c r="M53" s="43" t="s">
        <v>225</v>
      </c>
      <c r="N53" s="400">
        <v>87889777.075599998</v>
      </c>
      <c r="O53" s="406"/>
      <c r="P53" s="403"/>
      <c r="Q53" s="388"/>
      <c r="R53" s="5"/>
      <c r="S53" s="18" t="s">
        <v>174</v>
      </c>
      <c r="U53" s="18">
        <v>3550360</v>
      </c>
      <c r="V53" s="18"/>
      <c r="W53" s="18"/>
      <c r="X53"/>
      <c r="Y53"/>
      <c r="Z53"/>
      <c r="AA53"/>
    </row>
    <row r="54" spans="1:27" x14ac:dyDescent="0.25">
      <c r="A54" s="1" t="s">
        <v>88</v>
      </c>
      <c r="B54" s="1" t="s">
        <v>237</v>
      </c>
      <c r="C54" s="300">
        <f>'Net Tuition AY'!Q40</f>
        <v>514613</v>
      </c>
      <c r="D54" s="300">
        <f>'Net Tuition Summer'!O36</f>
        <v>28700</v>
      </c>
      <c r="E54" s="300">
        <f t="shared" si="16"/>
        <v>543313</v>
      </c>
      <c r="F54" s="1" t="s">
        <v>88</v>
      </c>
      <c r="G54" s="48"/>
      <c r="H54" s="48"/>
      <c r="N54" s="469" t="s">
        <v>226</v>
      </c>
      <c r="O54" s="407" t="s">
        <v>114</v>
      </c>
      <c r="P54" s="408"/>
      <c r="Q54" s="392">
        <v>4446607</v>
      </c>
      <c r="R54" s="336"/>
      <c r="S54" s="171" t="s">
        <v>114</v>
      </c>
      <c r="T54" s="335"/>
      <c r="U54" s="335">
        <v>4262106</v>
      </c>
      <c r="V54" s="335"/>
      <c r="W54" s="335"/>
      <c r="X54"/>
      <c r="Y54"/>
      <c r="Z54"/>
      <c r="AA54"/>
    </row>
    <row r="55" spans="1:27" x14ac:dyDescent="0.25">
      <c r="A55" s="1" t="s">
        <v>129</v>
      </c>
      <c r="B55" s="1" t="s">
        <v>130</v>
      </c>
      <c r="C55" s="300">
        <f>'Net Tuition AY'!Q41</f>
        <v>40000</v>
      </c>
      <c r="D55" s="300">
        <f>'Net Tuition Summer'!O37</f>
        <v>1500</v>
      </c>
      <c r="E55" s="300">
        <f t="shared" si="16"/>
        <v>41500</v>
      </c>
      <c r="F55" s="1" t="s">
        <v>129</v>
      </c>
      <c r="G55" s="48"/>
      <c r="H55" s="48"/>
      <c r="M55" s="43"/>
      <c r="N55" s="470"/>
      <c r="O55" s="406" t="s">
        <v>227</v>
      </c>
      <c r="P55" s="403"/>
      <c r="Q55" s="388">
        <v>614446</v>
      </c>
      <c r="S55" s="18" t="s">
        <v>227</v>
      </c>
      <c r="U55" s="18">
        <v>593847</v>
      </c>
      <c r="V55" s="18"/>
      <c r="X55"/>
      <c r="Y55"/>
      <c r="Z55"/>
      <c r="AA55"/>
    </row>
    <row r="56" spans="1:27" x14ac:dyDescent="0.25">
      <c r="A56" s="1" t="s">
        <v>132</v>
      </c>
      <c r="B56" s="1" t="s">
        <v>130</v>
      </c>
      <c r="C56" s="300">
        <f>'Net Tuition AY'!Q42</f>
        <v>0</v>
      </c>
      <c r="D56" s="300">
        <f>'Net Tuition Summer'!O38</f>
        <v>0</v>
      </c>
      <c r="E56" s="300">
        <f t="shared" si="16"/>
        <v>0</v>
      </c>
      <c r="F56" s="1" t="s">
        <v>132</v>
      </c>
      <c r="G56" s="48"/>
      <c r="H56" s="48"/>
      <c r="N56" s="470"/>
      <c r="O56" s="406" t="s">
        <v>137</v>
      </c>
      <c r="P56" s="403"/>
      <c r="Q56" s="388">
        <v>600102</v>
      </c>
      <c r="R56" s="3"/>
      <c r="S56" s="5" t="s">
        <v>137</v>
      </c>
      <c r="U56" s="18">
        <v>646840</v>
      </c>
      <c r="V56" s="18"/>
      <c r="W56" s="18"/>
      <c r="X56"/>
      <c r="Y56"/>
      <c r="Z56"/>
      <c r="AA56"/>
    </row>
    <row r="57" spans="1:27" x14ac:dyDescent="0.25">
      <c r="A57" s="1" t="s">
        <v>76</v>
      </c>
      <c r="B57" s="1" t="s">
        <v>222</v>
      </c>
      <c r="C57" s="300">
        <f>'Net Tuition AY'!Q43</f>
        <v>0</v>
      </c>
      <c r="D57" s="300">
        <f>'Net Tuition Summer'!O39</f>
        <v>0</v>
      </c>
      <c r="E57" s="300">
        <f t="shared" si="16"/>
        <v>0</v>
      </c>
      <c r="G57" s="48"/>
      <c r="H57" s="48"/>
      <c r="L57" s="3"/>
      <c r="N57" s="470"/>
      <c r="O57" s="406" t="s">
        <v>140</v>
      </c>
      <c r="P57" s="403"/>
      <c r="Q57" s="388">
        <v>579697</v>
      </c>
      <c r="S57" s="5" t="s">
        <v>140</v>
      </c>
      <c r="U57" s="18">
        <v>558906</v>
      </c>
      <c r="V57" s="18"/>
      <c r="W57" s="18"/>
      <c r="X57"/>
      <c r="Y57"/>
      <c r="Z57"/>
      <c r="AA57"/>
    </row>
    <row r="58" spans="1:27" ht="15.75" thickBot="1" x14ac:dyDescent="0.3">
      <c r="A58" s="1" t="s">
        <v>80</v>
      </c>
      <c r="B58" s="1" t="s">
        <v>228</v>
      </c>
      <c r="C58" s="300">
        <f>'Net Tuition AY'!Q44</f>
        <v>190000</v>
      </c>
      <c r="D58" s="300">
        <f>'Net Tuition Summer'!O40</f>
        <v>0</v>
      </c>
      <c r="E58" s="300">
        <f t="shared" si="16"/>
        <v>190000</v>
      </c>
      <c r="F58" s="1" t="s">
        <v>80</v>
      </c>
      <c r="G58" s="48"/>
      <c r="H58" s="48"/>
      <c r="N58" s="471"/>
      <c r="O58" s="409" t="s">
        <v>155</v>
      </c>
      <c r="P58" s="410"/>
      <c r="Q58" s="393">
        <v>1029240</v>
      </c>
      <c r="R58" s="135"/>
      <c r="S58" s="321" t="s">
        <v>155</v>
      </c>
      <c r="T58" s="337"/>
      <c r="U58" s="337">
        <v>993192</v>
      </c>
      <c r="V58" s="337"/>
      <c r="W58" s="337"/>
      <c r="X58"/>
      <c r="Y58"/>
      <c r="Z58"/>
      <c r="AA58"/>
    </row>
    <row r="59" spans="1:27" ht="15" customHeight="1" x14ac:dyDescent="0.25">
      <c r="A59" s="1" t="s">
        <v>90</v>
      </c>
      <c r="B59" s="1" t="s">
        <v>239</v>
      </c>
      <c r="C59" s="300">
        <f>'Net Tuition AY'!Q45</f>
        <v>4168588</v>
      </c>
      <c r="D59" s="300">
        <f>'Net Tuition Summer'!O41</f>
        <v>11870</v>
      </c>
      <c r="E59" s="300">
        <f t="shared" si="16"/>
        <v>4180458</v>
      </c>
      <c r="F59" s="1" t="s">
        <v>90</v>
      </c>
      <c r="G59" s="48"/>
      <c r="H59" s="48"/>
      <c r="N59" s="469" t="s">
        <v>282</v>
      </c>
      <c r="O59" s="407" t="s">
        <v>283</v>
      </c>
      <c r="P59" s="408"/>
      <c r="Q59" s="392">
        <v>3407156</v>
      </c>
      <c r="R59" s="128"/>
      <c r="S59" s="171"/>
      <c r="T59" s="335"/>
      <c r="U59" s="335">
        <v>0</v>
      </c>
      <c r="V59" s="335"/>
      <c r="W59" s="128"/>
      <c r="X59"/>
      <c r="Y59"/>
      <c r="Z59"/>
      <c r="AA59"/>
    </row>
    <row r="60" spans="1:27" ht="15.75" thickBot="1" x14ac:dyDescent="0.3">
      <c r="A60" s="1" t="s">
        <v>127</v>
      </c>
      <c r="B60" s="1" t="s">
        <v>239</v>
      </c>
      <c r="C60" s="300">
        <f>'Net Tuition AY'!Q46</f>
        <v>64200</v>
      </c>
      <c r="D60" s="300">
        <f>'Net Tuition Summer'!O42</f>
        <v>11870</v>
      </c>
      <c r="E60" s="300">
        <f t="shared" si="16"/>
        <v>76070</v>
      </c>
      <c r="F60" s="1" t="s">
        <v>127</v>
      </c>
      <c r="G60" s="48"/>
      <c r="H60" s="48"/>
      <c r="N60" s="470"/>
      <c r="O60" s="406" t="s">
        <v>284</v>
      </c>
      <c r="P60" s="403"/>
      <c r="Q60" s="388">
        <v>90543</v>
      </c>
      <c r="S60" s="5"/>
      <c r="U60" s="18">
        <v>0</v>
      </c>
      <c r="V60" s="18"/>
      <c r="X60"/>
      <c r="Y60"/>
      <c r="Z60"/>
      <c r="AA60"/>
    </row>
    <row r="61" spans="1:27" ht="13.5" customHeight="1" x14ac:dyDescent="0.25">
      <c r="A61" s="1" t="s">
        <v>242</v>
      </c>
      <c r="B61" s="1" t="s">
        <v>130</v>
      </c>
      <c r="C61" s="300">
        <f>'Net Tuition AY'!Q47</f>
        <v>177840</v>
      </c>
      <c r="D61" s="300">
        <f>'Net Tuition Summer'!O43</f>
        <v>0</v>
      </c>
      <c r="E61" s="300">
        <f t="shared" si="16"/>
        <v>177840</v>
      </c>
      <c r="G61" s="48"/>
      <c r="H61" s="48"/>
      <c r="N61" s="469" t="s">
        <v>229</v>
      </c>
      <c r="O61" s="407" t="s">
        <v>285</v>
      </c>
      <c r="P61" s="408"/>
      <c r="Q61" s="392">
        <v>225048</v>
      </c>
      <c r="R61" s="128"/>
      <c r="S61" s="171"/>
      <c r="T61" s="335"/>
      <c r="U61" s="335"/>
      <c r="V61" s="335"/>
      <c r="W61" s="128"/>
      <c r="X61"/>
      <c r="Y61"/>
      <c r="Z61"/>
      <c r="AA61"/>
    </row>
    <row r="62" spans="1:27" x14ac:dyDescent="0.25">
      <c r="A62" s="1" t="s">
        <v>110</v>
      </c>
      <c r="B62" s="1" t="s">
        <v>224</v>
      </c>
      <c r="C62" s="300">
        <f>'Net Tuition AY'!Q48</f>
        <v>1089960</v>
      </c>
      <c r="D62" s="300">
        <f>'Net Tuition Summer'!O44</f>
        <v>0</v>
      </c>
      <c r="E62" s="300">
        <f t="shared" si="16"/>
        <v>1089960</v>
      </c>
      <c r="F62" s="1" t="s">
        <v>110</v>
      </c>
      <c r="G62" s="48"/>
      <c r="H62" s="48"/>
      <c r="N62" s="470"/>
      <c r="O62" s="406" t="s">
        <v>230</v>
      </c>
      <c r="P62" s="403"/>
      <c r="Q62" s="388">
        <v>303223</v>
      </c>
      <c r="S62" s="5"/>
      <c r="U62" s="18">
        <v>294467</v>
      </c>
      <c r="V62" s="18"/>
      <c r="X62"/>
      <c r="Y62"/>
      <c r="Z62"/>
      <c r="AA62"/>
    </row>
    <row r="63" spans="1:27" x14ac:dyDescent="0.25">
      <c r="A63" s="1" t="s">
        <v>115</v>
      </c>
      <c r="B63" s="1" t="s">
        <v>224</v>
      </c>
      <c r="C63" s="300">
        <f>'Net Tuition AY'!Q49</f>
        <v>765288</v>
      </c>
      <c r="D63" s="300">
        <f>'Net Tuition Summer'!O45</f>
        <v>0</v>
      </c>
      <c r="E63" s="300">
        <f t="shared" si="16"/>
        <v>765288</v>
      </c>
      <c r="F63" s="1" t="s">
        <v>115</v>
      </c>
      <c r="G63" s="48"/>
      <c r="H63" s="48"/>
      <c r="N63" s="470"/>
      <c r="O63" s="406" t="s">
        <v>233</v>
      </c>
      <c r="P63" s="403"/>
      <c r="Q63" s="388">
        <v>618138</v>
      </c>
      <c r="S63" s="5"/>
      <c r="U63" s="18">
        <v>600377</v>
      </c>
      <c r="V63" s="18"/>
      <c r="X63"/>
      <c r="Y63"/>
      <c r="Z63"/>
      <c r="AA63"/>
    </row>
    <row r="64" spans="1:27" ht="15.75" thickBot="1" x14ac:dyDescent="0.3">
      <c r="A64" s="1" t="s">
        <v>103</v>
      </c>
      <c r="B64" s="1" t="s">
        <v>224</v>
      </c>
      <c r="C64" s="300">
        <f>'Net Tuition AY'!Q50</f>
        <v>187200</v>
      </c>
      <c r="D64" s="300">
        <f>'Net Tuition Summer'!O46</f>
        <v>38574</v>
      </c>
      <c r="E64" s="300">
        <f t="shared" si="16"/>
        <v>225774</v>
      </c>
      <c r="F64" s="1" t="s">
        <v>103</v>
      </c>
      <c r="G64" s="48"/>
      <c r="H64" s="48"/>
      <c r="N64" s="471"/>
      <c r="O64" s="409" t="s">
        <v>236</v>
      </c>
      <c r="P64" s="410"/>
      <c r="Q64" s="393">
        <v>2385422</v>
      </c>
      <c r="R64" s="135"/>
      <c r="S64" s="135"/>
      <c r="T64" s="337"/>
      <c r="U64" s="337">
        <v>2286863</v>
      </c>
      <c r="V64" s="135"/>
      <c r="W64" s="135"/>
      <c r="X64"/>
      <c r="Y64"/>
      <c r="Z64"/>
      <c r="AA64"/>
    </row>
    <row r="65" spans="1:27" x14ac:dyDescent="0.25">
      <c r="A65" s="1" t="s">
        <v>117</v>
      </c>
      <c r="B65" s="1" t="s">
        <v>224</v>
      </c>
      <c r="C65" s="300">
        <f>'Net Tuition AY'!Q51</f>
        <v>421496</v>
      </c>
      <c r="D65" s="300">
        <f>'Net Tuition Summer'!O47</f>
        <v>25488</v>
      </c>
      <c r="E65" s="300">
        <f t="shared" si="16"/>
        <v>446984</v>
      </c>
      <c r="F65" s="1" t="s">
        <v>117</v>
      </c>
      <c r="G65" s="48"/>
      <c r="H65" s="48"/>
      <c r="N65" s="469" t="s">
        <v>238</v>
      </c>
      <c r="O65" s="407" t="s">
        <v>133</v>
      </c>
      <c r="P65" s="408"/>
      <c r="Q65" s="392">
        <f>-6864680-1204308</f>
        <v>-8068988</v>
      </c>
      <c r="R65" s="128"/>
      <c r="S65" s="335" t="s">
        <v>133</v>
      </c>
      <c r="T65" s="335"/>
      <c r="U65" s="335">
        <v>-8068988</v>
      </c>
      <c r="V65" s="335"/>
      <c r="W65" s="335"/>
      <c r="X65"/>
      <c r="Y65"/>
      <c r="Z65"/>
      <c r="AA65"/>
    </row>
    <row r="66" spans="1:27" x14ac:dyDescent="0.25">
      <c r="A66" s="1" t="s">
        <v>119</v>
      </c>
      <c r="B66" s="1" t="s">
        <v>224</v>
      </c>
      <c r="C66" s="300">
        <f>'Net Tuition AY'!Q52</f>
        <v>476272</v>
      </c>
      <c r="D66" s="300">
        <f>'Net Tuition Summer'!O48</f>
        <v>0</v>
      </c>
      <c r="E66" s="300">
        <f t="shared" si="16"/>
        <v>476272</v>
      </c>
      <c r="F66" s="1" t="s">
        <v>119</v>
      </c>
      <c r="G66" s="48"/>
      <c r="H66" s="48"/>
      <c r="M66" s="3"/>
      <c r="N66" s="470"/>
      <c r="O66" s="406" t="s">
        <v>240</v>
      </c>
      <c r="P66" s="403"/>
      <c r="Q66" s="388">
        <v>179500</v>
      </c>
      <c r="S66" s="248" t="s">
        <v>240</v>
      </c>
      <c r="U66" s="18">
        <v>179500</v>
      </c>
      <c r="X66"/>
      <c r="Y66"/>
      <c r="Z66"/>
      <c r="AA66"/>
    </row>
    <row r="67" spans="1:27" x14ac:dyDescent="0.25">
      <c r="A67" s="1" t="s">
        <v>231</v>
      </c>
      <c r="B67" s="1" t="s">
        <v>232</v>
      </c>
      <c r="C67" s="300">
        <f>'Net Tuition AY'!Q53</f>
        <v>100000</v>
      </c>
      <c r="D67" s="300">
        <f>'Net Tuition Summer'!O49</f>
        <v>0</v>
      </c>
      <c r="E67" s="300">
        <f t="shared" si="16"/>
        <v>100000</v>
      </c>
      <c r="F67" s="1" t="s">
        <v>369</v>
      </c>
      <c r="G67" s="5"/>
      <c r="H67" s="5"/>
      <c r="M67" s="3"/>
      <c r="N67" s="470"/>
      <c r="O67" s="406" t="s">
        <v>201</v>
      </c>
      <c r="P67" s="403"/>
      <c r="Q67" s="388">
        <v>147305</v>
      </c>
      <c r="S67" s="18" t="s">
        <v>201</v>
      </c>
      <c r="U67" s="18">
        <v>147305</v>
      </c>
      <c r="V67" s="18"/>
      <c r="X67"/>
      <c r="Y67"/>
      <c r="Z67"/>
      <c r="AA67"/>
    </row>
    <row r="68" spans="1:27" x14ac:dyDescent="0.25">
      <c r="A68" s="1" t="s">
        <v>3041</v>
      </c>
      <c r="B68" s="1"/>
      <c r="C68" s="300">
        <f>'Net Tuition AY'!Q54</f>
        <v>0</v>
      </c>
      <c r="D68" s="300">
        <f>'Net Tuition Summer'!O50</f>
        <v>0</v>
      </c>
      <c r="E68" s="300">
        <f t="shared" si="16"/>
        <v>0</v>
      </c>
      <c r="F68" s="1" t="s">
        <v>3041</v>
      </c>
      <c r="G68" s="5"/>
      <c r="H68" s="5"/>
      <c r="M68" s="3"/>
      <c r="N68" s="470"/>
      <c r="O68" s="406"/>
      <c r="P68" s="403"/>
      <c r="Q68" s="388"/>
      <c r="S68" s="18"/>
      <c r="U68" s="18"/>
      <c r="V68" s="18"/>
      <c r="X68"/>
      <c r="Y68"/>
      <c r="Z68"/>
      <c r="AA68"/>
    </row>
    <row r="69" spans="1:27" ht="15.75" thickBot="1" x14ac:dyDescent="0.3">
      <c r="C69" s="33">
        <f>SUM(C51:C68)</f>
        <v>8242897</v>
      </c>
      <c r="D69" s="33">
        <f t="shared" ref="D69:E69" si="17">SUM(D51:D68)</f>
        <v>141722</v>
      </c>
      <c r="E69" s="33">
        <f t="shared" si="17"/>
        <v>8384619</v>
      </c>
      <c r="F69" s="63"/>
      <c r="G69" s="63"/>
      <c r="H69" s="63"/>
      <c r="M69" s="3"/>
      <c r="N69" s="471"/>
      <c r="O69" s="409" t="s">
        <v>202</v>
      </c>
      <c r="P69" s="410"/>
      <c r="Q69" s="393">
        <v>225573</v>
      </c>
      <c r="R69" s="135"/>
      <c r="S69" s="337" t="s">
        <v>202</v>
      </c>
      <c r="T69" s="337"/>
      <c r="U69" s="337">
        <v>225573</v>
      </c>
      <c r="V69" s="337"/>
      <c r="W69" s="135"/>
      <c r="X69"/>
      <c r="Y69"/>
      <c r="Z69"/>
      <c r="AA69"/>
    </row>
    <row r="70" spans="1:27" ht="15.75" thickTop="1" x14ac:dyDescent="0.25">
      <c r="B70" s="328" t="s">
        <v>243</v>
      </c>
      <c r="C70" s="137">
        <f>C69-'Net Tuition AY'!Q55</f>
        <v>0</v>
      </c>
      <c r="D70" s="137">
        <f>D69-'Net Tuition Summer'!O51</f>
        <v>0</v>
      </c>
      <c r="E70" s="3">
        <f>+E69-E7-E11</f>
        <v>0</v>
      </c>
      <c r="F70" s="5"/>
      <c r="G70" s="5"/>
      <c r="I70" s="48"/>
      <c r="J70" s="48"/>
      <c r="K70" s="48"/>
      <c r="L70" s="48"/>
      <c r="M70" s="3"/>
      <c r="N70" s="469" t="s">
        <v>241</v>
      </c>
      <c r="O70" s="407" t="s">
        <v>122</v>
      </c>
      <c r="P70" s="408"/>
      <c r="Q70" s="392">
        <v>2843595</v>
      </c>
      <c r="R70" s="128"/>
      <c r="S70" s="335" t="s">
        <v>122</v>
      </c>
      <c r="T70" s="335"/>
      <c r="U70" s="335">
        <v>3512477</v>
      </c>
      <c r="V70" s="335"/>
      <c r="W70" s="335"/>
      <c r="X70"/>
      <c r="Y70"/>
      <c r="Z70"/>
      <c r="AA70"/>
    </row>
    <row r="71" spans="1:27" ht="15.75" thickBot="1" x14ac:dyDescent="0.3">
      <c r="M71" s="3"/>
      <c r="N71" s="470"/>
      <c r="O71" s="406" t="s">
        <v>131</v>
      </c>
      <c r="P71" s="403"/>
      <c r="Q71" s="388">
        <v>10346993</v>
      </c>
      <c r="S71" s="18" t="s">
        <v>131</v>
      </c>
      <c r="U71" s="18">
        <v>9218807</v>
      </c>
      <c r="V71" s="18"/>
      <c r="W71" s="18"/>
      <c r="X71"/>
      <c r="Y71"/>
      <c r="Z71"/>
      <c r="AA71"/>
    </row>
    <row r="72" spans="1:27" x14ac:dyDescent="0.25">
      <c r="A72" s="308"/>
      <c r="B72" s="309"/>
      <c r="C72" s="309"/>
      <c r="D72" s="309"/>
      <c r="E72" s="309"/>
      <c r="F72" s="309"/>
      <c r="G72" s="309"/>
      <c r="H72" s="309" t="s">
        <v>141</v>
      </c>
      <c r="I72" s="309"/>
      <c r="J72" s="309" t="s">
        <v>5</v>
      </c>
      <c r="K72" s="309"/>
      <c r="L72" s="310" t="s">
        <v>5</v>
      </c>
      <c r="M72" s="3"/>
      <c r="N72" s="470"/>
      <c r="O72" s="406" t="s">
        <v>193</v>
      </c>
      <c r="P72" s="403"/>
      <c r="Q72" s="388">
        <v>344960</v>
      </c>
      <c r="S72" s="18" t="s">
        <v>193</v>
      </c>
      <c r="U72" s="18">
        <v>288983</v>
      </c>
      <c r="V72" s="18"/>
      <c r="W72" s="18"/>
      <c r="X72"/>
      <c r="Y72"/>
      <c r="Z72"/>
      <c r="AA72"/>
    </row>
    <row r="73" spans="1:27" x14ac:dyDescent="0.25">
      <c r="A73" s="311"/>
      <c r="B73" s="260" t="s">
        <v>245</v>
      </c>
      <c r="C73" s="260" t="s">
        <v>246</v>
      </c>
      <c r="D73" s="260" t="s">
        <v>247</v>
      </c>
      <c r="E73" s="260" t="s">
        <v>247</v>
      </c>
      <c r="F73" s="259"/>
      <c r="G73" s="260" t="s">
        <v>248</v>
      </c>
      <c r="H73" s="255" t="s">
        <v>32</v>
      </c>
      <c r="I73" s="261"/>
      <c r="J73" s="261" t="s">
        <v>145</v>
      </c>
      <c r="K73" s="259"/>
      <c r="L73" s="312" t="s">
        <v>146</v>
      </c>
      <c r="M73" s="3"/>
      <c r="N73" s="470"/>
      <c r="O73" s="406" t="s">
        <v>176</v>
      </c>
      <c r="P73" s="403"/>
      <c r="Q73" s="388">
        <v>14427949</v>
      </c>
      <c r="S73" s="18" t="s">
        <v>176</v>
      </c>
      <c r="U73" s="18">
        <v>14062486</v>
      </c>
      <c r="V73" s="18"/>
      <c r="X73"/>
      <c r="Y73"/>
      <c r="Z73"/>
      <c r="AA73"/>
    </row>
    <row r="74" spans="1:27" ht="15.75" thickBot="1" x14ac:dyDescent="0.3">
      <c r="A74" s="311"/>
      <c r="B74" s="262" t="s">
        <v>148</v>
      </c>
      <c r="C74" s="262" t="s">
        <v>148</v>
      </c>
      <c r="D74" s="263" t="s">
        <v>149</v>
      </c>
      <c r="E74" s="263" t="s">
        <v>150</v>
      </c>
      <c r="F74" s="264" t="s">
        <v>151</v>
      </c>
      <c r="G74" s="265" t="s">
        <v>152</v>
      </c>
      <c r="H74" s="264" t="s">
        <v>153</v>
      </c>
      <c r="I74" s="264" t="s">
        <v>154</v>
      </c>
      <c r="J74" s="264" t="s">
        <v>64</v>
      </c>
      <c r="K74" s="259"/>
      <c r="L74" s="313" t="s">
        <v>64</v>
      </c>
      <c r="M74" s="3"/>
      <c r="N74" s="471"/>
      <c r="O74" s="409" t="s">
        <v>177</v>
      </c>
      <c r="P74" s="410"/>
      <c r="Q74" s="393">
        <v>2914358</v>
      </c>
      <c r="R74" s="135"/>
      <c r="S74" s="321" t="s">
        <v>177</v>
      </c>
      <c r="T74" s="337"/>
      <c r="U74" s="337">
        <v>2891987</v>
      </c>
      <c r="V74" s="337"/>
      <c r="W74" s="135"/>
      <c r="X74"/>
      <c r="Y74"/>
      <c r="Z74"/>
      <c r="AA74"/>
    </row>
    <row r="75" spans="1:27" x14ac:dyDescent="0.25">
      <c r="A75" s="314" t="str">
        <f t="shared" ref="A75:A83" si="18">+A31</f>
        <v>College of Education</v>
      </c>
      <c r="B75" s="266">
        <f t="shared" ref="B75:B88" si="19">((+B31+G31+H31)*(1-$E$25))</f>
        <v>5616261.5727922879</v>
      </c>
      <c r="C75" s="266">
        <f t="shared" ref="C75:C88" si="20">+D31*(1-$E$25)</f>
        <v>0</v>
      </c>
      <c r="D75" s="266">
        <f t="shared" ref="D75:D88" si="21">((+E31)*(1-$E$25))</f>
        <v>559105.35202668211</v>
      </c>
      <c r="E75" s="266">
        <f t="shared" ref="E75:E88" si="22">+F31*(1-$E$25)</f>
        <v>0</v>
      </c>
      <c r="F75" s="266">
        <f>+'Summer Credit Hour Allocation'!BD2</f>
        <v>1301.7689409794893</v>
      </c>
      <c r="G75" s="307">
        <f>IFERROR(+D75/F75,"N/A")</f>
        <v>429.49661374313843</v>
      </c>
      <c r="H75" s="268">
        <f t="shared" ref="H75:H83" si="23">+N31</f>
        <v>0.46220097627584811</v>
      </c>
      <c r="I75" s="307">
        <f>IFERROR(+H75*G75,"N/A")</f>
        <v>198.51375417924942</v>
      </c>
      <c r="J75" s="266">
        <f t="shared" ref="J75:J83" si="24">(+D75*H75)+E75</f>
        <v>258419.0395477842</v>
      </c>
      <c r="K75" s="259"/>
      <c r="L75" s="315">
        <f t="shared" ref="L75:L84" si="25">P31-J75</f>
        <v>2595841.5819651261</v>
      </c>
      <c r="M75" s="3"/>
      <c r="N75" s="469" t="s">
        <v>244</v>
      </c>
      <c r="O75" s="407" t="s">
        <v>109</v>
      </c>
      <c r="P75" s="408"/>
      <c r="Q75" s="392">
        <v>3042790</v>
      </c>
      <c r="R75" s="128"/>
      <c r="S75" s="335" t="s">
        <v>109</v>
      </c>
      <c r="T75" s="335"/>
      <c r="U75" s="335">
        <v>2959029</v>
      </c>
      <c r="V75" s="335"/>
      <c r="W75" s="335"/>
      <c r="X75"/>
      <c r="Y75"/>
      <c r="Z75"/>
      <c r="AA75"/>
    </row>
    <row r="76" spans="1:27" x14ac:dyDescent="0.25">
      <c r="A76" s="314" t="str">
        <f t="shared" si="18"/>
        <v>College of Health</v>
      </c>
      <c r="B76" s="266">
        <f t="shared" si="19"/>
        <v>16626609.535263702</v>
      </c>
      <c r="C76" s="266">
        <f t="shared" si="20"/>
        <v>2957779.44</v>
      </c>
      <c r="D76" s="266">
        <f t="shared" si="21"/>
        <v>782361.90293940553</v>
      </c>
      <c r="E76" s="266">
        <f t="shared" si="22"/>
        <v>86904.18</v>
      </c>
      <c r="F76" s="266">
        <f>+'Summer Credit Hour Allocation'!BD3</f>
        <v>2181.0728338216827</v>
      </c>
      <c r="G76" s="307">
        <f t="shared" ref="G76:G83" si="26">IFERROR(+D76/F76,"N/A")</f>
        <v>358.70507889851092</v>
      </c>
      <c r="H76" s="268">
        <f t="shared" si="23"/>
        <v>0.55000000000000004</v>
      </c>
      <c r="I76" s="307">
        <f t="shared" ref="I76:I83" si="27">IFERROR(+H76*G76,"N/A")</f>
        <v>197.28779339418102</v>
      </c>
      <c r="J76" s="266">
        <f t="shared" si="24"/>
        <v>517203.22661667306</v>
      </c>
      <c r="K76" s="259"/>
      <c r="L76" s="315">
        <f t="shared" si="25"/>
        <v>12116254.155395037</v>
      </c>
      <c r="M76" s="3"/>
      <c r="N76" s="470"/>
      <c r="O76" s="406" t="s">
        <v>128</v>
      </c>
      <c r="P76" s="403"/>
      <c r="Q76" s="388">
        <v>1629290</v>
      </c>
      <c r="S76" s="18" t="s">
        <v>128</v>
      </c>
      <c r="U76" s="18">
        <v>1572279</v>
      </c>
      <c r="V76" s="18"/>
      <c r="W76" s="18"/>
      <c r="X76"/>
      <c r="Y76"/>
      <c r="Z76"/>
      <c r="AA76"/>
    </row>
    <row r="77" spans="1:27" ht="15.75" thickBot="1" x14ac:dyDescent="0.3">
      <c r="A77" s="314" t="str">
        <f t="shared" si="18"/>
        <v>College of Forestry</v>
      </c>
      <c r="B77" s="266">
        <f t="shared" si="19"/>
        <v>10028625.344769251</v>
      </c>
      <c r="C77" s="266">
        <f t="shared" si="20"/>
        <v>188100</v>
      </c>
      <c r="D77" s="266">
        <f t="shared" si="21"/>
        <v>0</v>
      </c>
      <c r="E77" s="266">
        <f t="shared" si="22"/>
        <v>0</v>
      </c>
      <c r="F77" s="266">
        <f>+'Summer Credit Hour Allocation'!BD4</f>
        <v>8.8706571787358719</v>
      </c>
      <c r="G77" s="307">
        <f t="shared" si="26"/>
        <v>0</v>
      </c>
      <c r="H77" s="268">
        <f t="shared" si="23"/>
        <v>0.57889243528477141</v>
      </c>
      <c r="I77" s="307">
        <f t="shared" si="27"/>
        <v>0</v>
      </c>
      <c r="J77" s="266">
        <f t="shared" si="24"/>
        <v>0</v>
      </c>
      <c r="K77" s="259"/>
      <c r="L77" s="315">
        <f t="shared" si="25"/>
        <v>5994395.4527650103</v>
      </c>
      <c r="M77" s="3"/>
      <c r="N77" s="471"/>
      <c r="O77" s="409" t="s">
        <v>286</v>
      </c>
      <c r="P77" s="410"/>
      <c r="Q77" s="393">
        <v>1017537</v>
      </c>
      <c r="R77" s="135"/>
      <c r="S77" s="337" t="s">
        <v>287</v>
      </c>
      <c r="T77" s="337"/>
      <c r="U77" s="337">
        <v>1438621</v>
      </c>
      <c r="V77" s="337"/>
      <c r="W77" s="337"/>
      <c r="X77"/>
      <c r="Y77"/>
      <c r="Z77"/>
      <c r="AA77"/>
    </row>
    <row r="78" spans="1:27" x14ac:dyDescent="0.25">
      <c r="A78" s="314" t="str">
        <f t="shared" si="18"/>
        <v>College of Humanities/Sciences</v>
      </c>
      <c r="B78" s="266">
        <f t="shared" si="19"/>
        <v>47043834.955076449</v>
      </c>
      <c r="C78" s="266">
        <f t="shared" si="20"/>
        <v>99000</v>
      </c>
      <c r="D78" s="266">
        <f t="shared" si="21"/>
        <v>1542359.5917977437</v>
      </c>
      <c r="E78" s="266">
        <f t="shared" si="22"/>
        <v>0</v>
      </c>
      <c r="F78" s="266">
        <f>+'Summer Credit Hour Allocation'!BD5</f>
        <v>4483.0083717036414</v>
      </c>
      <c r="G78" s="307">
        <f t="shared" si="26"/>
        <v>344.04566396373093</v>
      </c>
      <c r="H78" s="268">
        <f t="shared" si="23"/>
        <v>0.48292317766690557</v>
      </c>
      <c r="I78" s="307">
        <f t="shared" si="27"/>
        <v>166.14762530388532</v>
      </c>
      <c r="J78" s="266">
        <f t="shared" si="24"/>
        <v>744841.19517599768</v>
      </c>
      <c r="K78" s="259"/>
      <c r="L78" s="315">
        <f t="shared" si="25"/>
        <v>22818075.342965301</v>
      </c>
      <c r="M78" s="3"/>
      <c r="N78" s="469" t="s">
        <v>249</v>
      </c>
      <c r="O78" s="407" t="s">
        <v>116</v>
      </c>
      <c r="P78" s="408"/>
      <c r="Q78" s="392">
        <v>1173778</v>
      </c>
      <c r="R78" s="128"/>
      <c r="S78" s="335" t="s">
        <v>116</v>
      </c>
      <c r="T78" s="335"/>
      <c r="U78" s="335">
        <v>1130444</v>
      </c>
      <c r="V78" s="335"/>
      <c r="W78" s="335"/>
      <c r="X78"/>
      <c r="Y78"/>
      <c r="Z78"/>
      <c r="AA78"/>
    </row>
    <row r="79" spans="1:27" x14ac:dyDescent="0.25">
      <c r="A79" s="314" t="str">
        <f t="shared" si="18"/>
        <v>College of Arts and Media</v>
      </c>
      <c r="B79" s="266">
        <f t="shared" si="19"/>
        <v>12793360.906969765</v>
      </c>
      <c r="C79" s="266">
        <f t="shared" si="20"/>
        <v>0</v>
      </c>
      <c r="D79" s="266">
        <f t="shared" si="21"/>
        <v>347030.90815449232</v>
      </c>
      <c r="E79" s="266">
        <f t="shared" si="22"/>
        <v>0</v>
      </c>
      <c r="F79" s="266">
        <f>+'Summer Credit Hour Allocation'!BD6</f>
        <v>1119.9204688154039</v>
      </c>
      <c r="G79" s="307">
        <f t="shared" si="26"/>
        <v>309.87102907545244</v>
      </c>
      <c r="H79" s="268">
        <f t="shared" si="23"/>
        <v>0.55875985952710761</v>
      </c>
      <c r="I79" s="307">
        <f t="shared" si="27"/>
        <v>173.14349267772008</v>
      </c>
      <c r="J79" s="266">
        <f t="shared" si="24"/>
        <v>193906.94149196873</v>
      </c>
      <c r="K79" s="259"/>
      <c r="L79" s="315">
        <f t="shared" si="25"/>
        <v>7148416.5432580151</v>
      </c>
      <c r="M79" s="63"/>
      <c r="N79" s="470"/>
      <c r="O79" s="406" t="s">
        <v>179</v>
      </c>
      <c r="P79" s="403"/>
      <c r="Q79" s="388">
        <v>545753</v>
      </c>
      <c r="S79" s="18" t="s">
        <v>179</v>
      </c>
      <c r="U79" s="18">
        <v>525557</v>
      </c>
      <c r="V79" s="18"/>
      <c r="X79"/>
      <c r="Y79"/>
      <c r="Z79"/>
      <c r="AA79"/>
    </row>
    <row r="80" spans="1:27" ht="15.75" thickBot="1" x14ac:dyDescent="0.3">
      <c r="A80" s="314" t="str">
        <f t="shared" si="18"/>
        <v>Davidson Honors College</v>
      </c>
      <c r="B80" s="266">
        <f t="shared" si="19"/>
        <v>1226898.8657623481</v>
      </c>
      <c r="C80" s="266">
        <f t="shared" si="20"/>
        <v>0</v>
      </c>
      <c r="D80" s="266">
        <f t="shared" si="21"/>
        <v>11567.696938483077</v>
      </c>
      <c r="E80" s="266">
        <f t="shared" si="22"/>
        <v>0</v>
      </c>
      <c r="F80" s="266">
        <f>+'Summer Credit Hour Allocation'!BD7</f>
        <v>1.108832147341984</v>
      </c>
      <c r="G80" s="307">
        <f t="shared" si="26"/>
        <v>10432.324645540231</v>
      </c>
      <c r="H80" s="268">
        <f t="shared" si="23"/>
        <v>0.8070693993178123</v>
      </c>
      <c r="I80" s="307">
        <f t="shared" si="27"/>
        <v>8419.6099851645631</v>
      </c>
      <c r="J80" s="266">
        <f t="shared" si="24"/>
        <v>9335.934219632034</v>
      </c>
      <c r="K80" s="259"/>
      <c r="L80" s="315">
        <f t="shared" si="25"/>
        <v>990192.53061452345</v>
      </c>
      <c r="N80" s="471"/>
      <c r="O80" s="409" t="s">
        <v>180</v>
      </c>
      <c r="P80" s="410"/>
      <c r="Q80" s="393">
        <v>6092062</v>
      </c>
      <c r="R80" s="135"/>
      <c r="S80" s="337" t="s">
        <v>180</v>
      </c>
      <c r="T80" s="337"/>
      <c r="U80" s="337">
        <v>5992060</v>
      </c>
      <c r="V80" s="337"/>
      <c r="W80" s="135"/>
      <c r="X80"/>
      <c r="Y80"/>
      <c r="Z80"/>
      <c r="AA80"/>
    </row>
    <row r="81" spans="1:27" x14ac:dyDescent="0.25">
      <c r="A81" s="314" t="str">
        <f t="shared" si="18"/>
        <v>College of Business</v>
      </c>
      <c r="B81" s="266">
        <f t="shared" si="19"/>
        <v>13326146.267564949</v>
      </c>
      <c r="C81" s="266">
        <f t="shared" si="20"/>
        <v>509466.87</v>
      </c>
      <c r="D81" s="266">
        <f t="shared" si="21"/>
        <v>413737.9604997448</v>
      </c>
      <c r="E81" s="266">
        <f t="shared" si="22"/>
        <v>28413</v>
      </c>
      <c r="F81" s="266">
        <f>+'Summer Credit Hour Allocation'!BD8</f>
        <v>1189.776894097949</v>
      </c>
      <c r="G81" s="307">
        <f t="shared" si="26"/>
        <v>347.74415485134108</v>
      </c>
      <c r="H81" s="268">
        <f t="shared" si="23"/>
        <v>0.56987030559154417</v>
      </c>
      <c r="I81" s="307">
        <f t="shared" si="27"/>
        <v>198.169067792807</v>
      </c>
      <c r="J81" s="266">
        <f t="shared" si="24"/>
        <v>264189.97798481176</v>
      </c>
      <c r="K81" s="259"/>
      <c r="L81" s="315">
        <f t="shared" si="25"/>
        <v>8105978.8664014349</v>
      </c>
      <c r="N81" s="469" t="s">
        <v>250</v>
      </c>
      <c r="O81" s="407" t="s">
        <v>195</v>
      </c>
      <c r="P81" s="408"/>
      <c r="Q81" s="392">
        <v>1523786</v>
      </c>
      <c r="R81" s="128"/>
      <c r="S81" s="335" t="s">
        <v>195</v>
      </c>
      <c r="T81" s="335"/>
      <c r="U81" s="335">
        <v>996532</v>
      </c>
      <c r="V81" s="335"/>
      <c r="W81" s="128"/>
      <c r="X81"/>
      <c r="Y81"/>
      <c r="Z81"/>
      <c r="AA81"/>
    </row>
    <row r="82" spans="1:27" x14ac:dyDescent="0.25">
      <c r="A82" s="314" t="str">
        <f t="shared" si="18"/>
        <v>School of Law</v>
      </c>
      <c r="B82" s="266">
        <f t="shared" si="19"/>
        <v>4495256.4935133923</v>
      </c>
      <c r="C82" s="266">
        <f t="shared" si="20"/>
        <v>4190460.12</v>
      </c>
      <c r="D82" s="266">
        <f t="shared" si="21"/>
        <v>160019.80764901591</v>
      </c>
      <c r="E82" s="266">
        <f t="shared" si="22"/>
        <v>23502.6</v>
      </c>
      <c r="F82" s="266">
        <f>+'Summer Credit Hour Allocation'!BD9</f>
        <v>310.47300125575555</v>
      </c>
      <c r="G82" s="307">
        <f t="shared" si="26"/>
        <v>515.40651522609483</v>
      </c>
      <c r="H82" s="268">
        <f t="shared" si="23"/>
        <v>0.87295948582682992</v>
      </c>
      <c r="I82" s="307">
        <f t="shared" si="27"/>
        <v>449.92900652356991</v>
      </c>
      <c r="J82" s="266">
        <f t="shared" si="24"/>
        <v>163193.40900739317</v>
      </c>
      <c r="K82" s="259"/>
      <c r="L82" s="315">
        <f t="shared" si="25"/>
        <v>8120044.4322942961</v>
      </c>
      <c r="N82" s="470"/>
      <c r="O82" s="406" t="s">
        <v>196</v>
      </c>
      <c r="P82" s="403"/>
      <c r="Q82" s="388">
        <v>918866</v>
      </c>
      <c r="S82" s="18" t="s">
        <v>196</v>
      </c>
      <c r="U82" s="18">
        <v>890564</v>
      </c>
      <c r="V82" s="18"/>
      <c r="X82"/>
      <c r="Y82"/>
      <c r="Z82"/>
      <c r="AA82"/>
    </row>
    <row r="83" spans="1:27" x14ac:dyDescent="0.25">
      <c r="A83" s="314" t="str">
        <f t="shared" si="18"/>
        <v>Missoula College</v>
      </c>
      <c r="B83" s="266">
        <f t="shared" si="19"/>
        <v>7393972.4933127873</v>
      </c>
      <c r="C83" s="266">
        <f t="shared" si="20"/>
        <v>215661.6</v>
      </c>
      <c r="D83" s="266">
        <f t="shared" si="21"/>
        <v>249998.99514119001</v>
      </c>
      <c r="E83" s="266">
        <f t="shared" si="22"/>
        <v>1485</v>
      </c>
      <c r="F83" s="266">
        <f>+'Summer Credit Hour Allocation'!BD12</f>
        <v>1943.9999999999995</v>
      </c>
      <c r="G83" s="307">
        <f t="shared" si="26"/>
        <v>128.60030614258747</v>
      </c>
      <c r="H83" s="268">
        <f t="shared" si="23"/>
        <v>0.68792638407917106</v>
      </c>
      <c r="I83" s="307">
        <f t="shared" si="27"/>
        <v>88.467543596144608</v>
      </c>
      <c r="J83" s="266">
        <f t="shared" si="24"/>
        <v>173465.90475090509</v>
      </c>
      <c r="K83" s="259"/>
      <c r="L83" s="315">
        <f t="shared" si="25"/>
        <v>5302854.863574679</v>
      </c>
      <c r="N83" s="470"/>
      <c r="O83" s="406" t="s">
        <v>197</v>
      </c>
      <c r="P83" s="403"/>
      <c r="Q83" s="388">
        <v>745770</v>
      </c>
      <c r="S83" s="18" t="s">
        <v>197</v>
      </c>
      <c r="U83" s="18">
        <v>711255</v>
      </c>
      <c r="V83" s="18"/>
      <c r="X83"/>
      <c r="Y83"/>
      <c r="Z83"/>
      <c r="AA83"/>
    </row>
    <row r="84" spans="1:27" x14ac:dyDescent="0.25">
      <c r="A84" s="314" t="s">
        <v>219</v>
      </c>
      <c r="B84" s="266">
        <f t="shared" si="19"/>
        <v>6469248.6698625879</v>
      </c>
      <c r="C84" s="266">
        <f t="shared" si="20"/>
        <v>0</v>
      </c>
      <c r="D84" s="266">
        <f t="shared" si="21"/>
        <v>0</v>
      </c>
      <c r="E84" s="266">
        <f t="shared" si="22"/>
        <v>0</v>
      </c>
      <c r="F84" s="266"/>
      <c r="G84" s="266"/>
      <c r="H84" s="259"/>
      <c r="I84" s="259"/>
      <c r="J84" s="259"/>
      <c r="K84" s="259"/>
      <c r="L84" s="315">
        <f t="shared" si="25"/>
        <v>3461048.0383764845</v>
      </c>
      <c r="N84" s="470"/>
      <c r="O84" s="406" t="s">
        <v>198</v>
      </c>
      <c r="P84" s="403"/>
      <c r="Q84" s="388">
        <v>643234</v>
      </c>
      <c r="S84" s="18" t="s">
        <v>198</v>
      </c>
      <c r="U84" s="18">
        <v>619378</v>
      </c>
      <c r="V84" s="18"/>
      <c r="X84"/>
      <c r="Y84"/>
      <c r="Z84"/>
      <c r="AA84"/>
    </row>
    <row r="85" spans="1:27" x14ac:dyDescent="0.25">
      <c r="A85" s="314" t="s">
        <v>92</v>
      </c>
      <c r="B85" s="266">
        <f t="shared" si="19"/>
        <v>0</v>
      </c>
      <c r="C85" s="266">
        <f t="shared" si="20"/>
        <v>0</v>
      </c>
      <c r="D85" s="266">
        <f t="shared" si="21"/>
        <v>0</v>
      </c>
      <c r="E85" s="266">
        <f t="shared" si="22"/>
        <v>0</v>
      </c>
      <c r="F85" s="266"/>
      <c r="G85" s="266"/>
      <c r="H85" s="259"/>
      <c r="I85" s="259"/>
      <c r="J85" s="259"/>
      <c r="K85" s="259"/>
      <c r="L85" s="315"/>
      <c r="N85" s="470"/>
      <c r="O85" s="406" t="s">
        <v>199</v>
      </c>
      <c r="P85" s="403"/>
      <c r="Q85" s="388">
        <v>597642</v>
      </c>
      <c r="S85" s="18" t="s">
        <v>199</v>
      </c>
      <c r="U85" s="18">
        <v>578086</v>
      </c>
      <c r="V85" s="18"/>
      <c r="X85"/>
      <c r="Y85"/>
      <c r="Z85"/>
      <c r="AA85"/>
    </row>
    <row r="86" spans="1:27" ht="15.75" thickBot="1" x14ac:dyDescent="0.3">
      <c r="A86" s="314" t="s">
        <v>191</v>
      </c>
      <c r="B86" s="266">
        <f t="shared" si="19"/>
        <v>4039400.9899854176</v>
      </c>
      <c r="C86" s="266">
        <f t="shared" si="20"/>
        <v>0</v>
      </c>
      <c r="D86" s="266">
        <f t="shared" si="21"/>
        <v>0</v>
      </c>
      <c r="E86" s="266">
        <f t="shared" si="22"/>
        <v>0</v>
      </c>
      <c r="F86" s="266"/>
      <c r="G86" s="266"/>
      <c r="H86" s="259"/>
      <c r="I86" s="259"/>
      <c r="J86" s="259"/>
      <c r="K86" s="259"/>
      <c r="L86" s="315"/>
      <c r="N86" s="471"/>
      <c r="O86" s="409" t="s">
        <v>200</v>
      </c>
      <c r="P86" s="410"/>
      <c r="Q86" s="393">
        <v>479307</v>
      </c>
      <c r="R86" s="135"/>
      <c r="S86" s="337" t="s">
        <v>200</v>
      </c>
      <c r="T86" s="337"/>
      <c r="U86" s="337">
        <v>463096</v>
      </c>
      <c r="V86" s="337"/>
      <c r="W86" s="135"/>
      <c r="X86"/>
      <c r="Y86"/>
      <c r="Z86"/>
      <c r="AA86"/>
    </row>
    <row r="87" spans="1:27" x14ac:dyDescent="0.25">
      <c r="A87" s="314" t="s">
        <v>251</v>
      </c>
      <c r="B87" s="266">
        <f t="shared" si="19"/>
        <v>0</v>
      </c>
      <c r="C87" s="266">
        <f t="shared" si="20"/>
        <v>0</v>
      </c>
      <c r="D87" s="266">
        <f t="shared" si="21"/>
        <v>0</v>
      </c>
      <c r="E87" s="266">
        <f t="shared" si="22"/>
        <v>0</v>
      </c>
      <c r="F87" s="266"/>
      <c r="G87" s="267"/>
      <c r="H87" s="268"/>
      <c r="I87" s="316"/>
      <c r="J87" s="266"/>
      <c r="K87" s="259"/>
      <c r="L87" s="315"/>
      <c r="Q87" s="391"/>
      <c r="X87"/>
      <c r="Y87"/>
      <c r="Z87"/>
      <c r="AA87"/>
    </row>
    <row r="88" spans="1:27" x14ac:dyDescent="0.25">
      <c r="A88" s="314" t="s">
        <v>252</v>
      </c>
      <c r="B88" s="266">
        <f t="shared" si="19"/>
        <v>594000</v>
      </c>
      <c r="C88" s="266">
        <f t="shared" si="20"/>
        <v>0</v>
      </c>
      <c r="D88" s="266">
        <f t="shared" si="21"/>
        <v>0</v>
      </c>
      <c r="E88" s="266">
        <f t="shared" si="22"/>
        <v>0</v>
      </c>
      <c r="F88" s="266"/>
      <c r="G88" s="267"/>
      <c r="H88" s="268"/>
      <c r="I88" s="316"/>
      <c r="J88" s="266"/>
      <c r="K88" s="259"/>
      <c r="L88" s="315"/>
      <c r="Q88" s="391"/>
      <c r="X88"/>
      <c r="Y88"/>
      <c r="Z88"/>
      <c r="AA88"/>
    </row>
    <row r="89" spans="1:27" x14ac:dyDescent="0.25">
      <c r="A89" s="314" t="s">
        <v>167</v>
      </c>
      <c r="B89" s="306">
        <f>SUM(B75:B88)</f>
        <v>129653616.09487295</v>
      </c>
      <c r="C89" s="306">
        <f t="shared" ref="C89:F89" si="28">SUM(C75:C87)</f>
        <v>8160468.0299999993</v>
      </c>
      <c r="D89" s="306">
        <f t="shared" si="28"/>
        <v>4066182.2151467577</v>
      </c>
      <c r="E89" s="306">
        <f t="shared" si="28"/>
        <v>140304.78</v>
      </c>
      <c r="F89" s="306">
        <f t="shared" si="28"/>
        <v>12540</v>
      </c>
      <c r="G89" s="307">
        <f t="shared" ref="G89" si="29">IFERROR(+D89/F89,"N/A")</f>
        <v>324.25695495588178</v>
      </c>
      <c r="H89" s="317">
        <f>(J89-E89)/D89</f>
        <v>0.53717485671416998</v>
      </c>
      <c r="I89" s="259"/>
      <c r="J89" s="269">
        <f>SUM(J75:J87)</f>
        <v>2324555.6287951656</v>
      </c>
      <c r="K89" s="259"/>
      <c r="L89" s="318">
        <f>SUM(L75:L87)</f>
        <v>76653101.807609901</v>
      </c>
      <c r="O89" s="411" t="s">
        <v>67</v>
      </c>
      <c r="P89" s="403"/>
      <c r="Q89" s="394">
        <v>0</v>
      </c>
      <c r="S89" s="18" t="s">
        <v>67</v>
      </c>
      <c r="U89" s="18"/>
      <c r="V89" s="18"/>
      <c r="W89" s="18"/>
      <c r="X89"/>
      <c r="Y89"/>
      <c r="Z89"/>
      <c r="AA89"/>
    </row>
    <row r="90" spans="1:27" x14ac:dyDescent="0.25">
      <c r="A90" s="129"/>
      <c r="C90" s="34"/>
      <c r="D90" s="34"/>
      <c r="G90" s="5"/>
      <c r="J90" s="3"/>
      <c r="L90" s="132"/>
      <c r="O90" s="403"/>
      <c r="P90" s="403"/>
      <c r="Q90" s="395">
        <f>SUM(Q49:Q86)</f>
        <v>68701357</v>
      </c>
      <c r="U90" s="78">
        <f>SUM(U48:U89)</f>
        <v>65213405</v>
      </c>
      <c r="V90" s="18"/>
      <c r="W90" s="18"/>
      <c r="X90"/>
      <c r="Y90"/>
      <c r="Z90"/>
      <c r="AA90"/>
    </row>
    <row r="91" spans="1:27" x14ac:dyDescent="0.25">
      <c r="A91" s="326" t="s">
        <v>255</v>
      </c>
      <c r="B91" s="3">
        <f>SUM(B89:E89)</f>
        <v>142020571.1200197</v>
      </c>
      <c r="C91" s="34"/>
      <c r="D91" s="34"/>
      <c r="G91" s="5"/>
      <c r="J91" s="3">
        <f>J89+L89</f>
        <v>78977657.436405063</v>
      </c>
      <c r="L91" s="132"/>
      <c r="O91" s="403"/>
      <c r="P91" s="403"/>
      <c r="Q91" s="394"/>
      <c r="V91" s="18"/>
      <c r="W91" s="18"/>
      <c r="X91"/>
      <c r="Y91"/>
      <c r="Z91"/>
      <c r="AA91"/>
    </row>
    <row r="92" spans="1:27" x14ac:dyDescent="0.25">
      <c r="A92" s="326" t="s">
        <v>257</v>
      </c>
      <c r="B92" s="3">
        <f>J45</f>
        <v>142020571.1200197</v>
      </c>
      <c r="C92" s="34"/>
      <c r="D92" s="34"/>
      <c r="G92" s="5"/>
      <c r="J92" s="3">
        <f>P45</f>
        <v>78977657.436405078</v>
      </c>
      <c r="L92" s="132"/>
      <c r="O92" s="403"/>
      <c r="P92" s="403"/>
      <c r="Q92" s="394"/>
      <c r="V92" s="18"/>
      <c r="W92" s="18"/>
      <c r="X92"/>
      <c r="Y92"/>
      <c r="Z92"/>
      <c r="AA92"/>
    </row>
    <row r="93" spans="1:27" ht="15.75" thickBot="1" x14ac:dyDescent="0.3">
      <c r="A93" s="327" t="s">
        <v>243</v>
      </c>
      <c r="B93" s="319">
        <f>B91-B92</f>
        <v>0</v>
      </c>
      <c r="C93" s="320"/>
      <c r="D93" s="320"/>
      <c r="E93" s="135"/>
      <c r="F93" s="135"/>
      <c r="G93" s="321"/>
      <c r="H93" s="135"/>
      <c r="I93" s="135"/>
      <c r="J93" s="319">
        <f>J91-J92</f>
        <v>0</v>
      </c>
      <c r="K93" s="135"/>
      <c r="L93" s="136"/>
      <c r="O93" s="406" t="s">
        <v>253</v>
      </c>
      <c r="P93" s="403"/>
      <c r="Q93" s="394">
        <f>Q47</f>
        <v>74184221</v>
      </c>
      <c r="R93" s="455">
        <f>Q93/Q95</f>
        <v>0.51918620506262714</v>
      </c>
      <c r="S93" s="248" t="s">
        <v>253</v>
      </c>
      <c r="U93" s="3">
        <f>+U45</f>
        <v>69709350</v>
      </c>
      <c r="V93" s="456">
        <f>U93/U95</f>
        <v>0.51666118142932971</v>
      </c>
      <c r="W93" s="18"/>
      <c r="X93"/>
      <c r="Y93"/>
      <c r="Z93"/>
      <c r="AA93"/>
    </row>
    <row r="94" spans="1:27" x14ac:dyDescent="0.25">
      <c r="B94" s="11"/>
      <c r="O94" s="406" t="s">
        <v>254</v>
      </c>
      <c r="P94" s="403"/>
      <c r="Q94" s="396">
        <f>Q90</f>
        <v>68701357</v>
      </c>
      <c r="R94" s="455">
        <f>Q94/Q95</f>
        <v>0.48081379493737292</v>
      </c>
      <c r="S94" s="248" t="s">
        <v>254</v>
      </c>
      <c r="U94" s="3">
        <f>+U90</f>
        <v>65213405</v>
      </c>
      <c r="V94" s="456">
        <f>U94/U95</f>
        <v>0.48333881857067029</v>
      </c>
      <c r="W94" s="18"/>
      <c r="X94"/>
      <c r="Y94"/>
      <c r="Z94"/>
      <c r="AA94"/>
    </row>
    <row r="95" spans="1:27" x14ac:dyDescent="0.25">
      <c r="N95" s="1"/>
      <c r="O95" s="406" t="s">
        <v>256</v>
      </c>
      <c r="P95" s="403"/>
      <c r="Q95" s="394">
        <f>SUM(Q93:Q94)</f>
        <v>142885578</v>
      </c>
      <c r="S95" s="248" t="s">
        <v>256</v>
      </c>
      <c r="U95" s="305">
        <f>SUM(U93:U94)</f>
        <v>134922755</v>
      </c>
      <c r="V95" s="18"/>
      <c r="W95" s="18"/>
      <c r="X95"/>
      <c r="Y95"/>
      <c r="Z95"/>
      <c r="AA95"/>
    </row>
    <row r="96" spans="1:27" x14ac:dyDescent="0.25">
      <c r="N96" s="1"/>
      <c r="O96" s="403" t="s">
        <v>73</v>
      </c>
      <c r="P96" s="403"/>
      <c r="Q96" s="397"/>
      <c r="S96" s="18"/>
      <c r="T96"/>
      <c r="U96"/>
      <c r="X96"/>
      <c r="Y96"/>
      <c r="Z96"/>
      <c r="AA96"/>
    </row>
    <row r="97" spans="1:30" x14ac:dyDescent="0.25">
      <c r="N97" s="1"/>
      <c r="O97" s="406" t="s">
        <v>258</v>
      </c>
      <c r="P97" s="403"/>
      <c r="Q97" s="394">
        <f>SUM(Q95:Q96)</f>
        <v>142885578</v>
      </c>
      <c r="S97" s="18"/>
      <c r="T97"/>
      <c r="U97"/>
      <c r="X97"/>
      <c r="Y97"/>
      <c r="Z97"/>
      <c r="AA97"/>
    </row>
    <row r="98" spans="1:30" x14ac:dyDescent="0.25">
      <c r="O98" s="403"/>
      <c r="P98" s="403"/>
      <c r="Q98" s="398"/>
      <c r="S98" s="18"/>
      <c r="T98"/>
      <c r="U98"/>
      <c r="X98"/>
      <c r="Y98"/>
      <c r="Z98"/>
      <c r="AA98"/>
    </row>
    <row r="99" spans="1:30" x14ac:dyDescent="0.25">
      <c r="O99" s="403"/>
      <c r="P99" s="403"/>
      <c r="Q99" s="398"/>
      <c r="S99" s="18"/>
      <c r="T99"/>
      <c r="U99"/>
      <c r="X99"/>
      <c r="Y99"/>
      <c r="Z99"/>
      <c r="AA99"/>
    </row>
    <row r="100" spans="1:30" x14ac:dyDescent="0.25">
      <c r="O100" s="403" t="s">
        <v>259</v>
      </c>
      <c r="P100" s="403"/>
      <c r="Q100" s="398">
        <f>+E22</f>
        <v>143455122.34345424</v>
      </c>
      <c r="S100" s="18"/>
      <c r="T100"/>
      <c r="U100"/>
      <c r="X100"/>
      <c r="Y100"/>
      <c r="Z100"/>
      <c r="AA100"/>
    </row>
    <row r="101" spans="1:30" x14ac:dyDescent="0.25">
      <c r="O101" s="403" t="s">
        <v>260</v>
      </c>
      <c r="P101" s="403"/>
      <c r="Q101" s="399">
        <f>Q95</f>
        <v>142885578</v>
      </c>
      <c r="S101" s="18"/>
      <c r="T101"/>
      <c r="U101"/>
      <c r="X101"/>
      <c r="Y101"/>
      <c r="Z101"/>
      <c r="AA101"/>
    </row>
    <row r="102" spans="1:30" x14ac:dyDescent="0.25">
      <c r="O102" s="403" t="s">
        <v>184</v>
      </c>
      <c r="P102" s="403"/>
      <c r="Q102" s="400">
        <f>+Q100-Q101</f>
        <v>569544.34345424175</v>
      </c>
      <c r="S102" s="18"/>
      <c r="T102" s="331"/>
      <c r="U102"/>
      <c r="X102"/>
      <c r="Y102"/>
      <c r="Z102"/>
      <c r="AA102"/>
    </row>
    <row r="103" spans="1:30" x14ac:dyDescent="0.25">
      <c r="O103" s="403" t="s">
        <v>261</v>
      </c>
      <c r="P103" s="403"/>
      <c r="Q103" s="400"/>
      <c r="S103" s="18"/>
      <c r="T103" s="331"/>
      <c r="U103"/>
      <c r="X103"/>
      <c r="Y103"/>
      <c r="Z103"/>
      <c r="AA103"/>
    </row>
    <row r="104" spans="1:30" s="108" customFormat="1" x14ac:dyDescent="0.25">
      <c r="A104"/>
      <c r="B104"/>
      <c r="C104" s="4"/>
      <c r="D104" s="4"/>
      <c r="E104"/>
      <c r="F104"/>
      <c r="G104" s="1"/>
      <c r="H104"/>
      <c r="I104"/>
      <c r="J104"/>
      <c r="K104"/>
      <c r="L104"/>
      <c r="M104"/>
      <c r="N104"/>
      <c r="O104" s="403" t="s">
        <v>262</v>
      </c>
      <c r="P104" s="403"/>
      <c r="Q104" s="401">
        <f>Q100-Q101</f>
        <v>569544.34345424175</v>
      </c>
      <c r="R104"/>
      <c r="S104" s="18"/>
      <c r="T104" s="331"/>
      <c r="U104"/>
      <c r="V104"/>
      <c r="W104"/>
      <c r="X104"/>
      <c r="Y104"/>
      <c r="Z104"/>
      <c r="AA104"/>
      <c r="AB104"/>
      <c r="AC104"/>
      <c r="AD104"/>
    </row>
    <row r="105" spans="1:30" s="108" customFormat="1" x14ac:dyDescent="0.25">
      <c r="A105"/>
      <c r="B105"/>
      <c r="C105" s="4"/>
      <c r="D105" s="4"/>
      <c r="E105"/>
      <c r="F105"/>
      <c r="G105" s="1"/>
      <c r="H105"/>
      <c r="I105"/>
      <c r="J105"/>
      <c r="K105"/>
      <c r="L105"/>
      <c r="M105"/>
      <c r="N105"/>
      <c r="O105" s="403"/>
      <c r="P105" s="403"/>
      <c r="Q105" s="398"/>
      <c r="R105"/>
      <c r="S105" s="18"/>
      <c r="T105" s="331"/>
      <c r="U105" s="18"/>
      <c r="V105" s="18"/>
      <c r="W105" s="18"/>
      <c r="X105"/>
      <c r="Y105"/>
      <c r="Z105"/>
      <c r="AA105"/>
      <c r="AB105"/>
      <c r="AC105"/>
      <c r="AD105"/>
    </row>
    <row r="106" spans="1:30" s="108" customFormat="1" x14ac:dyDescent="0.25">
      <c r="A106"/>
      <c r="B106"/>
      <c r="C106" s="4"/>
      <c r="D106" s="4"/>
      <c r="E106"/>
      <c r="F106"/>
      <c r="G106" s="1"/>
      <c r="H106"/>
      <c r="I106"/>
      <c r="J106"/>
      <c r="K106"/>
      <c r="L106"/>
      <c r="M106"/>
      <c r="N106"/>
      <c r="O106" s="403" t="s">
        <v>263</v>
      </c>
      <c r="P106" s="403"/>
      <c r="Q106" s="399">
        <v>0</v>
      </c>
      <c r="R106"/>
      <c r="S106" s="18"/>
      <c r="T106"/>
      <c r="U106" s="18"/>
      <c r="V106" s="18"/>
      <c r="W106" s="18"/>
      <c r="X106"/>
      <c r="Y106"/>
      <c r="Z106"/>
      <c r="AA106"/>
      <c r="AB106"/>
      <c r="AC106"/>
      <c r="AD106"/>
    </row>
    <row r="107" spans="1:30" s="108" customFormat="1" ht="15.75" thickBot="1" x14ac:dyDescent="0.3">
      <c r="A107"/>
      <c r="B107"/>
      <c r="C107" s="4"/>
      <c r="D107" s="4"/>
      <c r="E107"/>
      <c r="F107"/>
      <c r="G107" s="1"/>
      <c r="H107"/>
      <c r="I107"/>
      <c r="J107"/>
      <c r="K107"/>
      <c r="L107"/>
      <c r="M107"/>
      <c r="N107"/>
      <c r="O107" s="403"/>
      <c r="P107" s="403"/>
      <c r="Q107" s="402">
        <f>Q104+Q106</f>
        <v>569544.34345424175</v>
      </c>
      <c r="R107"/>
      <c r="S107" s="18"/>
      <c r="T107"/>
      <c r="U107" s="18"/>
      <c r="V107" s="18"/>
      <c r="W107" s="18"/>
      <c r="X107"/>
      <c r="Y107"/>
      <c r="Z107"/>
      <c r="AA107"/>
      <c r="AB107"/>
      <c r="AC107"/>
      <c r="AD107"/>
    </row>
    <row r="108" spans="1:30" s="108" customFormat="1" ht="15.75" thickTop="1" x14ac:dyDescent="0.25">
      <c r="A108"/>
      <c r="B108"/>
      <c r="C108" s="4"/>
      <c r="D108" s="4"/>
      <c r="E108"/>
      <c r="F108"/>
      <c r="G108" s="1"/>
      <c r="H108"/>
      <c r="I108"/>
      <c r="J108"/>
      <c r="K108"/>
      <c r="L108"/>
      <c r="M108"/>
      <c r="N108"/>
      <c r="O108" s="403"/>
      <c r="P108" s="403"/>
      <c r="Q108" s="403"/>
      <c r="R108"/>
      <c r="S108" s="35"/>
      <c r="T108" s="18"/>
      <c r="U108" s="18"/>
      <c r="V108" s="18"/>
      <c r="W108" s="18"/>
      <c r="X108"/>
      <c r="Y108"/>
      <c r="Z108"/>
      <c r="AA108"/>
      <c r="AB108"/>
      <c r="AC108"/>
      <c r="AD108"/>
    </row>
    <row r="109" spans="1:30" s="108" customFormat="1" x14ac:dyDescent="0.25">
      <c r="A109"/>
      <c r="B109"/>
      <c r="C109" s="4"/>
      <c r="D109" s="4"/>
      <c r="E109"/>
      <c r="F109"/>
      <c r="G109" s="1"/>
      <c r="H109"/>
      <c r="I109"/>
      <c r="J109"/>
      <c r="K109"/>
      <c r="L109"/>
      <c r="M109"/>
      <c r="N109"/>
      <c r="O109" s="403"/>
      <c r="P109" s="412" t="s">
        <v>264</v>
      </c>
      <c r="Q109" s="388">
        <v>750000</v>
      </c>
      <c r="R109"/>
      <c r="S109" s="35"/>
      <c r="T109" s="18"/>
      <c r="U109" s="18"/>
      <c r="V109" s="18"/>
      <c r="W109" s="18"/>
      <c r="X109"/>
      <c r="Y109"/>
      <c r="Z109"/>
      <c r="AA109"/>
      <c r="AB109"/>
      <c r="AC109"/>
      <c r="AD109"/>
    </row>
    <row r="110" spans="1:30" s="108" customFormat="1" x14ac:dyDescent="0.25">
      <c r="A110"/>
      <c r="B110"/>
      <c r="C110" s="4"/>
      <c r="D110" s="4"/>
      <c r="E110"/>
      <c r="F110"/>
      <c r="G110" s="1"/>
      <c r="H110"/>
      <c r="I110"/>
      <c r="J110"/>
      <c r="K110"/>
      <c r="L110"/>
      <c r="M110"/>
      <c r="N110"/>
      <c r="O110" s="403"/>
      <c r="P110" s="412" t="s">
        <v>265</v>
      </c>
      <c r="Q110" s="388">
        <v>798659</v>
      </c>
      <c r="R110"/>
      <c r="S110" s="35"/>
      <c r="T110" s="18"/>
      <c r="U110" s="18"/>
      <c r="V110" s="18"/>
      <c r="W110" s="18"/>
      <c r="X110"/>
      <c r="Y110"/>
      <c r="Z110"/>
      <c r="AA110"/>
      <c r="AB110"/>
      <c r="AC110"/>
      <c r="AD110"/>
    </row>
    <row r="111" spans="1:30" s="108" customFormat="1" x14ac:dyDescent="0.25">
      <c r="A111"/>
      <c r="B111"/>
      <c r="C111" s="4"/>
      <c r="D111" s="4"/>
      <c r="E111"/>
      <c r="F111"/>
      <c r="G111" s="1"/>
      <c r="H111"/>
      <c r="I111"/>
      <c r="J111"/>
      <c r="K111"/>
      <c r="L111"/>
      <c r="M111"/>
      <c r="N111"/>
      <c r="O111" s="403"/>
      <c r="P111" s="412" t="s">
        <v>266</v>
      </c>
      <c r="Q111" s="388">
        <v>1499716</v>
      </c>
      <c r="R111"/>
      <c r="S111" s="35"/>
      <c r="T111" s="18"/>
      <c r="U111" s="18"/>
      <c r="V111" s="18"/>
      <c r="W111" s="18"/>
      <c r="X111"/>
      <c r="Y111"/>
      <c r="Z111"/>
      <c r="AA111"/>
      <c r="AB111"/>
      <c r="AC111"/>
      <c r="AD111"/>
    </row>
    <row r="112" spans="1:30" x14ac:dyDescent="0.25">
      <c r="O112" s="403"/>
      <c r="P112" s="412" t="s">
        <v>267</v>
      </c>
      <c r="Q112" s="388">
        <v>276940</v>
      </c>
      <c r="S112" s="35"/>
      <c r="U112" s="18"/>
      <c r="V112" s="18"/>
      <c r="W112" s="18"/>
      <c r="X112"/>
      <c r="Y112"/>
      <c r="Z112"/>
      <c r="AA112"/>
    </row>
    <row r="113" spans="15:27" x14ac:dyDescent="0.25">
      <c r="O113" s="403"/>
      <c r="P113" s="403"/>
      <c r="Q113" s="388"/>
      <c r="S113" s="35"/>
      <c r="U113" s="18"/>
      <c r="V113" s="18"/>
      <c r="W113" s="18"/>
      <c r="X113"/>
      <c r="Y113"/>
      <c r="Z113"/>
      <c r="AA113"/>
    </row>
    <row r="114" spans="15:27" x14ac:dyDescent="0.25">
      <c r="O114" s="403"/>
      <c r="P114" s="403"/>
      <c r="Q114" s="404">
        <f>SUM(Q109:Q113)</f>
        <v>3325315</v>
      </c>
      <c r="S114" s="35"/>
      <c r="U114" s="18"/>
      <c r="V114" s="18"/>
      <c r="W114" s="18"/>
      <c r="X114"/>
      <c r="Y114"/>
      <c r="Z114"/>
      <c r="AA114"/>
    </row>
    <row r="115" spans="15:27" x14ac:dyDescent="0.25">
      <c r="O115" s="403"/>
      <c r="P115" s="411"/>
      <c r="Q115" s="391"/>
      <c r="S115" s="35"/>
      <c r="U115" s="18"/>
      <c r="V115" s="18"/>
      <c r="W115" s="18"/>
      <c r="X115"/>
      <c r="Y115"/>
      <c r="Z115"/>
      <c r="AA115"/>
    </row>
    <row r="116" spans="15:27" ht="15.75" thickBot="1" x14ac:dyDescent="0.3">
      <c r="O116" s="403"/>
      <c r="P116" s="413" t="s">
        <v>268</v>
      </c>
      <c r="Q116" s="405">
        <f>Q114+Q101</f>
        <v>146210893</v>
      </c>
      <c r="S116" s="35"/>
      <c r="U116" s="18"/>
      <c r="V116" s="18"/>
      <c r="W116" s="18"/>
      <c r="X116"/>
      <c r="Y116"/>
      <c r="Z116"/>
      <c r="AA116"/>
    </row>
    <row r="117" spans="15:27" ht="15.75" thickTop="1" x14ac:dyDescent="0.25">
      <c r="S117" s="35"/>
      <c r="U117" s="18"/>
      <c r="V117" s="18"/>
      <c r="W117" s="18"/>
    </row>
    <row r="118" spans="15:27" x14ac:dyDescent="0.25">
      <c r="S118" s="35"/>
      <c r="U118" s="18"/>
      <c r="V118" s="18"/>
      <c r="W118" s="18"/>
    </row>
    <row r="119" spans="15:27" x14ac:dyDescent="0.25">
      <c r="S119" s="35"/>
      <c r="U119" s="18"/>
      <c r="V119" s="18"/>
      <c r="W119" s="18"/>
    </row>
    <row r="120" spans="15:27" x14ac:dyDescent="0.25">
      <c r="S120" s="35"/>
      <c r="U120" s="18"/>
      <c r="V120" s="18"/>
      <c r="W120" s="18"/>
    </row>
    <row r="121" spans="15:27" x14ac:dyDescent="0.25">
      <c r="V121" s="3"/>
      <c r="W121" s="35"/>
    </row>
    <row r="122" spans="15:27" x14ac:dyDescent="0.25">
      <c r="V122" s="3"/>
      <c r="W122" s="35"/>
    </row>
    <row r="123" spans="15:27" x14ac:dyDescent="0.25">
      <c r="R123" s="5"/>
      <c r="V123" s="3"/>
      <c r="W123" s="35"/>
    </row>
    <row r="124" spans="15:27" x14ac:dyDescent="0.25">
      <c r="R124" s="5"/>
      <c r="V124" s="3"/>
      <c r="W124" s="35"/>
    </row>
    <row r="125" spans="15:27" x14ac:dyDescent="0.25">
      <c r="R125" s="5"/>
      <c r="V125" s="3"/>
      <c r="W125" s="35"/>
    </row>
    <row r="126" spans="15:27" x14ac:dyDescent="0.25">
      <c r="R126" s="5"/>
      <c r="V126" s="3"/>
      <c r="W126" s="35"/>
    </row>
    <row r="127" spans="15:27" x14ac:dyDescent="0.25">
      <c r="R127" s="5"/>
      <c r="V127" s="3"/>
      <c r="W127" s="35"/>
    </row>
    <row r="128" spans="15:27" x14ac:dyDescent="0.25">
      <c r="R128" s="5"/>
      <c r="V128" s="3"/>
      <c r="W128" s="35"/>
    </row>
    <row r="129" spans="18:23" x14ac:dyDescent="0.25">
      <c r="R129" s="5"/>
      <c r="V129" s="3"/>
      <c r="W129" s="35"/>
    </row>
    <row r="130" spans="18:23" x14ac:dyDescent="0.25">
      <c r="R130" s="5"/>
      <c r="V130" s="3"/>
      <c r="W130" s="35"/>
    </row>
    <row r="131" spans="18:23" x14ac:dyDescent="0.25">
      <c r="R131" s="5"/>
      <c r="V131" s="3"/>
      <c r="W131" s="35"/>
    </row>
    <row r="132" spans="18:23" x14ac:dyDescent="0.25">
      <c r="R132" s="5"/>
      <c r="V132" s="3"/>
      <c r="W132" s="35"/>
    </row>
    <row r="133" spans="18:23" x14ac:dyDescent="0.25">
      <c r="R133" s="5"/>
      <c r="V133" s="3"/>
      <c r="W133" s="35"/>
    </row>
    <row r="134" spans="18:23" x14ac:dyDescent="0.25">
      <c r="R134" s="5"/>
      <c r="V134" s="3"/>
      <c r="W134" s="35"/>
    </row>
    <row r="135" spans="18:23" x14ac:dyDescent="0.25">
      <c r="R135" s="5"/>
      <c r="U135" s="3"/>
      <c r="V135" s="3"/>
      <c r="W135" s="35"/>
    </row>
    <row r="136" spans="18:23" x14ac:dyDescent="0.25">
      <c r="R136" s="5"/>
      <c r="U136" s="3"/>
      <c r="V136" s="3"/>
      <c r="W136" s="35"/>
    </row>
    <row r="137" spans="18:23" x14ac:dyDescent="0.25">
      <c r="R137" s="5"/>
      <c r="U137" s="3"/>
      <c r="V137" s="3"/>
      <c r="W137" s="35"/>
    </row>
    <row r="138" spans="18:23" x14ac:dyDescent="0.25">
      <c r="R138" s="5"/>
      <c r="U138" s="3"/>
      <c r="V138" s="3"/>
      <c r="W138" s="35"/>
    </row>
    <row r="139" spans="18:23" x14ac:dyDescent="0.25">
      <c r="R139" s="5"/>
      <c r="U139" s="3"/>
      <c r="V139" s="3"/>
      <c r="W139" s="35"/>
    </row>
    <row r="140" spans="18:23" x14ac:dyDescent="0.25">
      <c r="R140" s="5"/>
      <c r="U140" s="3"/>
      <c r="V140" s="3"/>
      <c r="W140" s="35"/>
    </row>
    <row r="141" spans="18:23" x14ac:dyDescent="0.25">
      <c r="R141" s="5"/>
      <c r="U141" s="3"/>
      <c r="V141" s="3"/>
      <c r="W141" s="35"/>
    </row>
    <row r="142" spans="18:23" x14ac:dyDescent="0.25">
      <c r="R142" s="5"/>
      <c r="U142" s="3"/>
      <c r="V142" s="3"/>
      <c r="W142" s="35"/>
    </row>
    <row r="143" spans="18:23" x14ac:dyDescent="0.25">
      <c r="R143" s="5"/>
      <c r="U143" s="3"/>
      <c r="V143" s="3"/>
      <c r="W143" s="35"/>
    </row>
    <row r="144" spans="18:23" x14ac:dyDescent="0.25">
      <c r="R144" s="5"/>
      <c r="U144" s="3"/>
      <c r="V144" s="3"/>
      <c r="W144" s="35"/>
    </row>
    <row r="145" spans="18:23" x14ac:dyDescent="0.25">
      <c r="R145" s="5"/>
      <c r="U145" s="3"/>
      <c r="V145" s="3"/>
      <c r="W145" s="35"/>
    </row>
    <row r="146" spans="18:23" x14ac:dyDescent="0.25">
      <c r="R146" s="5"/>
      <c r="U146" s="3"/>
      <c r="V146" s="3"/>
      <c r="W146" s="35"/>
    </row>
    <row r="147" spans="18:23" x14ac:dyDescent="0.25">
      <c r="R147" s="5"/>
      <c r="U147" s="3"/>
      <c r="V147" s="3"/>
      <c r="W147" s="35"/>
    </row>
    <row r="148" spans="18:23" x14ac:dyDescent="0.25">
      <c r="R148" s="5"/>
      <c r="U148" s="3"/>
      <c r="V148" s="3"/>
      <c r="W148" s="35"/>
    </row>
    <row r="149" spans="18:23" x14ac:dyDescent="0.25">
      <c r="R149" s="5"/>
      <c r="U149" s="3"/>
      <c r="V149" s="3"/>
      <c r="W149" s="35"/>
    </row>
    <row r="150" spans="18:23" x14ac:dyDescent="0.25">
      <c r="R150" s="5"/>
      <c r="U150" s="3"/>
      <c r="V150" s="3"/>
      <c r="W150" s="35"/>
    </row>
    <row r="151" spans="18:23" x14ac:dyDescent="0.25">
      <c r="R151" s="5"/>
      <c r="U151" s="3"/>
      <c r="V151" s="3"/>
      <c r="W151" s="35"/>
    </row>
    <row r="152" spans="18:23" x14ac:dyDescent="0.25">
      <c r="R152" s="5"/>
      <c r="U152" s="3"/>
      <c r="V152" s="3"/>
      <c r="W152" s="35"/>
    </row>
    <row r="153" spans="18:23" x14ac:dyDescent="0.25">
      <c r="R153" s="5"/>
      <c r="U153" s="3"/>
      <c r="V153" s="3"/>
      <c r="W153" s="35"/>
    </row>
    <row r="154" spans="18:23" x14ac:dyDescent="0.25">
      <c r="R154" s="5"/>
      <c r="U154" s="3"/>
      <c r="V154" s="3"/>
      <c r="W154" s="35"/>
    </row>
    <row r="155" spans="18:23" x14ac:dyDescent="0.25">
      <c r="R155" s="5"/>
      <c r="U155" s="3"/>
      <c r="V155" s="3"/>
      <c r="W155" s="35"/>
    </row>
    <row r="156" spans="18:23" x14ac:dyDescent="0.25">
      <c r="R156" s="5"/>
      <c r="U156" s="3"/>
      <c r="V156" s="3"/>
      <c r="W156" s="35"/>
    </row>
    <row r="157" spans="18:23" x14ac:dyDescent="0.25">
      <c r="R157" s="5"/>
      <c r="U157" s="3"/>
      <c r="V157" s="3"/>
      <c r="W157" s="35"/>
    </row>
    <row r="158" spans="18:23" x14ac:dyDescent="0.25">
      <c r="R158" s="5"/>
      <c r="U158" s="3"/>
      <c r="V158" s="3"/>
      <c r="W158" s="35"/>
    </row>
    <row r="159" spans="18:23" x14ac:dyDescent="0.25">
      <c r="R159" s="5"/>
      <c r="U159" s="3"/>
      <c r="V159" s="3"/>
      <c r="W159" s="35"/>
    </row>
    <row r="160" spans="18:23" x14ac:dyDescent="0.25">
      <c r="U160" s="3"/>
      <c r="V160" s="3"/>
      <c r="W160" s="35"/>
    </row>
    <row r="161" spans="21:23" x14ac:dyDescent="0.25">
      <c r="U161" s="3"/>
      <c r="V161" s="3"/>
      <c r="W161" s="35"/>
    </row>
    <row r="162" spans="21:23" x14ac:dyDescent="0.25">
      <c r="U162" s="3"/>
      <c r="V162" s="3"/>
      <c r="W162" s="35"/>
    </row>
    <row r="163" spans="21:23" x14ac:dyDescent="0.25">
      <c r="U163" s="3"/>
      <c r="V163" s="3"/>
      <c r="W163" s="35"/>
    </row>
    <row r="164" spans="21:23" x14ac:dyDescent="0.25">
      <c r="U164" s="3"/>
      <c r="V164" s="3"/>
      <c r="W164" s="35"/>
    </row>
    <row r="165" spans="21:23" x14ac:dyDescent="0.25">
      <c r="U165" s="3"/>
      <c r="V165" s="3"/>
      <c r="W165" s="35"/>
    </row>
    <row r="166" spans="21:23" x14ac:dyDescent="0.25">
      <c r="U166" s="3"/>
      <c r="V166" s="3"/>
      <c r="W166" s="35"/>
    </row>
    <row r="167" spans="21:23" x14ac:dyDescent="0.25">
      <c r="U167" s="3"/>
      <c r="V167" s="3"/>
      <c r="W167" s="35"/>
    </row>
    <row r="168" spans="21:23" x14ac:dyDescent="0.25">
      <c r="U168" s="3"/>
      <c r="V168" s="3"/>
      <c r="W168" s="35"/>
    </row>
    <row r="169" spans="21:23" x14ac:dyDescent="0.25">
      <c r="U169" s="3"/>
      <c r="V169" s="3"/>
      <c r="W169" s="35"/>
    </row>
    <row r="170" spans="21:23" x14ac:dyDescent="0.25">
      <c r="U170" s="3"/>
      <c r="V170" s="3"/>
      <c r="W170" s="35"/>
    </row>
    <row r="171" spans="21:23" x14ac:dyDescent="0.25">
      <c r="U171" s="3"/>
      <c r="V171" s="3"/>
      <c r="W171" s="35"/>
    </row>
    <row r="172" spans="21:23" x14ac:dyDescent="0.25">
      <c r="U172" s="3"/>
      <c r="V172" s="3"/>
      <c r="W172" s="35"/>
    </row>
    <row r="173" spans="21:23" x14ac:dyDescent="0.25">
      <c r="U173" s="3"/>
      <c r="V173" s="3"/>
      <c r="W173" s="35"/>
    </row>
    <row r="174" spans="21:23" x14ac:dyDescent="0.25">
      <c r="U174" s="3"/>
      <c r="V174" s="3"/>
      <c r="W174" s="35"/>
    </row>
    <row r="175" spans="21:23" x14ac:dyDescent="0.25">
      <c r="U175" s="3"/>
      <c r="V175" s="3"/>
      <c r="W175" s="35"/>
    </row>
    <row r="176" spans="21:23" x14ac:dyDescent="0.25">
      <c r="U176" s="3"/>
      <c r="V176" s="3"/>
      <c r="W176" s="35"/>
    </row>
    <row r="177" spans="21:23" x14ac:dyDescent="0.25">
      <c r="U177" s="3"/>
      <c r="V177" s="3"/>
      <c r="W177" s="35"/>
    </row>
    <row r="178" spans="21:23" x14ac:dyDescent="0.25">
      <c r="U178" s="3"/>
      <c r="V178" s="3"/>
      <c r="W178" s="35"/>
    </row>
    <row r="179" spans="21:23" x14ac:dyDescent="0.25">
      <c r="U179" s="18"/>
      <c r="V179" s="3"/>
      <c r="W179" s="35"/>
    </row>
    <row r="180" spans="21:23" x14ac:dyDescent="0.25">
      <c r="U180" s="18"/>
      <c r="V180" s="3"/>
      <c r="W180" s="35"/>
    </row>
    <row r="181" spans="21:23" x14ac:dyDescent="0.25">
      <c r="U181" s="18"/>
      <c r="V181" s="3"/>
      <c r="W181" s="35"/>
    </row>
    <row r="182" spans="21:23" x14ac:dyDescent="0.25">
      <c r="U182" s="18"/>
      <c r="V182" s="3"/>
      <c r="W182" s="35"/>
    </row>
    <row r="183" spans="21:23" x14ac:dyDescent="0.25">
      <c r="U183" s="18"/>
      <c r="V183" s="3"/>
      <c r="W183" s="35"/>
    </row>
    <row r="184" spans="21:23" x14ac:dyDescent="0.25">
      <c r="U184" s="18"/>
      <c r="V184" s="3"/>
      <c r="W184" s="35"/>
    </row>
    <row r="185" spans="21:23" x14ac:dyDescent="0.25">
      <c r="U185" s="18"/>
      <c r="V185" s="3"/>
      <c r="W185" s="35"/>
    </row>
    <row r="186" spans="21:23" x14ac:dyDescent="0.25">
      <c r="U186" s="18"/>
      <c r="V186" s="3"/>
      <c r="W186" s="35"/>
    </row>
    <row r="187" spans="21:23" x14ac:dyDescent="0.25">
      <c r="U187" s="18"/>
      <c r="V187" s="3"/>
      <c r="W187" s="35"/>
    </row>
    <row r="188" spans="21:23" x14ac:dyDescent="0.25">
      <c r="U188" s="18"/>
      <c r="V188" s="3"/>
      <c r="W188" s="35"/>
    </row>
    <row r="189" spans="21:23" x14ac:dyDescent="0.25">
      <c r="U189" s="18"/>
      <c r="V189" s="3"/>
      <c r="W189" s="35"/>
    </row>
    <row r="190" spans="21:23" x14ac:dyDescent="0.25">
      <c r="U190" s="18"/>
      <c r="V190" s="3"/>
      <c r="W190" s="35"/>
    </row>
    <row r="191" spans="21:23" x14ac:dyDescent="0.25">
      <c r="U191" s="18"/>
      <c r="V191" s="3"/>
      <c r="W191" s="35"/>
    </row>
    <row r="192" spans="21:23" x14ac:dyDescent="0.25">
      <c r="U192" s="18"/>
      <c r="V192" s="3"/>
      <c r="W192" s="35"/>
    </row>
    <row r="193" spans="21:23" x14ac:dyDescent="0.25">
      <c r="U193" s="18"/>
      <c r="V193" s="3"/>
      <c r="W193" s="35"/>
    </row>
    <row r="194" spans="21:23" x14ac:dyDescent="0.25">
      <c r="U194" s="18"/>
      <c r="V194" s="3"/>
      <c r="W194" s="35"/>
    </row>
    <row r="195" spans="21:23" x14ac:dyDescent="0.25">
      <c r="U195" s="18"/>
      <c r="V195" s="3"/>
      <c r="W195" s="35"/>
    </row>
    <row r="196" spans="21:23" x14ac:dyDescent="0.25">
      <c r="U196" s="18"/>
      <c r="V196" s="3"/>
      <c r="W196" s="35"/>
    </row>
    <row r="197" spans="21:23" x14ac:dyDescent="0.25">
      <c r="U197" s="18"/>
      <c r="V197" s="3"/>
      <c r="W197" s="35"/>
    </row>
    <row r="198" spans="21:23" x14ac:dyDescent="0.25">
      <c r="U198" s="18"/>
      <c r="V198" s="3"/>
      <c r="W198" s="35"/>
    </row>
    <row r="199" spans="21:23" x14ac:dyDescent="0.25">
      <c r="U199" s="18"/>
      <c r="V199" s="3"/>
      <c r="W199" s="35"/>
    </row>
    <row r="200" spans="21:23" x14ac:dyDescent="0.25">
      <c r="U200" s="18"/>
      <c r="V200" s="3"/>
      <c r="W200" s="35"/>
    </row>
    <row r="201" spans="21:23" x14ac:dyDescent="0.25">
      <c r="U201" s="18"/>
      <c r="V201" s="3"/>
      <c r="W201" s="35"/>
    </row>
    <row r="202" spans="21:23" x14ac:dyDescent="0.25">
      <c r="U202" s="18"/>
      <c r="V202" s="3"/>
      <c r="W202" s="35"/>
    </row>
    <row r="203" spans="21:23" x14ac:dyDescent="0.25">
      <c r="U203" s="18"/>
      <c r="V203" s="3"/>
      <c r="W203" s="35"/>
    </row>
    <row r="204" spans="21:23" x14ac:dyDescent="0.25">
      <c r="U204" s="18"/>
      <c r="V204" s="3"/>
      <c r="W204" s="35"/>
    </row>
    <row r="205" spans="21:23" x14ac:dyDescent="0.25">
      <c r="U205" s="18"/>
      <c r="V205" s="3"/>
      <c r="W205" s="35"/>
    </row>
    <row r="206" spans="21:23" x14ac:dyDescent="0.25">
      <c r="U206" s="18"/>
      <c r="V206" s="3"/>
      <c r="W206" s="35"/>
    </row>
    <row r="207" spans="21:23" x14ac:dyDescent="0.25">
      <c r="U207" s="18"/>
      <c r="V207" s="3"/>
      <c r="W207" s="35"/>
    </row>
    <row r="208" spans="21:23" x14ac:dyDescent="0.25">
      <c r="U208" s="18"/>
      <c r="V208" s="3"/>
      <c r="W208" s="35"/>
    </row>
    <row r="209" spans="21:23" x14ac:dyDescent="0.25">
      <c r="U209" s="18"/>
      <c r="V209" s="3"/>
      <c r="W209" s="35"/>
    </row>
    <row r="210" spans="21:23" x14ac:dyDescent="0.25">
      <c r="U210" s="18"/>
      <c r="V210" s="3"/>
      <c r="W210" s="35"/>
    </row>
    <row r="211" spans="21:23" x14ac:dyDescent="0.25">
      <c r="U211" s="18"/>
      <c r="V211" s="3"/>
      <c r="W211" s="35"/>
    </row>
    <row r="212" spans="21:23" x14ac:dyDescent="0.25">
      <c r="U212" s="18"/>
      <c r="V212" s="3"/>
      <c r="W212" s="35"/>
    </row>
    <row r="213" spans="21:23" x14ac:dyDescent="0.25">
      <c r="U213" s="18"/>
      <c r="V213" s="3"/>
      <c r="W213" s="35"/>
    </row>
    <row r="214" spans="21:23" x14ac:dyDescent="0.25">
      <c r="U214" s="18"/>
      <c r="V214" s="3"/>
      <c r="W214" s="35"/>
    </row>
    <row r="215" spans="21:23" x14ac:dyDescent="0.25">
      <c r="U215" s="18"/>
      <c r="V215" s="3"/>
      <c r="W215" s="35"/>
    </row>
    <row r="216" spans="21:23" x14ac:dyDescent="0.25">
      <c r="U216" s="18"/>
      <c r="V216" s="3"/>
      <c r="W216" s="35"/>
    </row>
    <row r="217" spans="21:23" x14ac:dyDescent="0.25">
      <c r="U217" s="18"/>
      <c r="V217" s="3"/>
      <c r="W217" s="35"/>
    </row>
    <row r="218" spans="21:23" x14ac:dyDescent="0.25">
      <c r="U218" s="18"/>
      <c r="V218" s="3"/>
      <c r="W218" s="35"/>
    </row>
    <row r="219" spans="21:23" x14ac:dyDescent="0.25">
      <c r="U219" s="18"/>
      <c r="V219" s="3"/>
      <c r="W219" s="35"/>
    </row>
    <row r="220" spans="21:23" x14ac:dyDescent="0.25">
      <c r="U220" s="18"/>
      <c r="V220" s="3"/>
      <c r="W220" s="35"/>
    </row>
    <row r="221" spans="21:23" x14ac:dyDescent="0.25">
      <c r="U221" s="18"/>
      <c r="V221" s="3"/>
      <c r="W221" s="35"/>
    </row>
    <row r="222" spans="21:23" x14ac:dyDescent="0.25">
      <c r="U222" s="18"/>
      <c r="V222" s="3"/>
      <c r="W222" s="35"/>
    </row>
    <row r="223" spans="21:23" x14ac:dyDescent="0.25">
      <c r="U223" s="18"/>
      <c r="V223" s="3"/>
      <c r="W223" s="35"/>
    </row>
    <row r="224" spans="21:23" x14ac:dyDescent="0.25">
      <c r="U224" s="18"/>
      <c r="V224" s="3"/>
      <c r="W224" s="35"/>
    </row>
    <row r="225" spans="21:23" x14ac:dyDescent="0.25">
      <c r="U225" s="18"/>
      <c r="V225" s="3"/>
      <c r="W225" s="35"/>
    </row>
    <row r="226" spans="21:23" x14ac:dyDescent="0.25">
      <c r="U226" s="18"/>
      <c r="V226" s="3"/>
      <c r="W226" s="35"/>
    </row>
    <row r="227" spans="21:23" x14ac:dyDescent="0.25">
      <c r="U227" s="18"/>
      <c r="V227" s="3"/>
      <c r="W227" s="35"/>
    </row>
    <row r="228" spans="21:23" x14ac:dyDescent="0.25">
      <c r="U228" s="18"/>
      <c r="V228" s="3"/>
      <c r="W228" s="35"/>
    </row>
    <row r="229" spans="21:23" x14ac:dyDescent="0.25">
      <c r="U229" s="18"/>
      <c r="V229" s="3"/>
      <c r="W229" s="35"/>
    </row>
    <row r="230" spans="21:23" x14ac:dyDescent="0.25">
      <c r="U230" s="18"/>
      <c r="V230" s="3"/>
      <c r="W230" s="35"/>
    </row>
    <row r="231" spans="21:23" x14ac:dyDescent="0.25">
      <c r="U231" s="18"/>
      <c r="V231" s="3"/>
      <c r="W231" s="35"/>
    </row>
    <row r="232" spans="21:23" x14ac:dyDescent="0.25">
      <c r="U232" s="18"/>
      <c r="V232" s="3"/>
      <c r="W232" s="35"/>
    </row>
    <row r="233" spans="21:23" x14ac:dyDescent="0.25">
      <c r="U233" s="18"/>
      <c r="V233" s="3"/>
      <c r="W233" s="35"/>
    </row>
    <row r="234" spans="21:23" x14ac:dyDescent="0.25">
      <c r="U234" s="18"/>
      <c r="V234" s="3"/>
      <c r="W234" s="35"/>
    </row>
    <row r="235" spans="21:23" x14ac:dyDescent="0.25">
      <c r="U235" s="18"/>
      <c r="V235" s="3"/>
      <c r="W235" s="35"/>
    </row>
    <row r="236" spans="21:23" x14ac:dyDescent="0.25">
      <c r="U236" s="18"/>
      <c r="V236" s="3"/>
      <c r="W236" s="35"/>
    </row>
    <row r="237" spans="21:23" x14ac:dyDescent="0.25">
      <c r="U237" s="18"/>
      <c r="V237" s="3"/>
      <c r="W237" s="35"/>
    </row>
    <row r="238" spans="21:23" x14ac:dyDescent="0.25">
      <c r="U238" s="18"/>
      <c r="V238" s="3"/>
      <c r="W238" s="35"/>
    </row>
    <row r="239" spans="21:23" x14ac:dyDescent="0.25">
      <c r="U239" s="18"/>
      <c r="V239" s="3"/>
      <c r="W239" s="35"/>
    </row>
    <row r="240" spans="21:23" x14ac:dyDescent="0.25">
      <c r="U240" s="18"/>
      <c r="V240" s="3"/>
      <c r="W240" s="35"/>
    </row>
    <row r="241" spans="21:23" x14ac:dyDescent="0.25">
      <c r="U241" s="18"/>
      <c r="V241" s="3"/>
      <c r="W241" s="35"/>
    </row>
    <row r="242" spans="21:23" x14ac:dyDescent="0.25">
      <c r="U242" s="18"/>
      <c r="V242" s="3"/>
      <c r="W242" s="35"/>
    </row>
    <row r="243" spans="21:23" x14ac:dyDescent="0.25">
      <c r="U243" s="18"/>
      <c r="V243" s="3"/>
      <c r="W243" s="35"/>
    </row>
    <row r="244" spans="21:23" x14ac:dyDescent="0.25">
      <c r="U244" s="18"/>
      <c r="V244" s="3"/>
      <c r="W244" s="35"/>
    </row>
    <row r="245" spans="21:23" x14ac:dyDescent="0.25">
      <c r="U245" s="18"/>
      <c r="V245" s="3"/>
      <c r="W245" s="35"/>
    </row>
    <row r="246" spans="21:23" x14ac:dyDescent="0.25">
      <c r="U246" s="18"/>
      <c r="V246" s="3"/>
      <c r="W246" s="35"/>
    </row>
    <row r="247" spans="21:23" x14ac:dyDescent="0.25">
      <c r="U247" s="18"/>
      <c r="V247" s="3"/>
      <c r="W247" s="35"/>
    </row>
    <row r="248" spans="21:23" x14ac:dyDescent="0.25">
      <c r="U248" s="18"/>
      <c r="V248" s="3"/>
      <c r="W248" s="35"/>
    </row>
    <row r="249" spans="21:23" x14ac:dyDescent="0.25">
      <c r="U249" s="18"/>
      <c r="V249" s="3"/>
      <c r="W249" s="35"/>
    </row>
    <row r="250" spans="21:23" x14ac:dyDescent="0.25">
      <c r="U250" s="18"/>
      <c r="V250" s="3"/>
      <c r="W250" s="35"/>
    </row>
    <row r="251" spans="21:23" x14ac:dyDescent="0.25">
      <c r="U251" s="18"/>
      <c r="V251" s="3"/>
      <c r="W251" s="35"/>
    </row>
    <row r="252" spans="21:23" x14ac:dyDescent="0.25">
      <c r="U252" s="18"/>
      <c r="V252" s="3"/>
      <c r="W252" s="35"/>
    </row>
    <row r="253" spans="21:23" x14ac:dyDescent="0.25">
      <c r="U253" s="18"/>
      <c r="V253" s="3"/>
      <c r="W253" s="35"/>
    </row>
    <row r="254" spans="21:23" x14ac:dyDescent="0.25">
      <c r="U254" s="18"/>
      <c r="V254" s="3"/>
      <c r="W254" s="35"/>
    </row>
    <row r="255" spans="21:23" x14ac:dyDescent="0.25">
      <c r="U255" s="18"/>
      <c r="V255" s="3"/>
      <c r="W255" s="35"/>
    </row>
    <row r="256" spans="21:23" x14ac:dyDescent="0.25">
      <c r="U256" s="18"/>
      <c r="V256" s="3"/>
      <c r="W256" s="35"/>
    </row>
    <row r="257" spans="21:23" x14ac:dyDescent="0.25">
      <c r="U257" s="18"/>
      <c r="V257" s="3"/>
      <c r="W257" s="35"/>
    </row>
    <row r="258" spans="21:23" x14ac:dyDescent="0.25">
      <c r="U258" s="18"/>
      <c r="V258" s="3"/>
      <c r="W258" s="35"/>
    </row>
    <row r="259" spans="21:23" x14ac:dyDescent="0.25">
      <c r="U259" s="18"/>
      <c r="V259" s="3"/>
      <c r="W259" s="35"/>
    </row>
    <row r="260" spans="21:23" x14ac:dyDescent="0.25">
      <c r="U260" s="18"/>
      <c r="V260" s="3"/>
      <c r="W260" s="35"/>
    </row>
    <row r="261" spans="21:23" x14ac:dyDescent="0.25">
      <c r="U261" s="18"/>
      <c r="V261" s="3"/>
      <c r="W261" s="35"/>
    </row>
    <row r="262" spans="21:23" x14ac:dyDescent="0.25">
      <c r="U262" s="18"/>
      <c r="V262" s="3"/>
      <c r="W262" s="35"/>
    </row>
    <row r="263" spans="21:23" x14ac:dyDescent="0.25">
      <c r="U263" s="18"/>
      <c r="V263" s="3"/>
      <c r="W263" s="35"/>
    </row>
    <row r="264" spans="21:23" x14ac:dyDescent="0.25">
      <c r="U264" s="18"/>
      <c r="V264" s="3"/>
      <c r="W264" s="35"/>
    </row>
    <row r="265" spans="21:23" x14ac:dyDescent="0.25">
      <c r="U265" s="18"/>
      <c r="V265" s="3"/>
      <c r="W265" s="35"/>
    </row>
    <row r="266" spans="21:23" x14ac:dyDescent="0.25">
      <c r="U266" s="18"/>
      <c r="V266" s="3"/>
      <c r="W266" s="35"/>
    </row>
    <row r="267" spans="21:23" x14ac:dyDescent="0.25">
      <c r="U267" s="18"/>
      <c r="V267" s="3"/>
      <c r="W267" s="35"/>
    </row>
    <row r="268" spans="21:23" x14ac:dyDescent="0.25">
      <c r="U268" s="18"/>
      <c r="V268" s="3"/>
      <c r="W268" s="35"/>
    </row>
    <row r="269" spans="21:23" x14ac:dyDescent="0.25">
      <c r="U269" s="18"/>
      <c r="V269" s="3"/>
      <c r="W269" s="35"/>
    </row>
    <row r="270" spans="21:23" x14ac:dyDescent="0.25">
      <c r="U270" s="18"/>
      <c r="V270" s="3"/>
      <c r="W270" s="35"/>
    </row>
    <row r="271" spans="21:23" x14ac:dyDescent="0.25">
      <c r="U271" s="18"/>
      <c r="V271" s="3"/>
      <c r="W271" s="35"/>
    </row>
    <row r="272" spans="21:23" x14ac:dyDescent="0.25">
      <c r="U272" s="18"/>
      <c r="V272" s="3"/>
      <c r="W272" s="35"/>
    </row>
    <row r="273" spans="21:23" x14ac:dyDescent="0.25">
      <c r="U273" s="18"/>
      <c r="V273" s="3"/>
      <c r="W273" s="35"/>
    </row>
    <row r="274" spans="21:23" x14ac:dyDescent="0.25">
      <c r="U274" s="18"/>
      <c r="V274" s="3"/>
      <c r="W274" s="35"/>
    </row>
    <row r="275" spans="21:23" x14ac:dyDescent="0.25">
      <c r="U275" s="18"/>
      <c r="V275" s="3"/>
      <c r="W275" s="35"/>
    </row>
    <row r="276" spans="21:23" x14ac:dyDescent="0.25">
      <c r="U276" s="18"/>
      <c r="V276" s="3"/>
      <c r="W276" s="35"/>
    </row>
    <row r="277" spans="21:23" x14ac:dyDescent="0.25">
      <c r="U277" s="18"/>
      <c r="V277" s="3"/>
      <c r="W277" s="35"/>
    </row>
    <row r="278" spans="21:23" x14ac:dyDescent="0.25">
      <c r="U278" s="18"/>
      <c r="V278" s="3"/>
      <c r="W278" s="35"/>
    </row>
    <row r="279" spans="21:23" x14ac:dyDescent="0.25">
      <c r="U279" s="18"/>
      <c r="V279" s="3"/>
      <c r="W279" s="35"/>
    </row>
    <row r="280" spans="21:23" x14ac:dyDescent="0.25">
      <c r="U280" s="18"/>
      <c r="V280" s="3"/>
      <c r="W280" s="35"/>
    </row>
    <row r="281" spans="21:23" x14ac:dyDescent="0.25">
      <c r="U281" s="18"/>
      <c r="V281" s="3"/>
      <c r="W281" s="35"/>
    </row>
    <row r="282" spans="21:23" x14ac:dyDescent="0.25">
      <c r="U282" s="18"/>
      <c r="V282" s="3"/>
      <c r="W282" s="35"/>
    </row>
    <row r="283" spans="21:23" x14ac:dyDescent="0.25">
      <c r="U283" s="18"/>
      <c r="V283" s="3"/>
      <c r="W283" s="35"/>
    </row>
    <row r="284" spans="21:23" x14ac:dyDescent="0.25">
      <c r="U284" s="18"/>
      <c r="V284" s="3"/>
      <c r="W284" s="35"/>
    </row>
    <row r="285" spans="21:23" x14ac:dyDescent="0.25">
      <c r="U285" s="18"/>
      <c r="V285" s="3"/>
      <c r="W285" s="35"/>
    </row>
    <row r="286" spans="21:23" x14ac:dyDescent="0.25">
      <c r="U286" s="18"/>
      <c r="V286" s="3"/>
      <c r="W286" s="35"/>
    </row>
    <row r="287" spans="21:23" x14ac:dyDescent="0.25">
      <c r="U287" s="18"/>
      <c r="V287" s="3"/>
      <c r="W287" s="35"/>
    </row>
    <row r="288" spans="21:23" x14ac:dyDescent="0.25">
      <c r="U288" s="18"/>
      <c r="V288" s="3"/>
      <c r="W288" s="35"/>
    </row>
    <row r="289" spans="21:23" x14ac:dyDescent="0.25">
      <c r="U289" s="18"/>
      <c r="V289" s="3"/>
      <c r="W289" s="35"/>
    </row>
    <row r="290" spans="21:23" x14ac:dyDescent="0.25">
      <c r="U290" s="18"/>
      <c r="V290" s="3"/>
      <c r="W290" s="35"/>
    </row>
    <row r="291" spans="21:23" x14ac:dyDescent="0.25">
      <c r="U291" s="18"/>
      <c r="V291" s="3"/>
      <c r="W291" s="35"/>
    </row>
    <row r="292" spans="21:23" x14ac:dyDescent="0.25">
      <c r="U292" s="18"/>
      <c r="V292" s="3"/>
      <c r="W292" s="35"/>
    </row>
    <row r="293" spans="21:23" x14ac:dyDescent="0.25">
      <c r="U293" s="18"/>
      <c r="V293" s="3"/>
      <c r="W293" s="35"/>
    </row>
    <row r="294" spans="21:23" x14ac:dyDescent="0.25">
      <c r="U294" s="18"/>
      <c r="V294" s="3"/>
      <c r="W294" s="35"/>
    </row>
    <row r="295" spans="21:23" x14ac:dyDescent="0.25">
      <c r="U295" s="18"/>
      <c r="V295" s="3"/>
      <c r="W295" s="35"/>
    </row>
    <row r="296" spans="21:23" x14ac:dyDescent="0.25">
      <c r="U296" s="18"/>
      <c r="V296" s="3"/>
      <c r="W296" s="35"/>
    </row>
    <row r="297" spans="21:23" x14ac:dyDescent="0.25">
      <c r="U297" s="18"/>
      <c r="V297" s="3"/>
      <c r="W297" s="35"/>
    </row>
    <row r="298" spans="21:23" x14ac:dyDescent="0.25">
      <c r="U298" s="18"/>
      <c r="V298" s="3"/>
      <c r="W298" s="35"/>
    </row>
    <row r="299" spans="21:23" x14ac:dyDescent="0.25">
      <c r="U299" s="18"/>
      <c r="V299" s="3"/>
      <c r="W299" s="35"/>
    </row>
    <row r="300" spans="21:23" x14ac:dyDescent="0.25">
      <c r="U300" s="18"/>
      <c r="V300" s="3"/>
      <c r="W300" s="35"/>
    </row>
    <row r="301" spans="21:23" x14ac:dyDescent="0.25">
      <c r="U301" s="18"/>
      <c r="V301" s="3"/>
      <c r="W301" s="35"/>
    </row>
    <row r="302" spans="21:23" x14ac:dyDescent="0.25">
      <c r="U302" s="18"/>
      <c r="V302" s="3"/>
      <c r="W302" s="35"/>
    </row>
    <row r="303" spans="21:23" x14ac:dyDescent="0.25">
      <c r="U303" s="18"/>
      <c r="V303" s="3"/>
      <c r="W303" s="35"/>
    </row>
    <row r="304" spans="21:23" x14ac:dyDescent="0.25">
      <c r="U304" s="18"/>
      <c r="V304" s="3"/>
      <c r="W304" s="35"/>
    </row>
    <row r="305" spans="21:23" x14ac:dyDescent="0.25">
      <c r="U305" s="18"/>
      <c r="V305" s="3"/>
      <c r="W305" s="35"/>
    </row>
    <row r="306" spans="21:23" x14ac:dyDescent="0.25">
      <c r="U306" s="18"/>
      <c r="V306" s="3"/>
      <c r="W306" s="35"/>
    </row>
    <row r="307" spans="21:23" x14ac:dyDescent="0.25">
      <c r="U307" s="18"/>
      <c r="V307" s="3"/>
      <c r="W307" s="35"/>
    </row>
    <row r="308" spans="21:23" x14ac:dyDescent="0.25">
      <c r="U308" s="18"/>
      <c r="V308" s="3"/>
      <c r="W308" s="35"/>
    </row>
    <row r="309" spans="21:23" x14ac:dyDescent="0.25">
      <c r="U309" s="18"/>
      <c r="V309" s="3"/>
      <c r="W309" s="35"/>
    </row>
    <row r="310" spans="21:23" x14ac:dyDescent="0.25">
      <c r="U310" s="18"/>
      <c r="V310" s="3"/>
      <c r="W310" s="35"/>
    </row>
    <row r="311" spans="21:23" x14ac:dyDescent="0.25">
      <c r="U311" s="18"/>
      <c r="V311" s="3"/>
      <c r="W311" s="35"/>
    </row>
    <row r="312" spans="21:23" x14ac:dyDescent="0.25">
      <c r="U312" s="18"/>
      <c r="V312" s="3"/>
      <c r="W312" s="35"/>
    </row>
    <row r="313" spans="21:23" x14ac:dyDescent="0.25">
      <c r="U313" s="18"/>
      <c r="V313" s="3"/>
      <c r="W313" s="35"/>
    </row>
    <row r="314" spans="21:23" x14ac:dyDescent="0.25">
      <c r="U314" s="18"/>
      <c r="V314" s="3"/>
      <c r="W314" s="35"/>
    </row>
    <row r="315" spans="21:23" x14ac:dyDescent="0.25">
      <c r="U315" s="18"/>
      <c r="V315" s="3"/>
      <c r="W315" s="35"/>
    </row>
    <row r="316" spans="21:23" x14ac:dyDescent="0.25">
      <c r="U316" s="18"/>
      <c r="V316" s="3"/>
      <c r="W316" s="35"/>
    </row>
    <row r="317" spans="21:23" x14ac:dyDescent="0.25">
      <c r="U317" s="18"/>
      <c r="V317" s="3"/>
      <c r="W317" s="35"/>
    </row>
    <row r="318" spans="21:23" x14ac:dyDescent="0.25">
      <c r="U318" s="18"/>
      <c r="V318" s="3"/>
      <c r="W318" s="35"/>
    </row>
    <row r="319" spans="21:23" x14ac:dyDescent="0.25">
      <c r="U319" s="18"/>
      <c r="V319" s="3"/>
      <c r="W319" s="35"/>
    </row>
    <row r="320" spans="21:23" x14ac:dyDescent="0.25">
      <c r="U320" s="18"/>
      <c r="V320" s="3"/>
      <c r="W320" s="35"/>
    </row>
    <row r="321" spans="21:23" x14ac:dyDescent="0.25">
      <c r="U321" s="18"/>
      <c r="V321" s="3"/>
      <c r="W321" s="35"/>
    </row>
    <row r="322" spans="21:23" x14ac:dyDescent="0.25">
      <c r="U322" s="18"/>
      <c r="V322" s="3"/>
      <c r="W322" s="35"/>
    </row>
    <row r="323" spans="21:23" x14ac:dyDescent="0.25">
      <c r="U323" s="18"/>
      <c r="V323" s="3"/>
      <c r="W323" s="35"/>
    </row>
    <row r="324" spans="21:23" x14ac:dyDescent="0.25">
      <c r="U324" s="18"/>
      <c r="V324" s="3"/>
      <c r="W324" s="35"/>
    </row>
    <row r="325" spans="21:23" x14ac:dyDescent="0.25">
      <c r="U325" s="18"/>
      <c r="V325" s="3"/>
      <c r="W325" s="35"/>
    </row>
    <row r="326" spans="21:23" x14ac:dyDescent="0.25">
      <c r="U326" s="18"/>
      <c r="V326" s="3"/>
      <c r="W326" s="35"/>
    </row>
    <row r="327" spans="21:23" x14ac:dyDescent="0.25">
      <c r="U327" s="18"/>
      <c r="V327" s="3"/>
      <c r="W327" s="35"/>
    </row>
    <row r="328" spans="21:23" x14ac:dyDescent="0.25">
      <c r="U328" s="18"/>
      <c r="V328" s="3"/>
      <c r="W328" s="35"/>
    </row>
    <row r="329" spans="21:23" x14ac:dyDescent="0.25">
      <c r="U329" s="18"/>
      <c r="V329" s="3"/>
      <c r="W329" s="35"/>
    </row>
    <row r="330" spans="21:23" x14ac:dyDescent="0.25">
      <c r="U330" s="18"/>
      <c r="V330" s="3"/>
      <c r="W330" s="35"/>
    </row>
    <row r="331" spans="21:23" x14ac:dyDescent="0.25">
      <c r="U331" s="18"/>
      <c r="V331" s="3"/>
      <c r="W331" s="35"/>
    </row>
    <row r="332" spans="21:23" x14ac:dyDescent="0.25">
      <c r="U332" s="18"/>
      <c r="V332" s="3"/>
      <c r="W332" s="35"/>
    </row>
    <row r="333" spans="21:23" x14ac:dyDescent="0.25">
      <c r="U333" s="18"/>
      <c r="V333" s="3"/>
      <c r="W333" s="35"/>
    </row>
    <row r="334" spans="21:23" x14ac:dyDescent="0.25">
      <c r="U334" s="18"/>
      <c r="V334" s="3"/>
      <c r="W334" s="35"/>
    </row>
    <row r="335" spans="21:23" x14ac:dyDescent="0.25">
      <c r="U335" s="18"/>
      <c r="V335" s="3"/>
      <c r="W335" s="35"/>
    </row>
    <row r="336" spans="21:23" x14ac:dyDescent="0.25">
      <c r="U336" s="18"/>
      <c r="V336" s="3"/>
      <c r="W336" s="35"/>
    </row>
    <row r="337" spans="21:23" x14ac:dyDescent="0.25">
      <c r="U337" s="18"/>
      <c r="V337" s="3"/>
      <c r="W337" s="35"/>
    </row>
    <row r="338" spans="21:23" x14ac:dyDescent="0.25">
      <c r="U338" s="18"/>
      <c r="V338" s="3"/>
      <c r="W338" s="35"/>
    </row>
    <row r="339" spans="21:23" x14ac:dyDescent="0.25">
      <c r="U339" s="18"/>
      <c r="V339" s="3"/>
      <c r="W339" s="35"/>
    </row>
    <row r="340" spans="21:23" x14ac:dyDescent="0.25">
      <c r="U340" s="18"/>
      <c r="V340" s="3"/>
      <c r="W340" s="35"/>
    </row>
    <row r="341" spans="21:23" x14ac:dyDescent="0.25">
      <c r="U341" s="18"/>
      <c r="V341" s="3"/>
      <c r="W341" s="35"/>
    </row>
    <row r="342" spans="21:23" x14ac:dyDescent="0.25">
      <c r="U342" s="18"/>
      <c r="V342" s="3"/>
      <c r="W342" s="35"/>
    </row>
    <row r="343" spans="21:23" x14ac:dyDescent="0.25">
      <c r="U343" s="18"/>
      <c r="V343" s="3"/>
      <c r="W343" s="35"/>
    </row>
    <row r="344" spans="21:23" x14ac:dyDescent="0.25">
      <c r="U344" s="18"/>
      <c r="V344" s="3"/>
      <c r="W344" s="35"/>
    </row>
    <row r="345" spans="21:23" x14ac:dyDescent="0.25">
      <c r="U345" s="18"/>
      <c r="V345" s="3"/>
      <c r="W345" s="35"/>
    </row>
    <row r="346" spans="21:23" x14ac:dyDescent="0.25">
      <c r="U346" s="18"/>
      <c r="V346" s="3"/>
      <c r="W346" s="35"/>
    </row>
    <row r="347" spans="21:23" x14ac:dyDescent="0.25">
      <c r="U347" s="18"/>
      <c r="V347" s="3"/>
      <c r="W347" s="35"/>
    </row>
    <row r="348" spans="21:23" x14ac:dyDescent="0.25">
      <c r="U348" s="18"/>
      <c r="V348" s="3"/>
      <c r="W348" s="35"/>
    </row>
    <row r="349" spans="21:23" x14ac:dyDescent="0.25">
      <c r="U349" s="18"/>
      <c r="V349" s="3"/>
      <c r="W349" s="35"/>
    </row>
    <row r="350" spans="21:23" x14ac:dyDescent="0.25">
      <c r="U350" s="18"/>
      <c r="V350" s="3"/>
      <c r="W350" s="35"/>
    </row>
    <row r="351" spans="21:23" x14ac:dyDescent="0.25">
      <c r="U351" s="18"/>
      <c r="V351" s="3"/>
      <c r="W351" s="35"/>
    </row>
    <row r="352" spans="21:23" x14ac:dyDescent="0.25">
      <c r="U352" s="18"/>
      <c r="V352" s="3"/>
      <c r="W352" s="35"/>
    </row>
    <row r="353" spans="21:23" x14ac:dyDescent="0.25">
      <c r="U353" s="18"/>
      <c r="V353" s="3"/>
      <c r="W353" s="35"/>
    </row>
    <row r="354" spans="21:23" x14ac:dyDescent="0.25">
      <c r="U354" s="18"/>
      <c r="V354" s="3"/>
      <c r="W354" s="35"/>
    </row>
    <row r="355" spans="21:23" x14ac:dyDescent="0.25">
      <c r="U355" s="18"/>
      <c r="V355" s="3"/>
      <c r="W355" s="35"/>
    </row>
    <row r="356" spans="21:23" x14ac:dyDescent="0.25">
      <c r="U356" s="18"/>
      <c r="V356" s="3"/>
      <c r="W356" s="35"/>
    </row>
    <row r="357" spans="21:23" x14ac:dyDescent="0.25">
      <c r="U357" s="18"/>
      <c r="V357" s="3"/>
      <c r="W357" s="35"/>
    </row>
    <row r="358" spans="21:23" x14ac:dyDescent="0.25">
      <c r="U358" s="18"/>
      <c r="V358" s="3"/>
      <c r="W358" s="35"/>
    </row>
    <row r="359" spans="21:23" x14ac:dyDescent="0.25">
      <c r="U359" s="18"/>
      <c r="V359" s="3"/>
      <c r="W359" s="35"/>
    </row>
    <row r="360" spans="21:23" x14ac:dyDescent="0.25">
      <c r="U360" s="18"/>
      <c r="V360" s="3"/>
      <c r="W360" s="35"/>
    </row>
    <row r="361" spans="21:23" x14ac:dyDescent="0.25">
      <c r="U361" s="18"/>
      <c r="V361" s="3"/>
      <c r="W361" s="35"/>
    </row>
    <row r="362" spans="21:23" x14ac:dyDescent="0.25">
      <c r="U362" s="18"/>
      <c r="V362" s="3"/>
      <c r="W362" s="35"/>
    </row>
    <row r="363" spans="21:23" x14ac:dyDescent="0.25">
      <c r="U363" s="18"/>
      <c r="V363" s="3"/>
      <c r="W363" s="35"/>
    </row>
    <row r="364" spans="21:23" x14ac:dyDescent="0.25">
      <c r="U364" s="18"/>
      <c r="V364" s="3"/>
      <c r="W364" s="35"/>
    </row>
    <row r="365" spans="21:23" x14ac:dyDescent="0.25">
      <c r="U365" s="18"/>
      <c r="V365" s="3"/>
      <c r="W365" s="35"/>
    </row>
    <row r="366" spans="21:23" x14ac:dyDescent="0.25">
      <c r="U366" s="18"/>
      <c r="V366" s="3"/>
      <c r="W366" s="35"/>
    </row>
    <row r="367" spans="21:23" x14ac:dyDescent="0.25">
      <c r="U367" s="18"/>
      <c r="V367" s="3"/>
      <c r="W367" s="35"/>
    </row>
    <row r="368" spans="21:23" x14ac:dyDescent="0.25">
      <c r="U368" s="18"/>
      <c r="V368" s="3"/>
      <c r="W368" s="35"/>
    </row>
    <row r="369" spans="21:23" x14ac:dyDescent="0.25">
      <c r="U369" s="18"/>
      <c r="V369" s="3"/>
      <c r="W369" s="35"/>
    </row>
    <row r="370" spans="21:23" x14ac:dyDescent="0.25">
      <c r="U370" s="18"/>
      <c r="V370" s="3"/>
      <c r="W370" s="35"/>
    </row>
    <row r="371" spans="21:23" x14ac:dyDescent="0.25">
      <c r="U371" s="18"/>
      <c r="V371" s="3"/>
      <c r="W371" s="35"/>
    </row>
    <row r="372" spans="21:23" x14ac:dyDescent="0.25">
      <c r="U372" s="18"/>
      <c r="V372" s="3"/>
      <c r="W372" s="35"/>
    </row>
    <row r="373" spans="21:23" x14ac:dyDescent="0.25">
      <c r="U373" s="18"/>
      <c r="V373" s="3"/>
      <c r="W373" s="35"/>
    </row>
    <row r="374" spans="21:23" x14ac:dyDescent="0.25">
      <c r="U374" s="18"/>
      <c r="V374" s="3"/>
      <c r="W374" s="35"/>
    </row>
    <row r="375" spans="21:23" x14ac:dyDescent="0.25">
      <c r="U375" s="18"/>
      <c r="V375" s="3"/>
      <c r="W375" s="35"/>
    </row>
    <row r="376" spans="21:23" x14ac:dyDescent="0.25">
      <c r="U376" s="18"/>
      <c r="V376" s="3"/>
      <c r="W376" s="35"/>
    </row>
    <row r="377" spans="21:23" x14ac:dyDescent="0.25">
      <c r="U377" s="18"/>
      <c r="V377" s="3"/>
      <c r="W377" s="35"/>
    </row>
    <row r="378" spans="21:23" x14ac:dyDescent="0.25">
      <c r="U378" s="18"/>
      <c r="V378" s="3"/>
      <c r="W378" s="35"/>
    </row>
    <row r="379" spans="21:23" x14ac:dyDescent="0.25">
      <c r="U379" s="18"/>
      <c r="V379" s="3"/>
      <c r="W379" s="35"/>
    </row>
    <row r="380" spans="21:23" x14ac:dyDescent="0.25">
      <c r="U380" s="18"/>
      <c r="V380" s="3"/>
      <c r="W380" s="35"/>
    </row>
    <row r="381" spans="21:23" x14ac:dyDescent="0.25">
      <c r="U381" s="18"/>
      <c r="V381" s="3"/>
      <c r="W381" s="35"/>
    </row>
    <row r="382" spans="21:23" x14ac:dyDescent="0.25">
      <c r="U382" s="18"/>
      <c r="V382" s="3"/>
      <c r="W382" s="35"/>
    </row>
    <row r="383" spans="21:23" x14ac:dyDescent="0.25">
      <c r="U383" s="18"/>
      <c r="V383" s="3"/>
      <c r="W383" s="35"/>
    </row>
    <row r="384" spans="21:23" x14ac:dyDescent="0.25">
      <c r="U384" s="18"/>
      <c r="V384" s="3"/>
      <c r="W384" s="35"/>
    </row>
    <row r="385" spans="21:23" x14ac:dyDescent="0.25">
      <c r="U385" s="18"/>
      <c r="V385" s="3"/>
      <c r="W385" s="35"/>
    </row>
    <row r="386" spans="21:23" x14ac:dyDescent="0.25">
      <c r="U386" s="18"/>
      <c r="V386" s="3"/>
      <c r="W386" s="35"/>
    </row>
    <row r="387" spans="21:23" x14ac:dyDescent="0.25">
      <c r="U387" s="18"/>
      <c r="V387" s="3"/>
      <c r="W387" s="35"/>
    </row>
    <row r="388" spans="21:23" x14ac:dyDescent="0.25">
      <c r="U388" s="18"/>
      <c r="V388" s="3"/>
      <c r="W388" s="35"/>
    </row>
    <row r="389" spans="21:23" x14ac:dyDescent="0.25">
      <c r="U389" s="18"/>
      <c r="V389" s="3"/>
      <c r="W389" s="35"/>
    </row>
    <row r="390" spans="21:23" x14ac:dyDescent="0.25">
      <c r="U390" s="18"/>
      <c r="V390" s="3"/>
      <c r="W390" s="35"/>
    </row>
    <row r="391" spans="21:23" x14ac:dyDescent="0.25">
      <c r="U391" s="18"/>
      <c r="V391" s="3"/>
      <c r="W391" s="35"/>
    </row>
    <row r="392" spans="21:23" x14ac:dyDescent="0.25">
      <c r="U392" s="18"/>
      <c r="V392" s="3"/>
      <c r="W392" s="35"/>
    </row>
    <row r="393" spans="21:23" x14ac:dyDescent="0.25">
      <c r="U393" s="18"/>
      <c r="V393" s="3"/>
      <c r="W393" s="35"/>
    </row>
    <row r="394" spans="21:23" x14ac:dyDescent="0.25">
      <c r="U394" s="18"/>
      <c r="V394" s="3"/>
      <c r="W394" s="35"/>
    </row>
    <row r="395" spans="21:23" x14ac:dyDescent="0.25">
      <c r="U395" s="18"/>
      <c r="V395" s="3"/>
      <c r="W395" s="35"/>
    </row>
    <row r="396" spans="21:23" x14ac:dyDescent="0.25">
      <c r="U396" s="18"/>
      <c r="V396" s="3"/>
      <c r="W396" s="35"/>
    </row>
    <row r="397" spans="21:23" x14ac:dyDescent="0.25">
      <c r="U397" s="18"/>
      <c r="V397" s="3"/>
      <c r="W397" s="35"/>
    </row>
    <row r="398" spans="21:23" x14ac:dyDescent="0.25">
      <c r="U398" s="18"/>
      <c r="V398" s="3"/>
      <c r="W398" s="35"/>
    </row>
    <row r="399" spans="21:23" x14ac:dyDescent="0.25">
      <c r="U399" s="18"/>
      <c r="V399" s="3"/>
      <c r="W399" s="35"/>
    </row>
    <row r="400" spans="21:23" x14ac:dyDescent="0.25">
      <c r="U400" s="18"/>
      <c r="V400" s="3"/>
      <c r="W400" s="35"/>
    </row>
    <row r="401" spans="15:23" x14ac:dyDescent="0.25">
      <c r="U401" s="18"/>
      <c r="V401" s="3"/>
      <c r="W401" s="35"/>
    </row>
    <row r="402" spans="15:23" x14ac:dyDescent="0.25">
      <c r="U402" s="18"/>
      <c r="V402" s="3"/>
      <c r="W402" s="35"/>
    </row>
    <row r="403" spans="15:23" x14ac:dyDescent="0.25">
      <c r="U403" s="18"/>
      <c r="V403" s="3"/>
      <c r="W403" s="35"/>
    </row>
    <row r="404" spans="15:23" x14ac:dyDescent="0.25">
      <c r="U404" s="18"/>
      <c r="V404" s="3"/>
      <c r="W404" s="35"/>
    </row>
    <row r="405" spans="15:23" x14ac:dyDescent="0.25">
      <c r="U405" s="18"/>
      <c r="V405" s="3"/>
      <c r="W405" s="35"/>
    </row>
    <row r="406" spans="15:23" x14ac:dyDescent="0.25">
      <c r="U406" s="18"/>
      <c r="V406" s="3"/>
      <c r="W406" s="35"/>
    </row>
    <row r="407" spans="15:23" x14ac:dyDescent="0.25">
      <c r="U407" s="18"/>
      <c r="V407" s="3"/>
      <c r="W407" s="35"/>
    </row>
    <row r="408" spans="15:23" x14ac:dyDescent="0.25">
      <c r="U408" s="18"/>
      <c r="V408" s="3"/>
      <c r="W408" s="35"/>
    </row>
    <row r="409" spans="15:23" x14ac:dyDescent="0.25">
      <c r="U409" s="18"/>
      <c r="V409" s="3"/>
      <c r="W409" s="35"/>
    </row>
    <row r="410" spans="15:23" x14ac:dyDescent="0.25">
      <c r="U410" s="18"/>
      <c r="V410" s="3"/>
      <c r="W410" s="35"/>
    </row>
    <row r="411" spans="15:23" x14ac:dyDescent="0.25">
      <c r="U411" s="18"/>
      <c r="V411" s="3"/>
      <c r="W411" s="35"/>
    </row>
    <row r="412" spans="15:23" x14ac:dyDescent="0.25">
      <c r="U412" s="18"/>
      <c r="V412" s="3"/>
      <c r="W412" s="35"/>
    </row>
    <row r="413" spans="15:23" x14ac:dyDescent="0.25">
      <c r="R413" s="6"/>
      <c r="U413" s="18"/>
      <c r="V413" s="3"/>
      <c r="W413" s="35"/>
    </row>
    <row r="414" spans="15:23" x14ac:dyDescent="0.25">
      <c r="O414" s="5" t="s">
        <v>144</v>
      </c>
      <c r="U414" s="18"/>
      <c r="V414" s="3"/>
      <c r="W414" s="35"/>
    </row>
    <row r="415" spans="15:23" x14ac:dyDescent="0.25">
      <c r="O415" s="5" t="s">
        <v>147</v>
      </c>
      <c r="P415" s="5"/>
      <c r="R415" s="6"/>
      <c r="U415" s="18"/>
      <c r="V415" s="3"/>
      <c r="W415" s="35"/>
    </row>
    <row r="416" spans="15:23" x14ac:dyDescent="0.25">
      <c r="O416" s="18" t="s">
        <v>192</v>
      </c>
      <c r="P416" s="5"/>
      <c r="U416" s="18"/>
      <c r="V416" s="3"/>
      <c r="W416" s="35"/>
    </row>
    <row r="417" spans="15:23" x14ac:dyDescent="0.25">
      <c r="O417" s="5" t="s">
        <v>156</v>
      </c>
      <c r="R417" s="126"/>
      <c r="U417" s="18"/>
      <c r="V417" s="3"/>
      <c r="W417" s="35"/>
    </row>
    <row r="418" spans="15:23" x14ac:dyDescent="0.25">
      <c r="O418" s="5" t="s">
        <v>174</v>
      </c>
      <c r="P418" s="5"/>
      <c r="R418" s="126"/>
      <c r="U418" s="18"/>
      <c r="V418" s="3"/>
      <c r="W418" s="35"/>
    </row>
    <row r="419" spans="15:23" x14ac:dyDescent="0.25">
      <c r="O419" s="5" t="s">
        <v>114</v>
      </c>
      <c r="P419" s="5"/>
      <c r="R419" s="126"/>
      <c r="U419" s="18"/>
      <c r="V419" s="3"/>
      <c r="W419" s="35"/>
    </row>
    <row r="420" spans="15:23" x14ac:dyDescent="0.25">
      <c r="O420" s="5" t="s">
        <v>131</v>
      </c>
      <c r="P420" s="5"/>
      <c r="R420" s="126"/>
      <c r="U420" s="18"/>
      <c r="V420" s="3"/>
      <c r="W420" s="35"/>
    </row>
    <row r="421" spans="15:23" x14ac:dyDescent="0.25">
      <c r="O421" s="5" t="s">
        <v>137</v>
      </c>
      <c r="P421" s="5"/>
      <c r="R421" s="126"/>
      <c r="U421" s="18"/>
      <c r="V421" s="3"/>
      <c r="W421" s="35"/>
    </row>
    <row r="422" spans="15:23" x14ac:dyDescent="0.25">
      <c r="O422" s="5" t="s">
        <v>140</v>
      </c>
      <c r="P422" s="5"/>
      <c r="R422" s="126"/>
      <c r="U422" s="18"/>
      <c r="V422" s="3"/>
      <c r="W422" s="35"/>
    </row>
    <row r="423" spans="15:23" x14ac:dyDescent="0.25">
      <c r="O423" s="5" t="s">
        <v>155</v>
      </c>
      <c r="P423" s="5"/>
      <c r="R423" s="188"/>
      <c r="U423" s="18"/>
      <c r="V423" s="3"/>
      <c r="W423" s="35"/>
    </row>
    <row r="424" spans="15:23" x14ac:dyDescent="0.25">
      <c r="O424" s="5" t="s">
        <v>133</v>
      </c>
      <c r="P424" s="5"/>
      <c r="R424" s="126"/>
      <c r="U424" s="18"/>
      <c r="V424" s="3"/>
      <c r="W424" s="35"/>
    </row>
    <row r="425" spans="15:23" x14ac:dyDescent="0.25">
      <c r="O425" s="5" t="s">
        <v>122</v>
      </c>
      <c r="P425" s="5"/>
      <c r="R425" s="126"/>
      <c r="U425" s="18"/>
      <c r="V425" s="3"/>
      <c r="W425" s="35"/>
    </row>
    <row r="426" spans="15:23" x14ac:dyDescent="0.25">
      <c r="O426" s="5" t="s">
        <v>193</v>
      </c>
      <c r="P426" s="5"/>
      <c r="R426" s="126"/>
      <c r="U426" s="18"/>
      <c r="V426" s="3"/>
      <c r="W426" s="35"/>
    </row>
    <row r="427" spans="15:23" x14ac:dyDescent="0.25">
      <c r="O427" s="5" t="s">
        <v>176</v>
      </c>
      <c r="P427" s="5"/>
      <c r="R427" s="126"/>
      <c r="U427" s="18"/>
      <c r="V427" s="3"/>
      <c r="W427" s="35"/>
    </row>
    <row r="428" spans="15:23" x14ac:dyDescent="0.25">
      <c r="O428" s="5" t="s">
        <v>177</v>
      </c>
      <c r="P428" s="5"/>
      <c r="R428" s="126"/>
      <c r="U428" s="18"/>
      <c r="V428" s="3"/>
      <c r="W428" s="35"/>
    </row>
    <row r="429" spans="15:23" x14ac:dyDescent="0.25">
      <c r="O429" s="5" t="s">
        <v>109</v>
      </c>
      <c r="P429" s="5"/>
      <c r="R429" s="126"/>
      <c r="U429" s="18"/>
      <c r="V429" s="3"/>
      <c r="W429" s="35"/>
    </row>
    <row r="430" spans="15:23" x14ac:dyDescent="0.25">
      <c r="O430" s="5" t="s">
        <v>128</v>
      </c>
      <c r="P430" s="5"/>
      <c r="U430" s="18"/>
      <c r="V430" s="3"/>
      <c r="W430" s="35"/>
    </row>
    <row r="431" spans="15:23" x14ac:dyDescent="0.25">
      <c r="O431" s="5" t="s">
        <v>287</v>
      </c>
      <c r="P431" s="5"/>
      <c r="U431" s="18"/>
      <c r="V431" s="3"/>
      <c r="W431" s="35"/>
    </row>
    <row r="432" spans="15:23" x14ac:dyDescent="0.25">
      <c r="O432" s="5" t="s">
        <v>116</v>
      </c>
      <c r="P432" s="5"/>
      <c r="U432" s="18"/>
      <c r="V432" s="3"/>
      <c r="W432" s="35"/>
    </row>
    <row r="433" spans="15:23" x14ac:dyDescent="0.25">
      <c r="O433" s="5" t="s">
        <v>179</v>
      </c>
      <c r="P433" s="5"/>
      <c r="U433" s="18"/>
    </row>
    <row r="434" spans="15:23" x14ac:dyDescent="0.25">
      <c r="O434" s="5" t="s">
        <v>180</v>
      </c>
      <c r="P434" s="5"/>
      <c r="U434" s="18"/>
    </row>
    <row r="435" spans="15:23" x14ac:dyDescent="0.25">
      <c r="O435" s="5" t="s">
        <v>194</v>
      </c>
      <c r="P435" s="5"/>
      <c r="U435" s="18"/>
    </row>
    <row r="436" spans="15:23" x14ac:dyDescent="0.25">
      <c r="O436" s="5" t="s">
        <v>195</v>
      </c>
      <c r="P436" s="5"/>
      <c r="U436" s="18"/>
    </row>
    <row r="437" spans="15:23" x14ac:dyDescent="0.25">
      <c r="O437" s="5" t="s">
        <v>196</v>
      </c>
      <c r="P437" s="5"/>
      <c r="U437" s="18"/>
      <c r="W437" s="6"/>
    </row>
    <row r="438" spans="15:23" x14ac:dyDescent="0.25">
      <c r="O438" s="5" t="s">
        <v>197</v>
      </c>
      <c r="P438" s="5"/>
      <c r="U438" s="18"/>
      <c r="W438" s="1"/>
    </row>
    <row r="439" spans="15:23" x14ac:dyDescent="0.25">
      <c r="O439" s="5" t="s">
        <v>198</v>
      </c>
      <c r="P439" s="5"/>
      <c r="U439" s="18"/>
      <c r="W439" s="1"/>
    </row>
    <row r="440" spans="15:23" x14ac:dyDescent="0.25">
      <c r="O440" s="5" t="s">
        <v>199</v>
      </c>
      <c r="P440" s="5"/>
      <c r="U440" s="18"/>
      <c r="W440" s="1"/>
    </row>
    <row r="441" spans="15:23" x14ac:dyDescent="0.25">
      <c r="O441" s="5" t="s">
        <v>200</v>
      </c>
      <c r="P441" s="5"/>
      <c r="U441" s="18"/>
      <c r="W441" s="1"/>
    </row>
    <row r="442" spans="15:23" x14ac:dyDescent="0.25">
      <c r="O442" s="5" t="s">
        <v>201</v>
      </c>
      <c r="P442" s="5"/>
      <c r="U442" s="18"/>
      <c r="W442" s="1"/>
    </row>
    <row r="443" spans="15:23" x14ac:dyDescent="0.25">
      <c r="O443" s="5" t="s">
        <v>202</v>
      </c>
      <c r="P443" s="5"/>
      <c r="U443" s="18"/>
      <c r="W443" s="1"/>
    </row>
    <row r="444" spans="15:23" x14ac:dyDescent="0.25">
      <c r="O444" s="5" t="s">
        <v>67</v>
      </c>
      <c r="P444" s="5"/>
      <c r="U444" s="18"/>
      <c r="W444" s="1"/>
    </row>
    <row r="445" spans="15:23" x14ac:dyDescent="0.25">
      <c r="P445" s="5"/>
      <c r="R445" s="3"/>
      <c r="U445" s="18"/>
      <c r="W445" s="1"/>
    </row>
    <row r="446" spans="15:23" x14ac:dyDescent="0.25">
      <c r="U446" s="18"/>
      <c r="W446" s="1"/>
    </row>
    <row r="447" spans="15:23" x14ac:dyDescent="0.25">
      <c r="O447" s="138" t="s">
        <v>181</v>
      </c>
      <c r="U447" s="18"/>
      <c r="W447" s="1"/>
    </row>
    <row r="448" spans="15:23" x14ac:dyDescent="0.25">
      <c r="P448" s="138"/>
      <c r="U448" s="18"/>
      <c r="W448" s="1"/>
    </row>
    <row r="449" spans="15:23" x14ac:dyDescent="0.25">
      <c r="O449" t="s">
        <v>182</v>
      </c>
      <c r="U449" s="18"/>
      <c r="W449" s="63"/>
    </row>
    <row r="450" spans="15:23" x14ac:dyDescent="0.25">
      <c r="O450" t="s">
        <v>183</v>
      </c>
      <c r="U450" s="18"/>
    </row>
    <row r="451" spans="15:23" x14ac:dyDescent="0.25">
      <c r="O451" t="s">
        <v>184</v>
      </c>
      <c r="U451" s="18"/>
      <c r="W451" s="3"/>
    </row>
    <row r="452" spans="15:23" x14ac:dyDescent="0.25">
      <c r="O452" t="s">
        <v>203</v>
      </c>
    </row>
    <row r="453" spans="15:23" x14ac:dyDescent="0.25">
      <c r="O453" t="s">
        <v>204</v>
      </c>
      <c r="S453" s="6"/>
      <c r="U453" s="300"/>
    </row>
    <row r="455" spans="15:23" x14ac:dyDescent="0.25">
      <c r="O455" t="s">
        <v>205</v>
      </c>
      <c r="S455" s="6"/>
      <c r="U455" s="300"/>
    </row>
    <row r="456" spans="15:23" x14ac:dyDescent="0.25">
      <c r="O456" t="s">
        <v>49</v>
      </c>
    </row>
    <row r="457" spans="15:23" x14ac:dyDescent="0.25">
      <c r="O457" t="s">
        <v>207</v>
      </c>
      <c r="S457" s="126"/>
    </row>
    <row r="458" spans="15:23" x14ac:dyDescent="0.25">
      <c r="O458" t="s">
        <v>208</v>
      </c>
      <c r="S458" s="126"/>
    </row>
    <row r="459" spans="15:23" x14ac:dyDescent="0.25">
      <c r="O459" t="s">
        <v>209</v>
      </c>
      <c r="S459" s="126"/>
    </row>
    <row r="460" spans="15:23" x14ac:dyDescent="0.25">
      <c r="O460" t="s">
        <v>50</v>
      </c>
      <c r="S460" s="126"/>
    </row>
    <row r="461" spans="15:23" x14ac:dyDescent="0.25">
      <c r="O461" t="s">
        <v>210</v>
      </c>
      <c r="S461" s="126"/>
    </row>
    <row r="462" spans="15:23" x14ac:dyDescent="0.25">
      <c r="S462" s="126"/>
    </row>
    <row r="463" spans="15:23" x14ac:dyDescent="0.25">
      <c r="O463" t="s">
        <v>211</v>
      </c>
      <c r="S463" s="188"/>
    </row>
    <row r="464" spans="15:23" x14ac:dyDescent="0.25">
      <c r="S464" s="126"/>
      <c r="V464" s="3"/>
      <c r="W464" s="1"/>
    </row>
    <row r="465" spans="19:21" x14ac:dyDescent="0.25">
      <c r="S465" s="126"/>
    </row>
    <row r="466" spans="19:21" x14ac:dyDescent="0.25">
      <c r="S466" s="126"/>
      <c r="U466" s="300"/>
    </row>
    <row r="467" spans="19:21" x14ac:dyDescent="0.25">
      <c r="S467" s="126"/>
      <c r="U467" s="300"/>
    </row>
    <row r="468" spans="19:21" x14ac:dyDescent="0.25">
      <c r="S468" s="126"/>
    </row>
    <row r="469" spans="19:21" x14ac:dyDescent="0.25">
      <c r="S469" s="126"/>
    </row>
    <row r="487" spans="21:21" x14ac:dyDescent="0.25">
      <c r="U487" s="18"/>
    </row>
    <row r="488" spans="21:21" x14ac:dyDescent="0.25">
      <c r="U488" s="18"/>
    </row>
    <row r="489" spans="21:21" x14ac:dyDescent="0.25">
      <c r="U489" s="18"/>
    </row>
    <row r="490" spans="21:21" x14ac:dyDescent="0.25">
      <c r="U490" s="18"/>
    </row>
    <row r="491" spans="21:21" x14ac:dyDescent="0.25">
      <c r="U491" s="18"/>
    </row>
    <row r="492" spans="21:21" x14ac:dyDescent="0.25">
      <c r="U492" s="18"/>
    </row>
    <row r="493" spans="21:21" x14ac:dyDescent="0.25">
      <c r="U493" s="18"/>
    </row>
    <row r="494" spans="21:21" x14ac:dyDescent="0.25">
      <c r="U494" s="18"/>
    </row>
    <row r="495" spans="21:21" x14ac:dyDescent="0.25">
      <c r="U495" s="18"/>
    </row>
    <row r="496" spans="21:21" x14ac:dyDescent="0.25">
      <c r="U496" s="18"/>
    </row>
    <row r="497" spans="21:21" x14ac:dyDescent="0.25">
      <c r="U497" s="18"/>
    </row>
    <row r="498" spans="21:21" x14ac:dyDescent="0.25">
      <c r="U498" s="18"/>
    </row>
    <row r="499" spans="21:21" x14ac:dyDescent="0.25">
      <c r="U499" s="18"/>
    </row>
    <row r="500" spans="21:21" x14ac:dyDescent="0.25">
      <c r="U500" s="18"/>
    </row>
    <row r="501" spans="21:21" x14ac:dyDescent="0.25">
      <c r="U501" s="18"/>
    </row>
    <row r="502" spans="21:21" x14ac:dyDescent="0.25">
      <c r="U502" s="18"/>
    </row>
    <row r="503" spans="21:21" x14ac:dyDescent="0.25">
      <c r="U503" s="18"/>
    </row>
    <row r="504" spans="21:21" x14ac:dyDescent="0.25">
      <c r="U504" s="18"/>
    </row>
    <row r="505" spans="21:21" x14ac:dyDescent="0.25">
      <c r="U505" s="18"/>
    </row>
    <row r="506" spans="21:21" x14ac:dyDescent="0.25">
      <c r="U506" s="18"/>
    </row>
    <row r="507" spans="21:21" x14ac:dyDescent="0.25">
      <c r="U507" s="18"/>
    </row>
    <row r="508" spans="21:21" x14ac:dyDescent="0.25">
      <c r="U508" s="18"/>
    </row>
    <row r="509" spans="21:21" x14ac:dyDescent="0.25">
      <c r="U509" s="18"/>
    </row>
    <row r="510" spans="21:21" x14ac:dyDescent="0.25">
      <c r="U510" s="18"/>
    </row>
    <row r="511" spans="21:21" x14ac:dyDescent="0.25">
      <c r="U511" s="18"/>
    </row>
    <row r="512" spans="21:21" x14ac:dyDescent="0.25">
      <c r="U512" s="18"/>
    </row>
  </sheetData>
  <sortState ref="A51:E68">
    <sortCondition ref="A51:A68"/>
  </sortState>
  <mergeCells count="8">
    <mergeCell ref="N81:N86"/>
    <mergeCell ref="N54:N58"/>
    <mergeCell ref="N59:N60"/>
    <mergeCell ref="N65:N69"/>
    <mergeCell ref="N70:N74"/>
    <mergeCell ref="N75:N77"/>
    <mergeCell ref="N78:N80"/>
    <mergeCell ref="N61:N64"/>
  </mergeCells>
  <pageMargins left="0.45" right="0.45" top="0.5" bottom="0.5" header="0.05" footer="0.3"/>
  <pageSetup paperSize="5" scale="47" fitToHeight="2" orientation="landscape" r:id="rId1"/>
  <colBreaks count="1" manualBreakCount="1">
    <brk id="22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8"/>
  <sheetViews>
    <sheetView workbookViewId="0">
      <selection activeCell="H26" sqref="H26"/>
    </sheetView>
  </sheetViews>
  <sheetFormatPr defaultColWidth="9" defaultRowHeight="15" x14ac:dyDescent="0.25"/>
  <cols>
    <col min="3" max="3" width="17.7109375" bestFit="1" customWidth="1"/>
    <col min="4" max="4" width="9.85546875" bestFit="1" customWidth="1"/>
    <col min="5" max="5" width="8.28515625" bestFit="1" customWidth="1"/>
    <col min="6" max="6" width="12.7109375" bestFit="1" customWidth="1"/>
    <col min="7" max="7" width="9.5703125" bestFit="1" customWidth="1"/>
    <col min="8" max="8" width="13.42578125" bestFit="1" customWidth="1"/>
    <col min="9" max="9" width="10.42578125" customWidth="1"/>
    <col min="10" max="10" width="2.28515625" customWidth="1"/>
    <col min="11" max="11" width="20.140625" bestFit="1" customWidth="1"/>
  </cols>
  <sheetData>
    <row r="3" spans="3:11" x14ac:dyDescent="0.25">
      <c r="D3" s="472" t="s">
        <v>288</v>
      </c>
      <c r="E3" s="472"/>
      <c r="F3" s="472"/>
      <c r="G3" s="472"/>
      <c r="H3" s="472"/>
      <c r="I3" s="472"/>
    </row>
    <row r="5" spans="3:11" x14ac:dyDescent="0.25">
      <c r="F5" s="6" t="s">
        <v>105</v>
      </c>
    </row>
    <row r="6" spans="3:11" x14ac:dyDescent="0.25">
      <c r="D6" s="6" t="s">
        <v>5</v>
      </c>
      <c r="E6" s="6" t="s">
        <v>107</v>
      </c>
      <c r="F6" s="6" t="s">
        <v>108</v>
      </c>
      <c r="G6" s="6" t="s">
        <v>138</v>
      </c>
      <c r="H6" s="6" t="s">
        <v>139</v>
      </c>
      <c r="K6" s="6" t="s">
        <v>289</v>
      </c>
    </row>
    <row r="7" spans="3:11" x14ac:dyDescent="0.25">
      <c r="D7" s="8" t="s">
        <v>111</v>
      </c>
      <c r="E7" s="8" t="s">
        <v>112</v>
      </c>
      <c r="F7" s="8" t="s">
        <v>113</v>
      </c>
      <c r="G7" s="125" t="s">
        <v>142</v>
      </c>
      <c r="H7" s="8" t="s">
        <v>10</v>
      </c>
      <c r="I7" s="8" t="s">
        <v>143</v>
      </c>
      <c r="K7" s="8" t="s">
        <v>290</v>
      </c>
    </row>
    <row r="9" spans="3:11" x14ac:dyDescent="0.25">
      <c r="C9" s="5" t="s">
        <v>76</v>
      </c>
      <c r="D9" s="126">
        <v>0.47947098838806496</v>
      </c>
      <c r="E9" s="126">
        <v>0.49153200000000002</v>
      </c>
      <c r="F9" s="126">
        <v>0.49199999999999999</v>
      </c>
      <c r="G9" s="126">
        <v>0.53785642512635523</v>
      </c>
      <c r="H9" s="126">
        <v>0.47547011381927662</v>
      </c>
      <c r="I9" s="126">
        <v>0.47547011381927662</v>
      </c>
      <c r="K9" s="126">
        <v>0.46220097627584811</v>
      </c>
    </row>
    <row r="10" spans="3:11" x14ac:dyDescent="0.25">
      <c r="C10" s="5" t="s">
        <v>78</v>
      </c>
      <c r="D10" s="126">
        <v>0.71728349908813738</v>
      </c>
      <c r="E10" s="126">
        <v>0.59570000000000001</v>
      </c>
      <c r="F10" s="126">
        <v>0.6</v>
      </c>
      <c r="G10" s="126">
        <v>0.3573754548819702</v>
      </c>
      <c r="H10" s="126">
        <v>0.3456399286612426</v>
      </c>
      <c r="I10" s="126">
        <v>0.44760199133675427</v>
      </c>
      <c r="K10" s="126">
        <v>0.55000000000000004</v>
      </c>
    </row>
    <row r="11" spans="3:11" x14ac:dyDescent="0.25">
      <c r="C11" s="5" t="s">
        <v>80</v>
      </c>
      <c r="D11" s="126">
        <v>0.71710125716584039</v>
      </c>
      <c r="E11" s="126">
        <v>0.70952386658718813</v>
      </c>
      <c r="F11" s="126">
        <v>0.67</v>
      </c>
      <c r="G11" s="126">
        <v>0.56574316829037152</v>
      </c>
      <c r="H11" s="126">
        <v>0.51924467564085697</v>
      </c>
      <c r="I11" s="126">
        <v>0.59551161988393908</v>
      </c>
      <c r="K11" s="126">
        <v>0.57889243528477141</v>
      </c>
    </row>
    <row r="12" spans="3:11" x14ac:dyDescent="0.25">
      <c r="C12" s="5" t="s">
        <v>82</v>
      </c>
      <c r="D12" s="126">
        <v>0.47126918197099982</v>
      </c>
      <c r="E12" s="126">
        <v>0.47126918197099982</v>
      </c>
      <c r="F12" s="126">
        <v>0.47299999999999998</v>
      </c>
      <c r="G12" s="126">
        <v>0.55500000000000005</v>
      </c>
      <c r="H12" s="126">
        <v>0.55446412771036813</v>
      </c>
      <c r="I12" s="126">
        <v>0.49678722035890399</v>
      </c>
      <c r="K12" s="126">
        <v>0.48292317766690557</v>
      </c>
    </row>
    <row r="13" spans="3:11" x14ac:dyDescent="0.25">
      <c r="C13" s="5" t="s">
        <v>84</v>
      </c>
      <c r="D13" s="126">
        <v>0.6014836651736456</v>
      </c>
      <c r="E13" s="126">
        <v>0.71</v>
      </c>
      <c r="F13" s="126">
        <v>0.62</v>
      </c>
      <c r="G13" s="126">
        <v>0.65</v>
      </c>
      <c r="H13" s="126">
        <v>0.59542590587470856</v>
      </c>
      <c r="I13" s="126">
        <v>0.57480106629727035</v>
      </c>
      <c r="K13" s="126">
        <v>0.55875985952710761</v>
      </c>
    </row>
    <row r="14" spans="3:11" x14ac:dyDescent="0.25">
      <c r="C14" s="5" t="s">
        <v>86</v>
      </c>
      <c r="D14" s="126">
        <v>1</v>
      </c>
      <c r="E14" s="126">
        <v>1</v>
      </c>
      <c r="F14" s="126">
        <v>1</v>
      </c>
      <c r="G14" s="126">
        <v>0.81346679707686032</v>
      </c>
      <c r="H14" s="126">
        <v>0.83023922243875881</v>
      </c>
      <c r="I14" s="126">
        <v>0.83023922243875892</v>
      </c>
      <c r="K14" s="126">
        <v>0.8070693993178123</v>
      </c>
    </row>
    <row r="15" spans="3:11" x14ac:dyDescent="0.25">
      <c r="C15" s="5" t="s">
        <v>88</v>
      </c>
      <c r="D15" s="126">
        <v>0.5239917162364176</v>
      </c>
      <c r="E15" s="126">
        <v>0.64964699999999997</v>
      </c>
      <c r="F15" s="126">
        <v>0.61</v>
      </c>
      <c r="G15" s="126">
        <v>0.57322671263512592</v>
      </c>
      <c r="H15" s="126">
        <v>0.54309554694046469</v>
      </c>
      <c r="I15" s="126">
        <v>0.58623047758368829</v>
      </c>
      <c r="K15" s="126">
        <v>0.56987030559154417</v>
      </c>
    </row>
    <row r="16" spans="3:11" x14ac:dyDescent="0.25">
      <c r="C16" s="5" t="s">
        <v>90</v>
      </c>
      <c r="D16" s="126">
        <v>0.75088856160996276</v>
      </c>
      <c r="E16" s="126">
        <v>0.75</v>
      </c>
      <c r="F16" s="126">
        <v>0.7</v>
      </c>
      <c r="G16" s="126">
        <v>0.7108146485347735</v>
      </c>
      <c r="H16" s="126">
        <v>0.67768612645318738</v>
      </c>
      <c r="I16" s="126">
        <v>0.89802092031493796</v>
      </c>
      <c r="K16" s="126">
        <v>0.87295948582682992</v>
      </c>
    </row>
    <row r="17" spans="3:11" x14ac:dyDescent="0.25">
      <c r="C17" s="5" t="s">
        <v>91</v>
      </c>
      <c r="D17" s="126">
        <v>0.29328427490785769</v>
      </c>
      <c r="E17" s="126">
        <v>0.8</v>
      </c>
      <c r="F17" s="126">
        <v>0.79</v>
      </c>
      <c r="G17" s="126">
        <v>0.79462184328559948</v>
      </c>
      <c r="H17" s="126">
        <v>0.76085504758305855</v>
      </c>
      <c r="I17" s="126">
        <v>0.70767577942586568</v>
      </c>
      <c r="K17" s="126">
        <v>0.68792638407917106</v>
      </c>
    </row>
    <row r="18" spans="3:11" x14ac:dyDescent="0.25">
      <c r="C18" s="18" t="s">
        <v>156</v>
      </c>
      <c r="K18" s="126">
        <v>0.52500000000000002</v>
      </c>
    </row>
  </sheetData>
  <mergeCells count="1">
    <mergeCell ref="D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3"/>
  <sheetViews>
    <sheetView workbookViewId="0">
      <pane xSplit="2" ySplit="1" topLeftCell="H24" activePane="bottomRight" state="frozen"/>
      <selection pane="topRight" activeCell="C1" sqref="C1"/>
      <selection pane="bottomLeft" activeCell="A2" sqref="A2"/>
      <selection pane="bottomRight" activeCell="K52" sqref="K52"/>
    </sheetView>
  </sheetViews>
  <sheetFormatPr defaultColWidth="9.140625" defaultRowHeight="15" x14ac:dyDescent="0.25"/>
  <cols>
    <col min="1" max="1" width="46.140625" style="1" customWidth="1"/>
    <col min="2" max="2" width="12.7109375" style="1" bestFit="1" customWidth="1"/>
    <col min="3" max="15" width="16.140625" style="1" customWidth="1"/>
    <col min="16" max="16" width="14.42578125" style="14" bestFit="1" customWidth="1"/>
    <col min="17" max="17" width="16.140625" style="14" customWidth="1"/>
    <col min="18" max="19" width="17.85546875" style="14" customWidth="1"/>
    <col min="20" max="20" width="14.85546875" style="14" customWidth="1"/>
    <col min="21" max="21" width="11.5703125" style="1" bestFit="1" customWidth="1"/>
    <col min="22" max="22" width="9" style="1" bestFit="1" customWidth="1"/>
    <col min="23" max="23" width="8" style="1" bestFit="1" customWidth="1"/>
    <col min="24" max="24" width="21" style="1" bestFit="1" customWidth="1"/>
    <col min="25" max="26" width="9.140625" style="1"/>
    <col min="27" max="27" width="21.5703125" style="1" bestFit="1" customWidth="1"/>
    <col min="28" max="28" width="11.28515625" style="1" bestFit="1" customWidth="1"/>
    <col min="29" max="29" width="8" style="1" bestFit="1" customWidth="1"/>
    <col min="30" max="30" width="11.28515625" style="1" bestFit="1" customWidth="1"/>
    <col min="31" max="16384" width="9.140625" style="1"/>
  </cols>
  <sheetData>
    <row r="1" spans="1:21" x14ac:dyDescent="0.25">
      <c r="A1" s="28" t="s">
        <v>291</v>
      </c>
      <c r="B1" s="28"/>
      <c r="C1" s="28" t="s">
        <v>292</v>
      </c>
      <c r="D1" s="28" t="s">
        <v>293</v>
      </c>
      <c r="E1" s="28" t="s">
        <v>294</v>
      </c>
      <c r="F1" s="28" t="s">
        <v>295</v>
      </c>
      <c r="G1" s="350" t="s">
        <v>296</v>
      </c>
      <c r="H1" s="350" t="s">
        <v>297</v>
      </c>
      <c r="I1" s="350" t="s">
        <v>298</v>
      </c>
      <c r="J1" s="350" t="s">
        <v>299</v>
      </c>
      <c r="K1" s="350" t="s">
        <v>300</v>
      </c>
      <c r="L1" s="350" t="s">
        <v>301</v>
      </c>
      <c r="M1" s="350" t="s">
        <v>302</v>
      </c>
      <c r="N1" s="350" t="s">
        <v>303</v>
      </c>
      <c r="O1" s="350" t="s">
        <v>304</v>
      </c>
      <c r="P1" s="377" t="s">
        <v>305</v>
      </c>
      <c r="Q1" s="377" t="s">
        <v>306</v>
      </c>
      <c r="R1" s="282"/>
      <c r="S1" s="282"/>
      <c r="T1" s="282"/>
    </row>
    <row r="2" spans="1:21" x14ac:dyDescent="0.25">
      <c r="A2" s="29"/>
      <c r="B2" s="29"/>
      <c r="C2" s="30"/>
      <c r="D2" s="30"/>
      <c r="E2" s="30"/>
      <c r="F2" s="30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101"/>
      <c r="S2" s="361" t="s">
        <v>307</v>
      </c>
      <c r="T2" s="101"/>
    </row>
    <row r="3" spans="1:21" x14ac:dyDescent="0.25">
      <c r="A3" s="17" t="s">
        <v>308</v>
      </c>
      <c r="B3" s="17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</row>
    <row r="4" spans="1:21" x14ac:dyDescent="0.25">
      <c r="A4" s="1" t="s">
        <v>309</v>
      </c>
      <c r="C4" s="94">
        <f t="shared" ref="C4:E4" si="0">+C22/C16</f>
        <v>4900.3788265306121</v>
      </c>
      <c r="D4" s="94">
        <f t="shared" si="0"/>
        <v>5143.6732135092043</v>
      </c>
      <c r="E4" s="94">
        <f t="shared" si="0"/>
        <v>5289.4290471505337</v>
      </c>
      <c r="F4" s="94">
        <f t="shared" ref="F4:L5" si="1">+F22/F16</f>
        <v>5327.2184082382055</v>
      </c>
      <c r="G4" s="352">
        <f t="shared" si="1"/>
        <v>5613.4465821635013</v>
      </c>
      <c r="H4" s="352">
        <f t="shared" si="1"/>
        <v>5341.0755216108309</v>
      </c>
      <c r="I4" s="352">
        <f t="shared" si="1"/>
        <v>5501.4689342693046</v>
      </c>
      <c r="J4" s="352">
        <f t="shared" si="1"/>
        <v>5738.550967084183</v>
      </c>
      <c r="K4" s="352">
        <f t="shared" si="1"/>
        <v>5642.531261289645</v>
      </c>
      <c r="L4" s="352">
        <f t="shared" si="1"/>
        <v>5601.1270135135137</v>
      </c>
      <c r="M4" s="352">
        <f t="shared" ref="M4:N4" si="2">+M22/M16</f>
        <v>5394.5776315479688</v>
      </c>
      <c r="N4" s="352">
        <f t="shared" si="2"/>
        <v>5566.1108339214306</v>
      </c>
      <c r="O4" s="352">
        <f t="shared" ref="O4:P4" si="3">+O22/O16</f>
        <v>5986.3744153515063</v>
      </c>
      <c r="P4" s="352">
        <f t="shared" si="3"/>
        <v>6271.8984860931814</v>
      </c>
      <c r="Q4" s="352">
        <f t="shared" ref="Q4" si="4">+Q22/Q16</f>
        <v>6562.2484443420144</v>
      </c>
      <c r="R4" s="88"/>
      <c r="S4" s="88"/>
    </row>
    <row r="5" spans="1:21" x14ac:dyDescent="0.25">
      <c r="A5" s="1" t="s">
        <v>310</v>
      </c>
      <c r="C5" s="94">
        <f t="shared" ref="C5:E5" si="5">+C23/C17</f>
        <v>1637.6868131868132</v>
      </c>
      <c r="D5" s="94">
        <f t="shared" si="5"/>
        <v>1591.3518626309663</v>
      </c>
      <c r="E5" s="94">
        <f t="shared" si="5"/>
        <v>1498.9952741020793</v>
      </c>
      <c r="F5" s="94">
        <f t="shared" si="1"/>
        <v>1446.1704065040651</v>
      </c>
      <c r="G5" s="352">
        <f t="shared" si="1"/>
        <v>1484.8457910120571</v>
      </c>
      <c r="H5" s="352">
        <f t="shared" si="1"/>
        <v>1492.3126076833528</v>
      </c>
      <c r="I5" s="352">
        <f t="shared" si="1"/>
        <v>1513.3234841810174</v>
      </c>
      <c r="J5" s="352">
        <f t="shared" si="1"/>
        <v>1603.4927946127946</v>
      </c>
      <c r="K5" s="352">
        <f t="shared" si="1"/>
        <v>1513.4041871295512</v>
      </c>
      <c r="L5" s="352">
        <f t="shared" si="1"/>
        <v>1503.3893306559573</v>
      </c>
      <c r="M5" s="352">
        <f t="shared" ref="M5:N5" si="6">+M23/M17</f>
        <v>1530.7856195372749</v>
      </c>
      <c r="N5" s="352">
        <f t="shared" si="6"/>
        <v>1382.9202700228834</v>
      </c>
      <c r="O5" s="352">
        <f t="shared" ref="O5:P5" si="7">+O23/O17</f>
        <v>1402.8947162426614</v>
      </c>
      <c r="P5" s="352">
        <f t="shared" si="7"/>
        <v>1515.2919765166341</v>
      </c>
      <c r="Q5" s="352">
        <f t="shared" ref="Q5" si="8">+Q23/Q17</f>
        <v>1497.1792563600782</v>
      </c>
      <c r="R5" s="88"/>
      <c r="S5" s="88"/>
    </row>
    <row r="6" spans="1:21" x14ac:dyDescent="0.25"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</row>
    <row r="7" spans="1:21" x14ac:dyDescent="0.25">
      <c r="A7" s="17" t="s">
        <v>311</v>
      </c>
      <c r="B7" s="17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</row>
    <row r="8" spans="1:21" x14ac:dyDescent="0.25">
      <c r="A8" s="1" t="s">
        <v>312</v>
      </c>
      <c r="C8" s="94">
        <f t="shared" ref="C8:E8" si="9">+C28/C16</f>
        <v>53.601190476190474</v>
      </c>
      <c r="D8" s="94">
        <f t="shared" si="9"/>
        <v>53.517611248006958</v>
      </c>
      <c r="E8" s="94">
        <f t="shared" si="9"/>
        <v>53.456444410807535</v>
      </c>
      <c r="F8" s="94">
        <f t="shared" ref="F8:M8" si="10">+F28/F16</f>
        <v>53.447752853835716</v>
      </c>
      <c r="G8" s="352">
        <f t="shared" si="10"/>
        <v>54.373344343517751</v>
      </c>
      <c r="H8" s="352">
        <f t="shared" si="10"/>
        <v>53.883874327373718</v>
      </c>
      <c r="I8" s="352">
        <f t="shared" si="10"/>
        <v>53.325316801896257</v>
      </c>
      <c r="J8" s="352">
        <f t="shared" si="10"/>
        <v>53.681820565103401</v>
      </c>
      <c r="K8" s="352">
        <f t="shared" si="10"/>
        <v>53.808483511867259</v>
      </c>
      <c r="L8" s="352">
        <f t="shared" si="10"/>
        <v>53.845235360360363</v>
      </c>
      <c r="M8" s="352">
        <f t="shared" si="10"/>
        <v>53.44499470276633</v>
      </c>
      <c r="N8" s="352">
        <f t="shared" ref="N8:O8" si="11">+N28/N16</f>
        <v>53.736767819336627</v>
      </c>
      <c r="O8" s="352">
        <f t="shared" si="11"/>
        <v>54.139167862266859</v>
      </c>
      <c r="P8" s="352">
        <f t="shared" ref="P8:Q8" si="12">+P28/P16</f>
        <v>54.12744982983218</v>
      </c>
      <c r="Q8" s="352">
        <f t="shared" si="12"/>
        <v>56.633214684453911</v>
      </c>
      <c r="R8" s="88"/>
      <c r="S8" s="88"/>
      <c r="U8" s="14"/>
    </row>
    <row r="9" spans="1:21" x14ac:dyDescent="0.25">
      <c r="A9" s="1" t="s">
        <v>91</v>
      </c>
      <c r="C9" s="94">
        <f t="shared" ref="C9:E9" si="13">+C29/C17</f>
        <v>43.617216117216117</v>
      </c>
      <c r="D9" s="94">
        <f t="shared" si="13"/>
        <v>42.319557625145521</v>
      </c>
      <c r="E9" s="94">
        <f t="shared" si="13"/>
        <v>40.795841209829867</v>
      </c>
      <c r="F9" s="94">
        <f t="shared" ref="F9:L9" si="14">+F29/F17</f>
        <v>38.473495934959352</v>
      </c>
      <c r="G9" s="352">
        <f t="shared" si="14"/>
        <v>37.399678480087687</v>
      </c>
      <c r="H9" s="352">
        <f t="shared" si="14"/>
        <v>36.205064027939464</v>
      </c>
      <c r="I9" s="352">
        <f t="shared" si="14"/>
        <v>35.109903884661591</v>
      </c>
      <c r="J9" s="352">
        <f t="shared" si="14"/>
        <v>35.333240740740742</v>
      </c>
      <c r="K9" s="352">
        <f t="shared" si="14"/>
        <v>31.227641828958511</v>
      </c>
      <c r="L9" s="352">
        <f t="shared" si="14"/>
        <v>30.222748772869252</v>
      </c>
      <c r="M9" s="352">
        <f t="shared" ref="M9:N9" si="15">+M29/M17</f>
        <v>30.580992287917738</v>
      </c>
      <c r="N9" s="352">
        <f t="shared" si="15"/>
        <v>26.054691075514874</v>
      </c>
      <c r="O9" s="352">
        <f t="shared" ref="O9:P9" si="16">+O29/O17</f>
        <v>21.470841487279845</v>
      </c>
      <c r="P9" s="352">
        <f t="shared" si="16"/>
        <v>22.116634050880627</v>
      </c>
      <c r="Q9" s="352">
        <f t="shared" ref="Q9" si="17">+Q29/Q17</f>
        <v>21.852267572619827</v>
      </c>
      <c r="R9" s="88"/>
      <c r="S9" s="88"/>
      <c r="U9" s="14"/>
    </row>
    <row r="10" spans="1:21" x14ac:dyDescent="0.25"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U10" s="14"/>
    </row>
    <row r="11" spans="1:21" x14ac:dyDescent="0.25">
      <c r="A11" s="17" t="s">
        <v>313</v>
      </c>
      <c r="B11" s="17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U11" s="14"/>
    </row>
    <row r="12" spans="1:21" x14ac:dyDescent="0.25">
      <c r="A12" s="1" t="s">
        <v>312</v>
      </c>
      <c r="C12" s="94">
        <f>+C4+C8</f>
        <v>4953.9800170068029</v>
      </c>
      <c r="D12" s="94">
        <f t="shared" ref="D12:E12" si="18">+D4+D8</f>
        <v>5197.190824757211</v>
      </c>
      <c r="E12" s="94">
        <f t="shared" si="18"/>
        <v>5342.885491561341</v>
      </c>
      <c r="F12" s="94">
        <f>+F4+F8</f>
        <v>5380.666161092041</v>
      </c>
      <c r="G12" s="352">
        <f t="shared" ref="G12:M13" si="19">+G4+G8</f>
        <v>5667.8199265070189</v>
      </c>
      <c r="H12" s="352">
        <f t="shared" si="19"/>
        <v>5394.9593959382046</v>
      </c>
      <c r="I12" s="352">
        <f t="shared" si="19"/>
        <v>5554.794251071201</v>
      </c>
      <c r="J12" s="352">
        <f t="shared" si="19"/>
        <v>5792.2327876492864</v>
      </c>
      <c r="K12" s="352">
        <f t="shared" si="19"/>
        <v>5696.3397448015121</v>
      </c>
      <c r="L12" s="352">
        <f t="shared" si="19"/>
        <v>5654.9722488738744</v>
      </c>
      <c r="M12" s="352">
        <f t="shared" si="19"/>
        <v>5448.0226262507349</v>
      </c>
      <c r="N12" s="352">
        <f t="shared" ref="N12:O12" si="20">+N4+N8</f>
        <v>5619.8476017407675</v>
      </c>
      <c r="O12" s="352">
        <f t="shared" si="20"/>
        <v>6040.513583213773</v>
      </c>
      <c r="P12" s="352">
        <f t="shared" ref="P12:Q12" si="21">+P4+P8</f>
        <v>6326.025935923014</v>
      </c>
      <c r="Q12" s="352">
        <f t="shared" si="21"/>
        <v>6618.8816590264687</v>
      </c>
      <c r="R12" s="88"/>
      <c r="S12" s="88"/>
      <c r="U12" s="14"/>
    </row>
    <row r="13" spans="1:21" x14ac:dyDescent="0.25">
      <c r="A13" s="1" t="s">
        <v>91</v>
      </c>
      <c r="C13" s="94">
        <f t="shared" ref="C13:E13" si="22">+C5+C9</f>
        <v>1681.3040293040294</v>
      </c>
      <c r="D13" s="94">
        <f t="shared" si="22"/>
        <v>1633.6714202561118</v>
      </c>
      <c r="E13" s="94">
        <f t="shared" si="22"/>
        <v>1539.7911153119092</v>
      </c>
      <c r="F13" s="94">
        <f>+F5+F9</f>
        <v>1484.6439024390245</v>
      </c>
      <c r="G13" s="352">
        <f t="shared" si="19"/>
        <v>1522.2454694921448</v>
      </c>
      <c r="H13" s="352">
        <f t="shared" si="19"/>
        <v>1528.5176717112922</v>
      </c>
      <c r="I13" s="352">
        <f t="shared" si="19"/>
        <v>1548.4333880656791</v>
      </c>
      <c r="J13" s="352">
        <f t="shared" si="19"/>
        <v>1638.8260353535354</v>
      </c>
      <c r="K13" s="352">
        <f t="shared" si="19"/>
        <v>1544.6318289585097</v>
      </c>
      <c r="L13" s="352">
        <f t="shared" si="19"/>
        <v>1533.6120794288265</v>
      </c>
      <c r="M13" s="352">
        <f t="shared" si="19"/>
        <v>1561.3666118251926</v>
      </c>
      <c r="N13" s="352">
        <f t="shared" ref="N13:O13" si="23">+N5+N9</f>
        <v>1408.9749610983984</v>
      </c>
      <c r="O13" s="352">
        <f t="shared" si="23"/>
        <v>1424.3655577299412</v>
      </c>
      <c r="P13" s="352">
        <f t="shared" ref="P13:Q13" si="24">+P5+P9</f>
        <v>1537.4086105675146</v>
      </c>
      <c r="Q13" s="352">
        <f t="shared" si="24"/>
        <v>1519.0315239326981</v>
      </c>
      <c r="R13" s="88"/>
      <c r="S13" s="88"/>
      <c r="U13" s="14"/>
    </row>
    <row r="14" spans="1:21" x14ac:dyDescent="0.25"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U14" s="14"/>
    </row>
    <row r="15" spans="1:21" x14ac:dyDescent="0.25">
      <c r="A15" s="17" t="s">
        <v>314</v>
      </c>
      <c r="B15" s="17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U15" s="14"/>
    </row>
    <row r="16" spans="1:21" x14ac:dyDescent="0.25">
      <c r="A16" s="1" t="s">
        <v>312</v>
      </c>
      <c r="C16" s="31">
        <v>14112</v>
      </c>
      <c r="D16" s="31">
        <v>13798</v>
      </c>
      <c r="E16" s="31">
        <v>13213</v>
      </c>
      <c r="F16" s="31">
        <v>12527</v>
      </c>
      <c r="G16" s="289">
        <v>12110</v>
      </c>
      <c r="H16" s="289">
        <v>11522</v>
      </c>
      <c r="I16" s="289">
        <v>10969</v>
      </c>
      <c r="J16" s="289">
        <v>10299</v>
      </c>
      <c r="K16" s="289">
        <v>9522</v>
      </c>
      <c r="L16" s="289">
        <v>8880</v>
      </c>
      <c r="M16" s="289">
        <v>8495</v>
      </c>
      <c r="N16" s="289">
        <v>8502</v>
      </c>
      <c r="O16" s="289">
        <v>8364</v>
      </c>
      <c r="P16" s="289">
        <v>8521</v>
      </c>
      <c r="Q16" s="362">
        <f>+P16-O16+P16</f>
        <v>8678</v>
      </c>
      <c r="R16" s="45"/>
      <c r="S16" s="45"/>
      <c r="T16" s="45"/>
      <c r="U16" s="14"/>
    </row>
    <row r="17" spans="1:21" x14ac:dyDescent="0.25">
      <c r="A17" s="1" t="s">
        <v>91</v>
      </c>
      <c r="C17" s="31">
        <v>3276</v>
      </c>
      <c r="D17" s="31">
        <v>3436</v>
      </c>
      <c r="E17" s="31">
        <v>3174</v>
      </c>
      <c r="F17" s="31">
        <v>3075</v>
      </c>
      <c r="G17" s="289">
        <v>2737</v>
      </c>
      <c r="H17" s="289">
        <v>2577</v>
      </c>
      <c r="I17" s="289">
        <v>2497</v>
      </c>
      <c r="J17" s="289">
        <v>2376</v>
      </c>
      <c r="K17" s="289">
        <v>2362</v>
      </c>
      <c r="L17" s="289">
        <v>2241</v>
      </c>
      <c r="M17" s="289">
        <v>1945</v>
      </c>
      <c r="N17" s="289">
        <v>2185</v>
      </c>
      <c r="O17" s="289">
        <v>2555</v>
      </c>
      <c r="P17" s="289">
        <v>2555</v>
      </c>
      <c r="Q17" s="362">
        <f>+P17-O17+P17</f>
        <v>2555</v>
      </c>
      <c r="R17" s="45"/>
      <c r="S17" s="45"/>
      <c r="T17" s="45"/>
      <c r="U17" s="14"/>
    </row>
    <row r="18" spans="1:21" x14ac:dyDescent="0.25">
      <c r="A18" s="1" t="s">
        <v>315</v>
      </c>
      <c r="C18" s="31"/>
      <c r="D18" s="31"/>
      <c r="E18" s="31"/>
      <c r="F18" s="31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45"/>
      <c r="S18" s="45"/>
      <c r="T18" s="45"/>
      <c r="U18" s="14"/>
    </row>
    <row r="19" spans="1:21" x14ac:dyDescent="0.25">
      <c r="C19" s="47">
        <f>SUM(C16:C18)</f>
        <v>17388</v>
      </c>
      <c r="D19" s="47">
        <f t="shared" ref="D19:P19" si="25">SUM(D16:D18)</f>
        <v>17234</v>
      </c>
      <c r="E19" s="47">
        <f t="shared" si="25"/>
        <v>16387</v>
      </c>
      <c r="F19" s="47">
        <f t="shared" si="25"/>
        <v>15602</v>
      </c>
      <c r="G19" s="353">
        <f t="shared" si="25"/>
        <v>14847</v>
      </c>
      <c r="H19" s="353">
        <f t="shared" si="25"/>
        <v>14099</v>
      </c>
      <c r="I19" s="353">
        <f t="shared" si="25"/>
        <v>13466</v>
      </c>
      <c r="J19" s="353">
        <f t="shared" si="25"/>
        <v>12675</v>
      </c>
      <c r="K19" s="353">
        <f t="shared" si="25"/>
        <v>11884</v>
      </c>
      <c r="L19" s="353">
        <f t="shared" si="25"/>
        <v>11121</v>
      </c>
      <c r="M19" s="353">
        <f t="shared" si="25"/>
        <v>10440</v>
      </c>
      <c r="N19" s="353">
        <f t="shared" si="25"/>
        <v>10687</v>
      </c>
      <c r="O19" s="353">
        <f t="shared" si="25"/>
        <v>10919</v>
      </c>
      <c r="P19" s="353">
        <f t="shared" si="25"/>
        <v>11076</v>
      </c>
      <c r="Q19" s="353">
        <f t="shared" ref="Q19" si="26">SUM(Q16:Q18)</f>
        <v>11233</v>
      </c>
      <c r="R19" s="71"/>
      <c r="S19" s="71"/>
      <c r="T19" s="45"/>
      <c r="U19" s="14"/>
    </row>
    <row r="20" spans="1:21" x14ac:dyDescent="0.25"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U20" s="14"/>
    </row>
    <row r="21" spans="1:21" x14ac:dyDescent="0.25">
      <c r="A21" s="17" t="s">
        <v>205</v>
      </c>
      <c r="B21" s="17"/>
      <c r="C21" s="28"/>
      <c r="D21" s="28"/>
      <c r="E21" s="28"/>
      <c r="F21" s="28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282"/>
      <c r="S21" s="282"/>
      <c r="T21" s="282"/>
      <c r="U21" s="14"/>
    </row>
    <row r="22" spans="1:21" x14ac:dyDescent="0.25">
      <c r="A22" s="1" t="s">
        <v>312</v>
      </c>
      <c r="C22" s="31">
        <f>83060685-13906539</f>
        <v>69154146</v>
      </c>
      <c r="D22" s="31">
        <f>83605816-12633413</f>
        <v>70972403</v>
      </c>
      <c r="E22" s="31">
        <f>82651424-12762198</f>
        <v>69889226</v>
      </c>
      <c r="F22" s="31">
        <f>80734944-14000879</f>
        <v>66734065</v>
      </c>
      <c r="G22" s="289">
        <v>67978838.109999999</v>
      </c>
      <c r="H22" s="289">
        <v>61539872.159999996</v>
      </c>
      <c r="I22" s="289">
        <v>60345612.740000002</v>
      </c>
      <c r="J22" s="289">
        <v>59101336.409999996</v>
      </c>
      <c r="K22" s="289">
        <v>53728182.670000002</v>
      </c>
      <c r="L22" s="289">
        <v>49738007.880000003</v>
      </c>
      <c r="M22" s="289">
        <v>45826936.979999997</v>
      </c>
      <c r="N22" s="289">
        <v>47323074.310000002</v>
      </c>
      <c r="O22" s="289">
        <v>50070035.609999999</v>
      </c>
      <c r="P22" s="289">
        <v>53442847</v>
      </c>
      <c r="Q22" s="289">
        <v>56947192</v>
      </c>
      <c r="S22" s="45"/>
      <c r="T22" s="45"/>
      <c r="U22" s="14"/>
    </row>
    <row r="23" spans="1:21" x14ac:dyDescent="0.25">
      <c r="A23" s="1" t="s">
        <v>91</v>
      </c>
      <c r="C23" s="31">
        <f>5639873-274811</f>
        <v>5365062</v>
      </c>
      <c r="D23" s="31">
        <f>5745015-277130</f>
        <v>5467885</v>
      </c>
      <c r="E23" s="31">
        <f>5016358-258547</f>
        <v>4757811</v>
      </c>
      <c r="F23" s="31">
        <f>4758415-311441</f>
        <v>4446974</v>
      </c>
      <c r="G23" s="289">
        <v>4064022.93</v>
      </c>
      <c r="H23" s="289">
        <v>3845689.59</v>
      </c>
      <c r="I23" s="289">
        <v>3778768.74</v>
      </c>
      <c r="J23" s="289">
        <v>3809898.88</v>
      </c>
      <c r="K23" s="289">
        <v>3574660.69</v>
      </c>
      <c r="L23" s="289">
        <v>3369095.49</v>
      </c>
      <c r="M23" s="289">
        <v>2977378.03</v>
      </c>
      <c r="N23" s="289">
        <v>3021680.79</v>
      </c>
      <c r="O23" s="289">
        <v>3584396</v>
      </c>
      <c r="P23" s="289">
        <v>3871571</v>
      </c>
      <c r="Q23" s="289">
        <v>3825293</v>
      </c>
      <c r="R23" s="45"/>
      <c r="S23" s="45"/>
      <c r="T23" s="45"/>
      <c r="U23" s="14"/>
    </row>
    <row r="24" spans="1:21" x14ac:dyDescent="0.25">
      <c r="A24" s="1" t="s">
        <v>315</v>
      </c>
      <c r="C24" s="31">
        <v>0</v>
      </c>
      <c r="D24" s="31">
        <v>0</v>
      </c>
      <c r="E24" s="31">
        <v>0</v>
      </c>
      <c r="F24" s="31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289">
        <v>0</v>
      </c>
      <c r="M24" s="289">
        <v>0</v>
      </c>
      <c r="N24" s="289">
        <v>0</v>
      </c>
      <c r="O24" s="289">
        <v>0</v>
      </c>
      <c r="P24" s="289">
        <v>0</v>
      </c>
      <c r="Q24" s="289">
        <v>0</v>
      </c>
      <c r="R24" s="45">
        <v>0</v>
      </c>
      <c r="S24" s="45"/>
      <c r="T24" s="45"/>
      <c r="U24" s="14"/>
    </row>
    <row r="25" spans="1:21" x14ac:dyDescent="0.25">
      <c r="A25" s="1" t="s">
        <v>316</v>
      </c>
      <c r="C25" s="32">
        <f t="shared" ref="C25:O25" si="27">SUM(C22:C24)</f>
        <v>74519208</v>
      </c>
      <c r="D25" s="32">
        <f t="shared" si="27"/>
        <v>76440288</v>
      </c>
      <c r="E25" s="32">
        <f t="shared" si="27"/>
        <v>74647037</v>
      </c>
      <c r="F25" s="32">
        <f t="shared" si="27"/>
        <v>71181039</v>
      </c>
      <c r="G25" s="354">
        <f t="shared" si="27"/>
        <v>72042861.040000007</v>
      </c>
      <c r="H25" s="354">
        <f t="shared" si="27"/>
        <v>65385561.75</v>
      </c>
      <c r="I25" s="354">
        <f t="shared" si="27"/>
        <v>64124381.480000004</v>
      </c>
      <c r="J25" s="354">
        <f t="shared" si="27"/>
        <v>62911235.289999999</v>
      </c>
      <c r="K25" s="354">
        <f t="shared" si="27"/>
        <v>57302843.359999999</v>
      </c>
      <c r="L25" s="354">
        <f t="shared" si="27"/>
        <v>53107103.370000005</v>
      </c>
      <c r="M25" s="354">
        <f t="shared" si="27"/>
        <v>48804315.009999998</v>
      </c>
      <c r="N25" s="354">
        <f t="shared" si="27"/>
        <v>50344755.100000001</v>
      </c>
      <c r="O25" s="354">
        <f t="shared" si="27"/>
        <v>53654431.609999999</v>
      </c>
      <c r="P25" s="354">
        <f t="shared" ref="P25" si="28">SUM(P22:P24)</f>
        <v>57314418</v>
      </c>
      <c r="Q25" s="354">
        <f>SUM(Q22:Q24)</f>
        <v>60772485</v>
      </c>
      <c r="R25" s="298"/>
      <c r="S25" s="18"/>
      <c r="T25" s="18"/>
      <c r="U25" s="14"/>
    </row>
    <row r="26" spans="1:21" x14ac:dyDescent="0.25"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U26" s="14"/>
    </row>
    <row r="27" spans="1:21" x14ac:dyDescent="0.25">
      <c r="A27" s="17" t="s">
        <v>317</v>
      </c>
      <c r="B27" s="17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U27" s="14"/>
    </row>
    <row r="28" spans="1:21" x14ac:dyDescent="0.25">
      <c r="A28" s="1" t="s">
        <v>312</v>
      </c>
      <c r="C28" s="31">
        <v>756420</v>
      </c>
      <c r="D28" s="31">
        <v>738436</v>
      </c>
      <c r="E28" s="31">
        <v>706320</v>
      </c>
      <c r="F28" s="31">
        <v>669540</v>
      </c>
      <c r="G28" s="289">
        <v>658461.19999999995</v>
      </c>
      <c r="H28" s="289">
        <v>620850</v>
      </c>
      <c r="I28" s="289">
        <v>584925.4</v>
      </c>
      <c r="J28" s="289">
        <v>552869.06999999995</v>
      </c>
      <c r="K28" s="289">
        <v>512364.38</v>
      </c>
      <c r="L28" s="289">
        <v>478145.69</v>
      </c>
      <c r="M28" s="289">
        <v>454015.23</v>
      </c>
      <c r="N28" s="289">
        <v>456870</v>
      </c>
      <c r="O28" s="289">
        <v>452820</v>
      </c>
      <c r="P28" s="289">
        <v>461220</v>
      </c>
      <c r="Q28" s="362">
        <f>+Q22/P22*P28</f>
        <v>491463.03703169106</v>
      </c>
      <c r="R28" s="45"/>
      <c r="S28" s="45"/>
      <c r="T28" s="45"/>
      <c r="U28" s="14"/>
    </row>
    <row r="29" spans="1:21" x14ac:dyDescent="0.25">
      <c r="A29" s="1" t="s">
        <v>91</v>
      </c>
      <c r="C29" s="31">
        <v>142890</v>
      </c>
      <c r="D29" s="31">
        <v>145410</v>
      </c>
      <c r="E29" s="31">
        <v>129486</v>
      </c>
      <c r="F29" s="31">
        <v>118306</v>
      </c>
      <c r="G29" s="289">
        <v>102362.92</v>
      </c>
      <c r="H29" s="289">
        <v>93300.45</v>
      </c>
      <c r="I29" s="289">
        <v>87669.43</v>
      </c>
      <c r="J29" s="289">
        <v>83951.78</v>
      </c>
      <c r="K29" s="289">
        <v>73759.69</v>
      </c>
      <c r="L29" s="289">
        <v>67729.179999999993</v>
      </c>
      <c r="M29" s="289">
        <v>59480.03</v>
      </c>
      <c r="N29" s="289">
        <v>56929.5</v>
      </c>
      <c r="O29" s="289">
        <v>54858</v>
      </c>
      <c r="P29" s="289">
        <v>56508</v>
      </c>
      <c r="Q29" s="362">
        <f>+Q23/P23*P29</f>
        <v>55832.543648043655</v>
      </c>
      <c r="R29" s="45"/>
      <c r="S29" s="45"/>
      <c r="T29" s="45"/>
      <c r="U29" s="14"/>
    </row>
    <row r="30" spans="1:21" x14ac:dyDescent="0.25">
      <c r="A30" s="1" t="s">
        <v>315</v>
      </c>
      <c r="C30" s="31">
        <v>0</v>
      </c>
      <c r="D30" s="31">
        <v>0</v>
      </c>
      <c r="E30" s="31">
        <v>0</v>
      </c>
      <c r="F30" s="31">
        <v>0</v>
      </c>
      <c r="G30" s="289">
        <v>0</v>
      </c>
      <c r="H30" s="289">
        <v>0</v>
      </c>
      <c r="I30" s="289">
        <v>0</v>
      </c>
      <c r="J30" s="289">
        <v>0</v>
      </c>
      <c r="K30" s="289">
        <v>0</v>
      </c>
      <c r="L30" s="289">
        <v>0</v>
      </c>
      <c r="M30" s="289">
        <v>0</v>
      </c>
      <c r="N30" s="289">
        <v>0</v>
      </c>
      <c r="O30" s="289">
        <v>0</v>
      </c>
      <c r="P30" s="289">
        <v>0</v>
      </c>
      <c r="Q30" s="289">
        <v>0</v>
      </c>
      <c r="R30" s="45"/>
      <c r="S30" s="45"/>
      <c r="T30" s="45"/>
      <c r="U30" s="14"/>
    </row>
    <row r="31" spans="1:21" x14ac:dyDescent="0.25">
      <c r="A31" s="1" t="s">
        <v>318</v>
      </c>
      <c r="C31" s="32">
        <f>SUM(C28:C30)</f>
        <v>899310</v>
      </c>
      <c r="D31" s="32">
        <f t="shared" ref="D31:P31" si="29">SUM(D28:D30)</f>
        <v>883846</v>
      </c>
      <c r="E31" s="32">
        <f t="shared" si="29"/>
        <v>835806</v>
      </c>
      <c r="F31" s="32">
        <f t="shared" si="29"/>
        <v>787846</v>
      </c>
      <c r="G31" s="354">
        <f t="shared" si="29"/>
        <v>760824.12</v>
      </c>
      <c r="H31" s="354">
        <f t="shared" si="29"/>
        <v>714150.45</v>
      </c>
      <c r="I31" s="354">
        <f t="shared" si="29"/>
        <v>672594.83000000007</v>
      </c>
      <c r="J31" s="354">
        <f t="shared" si="29"/>
        <v>636820.85</v>
      </c>
      <c r="K31" s="354">
        <f t="shared" si="29"/>
        <v>586124.07000000007</v>
      </c>
      <c r="L31" s="354">
        <f t="shared" si="29"/>
        <v>545874.87</v>
      </c>
      <c r="M31" s="354">
        <f t="shared" si="29"/>
        <v>513495.26</v>
      </c>
      <c r="N31" s="354">
        <f t="shared" si="29"/>
        <v>513799.5</v>
      </c>
      <c r="O31" s="354">
        <f t="shared" si="29"/>
        <v>507678</v>
      </c>
      <c r="P31" s="354">
        <f t="shared" si="29"/>
        <v>517728</v>
      </c>
      <c r="Q31" s="354">
        <f t="shared" ref="Q31" si="30">SUM(Q28:Q30)</f>
        <v>547295.5806797347</v>
      </c>
      <c r="R31" s="18"/>
      <c r="S31" s="18"/>
      <c r="T31" s="18"/>
      <c r="U31" s="14"/>
    </row>
    <row r="32" spans="1:21" x14ac:dyDescent="0.25"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U32" s="14"/>
    </row>
    <row r="33" spans="1:21" x14ac:dyDescent="0.25">
      <c r="A33" s="1" t="s">
        <v>319</v>
      </c>
      <c r="C33" s="32">
        <f>+C31+C25</f>
        <v>75418518</v>
      </c>
      <c r="D33" s="32">
        <f t="shared" ref="D33:P33" si="31">+D31+D25</f>
        <v>77324134</v>
      </c>
      <c r="E33" s="32">
        <f t="shared" si="31"/>
        <v>75482843</v>
      </c>
      <c r="F33" s="32">
        <f t="shared" si="31"/>
        <v>71968885</v>
      </c>
      <c r="G33" s="354">
        <f t="shared" si="31"/>
        <v>72803685.160000011</v>
      </c>
      <c r="H33" s="354">
        <f t="shared" si="31"/>
        <v>66099712.200000003</v>
      </c>
      <c r="I33" s="354">
        <f t="shared" si="31"/>
        <v>64796976.310000002</v>
      </c>
      <c r="J33" s="354">
        <f t="shared" si="31"/>
        <v>63548056.140000001</v>
      </c>
      <c r="K33" s="354">
        <f t="shared" si="31"/>
        <v>57888967.43</v>
      </c>
      <c r="L33" s="354">
        <f t="shared" si="31"/>
        <v>53652978.240000002</v>
      </c>
      <c r="M33" s="354">
        <f t="shared" si="31"/>
        <v>49317810.269999996</v>
      </c>
      <c r="N33" s="354">
        <f t="shared" si="31"/>
        <v>50858554.600000001</v>
      </c>
      <c r="O33" s="354">
        <f t="shared" si="31"/>
        <v>54162109.609999999</v>
      </c>
      <c r="P33" s="354">
        <f t="shared" si="31"/>
        <v>57832146</v>
      </c>
      <c r="Q33" s="354">
        <f t="shared" ref="Q33" si="32">+Q31+Q25</f>
        <v>61319780.580679737</v>
      </c>
      <c r="R33" s="18"/>
      <c r="S33" s="18"/>
      <c r="T33" s="18"/>
      <c r="U33" s="14"/>
    </row>
    <row r="34" spans="1:21" x14ac:dyDescent="0.25">
      <c r="A34" s="158" t="s">
        <v>320</v>
      </c>
      <c r="B34" s="158"/>
      <c r="C34" s="157">
        <f>(+C29+C23)/C33</f>
        <v>7.3031824889478736E-2</v>
      </c>
      <c r="D34" s="157">
        <f t="shared" ref="D34:P34" si="33">(+D29+D23)/D33</f>
        <v>7.2594346805099685E-2</v>
      </c>
      <c r="E34" s="157">
        <f t="shared" si="33"/>
        <v>6.4747124058377084E-2</v>
      </c>
      <c r="F34" s="157">
        <f t="shared" si="33"/>
        <v>6.3434079880492794E-2</v>
      </c>
      <c r="G34" s="355">
        <f t="shared" si="33"/>
        <v>5.7227677978711804E-2</v>
      </c>
      <c r="H34" s="355">
        <f t="shared" si="33"/>
        <v>5.9591636769637857E-2</v>
      </c>
      <c r="I34" s="355">
        <f t="shared" si="33"/>
        <v>5.9670040026285918E-2</v>
      </c>
      <c r="J34" s="355">
        <f t="shared" si="33"/>
        <v>6.1274111224136014E-2</v>
      </c>
      <c r="K34" s="355">
        <f t="shared" si="33"/>
        <v>6.3024450805962487E-2</v>
      </c>
      <c r="L34" s="355">
        <f t="shared" si="33"/>
        <v>6.4056549752493294E-2</v>
      </c>
      <c r="M34" s="355">
        <f t="shared" si="33"/>
        <v>6.1577309360941336E-2</v>
      </c>
      <c r="N34" s="355">
        <f t="shared" si="33"/>
        <v>6.0532791665298326E-2</v>
      </c>
      <c r="O34" s="355">
        <f t="shared" si="33"/>
        <v>6.7191880563826509E-2</v>
      </c>
      <c r="P34" s="355">
        <f t="shared" si="33"/>
        <v>6.7922068809274344E-2</v>
      </c>
      <c r="Q34" s="355">
        <f t="shared" ref="Q34" si="34">(+Q29+Q23)/Q33</f>
        <v>6.3293206643842512E-2</v>
      </c>
      <c r="R34" s="283"/>
      <c r="S34" s="283"/>
      <c r="T34" s="283"/>
    </row>
    <row r="35" spans="1:21" x14ac:dyDescent="0.25">
      <c r="A35" s="158"/>
      <c r="B35" s="158"/>
      <c r="C35" s="157"/>
      <c r="D35" s="157">
        <f>+D33/C33-1</f>
        <v>2.5267216202789822E-2</v>
      </c>
      <c r="E35" s="157">
        <f t="shared" ref="E35:Q35" si="35">+E33/D33-1</f>
        <v>-2.3812630090367382E-2</v>
      </c>
      <c r="F35" s="157">
        <f t="shared" si="35"/>
        <v>-4.6553069019936055E-2</v>
      </c>
      <c r="G35" s="355">
        <f t="shared" si="35"/>
        <v>1.1599459405269519E-2</v>
      </c>
      <c r="H35" s="355">
        <f t="shared" si="35"/>
        <v>-9.2082879393628914E-2</v>
      </c>
      <c r="I35" s="355">
        <f t="shared" si="35"/>
        <v>-1.9708646931143492E-2</v>
      </c>
      <c r="J35" s="355">
        <f t="shared" si="35"/>
        <v>-1.9274358791449675E-2</v>
      </c>
      <c r="K35" s="355">
        <f t="shared" si="35"/>
        <v>-8.9052113530155852E-2</v>
      </c>
      <c r="L35" s="355">
        <f t="shared" si="35"/>
        <v>-7.3174378090647529E-2</v>
      </c>
      <c r="M35" s="355">
        <f t="shared" si="35"/>
        <v>-8.0800136585297722E-2</v>
      </c>
      <c r="N35" s="355">
        <f t="shared" si="35"/>
        <v>3.1241134218346289E-2</v>
      </c>
      <c r="O35" s="355">
        <f t="shared" si="35"/>
        <v>6.4955739225825315E-2</v>
      </c>
      <c r="P35" s="355">
        <f t="shared" si="35"/>
        <v>6.7760218655190663E-2</v>
      </c>
      <c r="Q35" s="355">
        <f t="shared" si="35"/>
        <v>6.0306158804477761E-2</v>
      </c>
      <c r="R35" s="283"/>
      <c r="S35" s="283"/>
      <c r="T35" s="283"/>
    </row>
    <row r="36" spans="1:21" x14ac:dyDescent="0.25">
      <c r="A36" s="17" t="s">
        <v>275</v>
      </c>
      <c r="B36" s="17" t="s">
        <v>321</v>
      </c>
      <c r="G36" s="415"/>
      <c r="H36" s="354"/>
      <c r="I36" s="354"/>
      <c r="J36" s="354"/>
      <c r="K36" s="354"/>
      <c r="L36" s="354"/>
      <c r="M36" s="354"/>
      <c r="N36" s="354"/>
      <c r="O36" s="354"/>
      <c r="P36" s="354"/>
      <c r="Q36" s="416"/>
    </row>
    <row r="37" spans="1:21" x14ac:dyDescent="0.25">
      <c r="A37" s="1" t="s">
        <v>134</v>
      </c>
      <c r="B37" s="1" t="s">
        <v>224</v>
      </c>
      <c r="C37" s="31">
        <v>0</v>
      </c>
      <c r="D37" s="31">
        <v>0</v>
      </c>
      <c r="E37" s="31">
        <v>0</v>
      </c>
      <c r="F37" s="31">
        <v>600</v>
      </c>
      <c r="G37" s="417">
        <v>0</v>
      </c>
      <c r="H37" s="291">
        <v>750</v>
      </c>
      <c r="I37" s="291">
        <v>605</v>
      </c>
      <c r="J37" s="291">
        <v>450</v>
      </c>
      <c r="K37" s="291">
        <v>0</v>
      </c>
      <c r="L37" s="291">
        <v>0</v>
      </c>
      <c r="M37" s="291">
        <v>0</v>
      </c>
      <c r="N37" s="291">
        <v>0</v>
      </c>
      <c r="O37" s="291">
        <v>0</v>
      </c>
      <c r="P37" s="291">
        <v>0</v>
      </c>
      <c r="Q37" s="418">
        <f>+P37</f>
        <v>0</v>
      </c>
      <c r="R37" s="45"/>
      <c r="S37" s="45"/>
      <c r="T37" s="45"/>
    </row>
    <row r="38" spans="1:21" x14ac:dyDescent="0.25">
      <c r="A38" s="1" t="s">
        <v>234</v>
      </c>
      <c r="B38" s="1" t="s">
        <v>235</v>
      </c>
      <c r="C38" s="31"/>
      <c r="D38" s="31"/>
      <c r="E38" s="31"/>
      <c r="F38" s="31"/>
      <c r="G38" s="417"/>
      <c r="H38" s="291"/>
      <c r="I38" s="291"/>
      <c r="J38" s="291"/>
      <c r="K38" s="291"/>
      <c r="L38" s="291"/>
      <c r="M38" s="291"/>
      <c r="N38" s="291"/>
      <c r="O38" s="291"/>
      <c r="P38" s="291"/>
      <c r="Q38" s="418"/>
      <c r="R38" s="45"/>
      <c r="S38" s="45"/>
      <c r="T38" s="45"/>
    </row>
    <row r="39" spans="1:21" x14ac:dyDescent="0.25">
      <c r="A39" s="1" t="s">
        <v>106</v>
      </c>
      <c r="B39" s="1" t="s">
        <v>224</v>
      </c>
      <c r="C39" s="31">
        <v>0</v>
      </c>
      <c r="D39" s="31">
        <v>0</v>
      </c>
      <c r="E39" s="31">
        <v>0</v>
      </c>
      <c r="F39" s="31">
        <v>7400</v>
      </c>
      <c r="G39" s="417">
        <v>20350</v>
      </c>
      <c r="H39" s="291">
        <v>27750</v>
      </c>
      <c r="I39" s="291">
        <v>36075</v>
      </c>
      <c r="J39" s="291">
        <v>48550</v>
      </c>
      <c r="K39" s="291">
        <v>57092</v>
      </c>
      <c r="L39" s="291">
        <v>41730</v>
      </c>
      <c r="M39" s="291">
        <v>33720</v>
      </c>
      <c r="N39" s="291">
        <v>35898</v>
      </c>
      <c r="O39" s="291">
        <v>52184</v>
      </c>
      <c r="P39" s="291">
        <v>54556</v>
      </c>
      <c r="Q39" s="418">
        <v>47440</v>
      </c>
      <c r="R39" s="45"/>
      <c r="S39" s="45"/>
      <c r="T39" s="45"/>
    </row>
    <row r="40" spans="1:21" x14ac:dyDescent="0.25">
      <c r="A40" s="1" t="s">
        <v>88</v>
      </c>
      <c r="B40" s="1" t="s">
        <v>237</v>
      </c>
      <c r="C40" s="31">
        <v>498640</v>
      </c>
      <c r="D40" s="31">
        <v>464150</v>
      </c>
      <c r="E40" s="31">
        <v>436883</v>
      </c>
      <c r="F40" s="31">
        <v>434820</v>
      </c>
      <c r="G40" s="417">
        <v>432870</v>
      </c>
      <c r="H40" s="291">
        <v>450795</v>
      </c>
      <c r="I40" s="291">
        <v>482003</v>
      </c>
      <c r="J40" s="291">
        <v>445503</v>
      </c>
      <c r="K40" s="291">
        <v>447875</v>
      </c>
      <c r="L40" s="291">
        <v>434243</v>
      </c>
      <c r="M40" s="371">
        <f>456550.5</f>
        <v>456550.5</v>
      </c>
      <c r="N40" s="371">
        <f>431386</f>
        <v>431386</v>
      </c>
      <c r="O40" s="371">
        <f>457800</f>
        <v>457800</v>
      </c>
      <c r="P40" s="371">
        <f>521435</f>
        <v>521435</v>
      </c>
      <c r="Q40" s="418">
        <v>514613</v>
      </c>
      <c r="R40" s="45"/>
      <c r="S40" s="45"/>
      <c r="T40" s="45"/>
    </row>
    <row r="41" spans="1:21" x14ac:dyDescent="0.25">
      <c r="A41" s="1" t="s">
        <v>129</v>
      </c>
      <c r="B41" s="1" t="s">
        <v>130</v>
      </c>
      <c r="C41" s="31">
        <v>0</v>
      </c>
      <c r="D41" s="31">
        <v>0</v>
      </c>
      <c r="E41" s="31">
        <v>0</v>
      </c>
      <c r="F41" s="31">
        <v>0</v>
      </c>
      <c r="G41" s="417">
        <v>0</v>
      </c>
      <c r="H41" s="291">
        <v>0</v>
      </c>
      <c r="I41" s="291">
        <v>0</v>
      </c>
      <c r="J41" s="291">
        <v>33375</v>
      </c>
      <c r="K41" s="291">
        <v>40000</v>
      </c>
      <c r="L41" s="291">
        <v>34250</v>
      </c>
      <c r="M41" s="291">
        <v>26500</v>
      </c>
      <c r="N41" s="291">
        <v>23000</v>
      </c>
      <c r="O41" s="291">
        <v>22500</v>
      </c>
      <c r="P41" s="291">
        <v>34000</v>
      </c>
      <c r="Q41" s="418">
        <v>40000</v>
      </c>
      <c r="R41" s="45"/>
      <c r="S41" s="45"/>
      <c r="T41" s="45"/>
    </row>
    <row r="42" spans="1:21" x14ac:dyDescent="0.25">
      <c r="A42" s="1" t="s">
        <v>132</v>
      </c>
      <c r="B42" s="1" t="s">
        <v>130</v>
      </c>
      <c r="C42" s="31">
        <v>0</v>
      </c>
      <c r="D42" s="31">
        <v>5205</v>
      </c>
      <c r="E42" s="31">
        <v>3500</v>
      </c>
      <c r="F42" s="31">
        <v>3950</v>
      </c>
      <c r="G42" s="417">
        <v>3955</v>
      </c>
      <c r="H42" s="291">
        <v>3850</v>
      </c>
      <c r="I42" s="291">
        <v>4350</v>
      </c>
      <c r="J42" s="291">
        <v>4600</v>
      </c>
      <c r="K42" s="291">
        <v>2750</v>
      </c>
      <c r="L42" s="291">
        <v>2413</v>
      </c>
      <c r="M42" s="291">
        <v>0</v>
      </c>
      <c r="N42" s="291">
        <v>161</v>
      </c>
      <c r="O42" s="291">
        <v>0</v>
      </c>
      <c r="P42" s="291">
        <v>0</v>
      </c>
      <c r="Q42" s="418">
        <f>6400-6400</f>
        <v>0</v>
      </c>
      <c r="R42" s="45"/>
      <c r="S42" s="45"/>
      <c r="T42" s="45"/>
    </row>
    <row r="43" spans="1:21" x14ac:dyDescent="0.25">
      <c r="A43" s="1" t="s">
        <v>76</v>
      </c>
      <c r="B43" s="1" t="s">
        <v>222</v>
      </c>
      <c r="C43" s="31"/>
      <c r="D43" s="31"/>
      <c r="E43" s="31"/>
      <c r="F43" s="31"/>
      <c r="G43" s="417"/>
      <c r="H43" s="291"/>
      <c r="I43" s="291"/>
      <c r="J43" s="291"/>
      <c r="K43" s="291"/>
      <c r="L43" s="291"/>
      <c r="M43" s="291">
        <v>0</v>
      </c>
      <c r="N43" s="291">
        <v>0</v>
      </c>
      <c r="O43" s="291">
        <v>0</v>
      </c>
      <c r="P43" s="291">
        <v>0</v>
      </c>
      <c r="Q43" s="418"/>
      <c r="R43" s="45"/>
      <c r="S43" s="45"/>
      <c r="T43" s="45"/>
    </row>
    <row r="44" spans="1:21" x14ac:dyDescent="0.25">
      <c r="A44" s="1" t="s">
        <v>80</v>
      </c>
      <c r="B44" s="1" t="s">
        <v>228</v>
      </c>
      <c r="C44" s="31">
        <v>112648</v>
      </c>
      <c r="D44" s="31">
        <v>122799</v>
      </c>
      <c r="E44" s="31">
        <v>123259</v>
      </c>
      <c r="F44" s="31">
        <v>115235</v>
      </c>
      <c r="G44" s="417">
        <v>103222</v>
      </c>
      <c r="H44" s="291">
        <v>128029</v>
      </c>
      <c r="I44" s="291">
        <v>132139</v>
      </c>
      <c r="J44" s="291">
        <v>200326</v>
      </c>
      <c r="K44" s="291">
        <v>193533</v>
      </c>
      <c r="L44" s="291">
        <v>206716</v>
      </c>
      <c r="M44" s="291">
        <f>122450+11060</f>
        <v>133510</v>
      </c>
      <c r="N44" s="291">
        <f>139731+9853</f>
        <v>149584</v>
      </c>
      <c r="O44" s="291">
        <f>157928+10284</f>
        <v>168212</v>
      </c>
      <c r="P44" s="291">
        <f>180420+8378</f>
        <v>188798</v>
      </c>
      <c r="Q44" s="418">
        <v>190000</v>
      </c>
      <c r="R44" s="45"/>
      <c r="S44" s="45"/>
      <c r="T44" s="45"/>
    </row>
    <row r="45" spans="1:21" x14ac:dyDescent="0.25">
      <c r="A45" s="1" t="s">
        <v>90</v>
      </c>
      <c r="B45" s="1" t="s">
        <v>239</v>
      </c>
      <c r="C45" s="31">
        <v>1066392</v>
      </c>
      <c r="D45" s="31">
        <v>1075658</v>
      </c>
      <c r="E45" s="31">
        <v>1043493</v>
      </c>
      <c r="F45" s="31">
        <v>1043742</v>
      </c>
      <c r="G45" s="417">
        <v>1011266</v>
      </c>
      <c r="H45" s="291">
        <v>950257</v>
      </c>
      <c r="I45" s="291">
        <v>900812</v>
      </c>
      <c r="J45" s="291">
        <v>907447</v>
      </c>
      <c r="K45" s="291">
        <v>991401</v>
      </c>
      <c r="L45" s="291">
        <v>1172289</v>
      </c>
      <c r="M45" s="291">
        <v>1540408</v>
      </c>
      <c r="N45" s="291">
        <v>1695514</v>
      </c>
      <c r="O45" s="291">
        <v>1922587.5</v>
      </c>
      <c r="P45" s="291">
        <v>3118990</v>
      </c>
      <c r="Q45" s="418">
        <v>4168588</v>
      </c>
      <c r="R45" s="45"/>
      <c r="S45" s="45"/>
      <c r="T45" s="45"/>
    </row>
    <row r="46" spans="1:21" x14ac:dyDescent="0.25">
      <c r="A46" s="1" t="s">
        <v>127</v>
      </c>
      <c r="B46" s="1" t="s">
        <v>239</v>
      </c>
      <c r="C46" s="31"/>
      <c r="D46" s="31"/>
      <c r="E46" s="31"/>
      <c r="F46" s="31">
        <v>0</v>
      </c>
      <c r="G46" s="417">
        <v>0</v>
      </c>
      <c r="H46" s="291">
        <v>0</v>
      </c>
      <c r="I46" s="291">
        <v>0</v>
      </c>
      <c r="J46" s="291">
        <v>69545</v>
      </c>
      <c r="K46" s="291">
        <v>72088</v>
      </c>
      <c r="L46" s="291">
        <v>89855</v>
      </c>
      <c r="M46" s="371">
        <f>188237/2</f>
        <v>94118.5</v>
      </c>
      <c r="N46" s="371">
        <f>211849/2</f>
        <v>105924.5</v>
      </c>
      <c r="O46" s="371">
        <f>186442.5/2</f>
        <v>93221.25</v>
      </c>
      <c r="P46" s="371">
        <f>144671/2</f>
        <v>72335.5</v>
      </c>
      <c r="Q46" s="418">
        <v>64200</v>
      </c>
      <c r="R46" s="45"/>
      <c r="S46" s="45"/>
      <c r="T46" s="45"/>
    </row>
    <row r="47" spans="1:21" x14ac:dyDescent="0.25">
      <c r="A47" s="1" t="s">
        <v>242</v>
      </c>
      <c r="B47" s="1" t="s">
        <v>130</v>
      </c>
      <c r="C47" s="31"/>
      <c r="D47" s="31"/>
      <c r="E47" s="31"/>
      <c r="F47" s="31"/>
      <c r="G47" s="417"/>
      <c r="H47" s="291"/>
      <c r="I47" s="291"/>
      <c r="J47" s="291"/>
      <c r="K47" s="291"/>
      <c r="L47" s="291"/>
      <c r="M47" s="371"/>
      <c r="N47" s="371"/>
      <c r="O47" s="371"/>
      <c r="P47" s="371"/>
      <c r="Q47" s="418">
        <v>177840</v>
      </c>
      <c r="R47" s="45"/>
      <c r="S47" s="45"/>
      <c r="T47" s="45"/>
    </row>
    <row r="48" spans="1:21" x14ac:dyDescent="0.25">
      <c r="A48" s="1" t="s">
        <v>110</v>
      </c>
      <c r="B48" s="1" t="s">
        <v>224</v>
      </c>
      <c r="C48" s="31">
        <v>1102200</v>
      </c>
      <c r="D48" s="31">
        <v>1096000</v>
      </c>
      <c r="E48" s="31">
        <v>1115140</v>
      </c>
      <c r="F48" s="31">
        <v>1088200</v>
      </c>
      <c r="G48" s="417">
        <v>1084250</v>
      </c>
      <c r="H48" s="291">
        <v>1093400</v>
      </c>
      <c r="I48" s="291">
        <v>1087700</v>
      </c>
      <c r="J48" s="291">
        <v>1167968</v>
      </c>
      <c r="K48" s="291">
        <v>1289435</v>
      </c>
      <c r="L48" s="291">
        <v>1354203</v>
      </c>
      <c r="M48" s="291">
        <v>1376886</v>
      </c>
      <c r="N48" s="291">
        <v>1450678</v>
      </c>
      <c r="O48" s="291">
        <v>1430038</v>
      </c>
      <c r="P48" s="291">
        <v>1243278</v>
      </c>
      <c r="Q48" s="418">
        <v>1089960</v>
      </c>
      <c r="R48" s="45"/>
      <c r="S48" s="45"/>
      <c r="T48" s="45"/>
    </row>
    <row r="49" spans="1:30" x14ac:dyDescent="0.25">
      <c r="A49" s="1" t="s">
        <v>115</v>
      </c>
      <c r="B49" s="1" t="s">
        <v>224</v>
      </c>
      <c r="C49" s="31">
        <v>431200</v>
      </c>
      <c r="D49" s="31">
        <v>448800</v>
      </c>
      <c r="E49" s="31">
        <v>444400</v>
      </c>
      <c r="F49" s="31">
        <v>442200</v>
      </c>
      <c r="G49" s="417">
        <v>444400</v>
      </c>
      <c r="H49" s="291">
        <v>457600</v>
      </c>
      <c r="I49" s="291">
        <v>455400</v>
      </c>
      <c r="J49" s="291">
        <v>516535</v>
      </c>
      <c r="K49" s="291">
        <v>561471</v>
      </c>
      <c r="L49" s="291">
        <v>595769</v>
      </c>
      <c r="M49" s="291">
        <v>666696</v>
      </c>
      <c r="N49" s="291">
        <v>772474</v>
      </c>
      <c r="O49" s="291">
        <v>794956</v>
      </c>
      <c r="P49" s="291">
        <v>790514</v>
      </c>
      <c r="Q49" s="418">
        <v>765288</v>
      </c>
      <c r="R49" s="45"/>
      <c r="S49" s="45"/>
      <c r="T49" s="45"/>
    </row>
    <row r="50" spans="1:30" x14ac:dyDescent="0.25">
      <c r="A50" s="1" t="s">
        <v>103</v>
      </c>
      <c r="B50" s="1" t="s">
        <v>224</v>
      </c>
      <c r="C50" s="31">
        <v>46725</v>
      </c>
      <c r="D50" s="31">
        <v>57900</v>
      </c>
      <c r="E50" s="31">
        <v>55913</v>
      </c>
      <c r="F50" s="31">
        <v>62700</v>
      </c>
      <c r="G50" s="417">
        <v>66525</v>
      </c>
      <c r="H50" s="291">
        <v>66600</v>
      </c>
      <c r="I50" s="291">
        <v>72690</v>
      </c>
      <c r="J50" s="291">
        <v>126180</v>
      </c>
      <c r="K50" s="291">
        <v>180739</v>
      </c>
      <c r="L50" s="291">
        <v>197819</v>
      </c>
      <c r="M50" s="291">
        <v>299491.5</v>
      </c>
      <c r="N50" s="291">
        <v>306554</v>
      </c>
      <c r="O50" s="291">
        <v>266532</v>
      </c>
      <c r="P50" s="291">
        <v>262518</v>
      </c>
      <c r="Q50" s="418">
        <v>187200</v>
      </c>
      <c r="R50" s="45"/>
      <c r="S50" s="45"/>
      <c r="T50" s="45"/>
    </row>
    <row r="51" spans="1:30" x14ac:dyDescent="0.25">
      <c r="A51" s="1" t="s">
        <v>117</v>
      </c>
      <c r="B51" s="1" t="s">
        <v>224</v>
      </c>
      <c r="C51" s="31">
        <v>222027</v>
      </c>
      <c r="D51" s="31">
        <v>231897</v>
      </c>
      <c r="E51" s="31">
        <v>227760</v>
      </c>
      <c r="F51" s="31">
        <v>197359</v>
      </c>
      <c r="G51" s="417">
        <v>215094</v>
      </c>
      <c r="H51" s="291">
        <v>228162</v>
      </c>
      <c r="I51" s="291">
        <v>254165</v>
      </c>
      <c r="J51" s="291">
        <v>273299</v>
      </c>
      <c r="K51" s="291">
        <v>265835</v>
      </c>
      <c r="L51" s="291">
        <v>304174</v>
      </c>
      <c r="M51" s="371">
        <v>364121</v>
      </c>
      <c r="N51" s="371">
        <v>410852</v>
      </c>
      <c r="O51" s="371">
        <v>374321</v>
      </c>
      <c r="P51" s="371">
        <v>356114</v>
      </c>
      <c r="Q51" s="418">
        <v>421496</v>
      </c>
      <c r="R51" s="45">
        <v>362697</v>
      </c>
      <c r="S51" s="45">
        <v>403052</v>
      </c>
      <c r="T51" s="45">
        <v>370004</v>
      </c>
      <c r="U51" s="1">
        <v>354006</v>
      </c>
    </row>
    <row r="52" spans="1:30" x14ac:dyDescent="0.25">
      <c r="A52" s="1" t="s">
        <v>119</v>
      </c>
      <c r="B52" s="1" t="s">
        <v>224</v>
      </c>
      <c r="C52" s="31">
        <v>0</v>
      </c>
      <c r="D52" s="31">
        <v>0</v>
      </c>
      <c r="E52" s="31">
        <v>0</v>
      </c>
      <c r="F52" s="31">
        <v>0</v>
      </c>
      <c r="G52" s="417">
        <v>0</v>
      </c>
      <c r="H52" s="291">
        <v>0</v>
      </c>
      <c r="I52" s="291">
        <v>0</v>
      </c>
      <c r="J52" s="291">
        <v>197400</v>
      </c>
      <c r="K52" s="291">
        <v>285600</v>
      </c>
      <c r="L52" s="291">
        <v>368256</v>
      </c>
      <c r="M52" s="371"/>
      <c r="N52" s="371"/>
      <c r="O52" s="371"/>
      <c r="P52" s="371"/>
      <c r="Q52" s="418">
        <v>476272</v>
      </c>
      <c r="R52" s="45"/>
      <c r="S52" s="45"/>
      <c r="T52" s="45"/>
    </row>
    <row r="53" spans="1:30" x14ac:dyDescent="0.25">
      <c r="A53" s="1" t="s">
        <v>231</v>
      </c>
      <c r="B53" s="1" t="s">
        <v>232</v>
      </c>
      <c r="C53" s="31"/>
      <c r="D53" s="31"/>
      <c r="E53" s="31"/>
      <c r="F53" s="31"/>
      <c r="G53" s="417"/>
      <c r="H53" s="291"/>
      <c r="I53" s="291"/>
      <c r="J53" s="291"/>
      <c r="K53" s="291"/>
      <c r="L53" s="291"/>
      <c r="M53" s="291">
        <v>88436.5</v>
      </c>
      <c r="N53" s="291">
        <v>97313</v>
      </c>
      <c r="O53" s="291">
        <v>97599</v>
      </c>
      <c r="P53" s="291">
        <v>111140</v>
      </c>
      <c r="Q53" s="418">
        <v>100000</v>
      </c>
      <c r="R53" s="45"/>
      <c r="S53" s="45"/>
      <c r="T53" s="45"/>
    </row>
    <row r="54" spans="1:30" x14ac:dyDescent="0.25">
      <c r="A54" s="1" t="s">
        <v>3041</v>
      </c>
      <c r="G54" s="419">
        <f>3379301.05+0-3381932</f>
        <v>-2630.9500000001863</v>
      </c>
      <c r="H54" s="420">
        <f>3406219.35+0-3407193</f>
        <v>-973.64999999990687</v>
      </c>
      <c r="I54" s="420">
        <f>3419184.15-3425939</f>
        <v>-6754.8500000000931</v>
      </c>
      <c r="J54" s="420">
        <f>3953468+33209-SUM(J37:J53)</f>
        <v>-4501</v>
      </c>
      <c r="K54" s="420">
        <f>4340559+40000-SUM(K37:K53)</f>
        <v>-7260</v>
      </c>
      <c r="L54" s="420">
        <f>4766307+33500-SUM(L37:L53)</f>
        <v>-1910</v>
      </c>
      <c r="M54" s="420">
        <f>5324996.5-SUM(M37:M53)</f>
        <v>244558.5</v>
      </c>
      <c r="N54" s="420">
        <f>5747252-SUM(N37:N53)</f>
        <v>267913.5</v>
      </c>
      <c r="O54" s="420">
        <f>5916655.5-SUM(O37:O53)</f>
        <v>236704.75</v>
      </c>
      <c r="P54" s="420">
        <f>7033221-SUM(P37:P53)</f>
        <v>279542.5</v>
      </c>
      <c r="Q54" s="421"/>
      <c r="R54" s="45"/>
      <c r="S54" s="45"/>
    </row>
    <row r="55" spans="1:30" x14ac:dyDescent="0.25">
      <c r="A55" s="1" t="s">
        <v>322</v>
      </c>
      <c r="C55" s="354">
        <f t="shared" ref="C55:P55" si="36">SUM(C37:C54)</f>
        <v>3479832</v>
      </c>
      <c r="D55" s="354">
        <f t="shared" si="36"/>
        <v>3502409</v>
      </c>
      <c r="E55" s="354">
        <f t="shared" si="36"/>
        <v>3450348</v>
      </c>
      <c r="F55" s="354">
        <f t="shared" si="36"/>
        <v>3396206</v>
      </c>
      <c r="G55" s="357">
        <f t="shared" si="36"/>
        <v>3379301.05</v>
      </c>
      <c r="H55" s="357">
        <f t="shared" si="36"/>
        <v>3406219.35</v>
      </c>
      <c r="I55" s="357">
        <f t="shared" si="36"/>
        <v>3419184.15</v>
      </c>
      <c r="J55" s="357">
        <f t="shared" si="36"/>
        <v>3986677</v>
      </c>
      <c r="K55" s="357">
        <f t="shared" si="36"/>
        <v>4380559</v>
      </c>
      <c r="L55" s="357">
        <f t="shared" si="36"/>
        <v>4799807</v>
      </c>
      <c r="M55" s="357">
        <f t="shared" si="36"/>
        <v>5324996.5</v>
      </c>
      <c r="N55" s="357">
        <f t="shared" si="36"/>
        <v>5747252</v>
      </c>
      <c r="O55" s="357">
        <f t="shared" si="36"/>
        <v>5916655.5</v>
      </c>
      <c r="P55" s="357">
        <f t="shared" si="36"/>
        <v>7033221</v>
      </c>
      <c r="Q55" s="357">
        <f>SUM(Q37:Q54)</f>
        <v>8242897</v>
      </c>
      <c r="R55" s="45"/>
      <c r="S55" s="18"/>
      <c r="T55" s="18"/>
    </row>
    <row r="56" spans="1:30" x14ac:dyDescent="0.25"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</row>
    <row r="57" spans="1:30" ht="15.75" thickBot="1" x14ac:dyDescent="0.3">
      <c r="A57" s="1" t="s">
        <v>323</v>
      </c>
      <c r="C57" s="33">
        <f t="shared" ref="C57:Q57" si="37">+C55+C33</f>
        <v>78898350</v>
      </c>
      <c r="D57" s="33">
        <f t="shared" si="37"/>
        <v>80826543</v>
      </c>
      <c r="E57" s="33">
        <f t="shared" si="37"/>
        <v>78933191</v>
      </c>
      <c r="F57" s="33">
        <f t="shared" si="37"/>
        <v>75365091</v>
      </c>
      <c r="G57" s="356">
        <f t="shared" si="37"/>
        <v>76182986.210000008</v>
      </c>
      <c r="H57" s="356">
        <f t="shared" si="37"/>
        <v>69505931.549999997</v>
      </c>
      <c r="I57" s="356">
        <f t="shared" si="37"/>
        <v>68216160.460000008</v>
      </c>
      <c r="J57" s="356">
        <f t="shared" si="37"/>
        <v>67534733.140000001</v>
      </c>
      <c r="K57" s="356">
        <f t="shared" si="37"/>
        <v>62269526.43</v>
      </c>
      <c r="L57" s="356">
        <f t="shared" si="37"/>
        <v>58452785.240000002</v>
      </c>
      <c r="M57" s="356">
        <f t="shared" si="37"/>
        <v>54642806.769999996</v>
      </c>
      <c r="N57" s="356">
        <f t="shared" si="37"/>
        <v>56605806.600000001</v>
      </c>
      <c r="O57" s="356">
        <f t="shared" si="37"/>
        <v>60078765.109999999</v>
      </c>
      <c r="P57" s="356">
        <f t="shared" si="37"/>
        <v>64865367</v>
      </c>
      <c r="Q57" s="356">
        <f t="shared" si="37"/>
        <v>69562677.580679744</v>
      </c>
      <c r="R57" s="18"/>
      <c r="S57" s="18"/>
      <c r="T57" s="18"/>
    </row>
    <row r="58" spans="1:30" ht="15.75" thickTop="1" x14ac:dyDescent="0.25">
      <c r="C58" s="5"/>
      <c r="D58" s="5"/>
      <c r="E58" s="5"/>
      <c r="F58" s="5"/>
      <c r="G58" s="357"/>
      <c r="H58" s="357"/>
      <c r="I58" s="357"/>
      <c r="J58" s="357"/>
      <c r="K58" s="357"/>
      <c r="L58" s="357"/>
      <c r="M58" s="357"/>
      <c r="N58" s="357"/>
      <c r="O58" s="357"/>
      <c r="P58" s="357"/>
      <c r="Q58" s="381"/>
      <c r="R58" s="18"/>
      <c r="S58" s="18"/>
      <c r="T58" s="18"/>
    </row>
    <row r="59" spans="1:30" ht="15.75" thickBot="1" x14ac:dyDescent="0.3">
      <c r="A59" s="17" t="s">
        <v>324</v>
      </c>
      <c r="B59" s="17"/>
      <c r="C59" s="5"/>
      <c r="D59" s="5"/>
      <c r="E59" s="5"/>
      <c r="F59" s="5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18"/>
      <c r="S59" s="18"/>
      <c r="T59" s="18"/>
    </row>
    <row r="60" spans="1:30" x14ac:dyDescent="0.25">
      <c r="A60" s="1" t="s">
        <v>312</v>
      </c>
      <c r="C60" s="31">
        <v>333121</v>
      </c>
      <c r="D60" s="31">
        <v>325238</v>
      </c>
      <c r="E60" s="31">
        <v>310279</v>
      </c>
      <c r="F60" s="31">
        <v>286903</v>
      </c>
      <c r="G60" s="289">
        <v>286903.00000000163</v>
      </c>
      <c r="H60" s="289">
        <v>272724.00000000052</v>
      </c>
      <c r="I60" s="289">
        <v>257121.00000000495</v>
      </c>
      <c r="J60" s="289">
        <v>240838.00000000154</v>
      </c>
      <c r="K60" s="289">
        <v>221726.99999999884</v>
      </c>
      <c r="L60" s="289">
        <v>206121.00000000757</v>
      </c>
      <c r="M60" s="289">
        <v>194630.00000000239</v>
      </c>
      <c r="N60" s="289">
        <v>195952.00000000108</v>
      </c>
      <c r="O60" s="289">
        <v>196544.99999999651</v>
      </c>
      <c r="P60" s="289">
        <v>202192</v>
      </c>
      <c r="Q60" s="380">
        <f>+'State SCH'!AH23-'State SCH'!AH10+'State SCH'!AI23-'State SCH'!AI10</f>
        <v>206921</v>
      </c>
      <c r="R60" s="45"/>
      <c r="S60" s="289" t="s">
        <v>325</v>
      </c>
      <c r="T60" s="45"/>
      <c r="U60" s="170"/>
      <c r="V60" s="171"/>
      <c r="W60" s="171"/>
      <c r="X60" s="172"/>
    </row>
    <row r="61" spans="1:30" x14ac:dyDescent="0.25">
      <c r="A61" s="1" t="s">
        <v>91</v>
      </c>
      <c r="C61" s="31">
        <v>56746</v>
      </c>
      <c r="D61" s="31">
        <v>57168</v>
      </c>
      <c r="E61" s="31">
        <v>49772</v>
      </c>
      <c r="F61" s="31">
        <v>41797</v>
      </c>
      <c r="G61" s="289">
        <v>41796.999999999724</v>
      </c>
      <c r="H61" s="289">
        <v>38284.000000000022</v>
      </c>
      <c r="I61" s="289">
        <v>36331.999999999847</v>
      </c>
      <c r="J61" s="289">
        <v>34175.999999999745</v>
      </c>
      <c r="K61" s="289">
        <v>31473.000000000175</v>
      </c>
      <c r="L61" s="289">
        <v>29608.000000000153</v>
      </c>
      <c r="M61" s="289">
        <v>25353.000000000131</v>
      </c>
      <c r="N61" s="289">
        <v>25616.000000000022</v>
      </c>
      <c r="O61" s="289">
        <v>27348</v>
      </c>
      <c r="P61" s="289">
        <v>28578</v>
      </c>
      <c r="Q61" s="380">
        <f>+'State SCH'!AH10+'State SCH'!AI10</f>
        <v>26750</v>
      </c>
      <c r="R61" s="45"/>
      <c r="S61" s="45"/>
      <c r="T61" s="45"/>
      <c r="U61" s="173" t="s">
        <v>326</v>
      </c>
      <c r="V61" s="28" t="s">
        <v>327</v>
      </c>
      <c r="W61" s="28" t="s">
        <v>328</v>
      </c>
      <c r="X61" s="174" t="s">
        <v>329</v>
      </c>
    </row>
    <row r="62" spans="1:30" x14ac:dyDescent="0.25">
      <c r="A62" s="1" t="s">
        <v>315</v>
      </c>
      <c r="C62" s="31"/>
      <c r="D62" s="31"/>
      <c r="E62" s="31"/>
      <c r="F62" s="31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45"/>
      <c r="S62" s="45"/>
      <c r="T62" s="45"/>
      <c r="U62" s="175"/>
      <c r="V62" s="30"/>
      <c r="W62" s="30"/>
      <c r="X62" s="176"/>
    </row>
    <row r="63" spans="1:30" x14ac:dyDescent="0.25">
      <c r="A63" s="1" t="s">
        <v>330</v>
      </c>
      <c r="C63" s="32">
        <f>SUM(C60:C62)</f>
        <v>389867</v>
      </c>
      <c r="D63" s="32">
        <f t="shared" ref="D63:P63" si="38">SUM(D60:D62)</f>
        <v>382406</v>
      </c>
      <c r="E63" s="32">
        <f t="shared" si="38"/>
        <v>360051</v>
      </c>
      <c r="F63" s="32">
        <f t="shared" si="38"/>
        <v>328700</v>
      </c>
      <c r="G63" s="354">
        <f t="shared" si="38"/>
        <v>328700.00000000134</v>
      </c>
      <c r="H63" s="354">
        <f t="shared" si="38"/>
        <v>311008.00000000052</v>
      </c>
      <c r="I63" s="354">
        <f t="shared" si="38"/>
        <v>293453.00000000477</v>
      </c>
      <c r="J63" s="354">
        <f t="shared" si="38"/>
        <v>275014.00000000128</v>
      </c>
      <c r="K63" s="354">
        <f t="shared" si="38"/>
        <v>253199.99999999901</v>
      </c>
      <c r="L63" s="354">
        <f t="shared" si="38"/>
        <v>235729.00000000771</v>
      </c>
      <c r="M63" s="354">
        <f t="shared" si="38"/>
        <v>219983.0000000025</v>
      </c>
      <c r="N63" s="354">
        <f t="shared" si="38"/>
        <v>221568.00000000111</v>
      </c>
      <c r="O63" s="354">
        <f t="shared" si="38"/>
        <v>223892.99999999651</v>
      </c>
      <c r="P63" s="354">
        <f t="shared" si="38"/>
        <v>230770</v>
      </c>
      <c r="Q63" s="354">
        <f t="shared" ref="Q63" si="39">SUM(Q60:Q62)</f>
        <v>233671</v>
      </c>
      <c r="R63" s="18"/>
      <c r="S63" s="18"/>
      <c r="T63" s="18"/>
      <c r="U63" s="175"/>
      <c r="V63" s="30"/>
      <c r="W63" s="30"/>
      <c r="X63" s="176"/>
    </row>
    <row r="64" spans="1:30" x14ac:dyDescent="0.25">
      <c r="A64" s="158" t="s">
        <v>331</v>
      </c>
      <c r="B64" s="158"/>
      <c r="C64" s="159">
        <f>+C61/C63</f>
        <v>0.14555220113525894</v>
      </c>
      <c r="D64" s="159">
        <f t="shared" ref="D64:P64" si="40">+D61/D63</f>
        <v>0.14949556230812278</v>
      </c>
      <c r="E64" s="159">
        <f t="shared" si="40"/>
        <v>0.138235972126171</v>
      </c>
      <c r="F64" s="159">
        <f t="shared" si="40"/>
        <v>0.12715850319440219</v>
      </c>
      <c r="G64" s="358">
        <f t="shared" si="40"/>
        <v>0.12715850319440083</v>
      </c>
      <c r="H64" s="358">
        <f t="shared" si="40"/>
        <v>0.12309651198682979</v>
      </c>
      <c r="I64" s="358">
        <f t="shared" si="40"/>
        <v>0.12380858263503612</v>
      </c>
      <c r="J64" s="358">
        <f t="shared" si="40"/>
        <v>0.12427003716174299</v>
      </c>
      <c r="K64" s="358">
        <f t="shared" si="40"/>
        <v>0.12430094786729975</v>
      </c>
      <c r="L64" s="358">
        <f t="shared" si="40"/>
        <v>0.12560185636896259</v>
      </c>
      <c r="M64" s="358">
        <f t="shared" si="40"/>
        <v>0.11524981475841244</v>
      </c>
      <c r="N64" s="358">
        <f t="shared" si="40"/>
        <v>0.11561236279607115</v>
      </c>
      <c r="O64" s="358">
        <f t="shared" si="40"/>
        <v>0.12214763302113253</v>
      </c>
      <c r="P64" s="358">
        <f t="shared" si="40"/>
        <v>0.12383758720804264</v>
      </c>
      <c r="Q64" s="358">
        <f t="shared" ref="Q64" si="41">+Q61/Q63</f>
        <v>0.1144771922917264</v>
      </c>
      <c r="R64" s="284"/>
      <c r="S64" s="284"/>
      <c r="T64" s="284"/>
      <c r="U64" s="152" t="s">
        <v>332</v>
      </c>
      <c r="V64" s="5">
        <f>+'Net Tuition AY'!L63</f>
        <v>235729.00000000771</v>
      </c>
      <c r="W64" s="177">
        <f>+'Net Tuition AY'!L68</f>
        <v>227.60448752592276</v>
      </c>
      <c r="X64" s="178">
        <f>+V64*W64</f>
        <v>53652978.240000002</v>
      </c>
      <c r="AA64" s="1" t="s">
        <v>333</v>
      </c>
      <c r="AB64" s="1">
        <f>(+W65-W64)*V64</f>
        <v>-805085.00671798771</v>
      </c>
      <c r="AC64" s="1">
        <f>+AB64/AB66*AB67</f>
        <v>9864.6242144975004</v>
      </c>
      <c r="AD64" s="1">
        <f>+AB64+AC64</f>
        <v>-795220.3825034902</v>
      </c>
    </row>
    <row r="65" spans="1:30" x14ac:dyDescent="0.25">
      <c r="A65" s="169" t="s">
        <v>334</v>
      </c>
      <c r="B65" s="169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U65" s="152" t="s">
        <v>335</v>
      </c>
      <c r="V65" s="5">
        <f>+'Net Tuition AY'!M63</f>
        <v>219983.0000000025</v>
      </c>
      <c r="W65" s="177">
        <f>+'Net Tuition AY'!M68</f>
        <v>224.18918857365995</v>
      </c>
      <c r="X65" s="179">
        <f>+V65*W65</f>
        <v>49317810.269999996</v>
      </c>
      <c r="AA65" s="1" t="s">
        <v>336</v>
      </c>
      <c r="AB65" s="1">
        <f>(+V65-V64)*W64</f>
        <v>-3583860.2605843656</v>
      </c>
      <c r="AC65" s="1">
        <f>(+AB65/AB66)*AB67</f>
        <v>43912.67308784918</v>
      </c>
      <c r="AD65" s="1">
        <f>+AB65+AC65</f>
        <v>-3539947.5874965163</v>
      </c>
    </row>
    <row r="66" spans="1:30" x14ac:dyDescent="0.25">
      <c r="A66" s="1" t="s">
        <v>312</v>
      </c>
      <c r="C66" s="10">
        <f t="shared" ref="C66:Q66" si="42">(+C22+C28)/C60</f>
        <v>209.8653822484923</v>
      </c>
      <c r="D66" s="10">
        <f t="shared" si="42"/>
        <v>220.48727086010859</v>
      </c>
      <c r="E66" s="10">
        <f t="shared" si="42"/>
        <v>227.5227972244335</v>
      </c>
      <c r="F66" s="10">
        <f t="shared" si="42"/>
        <v>234.93516972635351</v>
      </c>
      <c r="G66" s="359">
        <f t="shared" si="42"/>
        <v>239.23520949589098</v>
      </c>
      <c r="H66" s="359">
        <f t="shared" si="42"/>
        <v>227.92538302459585</v>
      </c>
      <c r="I66" s="359">
        <f t="shared" si="42"/>
        <v>236.97223540667167</v>
      </c>
      <c r="J66" s="359">
        <f t="shared" si="42"/>
        <v>247.69432348715574</v>
      </c>
      <c r="K66" s="359">
        <f t="shared" si="42"/>
        <v>244.6276143636106</v>
      </c>
      <c r="L66" s="359">
        <f t="shared" si="42"/>
        <v>243.62463586921351</v>
      </c>
      <c r="M66" s="359">
        <f t="shared" si="42"/>
        <v>237.78940661768189</v>
      </c>
      <c r="N66" s="359">
        <f t="shared" si="42"/>
        <v>243.83494075079477</v>
      </c>
      <c r="O66" s="359">
        <f t="shared" si="42"/>
        <v>257.05490147294967</v>
      </c>
      <c r="P66" s="359">
        <f t="shared" si="42"/>
        <v>266.59841635673024</v>
      </c>
      <c r="Q66" s="359">
        <f t="shared" si="42"/>
        <v>277.58736443875529</v>
      </c>
      <c r="R66" s="285"/>
      <c r="S66" s="285"/>
      <c r="T66" s="285"/>
      <c r="U66" s="152"/>
      <c r="V66" s="5"/>
      <c r="W66" s="5"/>
      <c r="X66" s="180">
        <f>+X65-X64</f>
        <v>-4335167.9700000063</v>
      </c>
      <c r="AB66" s="32">
        <f>SUM(AB64:AB65)</f>
        <v>-4388945.2673023529</v>
      </c>
      <c r="AD66" s="32">
        <f>SUM(AD64:AD65)</f>
        <v>-4335167.9700000063</v>
      </c>
    </row>
    <row r="67" spans="1:30" x14ac:dyDescent="0.25">
      <c r="A67" s="1" t="s">
        <v>91</v>
      </c>
      <c r="C67" s="10">
        <f t="shared" ref="C67:Q67" si="43">(C23+C29)/C61</f>
        <v>97.063264371056988</v>
      </c>
      <c r="D67" s="10">
        <f t="shared" si="43"/>
        <v>98.189459137979284</v>
      </c>
      <c r="E67" s="10">
        <f t="shared" si="43"/>
        <v>98.193703286988665</v>
      </c>
      <c r="F67" s="10">
        <f t="shared" si="43"/>
        <v>109.2250639998086</v>
      </c>
      <c r="G67" s="359">
        <f t="shared" si="43"/>
        <v>99.681456803120497</v>
      </c>
      <c r="H67" s="359">
        <f t="shared" si="43"/>
        <v>102.88867516455954</v>
      </c>
      <c r="I67" s="359">
        <f t="shared" si="43"/>
        <v>106.41963475723925</v>
      </c>
      <c r="J67" s="359">
        <f t="shared" si="43"/>
        <v>113.9352370084278</v>
      </c>
      <c r="K67" s="359">
        <f t="shared" si="43"/>
        <v>115.92223111873605</v>
      </c>
      <c r="L67" s="359">
        <f t="shared" si="43"/>
        <v>116.07756923804318</v>
      </c>
      <c r="M67" s="359">
        <f t="shared" si="43"/>
        <v>119.78298662880069</v>
      </c>
      <c r="N67" s="359">
        <f t="shared" si="43"/>
        <v>120.18310001561514</v>
      </c>
      <c r="O67" s="359">
        <f t="shared" si="43"/>
        <v>133.07203451806348</v>
      </c>
      <c r="P67" s="359">
        <f t="shared" si="43"/>
        <v>137.45115123521589</v>
      </c>
      <c r="Q67" s="359">
        <f t="shared" si="43"/>
        <v>145.08880537002031</v>
      </c>
      <c r="R67" s="285"/>
      <c r="S67" s="285"/>
      <c r="T67" s="285"/>
      <c r="U67" s="152"/>
      <c r="V67" s="5"/>
      <c r="W67" s="5"/>
      <c r="X67" s="179"/>
      <c r="AB67" s="1">
        <f>+X66-AB66</f>
        <v>53777.297302346677</v>
      </c>
    </row>
    <row r="68" spans="1:30" x14ac:dyDescent="0.25">
      <c r="A68" s="1" t="s">
        <v>330</v>
      </c>
      <c r="C68" s="10">
        <f t="shared" ref="C68:Q68" si="44">+C33/C63</f>
        <v>193.44678569871263</v>
      </c>
      <c r="D68" s="10">
        <f t="shared" si="44"/>
        <v>202.20429072765594</v>
      </c>
      <c r="E68" s="10">
        <f t="shared" si="44"/>
        <v>209.64486419979391</v>
      </c>
      <c r="F68" s="10">
        <f t="shared" si="44"/>
        <v>218.95006084575601</v>
      </c>
      <c r="G68" s="359">
        <f t="shared" si="44"/>
        <v>221.48976318831674</v>
      </c>
      <c r="H68" s="359">
        <f t="shared" si="44"/>
        <v>212.5338004167092</v>
      </c>
      <c r="I68" s="359">
        <f t="shared" si="44"/>
        <v>220.80870296094758</v>
      </c>
      <c r="J68" s="359">
        <f t="shared" si="44"/>
        <v>231.07207683972345</v>
      </c>
      <c r="K68" s="359">
        <f t="shared" si="44"/>
        <v>228.62941323064859</v>
      </c>
      <c r="L68" s="359">
        <f t="shared" si="44"/>
        <v>227.60448752592276</v>
      </c>
      <c r="M68" s="359">
        <f t="shared" si="44"/>
        <v>224.18918857365995</v>
      </c>
      <c r="N68" s="359">
        <f t="shared" si="44"/>
        <v>229.53925927931718</v>
      </c>
      <c r="O68" s="359">
        <f t="shared" si="44"/>
        <v>241.91068773923635</v>
      </c>
      <c r="P68" s="359">
        <f t="shared" si="44"/>
        <v>250.6051306495645</v>
      </c>
      <c r="Q68" s="359">
        <f t="shared" si="44"/>
        <v>262.41930141386712</v>
      </c>
      <c r="R68" s="285"/>
      <c r="S68" s="285"/>
      <c r="T68" s="285"/>
      <c r="U68" s="152" t="s">
        <v>337</v>
      </c>
      <c r="V68" s="5">
        <f>+V65-V64</f>
        <v>-15746.00000000521</v>
      </c>
      <c r="W68" s="5"/>
      <c r="X68" s="179">
        <f>+AD65</f>
        <v>-3539947.5874965163</v>
      </c>
    </row>
    <row r="69" spans="1:30" x14ac:dyDescent="0.25"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118"/>
      <c r="S69" s="118"/>
      <c r="T69" s="118"/>
      <c r="U69" s="152"/>
      <c r="V69" s="5"/>
      <c r="W69" s="5"/>
      <c r="X69" s="179"/>
    </row>
    <row r="70" spans="1:30" x14ac:dyDescent="0.25">
      <c r="A70" s="17" t="s">
        <v>338</v>
      </c>
      <c r="B70" s="17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U70" s="152" t="s">
        <v>339</v>
      </c>
      <c r="V70" s="5"/>
      <c r="W70" s="177">
        <f>+W65-W64</f>
        <v>-3.4152989522628161</v>
      </c>
      <c r="X70" s="178">
        <f>+AD64</f>
        <v>-795220.3825034902</v>
      </c>
    </row>
    <row r="71" spans="1:30" x14ac:dyDescent="0.25">
      <c r="A71" s="1" t="s">
        <v>312</v>
      </c>
      <c r="C71" s="31">
        <v>273041</v>
      </c>
      <c r="D71" s="31">
        <v>266260</v>
      </c>
      <c r="E71" s="31">
        <v>254142</v>
      </c>
      <c r="F71" s="31">
        <v>233831</v>
      </c>
      <c r="G71" s="289">
        <v>233831.00000004948</v>
      </c>
      <c r="H71" s="289">
        <v>222292.00000003155</v>
      </c>
      <c r="I71" s="289">
        <v>210188.00000001781</v>
      </c>
      <c r="J71" s="289">
        <v>197082.00000001988</v>
      </c>
      <c r="K71" s="289">
        <v>182058.00000001077</v>
      </c>
      <c r="L71" s="289">
        <v>169255.00000000341</v>
      </c>
      <c r="M71" s="289">
        <v>161190</v>
      </c>
      <c r="N71" s="289">
        <v>161189.99999999852</v>
      </c>
      <c r="O71" s="289">
        <v>161066.99999999817</v>
      </c>
      <c r="P71" s="289">
        <v>165409</v>
      </c>
      <c r="Q71" s="289">
        <f>+P71/P60*Q60</f>
        <v>169277.69490879955</v>
      </c>
      <c r="R71" s="45"/>
      <c r="S71" s="289" t="s">
        <v>325</v>
      </c>
      <c r="T71" s="45"/>
      <c r="U71" s="152"/>
      <c r="V71" s="5"/>
      <c r="W71" s="5"/>
      <c r="X71" s="179"/>
    </row>
    <row r="72" spans="1:30" x14ac:dyDescent="0.25">
      <c r="A72" s="1" t="s">
        <v>91</v>
      </c>
      <c r="C72" s="31">
        <v>50721</v>
      </c>
      <c r="D72" s="31">
        <v>51839</v>
      </c>
      <c r="E72" s="31">
        <v>45515</v>
      </c>
      <c r="F72" s="31">
        <v>37828</v>
      </c>
      <c r="G72" s="289">
        <v>37828.000000000153</v>
      </c>
      <c r="H72" s="289">
        <v>34643.000000000589</v>
      </c>
      <c r="I72" s="289">
        <v>32972.000000000546</v>
      </c>
      <c r="J72" s="289">
        <v>31023.00000000044</v>
      </c>
      <c r="K72" s="289">
        <v>28575.000000000597</v>
      </c>
      <c r="L72" s="289">
        <v>27099.000000000451</v>
      </c>
      <c r="M72" s="289">
        <v>23639</v>
      </c>
      <c r="N72" s="289">
        <v>23639.000000000306</v>
      </c>
      <c r="O72" s="289">
        <v>25200</v>
      </c>
      <c r="P72" s="289">
        <v>26299</v>
      </c>
      <c r="Q72" s="289">
        <f t="shared" ref="Q72" si="45">+P72/P61*Q61</f>
        <v>24616.776891314999</v>
      </c>
      <c r="R72" s="45"/>
      <c r="S72" s="45"/>
      <c r="T72" s="45"/>
      <c r="U72" s="181" t="s">
        <v>340</v>
      </c>
      <c r="V72" s="5"/>
      <c r="W72" s="5"/>
      <c r="X72" s="179">
        <f>(+X64*1.02)/W65</f>
        <v>244106.4984131433</v>
      </c>
    </row>
    <row r="73" spans="1:30" x14ac:dyDescent="0.25">
      <c r="A73" s="1" t="s">
        <v>315</v>
      </c>
      <c r="C73" s="31"/>
      <c r="D73" s="31"/>
      <c r="E73" s="31"/>
      <c r="F73" s="31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45"/>
      <c r="S73" s="45"/>
      <c r="T73" s="45"/>
      <c r="U73" s="181"/>
      <c r="V73" s="5"/>
      <c r="W73" s="5"/>
      <c r="X73" s="179"/>
    </row>
    <row r="74" spans="1:30" x14ac:dyDescent="0.25">
      <c r="A74" s="1" t="s">
        <v>330</v>
      </c>
      <c r="C74" s="32">
        <f>SUM(C71:C73)</f>
        <v>323762</v>
      </c>
      <c r="D74" s="32">
        <f t="shared" ref="D74:P74" si="46">SUM(D71:D73)</f>
        <v>318099</v>
      </c>
      <c r="E74" s="32">
        <f t="shared" si="46"/>
        <v>299657</v>
      </c>
      <c r="F74" s="32">
        <f t="shared" si="46"/>
        <v>271659</v>
      </c>
      <c r="G74" s="354">
        <f t="shared" si="46"/>
        <v>271659.00000004965</v>
      </c>
      <c r="H74" s="354">
        <f t="shared" si="46"/>
        <v>256935.00000003213</v>
      </c>
      <c r="I74" s="354">
        <f t="shared" si="46"/>
        <v>243160.00000001836</v>
      </c>
      <c r="J74" s="354">
        <f t="shared" si="46"/>
        <v>228105.00000002031</v>
      </c>
      <c r="K74" s="354">
        <f t="shared" si="46"/>
        <v>210633.00000001135</v>
      </c>
      <c r="L74" s="354">
        <f t="shared" si="46"/>
        <v>196354.00000000384</v>
      </c>
      <c r="M74" s="354">
        <f t="shared" si="46"/>
        <v>184829</v>
      </c>
      <c r="N74" s="354">
        <f t="shared" si="46"/>
        <v>184828.99999999884</v>
      </c>
      <c r="O74" s="354">
        <f t="shared" si="46"/>
        <v>186266.99999999817</v>
      </c>
      <c r="P74" s="354">
        <f t="shared" si="46"/>
        <v>191708</v>
      </c>
      <c r="Q74" s="354">
        <f t="shared" ref="Q74" si="47">SUM(Q71:Q73)</f>
        <v>193894.47180011455</v>
      </c>
      <c r="R74" s="18"/>
      <c r="S74" s="18"/>
      <c r="T74" s="18"/>
      <c r="U74" s="181" t="s">
        <v>341</v>
      </c>
      <c r="V74" s="5"/>
      <c r="W74" s="5"/>
      <c r="X74" s="179"/>
    </row>
    <row r="75" spans="1:30" x14ac:dyDescent="0.25"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U75" s="152"/>
      <c r="V75" s="5"/>
      <c r="W75" s="5"/>
      <c r="X75" s="179"/>
    </row>
    <row r="76" spans="1:30" x14ac:dyDescent="0.25">
      <c r="A76" s="17" t="s">
        <v>342</v>
      </c>
      <c r="B76" s="17"/>
      <c r="C76" s="28" t="str">
        <f t="shared" ref="C76:Q76" si="48">+C1</f>
        <v>AY 11</v>
      </c>
      <c r="D76" s="28" t="str">
        <f t="shared" si="48"/>
        <v>AY 12</v>
      </c>
      <c r="E76" s="28" t="str">
        <f t="shared" si="48"/>
        <v>AY 13</v>
      </c>
      <c r="F76" s="28" t="str">
        <f t="shared" si="48"/>
        <v>AY 14</v>
      </c>
      <c r="G76" s="350" t="str">
        <f t="shared" si="48"/>
        <v>AY 15</v>
      </c>
      <c r="H76" s="350" t="str">
        <f t="shared" si="48"/>
        <v>AY 16</v>
      </c>
      <c r="I76" s="350" t="str">
        <f t="shared" si="48"/>
        <v>AY 17</v>
      </c>
      <c r="J76" s="350" t="str">
        <f t="shared" si="48"/>
        <v>AY 18</v>
      </c>
      <c r="K76" s="350" t="str">
        <f t="shared" si="48"/>
        <v>AY 19</v>
      </c>
      <c r="L76" s="350" t="str">
        <f t="shared" si="48"/>
        <v>AY 20</v>
      </c>
      <c r="M76" s="350" t="str">
        <f t="shared" si="48"/>
        <v>AY 21</v>
      </c>
      <c r="N76" s="350" t="str">
        <f t="shared" si="48"/>
        <v>AY 22</v>
      </c>
      <c r="O76" s="350" t="str">
        <f t="shared" si="48"/>
        <v>AY 23</v>
      </c>
      <c r="P76" s="350" t="str">
        <f t="shared" si="48"/>
        <v>AY 24F</v>
      </c>
      <c r="Q76" s="350" t="str">
        <f t="shared" si="48"/>
        <v>AY 25P</v>
      </c>
      <c r="R76" s="282"/>
      <c r="S76" s="282"/>
      <c r="T76" s="282"/>
      <c r="U76" s="181" t="s">
        <v>343</v>
      </c>
      <c r="V76" s="5"/>
      <c r="W76" s="5"/>
      <c r="X76" s="182">
        <f>+M63/SUM(M16:M17)</f>
        <v>21.071168582375719</v>
      </c>
    </row>
    <row r="77" spans="1:30" x14ac:dyDescent="0.25">
      <c r="A77" s="1" t="s">
        <v>312</v>
      </c>
      <c r="C77" s="10">
        <f t="shared" ref="C77:Q77" si="49">(+C22+C28)/C71</f>
        <v>256.04420581524386</v>
      </c>
      <c r="D77" s="10">
        <f t="shared" si="49"/>
        <v>269.32636896266808</v>
      </c>
      <c r="E77" s="10">
        <f t="shared" si="49"/>
        <v>277.77992618300004</v>
      </c>
      <c r="F77" s="10">
        <f t="shared" si="49"/>
        <v>288.25778019167689</v>
      </c>
      <c r="G77" s="359">
        <f t="shared" si="49"/>
        <v>293.53378854807738</v>
      </c>
      <c r="H77" s="359">
        <f t="shared" si="49"/>
        <v>279.63544419048446</v>
      </c>
      <c r="I77" s="359">
        <f t="shared" si="49"/>
        <v>289.8859028107924</v>
      </c>
      <c r="J77" s="359">
        <f t="shared" si="49"/>
        <v>302.68723414616238</v>
      </c>
      <c r="K77" s="359">
        <f t="shared" si="49"/>
        <v>297.93003905347086</v>
      </c>
      <c r="L77" s="359">
        <f t="shared" si="49"/>
        <v>296.68933603142591</v>
      </c>
      <c r="M77" s="359">
        <f t="shared" si="49"/>
        <v>287.12049264842727</v>
      </c>
      <c r="N77" s="359">
        <f t="shared" si="49"/>
        <v>296.42002797940592</v>
      </c>
      <c r="O77" s="359">
        <f t="shared" si="49"/>
        <v>313.67602060012649</v>
      </c>
      <c r="P77" s="359">
        <f t="shared" si="49"/>
        <v>325.88351903463536</v>
      </c>
      <c r="Q77" s="359">
        <f t="shared" si="49"/>
        <v>339.31614598117886</v>
      </c>
      <c r="R77" s="285"/>
      <c r="S77" s="285"/>
      <c r="T77" s="285"/>
      <c r="U77" s="152"/>
      <c r="V77" s="5"/>
      <c r="W77" s="5"/>
      <c r="X77" s="179"/>
    </row>
    <row r="78" spans="1:30" x14ac:dyDescent="0.25">
      <c r="A78" s="1" t="s">
        <v>91</v>
      </c>
      <c r="C78" s="10">
        <f t="shared" ref="C78:Q78" si="50">(C23+C29)/C72</f>
        <v>108.59312710711539</v>
      </c>
      <c r="D78" s="10">
        <f t="shared" si="50"/>
        <v>108.28324234649588</v>
      </c>
      <c r="E78" s="10">
        <f t="shared" si="50"/>
        <v>107.37772163023179</v>
      </c>
      <c r="F78" s="10">
        <f t="shared" si="50"/>
        <v>120.68520672517712</v>
      </c>
      <c r="G78" s="359">
        <f t="shared" si="50"/>
        <v>110.14026250396488</v>
      </c>
      <c r="H78" s="359">
        <f t="shared" si="50"/>
        <v>113.70233640273455</v>
      </c>
      <c r="I78" s="359">
        <f t="shared" si="50"/>
        <v>117.26429000363753</v>
      </c>
      <c r="J78" s="359">
        <f t="shared" si="50"/>
        <v>125.51496180253181</v>
      </c>
      <c r="K78" s="359">
        <f t="shared" si="50"/>
        <v>127.67875345581535</v>
      </c>
      <c r="L78" s="359">
        <f t="shared" si="50"/>
        <v>126.82477840510511</v>
      </c>
      <c r="M78" s="359">
        <f t="shared" si="50"/>
        <v>128.46812724734548</v>
      </c>
      <c r="N78" s="359">
        <f t="shared" si="50"/>
        <v>130.23437074326156</v>
      </c>
      <c r="O78" s="359">
        <f t="shared" si="50"/>
        <v>144.41484126984128</v>
      </c>
      <c r="P78" s="359">
        <f t="shared" si="50"/>
        <v>149.36229514430207</v>
      </c>
      <c r="Q78" s="359">
        <f t="shared" si="50"/>
        <v>157.66180766814102</v>
      </c>
      <c r="R78" s="285"/>
      <c r="S78" s="285"/>
      <c r="T78" s="285"/>
      <c r="U78" s="181" t="s">
        <v>344</v>
      </c>
      <c r="V78" s="5"/>
      <c r="W78" s="5"/>
      <c r="X78" s="179">
        <f>+X72/X76</f>
        <v>11584.858118278171</v>
      </c>
    </row>
    <row r="79" spans="1:30" x14ac:dyDescent="0.25">
      <c r="A79" s="1" t="s">
        <v>330</v>
      </c>
      <c r="C79" s="10">
        <f t="shared" ref="C79:Q79" si="51">+C33/C74</f>
        <v>232.94431712183641</v>
      </c>
      <c r="D79" s="10">
        <f t="shared" si="51"/>
        <v>243.08197762331852</v>
      </c>
      <c r="E79" s="10">
        <f t="shared" si="51"/>
        <v>251.89747945150623</v>
      </c>
      <c r="F79" s="10">
        <f t="shared" si="51"/>
        <v>264.9236174763214</v>
      </c>
      <c r="G79" s="359">
        <f t="shared" si="51"/>
        <v>267.99658822268617</v>
      </c>
      <c r="H79" s="359">
        <f t="shared" si="51"/>
        <v>257.26239009863093</v>
      </c>
      <c r="I79" s="359">
        <f t="shared" si="51"/>
        <v>266.47876422929392</v>
      </c>
      <c r="J79" s="359">
        <f t="shared" si="51"/>
        <v>278.59124587358605</v>
      </c>
      <c r="K79" s="359">
        <f t="shared" si="51"/>
        <v>274.8333235057986</v>
      </c>
      <c r="L79" s="359">
        <f t="shared" si="51"/>
        <v>273.24616885828124</v>
      </c>
      <c r="M79" s="359">
        <f t="shared" si="51"/>
        <v>266.82939511656718</v>
      </c>
      <c r="N79" s="359">
        <f t="shared" si="51"/>
        <v>275.16544806280575</v>
      </c>
      <c r="O79" s="359">
        <f t="shared" si="51"/>
        <v>290.77673237879247</v>
      </c>
      <c r="P79" s="359">
        <f t="shared" si="51"/>
        <v>301.66788031798359</v>
      </c>
      <c r="Q79" s="359">
        <f t="shared" si="51"/>
        <v>316.25337231839279</v>
      </c>
      <c r="R79" s="285"/>
      <c r="S79" s="285"/>
      <c r="T79" s="285"/>
      <c r="U79" s="152" t="s">
        <v>345</v>
      </c>
      <c r="V79" s="5"/>
      <c r="W79" s="5"/>
      <c r="X79" s="179"/>
    </row>
    <row r="80" spans="1:30" x14ac:dyDescent="0.25"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U80" s="152"/>
      <c r="V80" s="5"/>
      <c r="W80" s="5"/>
      <c r="X80" s="179"/>
    </row>
    <row r="81" spans="1:24" x14ac:dyDescent="0.25">
      <c r="A81" s="17" t="s">
        <v>346</v>
      </c>
      <c r="B81" s="17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U81" s="152" t="s">
        <v>347</v>
      </c>
      <c r="V81" s="5"/>
      <c r="W81" s="5"/>
      <c r="X81" s="179">
        <f>SUM('Net Tuition AY'!M16:M17)</f>
        <v>10440</v>
      </c>
    </row>
    <row r="82" spans="1:24" x14ac:dyDescent="0.25">
      <c r="A82" s="1" t="s">
        <v>312</v>
      </c>
      <c r="C82" s="41">
        <f t="shared" ref="C82:Q82" si="52">+C71/C16</f>
        <v>19.34814342403628</v>
      </c>
      <c r="D82" s="41">
        <f t="shared" si="52"/>
        <v>19.296999565154369</v>
      </c>
      <c r="E82" s="41">
        <f t="shared" si="52"/>
        <v>19.234239007038521</v>
      </c>
      <c r="F82" s="41">
        <f t="shared" si="52"/>
        <v>18.66616109204119</v>
      </c>
      <c r="G82" s="360">
        <f t="shared" si="52"/>
        <v>19.308918249384764</v>
      </c>
      <c r="H82" s="360">
        <f t="shared" si="52"/>
        <v>19.292831105713553</v>
      </c>
      <c r="I82" s="360">
        <f t="shared" si="52"/>
        <v>19.162002005653918</v>
      </c>
      <c r="J82" s="360">
        <f t="shared" si="52"/>
        <v>19.136032624528582</v>
      </c>
      <c r="K82" s="360">
        <f t="shared" si="52"/>
        <v>19.119722747323124</v>
      </c>
      <c r="L82" s="360">
        <f t="shared" si="52"/>
        <v>19.060247747748132</v>
      </c>
      <c r="M82" s="360">
        <f t="shared" si="52"/>
        <v>18.974690994702765</v>
      </c>
      <c r="N82" s="360">
        <f t="shared" si="52"/>
        <v>18.959068454481123</v>
      </c>
      <c r="O82" s="360">
        <f t="shared" si="52"/>
        <v>19.257173601147556</v>
      </c>
      <c r="P82" s="360">
        <f t="shared" si="52"/>
        <v>19.411923483159253</v>
      </c>
      <c r="Q82" s="360">
        <f t="shared" si="52"/>
        <v>19.506533176860977</v>
      </c>
      <c r="R82" s="286"/>
      <c r="S82" s="286"/>
      <c r="T82" s="286"/>
      <c r="U82" s="152"/>
      <c r="V82" s="5"/>
      <c r="W82" s="5"/>
      <c r="X82" s="179"/>
    </row>
    <row r="83" spans="1:24" x14ac:dyDescent="0.25">
      <c r="A83" s="1" t="s">
        <v>91</v>
      </c>
      <c r="C83" s="41">
        <f t="shared" ref="C83:Q83" si="53">+C72/C17</f>
        <v>15.482600732600732</v>
      </c>
      <c r="D83" s="41">
        <f t="shared" si="53"/>
        <v>15.087019790454017</v>
      </c>
      <c r="E83" s="41">
        <f t="shared" si="53"/>
        <v>14.339949590422179</v>
      </c>
      <c r="F83" s="41">
        <f t="shared" si="53"/>
        <v>12.30178861788618</v>
      </c>
      <c r="G83" s="360">
        <f t="shared" si="53"/>
        <v>13.820971867007728</v>
      </c>
      <c r="H83" s="360">
        <f t="shared" si="53"/>
        <v>13.443150950718117</v>
      </c>
      <c r="I83" s="360">
        <f t="shared" si="53"/>
        <v>13.204645574689845</v>
      </c>
      <c r="J83" s="360">
        <f t="shared" si="53"/>
        <v>13.056818181818366</v>
      </c>
      <c r="K83" s="360">
        <f t="shared" si="53"/>
        <v>12.097798475868162</v>
      </c>
      <c r="L83" s="360">
        <f t="shared" si="53"/>
        <v>12.092369477911848</v>
      </c>
      <c r="M83" s="360">
        <f t="shared" si="53"/>
        <v>12.153727506426735</v>
      </c>
      <c r="N83" s="360">
        <f t="shared" si="53"/>
        <v>10.818764302059636</v>
      </c>
      <c r="O83" s="360">
        <f t="shared" si="53"/>
        <v>9.8630136986301373</v>
      </c>
      <c r="P83" s="360">
        <f t="shared" si="53"/>
        <v>10.293150684931506</v>
      </c>
      <c r="Q83" s="360">
        <f t="shared" si="53"/>
        <v>9.6347463371095881</v>
      </c>
      <c r="R83" s="286"/>
      <c r="S83" s="286"/>
      <c r="T83" s="286"/>
      <c r="U83" s="181" t="s">
        <v>348</v>
      </c>
      <c r="V83" s="5"/>
      <c r="W83" s="5"/>
      <c r="X83" s="179">
        <f>+X78-X81</f>
        <v>1144.8581182781709</v>
      </c>
    </row>
    <row r="84" spans="1:24" x14ac:dyDescent="0.25">
      <c r="A84" s="1" t="s">
        <v>330</v>
      </c>
      <c r="C84" s="41">
        <f t="shared" ref="C84:Q84" si="54">+C74/SUM(C16:C17)</f>
        <v>18.619852772026686</v>
      </c>
      <c r="D84" s="41">
        <f t="shared" si="54"/>
        <v>18.457641870720668</v>
      </c>
      <c r="E84" s="41">
        <f t="shared" si="54"/>
        <v>18.28626350155611</v>
      </c>
      <c r="F84" s="41">
        <f t="shared" si="54"/>
        <v>17.411806178695038</v>
      </c>
      <c r="G84" s="360">
        <f t="shared" si="54"/>
        <v>18.29723176399607</v>
      </c>
      <c r="H84" s="360">
        <f t="shared" si="54"/>
        <v>18.223632881766942</v>
      </c>
      <c r="I84" s="360">
        <f t="shared" si="54"/>
        <v>18.057329570772193</v>
      </c>
      <c r="J84" s="360">
        <f t="shared" si="54"/>
        <v>17.996449704143615</v>
      </c>
      <c r="K84" s="360">
        <f t="shared" si="54"/>
        <v>17.724082800404858</v>
      </c>
      <c r="L84" s="360">
        <f t="shared" si="54"/>
        <v>17.656146030033614</v>
      </c>
      <c r="M84" s="360">
        <f t="shared" si="54"/>
        <v>17.703927203065135</v>
      </c>
      <c r="N84" s="360">
        <f t="shared" si="54"/>
        <v>17.294750631608387</v>
      </c>
      <c r="O84" s="360">
        <f t="shared" si="54"/>
        <v>17.05897976005112</v>
      </c>
      <c r="P84" s="360">
        <f t="shared" si="54"/>
        <v>17.308414590104732</v>
      </c>
      <c r="Q84" s="360">
        <f t="shared" si="54"/>
        <v>17.261147672047944</v>
      </c>
      <c r="R84" s="286"/>
      <c r="S84" s="286"/>
      <c r="T84" s="286"/>
      <c r="U84" s="152"/>
      <c r="V84" s="5"/>
      <c r="W84" s="5"/>
      <c r="X84" s="183">
        <f>+X83/X81</f>
        <v>0.10966073929867537</v>
      </c>
    </row>
    <row r="85" spans="1:24" x14ac:dyDescent="0.25"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</row>
    <row r="86" spans="1:24" x14ac:dyDescent="0.25"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87"/>
      <c r="S86" s="287"/>
      <c r="T86" s="287"/>
    </row>
    <row r="87" spans="1:24" x14ac:dyDescent="0.25">
      <c r="A87" s="28" t="s">
        <v>291</v>
      </c>
      <c r="B87" s="28"/>
      <c r="C87" s="28" t="str">
        <f t="shared" ref="C87:Q87" si="55">+C1</f>
        <v>AY 11</v>
      </c>
      <c r="D87" s="28" t="str">
        <f t="shared" si="55"/>
        <v>AY 12</v>
      </c>
      <c r="E87" s="28" t="str">
        <f t="shared" si="55"/>
        <v>AY 13</v>
      </c>
      <c r="F87" s="28" t="str">
        <f t="shared" si="55"/>
        <v>AY 14</v>
      </c>
      <c r="G87" s="350" t="str">
        <f t="shared" si="55"/>
        <v>AY 15</v>
      </c>
      <c r="H87" s="350" t="str">
        <f t="shared" si="55"/>
        <v>AY 16</v>
      </c>
      <c r="I87" s="350" t="str">
        <f t="shared" si="55"/>
        <v>AY 17</v>
      </c>
      <c r="J87" s="350" t="str">
        <f t="shared" si="55"/>
        <v>AY 18</v>
      </c>
      <c r="K87" s="350" t="str">
        <f t="shared" si="55"/>
        <v>AY 19</v>
      </c>
      <c r="L87" s="350" t="str">
        <f t="shared" si="55"/>
        <v>AY 20</v>
      </c>
      <c r="M87" s="350" t="str">
        <f t="shared" si="55"/>
        <v>AY 21</v>
      </c>
      <c r="N87" s="350" t="str">
        <f t="shared" si="55"/>
        <v>AY 22</v>
      </c>
      <c r="O87" s="350" t="str">
        <f t="shared" si="55"/>
        <v>AY 23</v>
      </c>
      <c r="P87" s="350" t="str">
        <f t="shared" si="55"/>
        <v>AY 24F</v>
      </c>
      <c r="Q87" s="350" t="str">
        <f t="shared" si="55"/>
        <v>AY 25P</v>
      </c>
      <c r="R87" s="282"/>
      <c r="S87" s="282"/>
      <c r="T87" s="282"/>
    </row>
    <row r="88" spans="1:24" x14ac:dyDescent="0.25">
      <c r="A88" s="1" t="s">
        <v>349</v>
      </c>
      <c r="C88" s="10">
        <f>+C68</f>
        <v>193.44678569871263</v>
      </c>
      <c r="D88" s="10">
        <f t="shared" ref="D88:O88" si="56">+D68</f>
        <v>202.20429072765594</v>
      </c>
      <c r="E88" s="10">
        <f t="shared" si="56"/>
        <v>209.64486419979391</v>
      </c>
      <c r="F88" s="10">
        <f t="shared" si="56"/>
        <v>218.95006084575601</v>
      </c>
      <c r="G88" s="359">
        <f t="shared" si="56"/>
        <v>221.48976318831674</v>
      </c>
      <c r="H88" s="359">
        <f t="shared" si="56"/>
        <v>212.5338004167092</v>
      </c>
      <c r="I88" s="359">
        <f t="shared" si="56"/>
        <v>220.80870296094758</v>
      </c>
      <c r="J88" s="359">
        <f t="shared" si="56"/>
        <v>231.07207683972345</v>
      </c>
      <c r="K88" s="359">
        <f t="shared" si="56"/>
        <v>228.62941323064859</v>
      </c>
      <c r="L88" s="359">
        <f t="shared" si="56"/>
        <v>227.60448752592276</v>
      </c>
      <c r="M88" s="359">
        <f t="shared" si="56"/>
        <v>224.18918857365995</v>
      </c>
      <c r="N88" s="359">
        <f t="shared" si="56"/>
        <v>229.53925927931718</v>
      </c>
      <c r="O88" s="359">
        <f t="shared" si="56"/>
        <v>241.91068773923635</v>
      </c>
      <c r="P88" s="359">
        <f t="shared" ref="P88:Q88" si="57">+P68</f>
        <v>250.6051306495645</v>
      </c>
      <c r="Q88" s="359">
        <f t="shared" si="57"/>
        <v>262.41930141386712</v>
      </c>
      <c r="R88" s="285"/>
      <c r="S88" s="285"/>
      <c r="T88" s="285"/>
    </row>
    <row r="89" spans="1:24" x14ac:dyDescent="0.25"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</row>
    <row r="90" spans="1:24" x14ac:dyDescent="0.25">
      <c r="C90" s="28" t="str">
        <f t="shared" ref="C90:Q90" si="58">+C1</f>
        <v>AY 11</v>
      </c>
      <c r="D90" s="28" t="str">
        <f t="shared" si="58"/>
        <v>AY 12</v>
      </c>
      <c r="E90" s="28" t="str">
        <f t="shared" si="58"/>
        <v>AY 13</v>
      </c>
      <c r="F90" s="28" t="str">
        <f t="shared" si="58"/>
        <v>AY 14</v>
      </c>
      <c r="G90" s="350" t="str">
        <f t="shared" si="58"/>
        <v>AY 15</v>
      </c>
      <c r="H90" s="350" t="str">
        <f t="shared" si="58"/>
        <v>AY 16</v>
      </c>
      <c r="I90" s="350" t="str">
        <f t="shared" si="58"/>
        <v>AY 17</v>
      </c>
      <c r="J90" s="350" t="str">
        <f t="shared" si="58"/>
        <v>AY 18</v>
      </c>
      <c r="K90" s="350" t="str">
        <f t="shared" si="58"/>
        <v>AY 19</v>
      </c>
      <c r="L90" s="350" t="str">
        <f t="shared" si="58"/>
        <v>AY 20</v>
      </c>
      <c r="M90" s="350" t="str">
        <f t="shared" si="58"/>
        <v>AY 21</v>
      </c>
      <c r="N90" s="350" t="str">
        <f t="shared" si="58"/>
        <v>AY 22</v>
      </c>
      <c r="O90" s="350" t="str">
        <f t="shared" si="58"/>
        <v>AY 23</v>
      </c>
      <c r="P90" s="350" t="str">
        <f t="shared" si="58"/>
        <v>AY 24F</v>
      </c>
      <c r="Q90" s="350" t="str">
        <f t="shared" si="58"/>
        <v>AY 25P</v>
      </c>
      <c r="R90" s="282"/>
      <c r="S90" s="282"/>
      <c r="T90" s="282"/>
    </row>
    <row r="91" spans="1:24" x14ac:dyDescent="0.25">
      <c r="A91" s="160" t="s">
        <v>350</v>
      </c>
      <c r="B91" s="160"/>
      <c r="C91" s="94">
        <f t="shared" ref="C91:Q91" si="59">+C33/SUM(C16:C17)</f>
        <v>4337.3888888888887</v>
      </c>
      <c r="D91" s="94">
        <f t="shared" si="59"/>
        <v>4486.7200881977487</v>
      </c>
      <c r="E91" s="94">
        <f t="shared" si="59"/>
        <v>4606.2636846280584</v>
      </c>
      <c r="F91" s="94">
        <f t="shared" si="59"/>
        <v>4612.7986796564546</v>
      </c>
      <c r="G91" s="352">
        <f t="shared" si="59"/>
        <v>4903.5956866707083</v>
      </c>
      <c r="H91" s="352">
        <f t="shared" si="59"/>
        <v>4688.2553514433648</v>
      </c>
      <c r="I91" s="352">
        <f t="shared" si="59"/>
        <v>4811.8948693004604</v>
      </c>
      <c r="J91" s="352">
        <f t="shared" si="59"/>
        <v>5013.6533443786984</v>
      </c>
      <c r="K91" s="352">
        <f t="shared" si="59"/>
        <v>4871.1685821272295</v>
      </c>
      <c r="L91" s="352">
        <f t="shared" si="59"/>
        <v>4824.4742595090374</v>
      </c>
      <c r="M91" s="352">
        <f t="shared" si="59"/>
        <v>4723.9281867816089</v>
      </c>
      <c r="N91" s="352">
        <f t="shared" si="59"/>
        <v>4758.9178066810146</v>
      </c>
      <c r="O91" s="352">
        <f t="shared" si="59"/>
        <v>4960.3543923436209</v>
      </c>
      <c r="P91" s="352">
        <f t="shared" si="59"/>
        <v>5221.3927410617553</v>
      </c>
      <c r="Q91" s="352">
        <f t="shared" si="59"/>
        <v>5458.8961613709371</v>
      </c>
      <c r="R91" s="88"/>
      <c r="S91" s="88"/>
      <c r="T91" s="88"/>
    </row>
    <row r="92" spans="1:24" x14ac:dyDescent="0.25">
      <c r="A92" s="1" t="s">
        <v>351</v>
      </c>
      <c r="C92" s="94">
        <f t="shared" ref="C92:Q92" si="60">+C55/SUM(C16:C17)</f>
        <v>200.12836438923395</v>
      </c>
      <c r="D92" s="94">
        <f t="shared" si="60"/>
        <v>203.22670302889637</v>
      </c>
      <c r="E92" s="94">
        <f t="shared" si="60"/>
        <v>210.55397571245499</v>
      </c>
      <c r="F92" s="94">
        <f t="shared" si="60"/>
        <v>217.6776054352006</v>
      </c>
      <c r="G92" s="352">
        <f t="shared" si="60"/>
        <v>227.6083417525426</v>
      </c>
      <c r="H92" s="352">
        <f t="shared" si="60"/>
        <v>241.59297467905526</v>
      </c>
      <c r="I92" s="352">
        <f t="shared" si="60"/>
        <v>253.91238303876429</v>
      </c>
      <c r="J92" s="352">
        <f t="shared" si="60"/>
        <v>314.53072978303749</v>
      </c>
      <c r="K92" s="352">
        <f t="shared" si="60"/>
        <v>368.60981151127567</v>
      </c>
      <c r="L92" s="352">
        <f t="shared" si="60"/>
        <v>431.59850732847764</v>
      </c>
      <c r="M92" s="352">
        <f t="shared" si="60"/>
        <v>510.05713601532568</v>
      </c>
      <c r="N92" s="352">
        <f t="shared" si="60"/>
        <v>537.77973238514085</v>
      </c>
      <c r="O92" s="352">
        <f t="shared" si="60"/>
        <v>541.8678908324938</v>
      </c>
      <c r="P92" s="352">
        <f t="shared" si="60"/>
        <v>634.99647887323943</v>
      </c>
      <c r="Q92" s="352">
        <f t="shared" si="60"/>
        <v>733.81082524703993</v>
      </c>
      <c r="R92" s="88"/>
      <c r="S92" s="88"/>
      <c r="T92" s="88"/>
    </row>
    <row r="93" spans="1:24" x14ac:dyDescent="0.25">
      <c r="A93" s="1" t="s">
        <v>352</v>
      </c>
      <c r="C93" s="94">
        <f t="shared" ref="C93:Q93" si="61">C57/SUM(C16:C17)</f>
        <v>4537.5172532781226</v>
      </c>
      <c r="D93" s="94">
        <f t="shared" si="61"/>
        <v>4689.9467912266446</v>
      </c>
      <c r="E93" s="94">
        <f t="shared" si="61"/>
        <v>4816.8176603405136</v>
      </c>
      <c r="F93" s="94">
        <f t="shared" si="61"/>
        <v>4830.476285091655</v>
      </c>
      <c r="G93" s="352">
        <f t="shared" si="61"/>
        <v>5131.2040284232507</v>
      </c>
      <c r="H93" s="352">
        <f t="shared" si="61"/>
        <v>4929.8483261224201</v>
      </c>
      <c r="I93" s="352">
        <f t="shared" si="61"/>
        <v>5065.8072523392257</v>
      </c>
      <c r="J93" s="352">
        <f t="shared" si="61"/>
        <v>5328.1840741617361</v>
      </c>
      <c r="K93" s="352">
        <f t="shared" si="61"/>
        <v>5239.7783936385058</v>
      </c>
      <c r="L93" s="352">
        <f t="shared" si="61"/>
        <v>5256.0727668375148</v>
      </c>
      <c r="M93" s="352">
        <f t="shared" si="61"/>
        <v>5233.9853227969343</v>
      </c>
      <c r="N93" s="352">
        <f t="shared" si="61"/>
        <v>5296.6975390661555</v>
      </c>
      <c r="O93" s="352">
        <f t="shared" si="61"/>
        <v>5502.2222831761146</v>
      </c>
      <c r="P93" s="352">
        <f t="shared" si="61"/>
        <v>5856.3892199349948</v>
      </c>
      <c r="Q93" s="352">
        <f t="shared" si="61"/>
        <v>6192.7069866179781</v>
      </c>
      <c r="R93" s="88"/>
      <c r="S93" s="88"/>
      <c r="T93" s="88"/>
    </row>
  </sheetData>
  <sortState ref="A37:AD54">
    <sortCondition ref="A37:A54"/>
  </sortState>
  <pageMargins left="0.75" right="0.25" top="0.25" bottom="0.25" header="0.3" footer="0.3"/>
  <pageSetup paperSize="5" scale="3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75"/>
  <sheetViews>
    <sheetView workbookViewId="0">
      <pane xSplit="1" ySplit="1" topLeftCell="I18" activePane="bottomRight" state="frozen"/>
      <selection pane="topRight" activeCell="B1" sqref="B1"/>
      <selection pane="bottomLeft" activeCell="A2" sqref="A2"/>
      <selection pane="bottomRight" activeCell="A44" sqref="A44"/>
    </sheetView>
  </sheetViews>
  <sheetFormatPr defaultColWidth="27.85546875" defaultRowHeight="15" x14ac:dyDescent="0.25"/>
  <cols>
    <col min="1" max="1" width="27.85546875" style="1"/>
    <col min="2" max="15" width="17.85546875" style="1" customWidth="1"/>
    <col min="16" max="16384" width="27.85546875" style="1"/>
  </cols>
  <sheetData>
    <row r="1" spans="1:16" x14ac:dyDescent="0.25">
      <c r="A1" s="28" t="s">
        <v>353</v>
      </c>
      <c r="B1" s="44" t="s">
        <v>354</v>
      </c>
      <c r="C1" s="44" t="s">
        <v>355</v>
      </c>
      <c r="D1" s="44" t="s">
        <v>356</v>
      </c>
      <c r="E1" s="44" t="s">
        <v>357</v>
      </c>
      <c r="F1" s="44" t="s">
        <v>358</v>
      </c>
      <c r="G1" s="44" t="s">
        <v>359</v>
      </c>
      <c r="H1" s="44" t="s">
        <v>360</v>
      </c>
      <c r="I1" s="44" t="s">
        <v>361</v>
      </c>
      <c r="J1" s="44" t="s">
        <v>362</v>
      </c>
      <c r="K1" s="44" t="s">
        <v>363</v>
      </c>
      <c r="L1" s="44" t="s">
        <v>364</v>
      </c>
      <c r="M1" s="44" t="s">
        <v>365</v>
      </c>
      <c r="N1" s="44" t="s">
        <v>366</v>
      </c>
      <c r="O1" s="44" t="s">
        <v>367</v>
      </c>
    </row>
    <row r="2" spans="1:16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x14ac:dyDescent="0.25">
      <c r="A3" s="17" t="s">
        <v>308</v>
      </c>
    </row>
    <row r="4" spans="1:16" x14ac:dyDescent="0.25">
      <c r="A4" s="1" t="s">
        <v>309</v>
      </c>
      <c r="B4" s="1">
        <f t="shared" ref="B4:C4" si="0">+B20/B16</f>
        <v>1516.7332663989291</v>
      </c>
      <c r="C4" s="1">
        <f t="shared" si="0"/>
        <v>1544.6710280373832</v>
      </c>
      <c r="D4" s="1">
        <f t="shared" ref="D4:J5" si="1">+D20/D16</f>
        <v>1581.1784313725491</v>
      </c>
      <c r="E4" s="1">
        <f t="shared" si="1"/>
        <v>1654.9476059957183</v>
      </c>
      <c r="F4" s="1">
        <f t="shared" si="1"/>
        <v>1610.7607646520148</v>
      </c>
      <c r="G4" s="1">
        <f t="shared" si="1"/>
        <v>1640.4559268413252</v>
      </c>
      <c r="H4" s="1">
        <f t="shared" si="1"/>
        <v>1611.0249284928489</v>
      </c>
      <c r="I4" s="1">
        <f t="shared" si="1"/>
        <v>1833.4951495628161</v>
      </c>
      <c r="J4" s="1">
        <f t="shared" si="1"/>
        <v>1937.6580782739584</v>
      </c>
      <c r="K4" s="1">
        <f t="shared" ref="K4:L4" si="2">+K20/K16</f>
        <v>1360.1493543689323</v>
      </c>
      <c r="L4" s="1">
        <f t="shared" si="2"/>
        <v>1937.4187394957983</v>
      </c>
      <c r="M4" s="1">
        <f t="shared" ref="M4:N4" si="3">+M20/M16</f>
        <v>1933.903448275862</v>
      </c>
      <c r="N4" s="1">
        <f t="shared" si="3"/>
        <v>2146.1440677966102</v>
      </c>
      <c r="O4" s="1">
        <f t="shared" ref="O4" si="4">+O20/O16</f>
        <v>2289.5806971751413</v>
      </c>
    </row>
    <row r="5" spans="1:16" x14ac:dyDescent="0.25">
      <c r="A5" s="1" t="s">
        <v>310</v>
      </c>
      <c r="B5" s="1">
        <f t="shared" ref="B5:C5" si="5">+B21/B17</f>
        <v>620.00187617260792</v>
      </c>
      <c r="C5" s="1">
        <f t="shared" si="5"/>
        <v>611.88235294117646</v>
      </c>
      <c r="D5" s="1">
        <f t="shared" si="1"/>
        <v>561.82093663911849</v>
      </c>
      <c r="E5" s="1">
        <f t="shared" si="1"/>
        <v>644.14314079422377</v>
      </c>
      <c r="F5" s="1">
        <f t="shared" si="1"/>
        <v>639.00458715596301</v>
      </c>
      <c r="G5" s="1">
        <f t="shared" si="1"/>
        <v>713.88250000000016</v>
      </c>
      <c r="H5" s="1">
        <f t="shared" si="1"/>
        <v>618.35762711864413</v>
      </c>
      <c r="I5" s="1">
        <f t="shared" si="1"/>
        <v>683.51498054474712</v>
      </c>
      <c r="J5" s="1">
        <f t="shared" si="1"/>
        <v>682.13253623188393</v>
      </c>
      <c r="K5" s="1">
        <f t="shared" ref="K5:L5" si="6">+K21/K17</f>
        <v>522.07552742616053</v>
      </c>
      <c r="L5" s="1">
        <f t="shared" si="6"/>
        <v>792.72690763052208</v>
      </c>
      <c r="M5" s="1">
        <f t="shared" ref="M5:N5" si="7">+M21/M17</f>
        <v>729.79919678714862</v>
      </c>
      <c r="N5" s="1">
        <f t="shared" si="7"/>
        <v>889.30448717948718</v>
      </c>
      <c r="O5" s="1">
        <f t="shared" ref="O5" si="8">+O21/O17</f>
        <v>788.07051282051282</v>
      </c>
    </row>
    <row r="7" spans="1:16" x14ac:dyDescent="0.25">
      <c r="A7" s="17" t="s">
        <v>311</v>
      </c>
    </row>
    <row r="8" spans="1:16" x14ac:dyDescent="0.25">
      <c r="A8" s="1" t="s">
        <v>312</v>
      </c>
      <c r="B8" s="1">
        <f t="shared" ref="B8:C8" si="9">+B26/B16</f>
        <v>30</v>
      </c>
      <c r="C8" s="1">
        <f t="shared" si="9"/>
        <v>29.994392523364485</v>
      </c>
      <c r="D8" s="1">
        <f t="shared" ref="D8:J9" si="10">+D26/D16</f>
        <v>30</v>
      </c>
      <c r="E8" s="1">
        <f t="shared" si="10"/>
        <v>30</v>
      </c>
      <c r="F8" s="1">
        <f t="shared" si="10"/>
        <v>29.986263736263737</v>
      </c>
      <c r="G8" s="1">
        <f t="shared" si="10"/>
        <v>29.525457241720218</v>
      </c>
      <c r="H8" s="1">
        <f t="shared" si="10"/>
        <v>29.966996699669966</v>
      </c>
      <c r="I8" s="1">
        <f t="shared" si="10"/>
        <v>28.771283939254488</v>
      </c>
      <c r="J8" s="1">
        <f t="shared" si="10"/>
        <v>29.924736578023079</v>
      </c>
      <c r="K8" s="1">
        <f t="shared" ref="K8:L8" si="11">+K26/K16</f>
        <v>29.825242718446603</v>
      </c>
      <c r="L8" s="1">
        <f t="shared" si="11"/>
        <v>29.952731092436974</v>
      </c>
      <c r="M8" s="1">
        <f t="shared" ref="M8:N8" si="12">+M26/M16</f>
        <v>29.5</v>
      </c>
      <c r="N8" s="1">
        <f t="shared" si="12"/>
        <v>29.966101694915253</v>
      </c>
      <c r="O8" s="1">
        <f t="shared" ref="O8" si="13">+O26/O16</f>
        <v>31.96887340406025</v>
      </c>
    </row>
    <row r="9" spans="1:16" x14ac:dyDescent="0.25">
      <c r="A9" s="1" t="s">
        <v>91</v>
      </c>
      <c r="B9" s="1">
        <f t="shared" ref="B9:C9" si="14">+B27/B17</f>
        <v>30</v>
      </c>
      <c r="C9" s="1">
        <f t="shared" si="14"/>
        <v>30</v>
      </c>
      <c r="D9" s="1">
        <f t="shared" si="10"/>
        <v>29.256198347107439</v>
      </c>
      <c r="E9" s="1">
        <f t="shared" si="10"/>
        <v>29.891696750902526</v>
      </c>
      <c r="F9" s="1">
        <f t="shared" si="10"/>
        <v>28.623853211009173</v>
      </c>
      <c r="G9" s="1">
        <f t="shared" si="10"/>
        <v>29.55</v>
      </c>
      <c r="H9" s="1">
        <f t="shared" si="10"/>
        <v>29.661016949152543</v>
      </c>
      <c r="I9" s="1">
        <f t="shared" si="10"/>
        <v>28.01556420233463</v>
      </c>
      <c r="J9" s="1">
        <f t="shared" si="10"/>
        <v>26.956521739130434</v>
      </c>
      <c r="K9" s="1">
        <f t="shared" ref="K9:L9" si="15">+K27/K17</f>
        <v>28.101265822784811</v>
      </c>
      <c r="L9" s="1">
        <f t="shared" si="15"/>
        <v>28.192771084337348</v>
      </c>
      <c r="M9" s="1">
        <f t="shared" ref="M9:N9" si="16">+M27/M17</f>
        <v>23.132530120481928</v>
      </c>
      <c r="N9" s="1">
        <f t="shared" si="16"/>
        <v>24.03846153846154</v>
      </c>
      <c r="O9" s="1">
        <f t="shared" ref="O9" si="17">+O27/O17</f>
        <v>21.302043321645936</v>
      </c>
    </row>
    <row r="11" spans="1:16" x14ac:dyDescent="0.25">
      <c r="A11" s="17" t="s">
        <v>313</v>
      </c>
    </row>
    <row r="12" spans="1:16" x14ac:dyDescent="0.25">
      <c r="A12" s="1" t="s">
        <v>312</v>
      </c>
      <c r="B12" s="1">
        <f t="shared" ref="B12:C12" si="18">+B4+B8</f>
        <v>1546.7332663989291</v>
      </c>
      <c r="C12" s="1">
        <f t="shared" si="18"/>
        <v>1574.6654205607476</v>
      </c>
      <c r="D12" s="1">
        <f>+D4+D8</f>
        <v>1611.1784313725491</v>
      </c>
      <c r="E12" s="1">
        <f t="shared" ref="E12:J13" si="19">+E4+E8</f>
        <v>1684.9476059957183</v>
      </c>
      <c r="F12" s="1">
        <f t="shared" si="19"/>
        <v>1640.7470283882785</v>
      </c>
      <c r="G12" s="1">
        <f t="shared" si="19"/>
        <v>1669.9813840830454</v>
      </c>
      <c r="H12" s="1">
        <f t="shared" si="19"/>
        <v>1640.9919251925189</v>
      </c>
      <c r="I12" s="1">
        <f t="shared" si="19"/>
        <v>1862.2664335020706</v>
      </c>
      <c r="J12" s="1">
        <f t="shared" si="19"/>
        <v>1967.5828148519815</v>
      </c>
      <c r="K12" s="1">
        <f t="shared" ref="K12:L12" si="20">+K4+K8</f>
        <v>1389.9745970873789</v>
      </c>
      <c r="L12" s="1">
        <f t="shared" si="20"/>
        <v>1967.3714705882353</v>
      </c>
      <c r="M12" s="1">
        <f t="shared" ref="M12:N12" si="21">+M4+M8</f>
        <v>1963.403448275862</v>
      </c>
      <c r="N12" s="1">
        <f t="shared" si="21"/>
        <v>2176.1101694915255</v>
      </c>
      <c r="O12" s="1">
        <f t="shared" ref="O12" si="22">+O4+O8</f>
        <v>2321.5495705792014</v>
      </c>
    </row>
    <row r="13" spans="1:16" x14ac:dyDescent="0.25">
      <c r="A13" s="1" t="s">
        <v>91</v>
      </c>
      <c r="B13" s="1">
        <f t="shared" ref="B13:C13" si="23">+B5+B9</f>
        <v>650.00187617260792</v>
      </c>
      <c r="C13" s="1">
        <f t="shared" si="23"/>
        <v>641.88235294117646</v>
      </c>
      <c r="D13" s="1">
        <f>+D5+D9</f>
        <v>591.07713498622593</v>
      </c>
      <c r="E13" s="1">
        <f t="shared" si="19"/>
        <v>674.03483754512627</v>
      </c>
      <c r="F13" s="1">
        <f t="shared" si="19"/>
        <v>667.6284403669722</v>
      </c>
      <c r="G13" s="1">
        <f t="shared" si="19"/>
        <v>743.43250000000012</v>
      </c>
      <c r="H13" s="1">
        <f t="shared" si="19"/>
        <v>648.01864406779669</v>
      </c>
      <c r="I13" s="1">
        <f t="shared" si="19"/>
        <v>711.53054474708176</v>
      </c>
      <c r="J13" s="1">
        <f t="shared" si="19"/>
        <v>709.08905797101431</v>
      </c>
      <c r="K13" s="1">
        <f t="shared" ref="K13:L13" si="24">+K5+K9</f>
        <v>550.17679324894539</v>
      </c>
      <c r="L13" s="1">
        <f t="shared" si="24"/>
        <v>820.9196787148594</v>
      </c>
      <c r="M13" s="1">
        <f t="shared" ref="M13:N13" si="25">+M5+M9</f>
        <v>752.93172690763049</v>
      </c>
      <c r="N13" s="1">
        <f t="shared" si="25"/>
        <v>913.34294871794873</v>
      </c>
      <c r="O13" s="1">
        <f t="shared" ref="O13" si="26">+O5+O9</f>
        <v>809.37255614215871</v>
      </c>
    </row>
    <row r="15" spans="1:16" x14ac:dyDescent="0.25">
      <c r="A15" s="17" t="s">
        <v>314</v>
      </c>
    </row>
    <row r="16" spans="1:16" x14ac:dyDescent="0.25">
      <c r="A16" s="1" t="s">
        <v>312</v>
      </c>
      <c r="B16" s="45">
        <v>2988</v>
      </c>
      <c r="C16" s="45">
        <v>2675</v>
      </c>
      <c r="D16" s="45">
        <v>2550</v>
      </c>
      <c r="E16" s="289">
        <v>2335</v>
      </c>
      <c r="F16" s="289">
        <v>2184</v>
      </c>
      <c r="G16" s="289">
        <v>2023</v>
      </c>
      <c r="H16" s="289">
        <v>1818</v>
      </c>
      <c r="I16" s="289">
        <v>2173</v>
      </c>
      <c r="J16" s="289">
        <v>1993</v>
      </c>
      <c r="K16" s="289">
        <v>2060</v>
      </c>
      <c r="L16" s="289">
        <v>1904</v>
      </c>
      <c r="M16" s="289">
        <v>1740</v>
      </c>
      <c r="N16" s="289">
        <v>1770</v>
      </c>
      <c r="O16" s="289">
        <f>+N16/1.066</f>
        <v>1660.4127579737335</v>
      </c>
      <c r="P16" s="289" t="s">
        <v>368</v>
      </c>
    </row>
    <row r="17" spans="1:15" x14ac:dyDescent="0.25">
      <c r="A17" s="1" t="s">
        <v>91</v>
      </c>
      <c r="B17" s="31">
        <v>533</v>
      </c>
      <c r="C17" s="31">
        <v>408</v>
      </c>
      <c r="D17" s="31">
        <v>363</v>
      </c>
      <c r="E17" s="289">
        <v>277</v>
      </c>
      <c r="F17" s="289">
        <v>218</v>
      </c>
      <c r="G17" s="289">
        <v>200</v>
      </c>
      <c r="H17" s="289">
        <v>177</v>
      </c>
      <c r="I17" s="289">
        <v>257</v>
      </c>
      <c r="J17" s="289">
        <v>276</v>
      </c>
      <c r="K17" s="289">
        <v>237</v>
      </c>
      <c r="L17" s="289">
        <v>249</v>
      </c>
      <c r="M17" s="289">
        <v>249</v>
      </c>
      <c r="N17" s="289">
        <v>312</v>
      </c>
      <c r="O17" s="289">
        <f>+N17</f>
        <v>312</v>
      </c>
    </row>
    <row r="18" spans="1:15" x14ac:dyDescent="0.25">
      <c r="B18" s="32">
        <f t="shared" ref="B18:J18" si="27">SUM(B16:B17)</f>
        <v>3521</v>
      </c>
      <c r="C18" s="32">
        <f t="shared" si="27"/>
        <v>3083</v>
      </c>
      <c r="D18" s="32">
        <f t="shared" si="27"/>
        <v>2913</v>
      </c>
      <c r="E18" s="32">
        <f t="shared" si="27"/>
        <v>2612</v>
      </c>
      <c r="F18" s="32">
        <f t="shared" si="27"/>
        <v>2402</v>
      </c>
      <c r="G18" s="32">
        <f t="shared" si="27"/>
        <v>2223</v>
      </c>
      <c r="H18" s="32">
        <f t="shared" si="27"/>
        <v>1995</v>
      </c>
      <c r="I18" s="32">
        <f t="shared" si="27"/>
        <v>2430</v>
      </c>
      <c r="J18" s="32">
        <f t="shared" si="27"/>
        <v>2269</v>
      </c>
      <c r="K18" s="32">
        <f>SUM(K16:K17)</f>
        <v>2297</v>
      </c>
      <c r="L18" s="32">
        <f>SUM(L16:L17)</f>
        <v>2153</v>
      </c>
      <c r="M18" s="32">
        <f>SUM(M16:M17)</f>
        <v>1989</v>
      </c>
      <c r="N18" s="32">
        <f>SUM(N16:N17)</f>
        <v>2082</v>
      </c>
      <c r="O18" s="32">
        <f>SUM(O16:O17)</f>
        <v>1972.4127579737335</v>
      </c>
    </row>
    <row r="19" spans="1:15" x14ac:dyDescent="0.25">
      <c r="A19" s="17" t="s">
        <v>205</v>
      </c>
    </row>
    <row r="20" spans="1:15" x14ac:dyDescent="0.25">
      <c r="A20" s="1" t="s">
        <v>312</v>
      </c>
      <c r="B20" s="45">
        <f>4795324-263325</f>
        <v>4531999</v>
      </c>
      <c r="C20" s="45">
        <f>4329989-197994</f>
        <v>4131995</v>
      </c>
      <c r="D20" s="45">
        <f>4210975-178970</f>
        <v>4032005</v>
      </c>
      <c r="E20" s="289">
        <v>3864302.660000002</v>
      </c>
      <c r="F20" s="289">
        <v>3517901.5100000002</v>
      </c>
      <c r="G20" s="289">
        <v>3318642.3400000008</v>
      </c>
      <c r="H20" s="289">
        <v>2928843.3199999994</v>
      </c>
      <c r="I20" s="289">
        <v>3984184.9599999995</v>
      </c>
      <c r="J20" s="289">
        <v>3861752.5499999989</v>
      </c>
      <c r="K20" s="289">
        <v>2801907.6700000004</v>
      </c>
      <c r="L20" s="289">
        <v>3688845.28</v>
      </c>
      <c r="M20" s="289">
        <v>3364992</v>
      </c>
      <c r="N20" s="289">
        <v>3798675</v>
      </c>
      <c r="O20" s="203">
        <v>3801649</v>
      </c>
    </row>
    <row r="21" spans="1:15" x14ac:dyDescent="0.25">
      <c r="A21" s="1" t="s">
        <v>91</v>
      </c>
      <c r="B21" s="31">
        <f>350569-20108</f>
        <v>330461</v>
      </c>
      <c r="C21" s="31">
        <f>260799-11151</f>
        <v>249648</v>
      </c>
      <c r="D21" s="31">
        <f>219266-15325</f>
        <v>203941</v>
      </c>
      <c r="E21" s="289">
        <v>178427.65</v>
      </c>
      <c r="F21" s="289">
        <v>139302.99999999994</v>
      </c>
      <c r="G21" s="289">
        <v>142776.50000000003</v>
      </c>
      <c r="H21" s="289">
        <v>109449.3</v>
      </c>
      <c r="I21" s="289">
        <v>175663.35</v>
      </c>
      <c r="J21" s="289">
        <v>188268.57999999996</v>
      </c>
      <c r="K21" s="289">
        <v>123731.90000000004</v>
      </c>
      <c r="L21" s="289">
        <v>197389</v>
      </c>
      <c r="M21" s="289">
        <v>181720</v>
      </c>
      <c r="N21" s="289">
        <v>277463</v>
      </c>
      <c r="O21" s="203">
        <v>245878</v>
      </c>
    </row>
    <row r="22" spans="1:15" x14ac:dyDescent="0.25">
      <c r="A22" s="1" t="s">
        <v>315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>
        <v>0</v>
      </c>
      <c r="N22" s="31">
        <v>0</v>
      </c>
      <c r="O22" s="31">
        <v>0</v>
      </c>
    </row>
    <row r="23" spans="1:15" x14ac:dyDescent="0.25">
      <c r="A23" s="1" t="s">
        <v>316</v>
      </c>
      <c r="B23" s="32">
        <f t="shared" ref="B23:M23" si="28">SUM(B20:B22)</f>
        <v>4862460</v>
      </c>
      <c r="C23" s="32">
        <f t="shared" si="28"/>
        <v>4381643</v>
      </c>
      <c r="D23" s="32">
        <f t="shared" si="28"/>
        <v>4235946</v>
      </c>
      <c r="E23" s="32">
        <f t="shared" si="28"/>
        <v>4042730.3100000019</v>
      </c>
      <c r="F23" s="32">
        <f t="shared" si="28"/>
        <v>3657204.5100000002</v>
      </c>
      <c r="G23" s="32">
        <f t="shared" si="28"/>
        <v>3461418.8400000008</v>
      </c>
      <c r="H23" s="32">
        <f t="shared" si="28"/>
        <v>3038292.6199999992</v>
      </c>
      <c r="I23" s="32">
        <f t="shared" si="28"/>
        <v>4159848.3099999996</v>
      </c>
      <c r="J23" s="32">
        <f t="shared" si="28"/>
        <v>4050021.129999999</v>
      </c>
      <c r="K23" s="32">
        <f t="shared" si="28"/>
        <v>2925639.5700000003</v>
      </c>
      <c r="L23" s="32">
        <f t="shared" si="28"/>
        <v>3886234.28</v>
      </c>
      <c r="M23" s="32">
        <f t="shared" si="28"/>
        <v>3546712</v>
      </c>
      <c r="N23" s="32">
        <f t="shared" ref="N23:O23" si="29">SUM(N20:N22)</f>
        <v>4076138</v>
      </c>
      <c r="O23" s="32">
        <f t="shared" si="29"/>
        <v>4047527</v>
      </c>
    </row>
    <row r="25" spans="1:15" x14ac:dyDescent="0.25">
      <c r="A25" s="17" t="s">
        <v>317</v>
      </c>
    </row>
    <row r="26" spans="1:15" x14ac:dyDescent="0.25">
      <c r="A26" s="1" t="s">
        <v>312</v>
      </c>
      <c r="B26" s="45">
        <v>89640</v>
      </c>
      <c r="C26" s="45">
        <v>80235</v>
      </c>
      <c r="D26" s="45">
        <v>76500</v>
      </c>
      <c r="E26" s="289">
        <v>70050</v>
      </c>
      <c r="F26" s="289">
        <v>65490</v>
      </c>
      <c r="G26" s="289">
        <v>59730</v>
      </c>
      <c r="H26" s="289">
        <v>54480</v>
      </c>
      <c r="I26" s="289">
        <v>62520</v>
      </c>
      <c r="J26" s="289">
        <v>59640</v>
      </c>
      <c r="K26" s="289">
        <v>61440</v>
      </c>
      <c r="L26" s="289">
        <v>57030</v>
      </c>
      <c r="M26" s="289">
        <v>51330</v>
      </c>
      <c r="N26" s="289">
        <v>53040</v>
      </c>
      <c r="O26" s="203">
        <f>1.0007829045654*N26</f>
        <v>53081.525258148817</v>
      </c>
    </row>
    <row r="27" spans="1:15" x14ac:dyDescent="0.25">
      <c r="A27" s="1" t="s">
        <v>91</v>
      </c>
      <c r="B27" s="31">
        <v>15990</v>
      </c>
      <c r="C27" s="31">
        <v>12240</v>
      </c>
      <c r="D27" s="31">
        <v>10620</v>
      </c>
      <c r="E27" s="289">
        <v>8280</v>
      </c>
      <c r="F27" s="289">
        <v>6240</v>
      </c>
      <c r="G27" s="289">
        <v>5910</v>
      </c>
      <c r="H27" s="289">
        <v>5250</v>
      </c>
      <c r="I27" s="289">
        <v>7200</v>
      </c>
      <c r="J27" s="289">
        <v>7440</v>
      </c>
      <c r="K27" s="289">
        <v>6660</v>
      </c>
      <c r="L27" s="289">
        <v>7020</v>
      </c>
      <c r="M27" s="289">
        <v>5760</v>
      </c>
      <c r="N27" s="289">
        <v>7500</v>
      </c>
      <c r="O27" s="203">
        <f>0.886165002180471*N27</f>
        <v>6646.2375163535326</v>
      </c>
    </row>
    <row r="28" spans="1:15" x14ac:dyDescent="0.25">
      <c r="A28" s="1" t="s">
        <v>318</v>
      </c>
      <c r="B28" s="32">
        <f t="shared" ref="B28:C28" si="30">SUM(B26:B27)</f>
        <v>105630</v>
      </c>
      <c r="C28" s="32">
        <f t="shared" si="30"/>
        <v>92475</v>
      </c>
      <c r="D28" s="32">
        <f>SUM(D26:D27)</f>
        <v>87120</v>
      </c>
      <c r="E28" s="32">
        <f t="shared" ref="E28:J28" si="31">SUM(E26:E27)</f>
        <v>78330</v>
      </c>
      <c r="F28" s="32">
        <f t="shared" si="31"/>
        <v>71730</v>
      </c>
      <c r="G28" s="32">
        <f t="shared" si="31"/>
        <v>65640</v>
      </c>
      <c r="H28" s="32">
        <f t="shared" si="31"/>
        <v>59730</v>
      </c>
      <c r="I28" s="32">
        <f t="shared" si="31"/>
        <v>69720</v>
      </c>
      <c r="J28" s="32">
        <f t="shared" si="31"/>
        <v>67080</v>
      </c>
      <c r="K28" s="32">
        <f t="shared" ref="K28:L28" si="32">SUM(K26:K27)</f>
        <v>68100</v>
      </c>
      <c r="L28" s="32">
        <f t="shared" si="32"/>
        <v>64050</v>
      </c>
      <c r="M28" s="32">
        <f t="shared" ref="M28:N28" si="33">SUM(M26:M27)</f>
        <v>57090</v>
      </c>
      <c r="N28" s="32">
        <f t="shared" si="33"/>
        <v>60540</v>
      </c>
      <c r="O28" s="32">
        <f t="shared" ref="O28" si="34">SUM(O26:O27)</f>
        <v>59727.762774502349</v>
      </c>
    </row>
    <row r="30" spans="1:15" x14ac:dyDescent="0.25">
      <c r="A30" s="1" t="s">
        <v>319</v>
      </c>
      <c r="B30" s="32">
        <f t="shared" ref="B30:C30" si="35">+B28+B23</f>
        <v>4968090</v>
      </c>
      <c r="C30" s="32">
        <f t="shared" si="35"/>
        <v>4474118</v>
      </c>
      <c r="D30" s="32">
        <f>+D28+D23</f>
        <v>4323066</v>
      </c>
      <c r="E30" s="32">
        <f t="shared" ref="E30:J30" si="36">+E28+E23</f>
        <v>4121060.3100000019</v>
      </c>
      <c r="F30" s="32">
        <f t="shared" si="36"/>
        <v>3728934.5100000002</v>
      </c>
      <c r="G30" s="32">
        <f t="shared" si="36"/>
        <v>3527058.8400000008</v>
      </c>
      <c r="H30" s="32">
        <f t="shared" si="36"/>
        <v>3098022.6199999992</v>
      </c>
      <c r="I30" s="32">
        <f t="shared" si="36"/>
        <v>4229568.3099999996</v>
      </c>
      <c r="J30" s="32">
        <f t="shared" si="36"/>
        <v>4117101.129999999</v>
      </c>
      <c r="K30" s="32">
        <f t="shared" ref="K30:L30" si="37">+K28+K23</f>
        <v>2993739.5700000003</v>
      </c>
      <c r="L30" s="32">
        <f t="shared" si="37"/>
        <v>3950284.28</v>
      </c>
      <c r="M30" s="32">
        <f t="shared" ref="M30:N30" si="38">+M28+M23</f>
        <v>3603802</v>
      </c>
      <c r="N30" s="32">
        <f t="shared" si="38"/>
        <v>4136678</v>
      </c>
      <c r="O30" s="32">
        <f t="shared" ref="O30" si="39">+O28+O23</f>
        <v>4107254.7627745024</v>
      </c>
    </row>
    <row r="31" spans="1:15" ht="15.75" thickBot="1" x14ac:dyDescent="0.3"/>
    <row r="32" spans="1:15" x14ac:dyDescent="0.25">
      <c r="A32" s="17" t="s">
        <v>275</v>
      </c>
      <c r="G32" s="372"/>
      <c r="H32" s="365"/>
      <c r="I32" s="365"/>
      <c r="J32" s="365"/>
      <c r="K32" s="365"/>
      <c r="L32" s="365"/>
      <c r="M32" s="365"/>
      <c r="N32" s="366"/>
      <c r="O32" s="366"/>
    </row>
    <row r="33" spans="1:15" x14ac:dyDescent="0.25">
      <c r="A33" s="1" t="s">
        <v>134</v>
      </c>
      <c r="B33" s="45"/>
      <c r="C33" s="45"/>
      <c r="D33" s="45"/>
      <c r="E33" s="45"/>
      <c r="F33" s="45"/>
      <c r="G33" s="373"/>
      <c r="H33" s="367"/>
      <c r="I33" s="367"/>
      <c r="J33" s="367"/>
      <c r="K33" s="367">
        <v>0</v>
      </c>
      <c r="L33" s="367">
        <v>0</v>
      </c>
      <c r="M33" s="367">
        <v>0</v>
      </c>
      <c r="N33" s="368">
        <v>0</v>
      </c>
      <c r="O33" s="368">
        <f>+N33</f>
        <v>0</v>
      </c>
    </row>
    <row r="34" spans="1:15" x14ac:dyDescent="0.25">
      <c r="A34" s="1" t="s">
        <v>234</v>
      </c>
      <c r="B34" s="45"/>
      <c r="C34" s="45"/>
      <c r="D34" s="45"/>
      <c r="E34" s="45"/>
      <c r="F34" s="45"/>
      <c r="G34" s="373"/>
      <c r="H34" s="367"/>
      <c r="I34" s="367"/>
      <c r="J34" s="367"/>
      <c r="K34" s="367"/>
      <c r="L34" s="367"/>
      <c r="M34" s="367"/>
      <c r="N34" s="368"/>
      <c r="O34" s="368"/>
    </row>
    <row r="35" spans="1:15" x14ac:dyDescent="0.25">
      <c r="A35" s="1" t="s">
        <v>106</v>
      </c>
      <c r="B35" s="45"/>
      <c r="C35" s="45"/>
      <c r="D35" s="45">
        <v>3700</v>
      </c>
      <c r="E35" s="45">
        <v>6475</v>
      </c>
      <c r="F35" s="45">
        <v>13875</v>
      </c>
      <c r="G35" s="373">
        <v>17575</v>
      </c>
      <c r="H35" s="367">
        <v>23125</v>
      </c>
      <c r="I35" s="367">
        <v>30585</v>
      </c>
      <c r="J35" s="367">
        <v>22429</v>
      </c>
      <c r="K35" s="367">
        <v>16050</v>
      </c>
      <c r="L35" s="367">
        <v>19108</v>
      </c>
      <c r="M35" s="367">
        <v>25476</v>
      </c>
      <c r="N35" s="368">
        <v>28464</v>
      </c>
      <c r="O35" s="383">
        <v>23720</v>
      </c>
    </row>
    <row r="36" spans="1:15" x14ac:dyDescent="0.25">
      <c r="A36" s="1" t="s">
        <v>88</v>
      </c>
      <c r="B36" s="45">
        <v>59353</v>
      </c>
      <c r="C36" s="45">
        <v>50718</v>
      </c>
      <c r="D36" s="45">
        <v>56925</v>
      </c>
      <c r="E36" s="45">
        <v>52830</v>
      </c>
      <c r="F36" s="45">
        <v>49015</v>
      </c>
      <c r="G36" s="373">
        <v>47335</v>
      </c>
      <c r="H36" s="367">
        <v>46268</v>
      </c>
      <c r="I36" s="367">
        <v>50799</v>
      </c>
      <c r="J36" s="367">
        <v>17962</v>
      </c>
      <c r="K36" s="367">
        <v>29743</v>
      </c>
      <c r="L36" s="367">
        <v>21276</v>
      </c>
      <c r="M36" s="367">
        <v>13230</v>
      </c>
      <c r="N36" s="368">
        <v>16860</v>
      </c>
      <c r="O36" s="383">
        <v>28700</v>
      </c>
    </row>
    <row r="37" spans="1:15" x14ac:dyDescent="0.25">
      <c r="A37" s="1" t="s">
        <v>129</v>
      </c>
      <c r="B37" s="45"/>
      <c r="C37" s="45"/>
      <c r="D37" s="45"/>
      <c r="E37" s="45"/>
      <c r="F37" s="45"/>
      <c r="G37" s="373"/>
      <c r="H37" s="367"/>
      <c r="I37" s="367">
        <v>5500</v>
      </c>
      <c r="J37" s="367">
        <v>5500</v>
      </c>
      <c r="K37" s="367">
        <v>1000</v>
      </c>
      <c r="L37" s="367">
        <v>6000</v>
      </c>
      <c r="M37" s="367">
        <v>1000</v>
      </c>
      <c r="N37" s="368">
        <v>1500</v>
      </c>
      <c r="O37" s="368">
        <f>+N37</f>
        <v>1500</v>
      </c>
    </row>
    <row r="38" spans="1:15" x14ac:dyDescent="0.25">
      <c r="A38" s="1" t="s">
        <v>132</v>
      </c>
      <c r="B38" s="45"/>
      <c r="C38" s="45"/>
      <c r="D38" s="45"/>
      <c r="E38" s="45"/>
      <c r="F38" s="45"/>
      <c r="G38" s="373"/>
      <c r="H38" s="367">
        <v>50</v>
      </c>
      <c r="I38" s="367">
        <v>50</v>
      </c>
      <c r="J38" s="367">
        <v>100</v>
      </c>
      <c r="K38" s="367">
        <v>0</v>
      </c>
      <c r="L38" s="367">
        <v>0</v>
      </c>
      <c r="M38" s="367"/>
      <c r="N38" s="368">
        <v>0</v>
      </c>
      <c r="O38" s="368">
        <f>+N38</f>
        <v>0</v>
      </c>
    </row>
    <row r="39" spans="1:15" x14ac:dyDescent="0.25">
      <c r="A39" s="1" t="s">
        <v>76</v>
      </c>
      <c r="B39" s="45"/>
      <c r="C39" s="45"/>
      <c r="D39" s="45"/>
      <c r="E39" s="45"/>
      <c r="F39" s="45"/>
      <c r="G39" s="373"/>
      <c r="H39" s="367"/>
      <c r="I39" s="367"/>
      <c r="J39" s="367"/>
      <c r="K39" s="367"/>
      <c r="L39" s="367"/>
      <c r="M39" s="367"/>
      <c r="N39" s="368"/>
      <c r="O39" s="368"/>
    </row>
    <row r="40" spans="1:15" x14ac:dyDescent="0.25">
      <c r="A40" s="1" t="s">
        <v>80</v>
      </c>
      <c r="B40" s="45">
        <v>8055</v>
      </c>
      <c r="C40" s="45">
        <v>7266</v>
      </c>
      <c r="D40" s="45">
        <v>4455</v>
      </c>
      <c r="E40" s="45">
        <v>4573</v>
      </c>
      <c r="F40" s="45">
        <v>3388</v>
      </c>
      <c r="G40" s="373">
        <v>3125</v>
      </c>
      <c r="H40" s="367">
        <v>2915</v>
      </c>
      <c r="I40" s="367">
        <v>6848</v>
      </c>
      <c r="J40" s="367">
        <f>1350+2539.5</f>
        <v>3889.5</v>
      </c>
      <c r="K40" s="367">
        <f>3887.25+3648.9</f>
        <v>7536.15</v>
      </c>
      <c r="L40" s="367">
        <f>1490+2804.9</f>
        <v>4294.8999999999996</v>
      </c>
      <c r="M40" s="367">
        <f>806+2361</f>
        <v>3167</v>
      </c>
      <c r="N40" s="368">
        <f>2197+3036</f>
        <v>5233</v>
      </c>
      <c r="O40" s="368"/>
    </row>
    <row r="41" spans="1:15" x14ac:dyDescent="0.25">
      <c r="A41" s="1" t="s">
        <v>90</v>
      </c>
      <c r="B41" s="45">
        <v>32297</v>
      </c>
      <c r="C41" s="45">
        <v>22946</v>
      </c>
      <c r="D41" s="45">
        <v>34800</v>
      </c>
      <c r="E41" s="45">
        <v>28130</v>
      </c>
      <c r="F41" s="45">
        <v>32625</v>
      </c>
      <c r="G41" s="373">
        <v>18415</v>
      </c>
      <c r="H41" s="367">
        <v>17690</v>
      </c>
      <c r="I41" s="367">
        <v>13695</v>
      </c>
      <c r="J41" s="367">
        <v>14210.5</v>
      </c>
      <c r="K41" s="367">
        <v>18942</v>
      </c>
      <c r="L41" s="367">
        <v>16145</v>
      </c>
      <c r="M41" s="367">
        <v>18801</v>
      </c>
      <c r="N41" s="368">
        <v>25168</v>
      </c>
      <c r="O41" s="383">
        <v>11870</v>
      </c>
    </row>
    <row r="42" spans="1:15" x14ac:dyDescent="0.25">
      <c r="A42" s="1" t="s">
        <v>127</v>
      </c>
      <c r="B42" s="45"/>
      <c r="C42" s="45"/>
      <c r="D42" s="45"/>
      <c r="E42" s="45"/>
      <c r="F42" s="45"/>
      <c r="G42" s="373"/>
      <c r="H42" s="367"/>
      <c r="I42" s="367">
        <v>11550</v>
      </c>
      <c r="J42" s="367">
        <v>12916.5</v>
      </c>
      <c r="K42" s="367">
        <v>19484</v>
      </c>
      <c r="L42" s="367">
        <v>25787</v>
      </c>
      <c r="M42" s="367">
        <v>18315</v>
      </c>
      <c r="N42" s="368">
        <v>15011</v>
      </c>
      <c r="O42" s="383">
        <v>11870</v>
      </c>
    </row>
    <row r="43" spans="1:15" x14ac:dyDescent="0.25">
      <c r="A43" s="1" t="s">
        <v>242</v>
      </c>
      <c r="B43" s="45"/>
      <c r="C43" s="45"/>
      <c r="D43" s="45"/>
      <c r="E43" s="45"/>
      <c r="F43" s="45"/>
      <c r="G43" s="373"/>
      <c r="H43" s="367"/>
      <c r="I43" s="367"/>
      <c r="J43" s="367"/>
      <c r="K43" s="367"/>
      <c r="L43" s="367"/>
      <c r="M43" s="367"/>
      <c r="N43" s="368"/>
      <c r="O43" s="383"/>
    </row>
    <row r="44" spans="1:15" x14ac:dyDescent="0.25">
      <c r="A44" s="1" t="s">
        <v>110</v>
      </c>
      <c r="B44" s="46">
        <v>0</v>
      </c>
      <c r="C44" s="46">
        <v>0</v>
      </c>
      <c r="D44" s="45">
        <v>0</v>
      </c>
      <c r="E44" s="45">
        <v>-1</v>
      </c>
      <c r="F44" s="45">
        <v>50</v>
      </c>
      <c r="G44" s="373">
        <v>50</v>
      </c>
      <c r="H44" s="367">
        <v>-50</v>
      </c>
      <c r="I44" s="367">
        <v>-50</v>
      </c>
      <c r="J44" s="367">
        <v>0</v>
      </c>
      <c r="K44" s="367">
        <v>0</v>
      </c>
      <c r="L44" s="367">
        <v>0</v>
      </c>
      <c r="M44" s="367"/>
      <c r="N44" s="368">
        <v>0</v>
      </c>
      <c r="O44" s="368">
        <f>+N44</f>
        <v>0</v>
      </c>
    </row>
    <row r="45" spans="1:15" x14ac:dyDescent="0.25">
      <c r="A45" s="1" t="s">
        <v>115</v>
      </c>
      <c r="B45" s="45"/>
      <c r="C45" s="45"/>
      <c r="D45" s="45"/>
      <c r="E45" s="45"/>
      <c r="F45" s="45"/>
      <c r="G45" s="373"/>
      <c r="H45" s="367"/>
      <c r="I45" s="367"/>
      <c r="J45" s="367"/>
      <c r="K45" s="367">
        <v>0</v>
      </c>
      <c r="L45" s="367">
        <v>0</v>
      </c>
      <c r="M45" s="367"/>
      <c r="N45" s="368">
        <v>0</v>
      </c>
      <c r="O45" s="368">
        <f>+N45</f>
        <v>0</v>
      </c>
    </row>
    <row r="46" spans="1:15" x14ac:dyDescent="0.25">
      <c r="A46" s="1" t="s">
        <v>103</v>
      </c>
      <c r="B46" s="45">
        <v>9450</v>
      </c>
      <c r="C46" s="45">
        <v>15750</v>
      </c>
      <c r="D46" s="45">
        <v>19350</v>
      </c>
      <c r="E46" s="45">
        <v>17708</v>
      </c>
      <c r="F46" s="45">
        <v>11250</v>
      </c>
      <c r="G46" s="373">
        <v>9000</v>
      </c>
      <c r="H46" s="367">
        <v>17100</v>
      </c>
      <c r="I46" s="367">
        <v>43075</v>
      </c>
      <c r="J46" s="367">
        <v>44010</v>
      </c>
      <c r="K46" s="367">
        <v>46882</v>
      </c>
      <c r="L46" s="367">
        <v>52172</v>
      </c>
      <c r="M46" s="367">
        <v>55915</v>
      </c>
      <c r="N46" s="368">
        <v>33272</v>
      </c>
      <c r="O46" s="383">
        <v>38574</v>
      </c>
    </row>
    <row r="47" spans="1:15" x14ac:dyDescent="0.25">
      <c r="A47" s="1" t="s">
        <v>117</v>
      </c>
      <c r="B47" s="45">
        <v>1600</v>
      </c>
      <c r="C47" s="45">
        <v>1640</v>
      </c>
      <c r="D47" s="45">
        <v>3467</v>
      </c>
      <c r="E47" s="45">
        <v>400</v>
      </c>
      <c r="F47" s="45">
        <v>1700</v>
      </c>
      <c r="G47" s="373">
        <v>1334</v>
      </c>
      <c r="H47" s="367">
        <v>3467</v>
      </c>
      <c r="I47" s="367">
        <v>5114</v>
      </c>
      <c r="J47" s="367">
        <v>3381</v>
      </c>
      <c r="K47" s="367">
        <v>1424</v>
      </c>
      <c r="L47" s="367">
        <v>1424</v>
      </c>
      <c r="M47" s="367">
        <v>1500</v>
      </c>
      <c r="N47" s="368">
        <v>0</v>
      </c>
      <c r="O47" s="383">
        <v>25488</v>
      </c>
    </row>
    <row r="48" spans="1:15" x14ac:dyDescent="0.25">
      <c r="A48" s="1" t="s">
        <v>119</v>
      </c>
      <c r="B48" s="45"/>
      <c r="C48" s="45"/>
      <c r="D48" s="45"/>
      <c r="E48" s="45"/>
      <c r="F48" s="45"/>
      <c r="G48" s="373"/>
      <c r="H48" s="367"/>
      <c r="I48" s="367"/>
      <c r="J48" s="367"/>
      <c r="K48" s="367">
        <v>0</v>
      </c>
      <c r="L48" s="367">
        <v>0</v>
      </c>
      <c r="M48" s="367"/>
      <c r="N48" s="368">
        <v>0</v>
      </c>
      <c r="O48" s="368">
        <f>+N48</f>
        <v>0</v>
      </c>
    </row>
    <row r="49" spans="1:15" x14ac:dyDescent="0.25">
      <c r="A49" s="1" t="s">
        <v>369</v>
      </c>
      <c r="B49" s="45"/>
      <c r="C49" s="45"/>
      <c r="D49" s="45"/>
      <c r="E49" s="45"/>
      <c r="F49" s="45"/>
      <c r="G49" s="373"/>
      <c r="H49" s="367"/>
      <c r="I49" s="367"/>
      <c r="J49" s="367">
        <v>2069.5</v>
      </c>
      <c r="K49" s="367">
        <v>3738.43</v>
      </c>
      <c r="L49" s="367">
        <v>3558.38</v>
      </c>
      <c r="M49" s="367">
        <v>2383</v>
      </c>
      <c r="N49" s="368">
        <v>3557</v>
      </c>
      <c r="O49" s="368"/>
    </row>
    <row r="50" spans="1:15" ht="15.75" thickBot="1" x14ac:dyDescent="0.3">
      <c r="A50" s="1" t="s">
        <v>3041</v>
      </c>
      <c r="B50" s="45"/>
      <c r="C50" s="45"/>
      <c r="D50" s="45"/>
      <c r="E50" s="45"/>
      <c r="F50" s="45"/>
      <c r="G50" s="374">
        <f>96639-SUM(G33:G49)</f>
        <v>-195</v>
      </c>
      <c r="H50" s="369">
        <f>110497-SUM(H33:H49)</f>
        <v>-68</v>
      </c>
      <c r="I50" s="369">
        <f>167318-SUM(I33:I49)</f>
        <v>152</v>
      </c>
      <c r="J50" s="369">
        <f>159341.5-SUM(J33:J49)</f>
        <v>32873.5</v>
      </c>
      <c r="K50" s="369">
        <f>168185-SUM(K33:K49)</f>
        <v>23385.420000000013</v>
      </c>
      <c r="L50" s="369">
        <f>180241-SUM(L33:L49)</f>
        <v>30475.72</v>
      </c>
      <c r="M50" s="369">
        <f>161729-SUM(M33:M49)</f>
        <v>21942</v>
      </c>
      <c r="N50" s="370">
        <f>150012-SUM(N33:N49)</f>
        <v>20947</v>
      </c>
      <c r="O50" s="370"/>
    </row>
    <row r="51" spans="1:15" x14ac:dyDescent="0.25">
      <c r="A51" s="1" t="s">
        <v>322</v>
      </c>
      <c r="B51" s="32">
        <f t="shared" ref="B51:O51" si="40">SUM(B33:B50)</f>
        <v>110755</v>
      </c>
      <c r="C51" s="32">
        <f t="shared" si="40"/>
        <v>98320</v>
      </c>
      <c r="D51" s="32">
        <f t="shared" si="40"/>
        <v>122697</v>
      </c>
      <c r="E51" s="32">
        <f t="shared" si="40"/>
        <v>110115</v>
      </c>
      <c r="F51" s="32">
        <f t="shared" si="40"/>
        <v>111903</v>
      </c>
      <c r="G51" s="5">
        <f t="shared" si="40"/>
        <v>96639</v>
      </c>
      <c r="H51" s="5">
        <f t="shared" si="40"/>
        <v>110497</v>
      </c>
      <c r="I51" s="5">
        <f t="shared" si="40"/>
        <v>167318</v>
      </c>
      <c r="J51" s="5">
        <f t="shared" si="40"/>
        <v>159341.5</v>
      </c>
      <c r="K51" s="5">
        <f t="shared" si="40"/>
        <v>168185</v>
      </c>
      <c r="L51" s="5">
        <f t="shared" si="40"/>
        <v>180241</v>
      </c>
      <c r="M51" s="5">
        <f t="shared" si="40"/>
        <v>161729</v>
      </c>
      <c r="N51" s="5">
        <f t="shared" si="40"/>
        <v>150012</v>
      </c>
      <c r="O51" s="5">
        <f t="shared" si="40"/>
        <v>141722</v>
      </c>
    </row>
    <row r="53" spans="1:15" ht="15.75" thickBot="1" x14ac:dyDescent="0.3">
      <c r="A53" s="1" t="s">
        <v>323</v>
      </c>
      <c r="B53" s="33">
        <f t="shared" ref="B53:O53" si="41">+B51+B30</f>
        <v>5078845</v>
      </c>
      <c r="C53" s="33">
        <f t="shared" si="41"/>
        <v>4572438</v>
      </c>
      <c r="D53" s="33">
        <f t="shared" si="41"/>
        <v>4445763</v>
      </c>
      <c r="E53" s="33">
        <f t="shared" si="41"/>
        <v>4231175.3100000024</v>
      </c>
      <c r="F53" s="33">
        <f t="shared" si="41"/>
        <v>3840837.5100000002</v>
      </c>
      <c r="G53" s="33">
        <f t="shared" si="41"/>
        <v>3623697.8400000008</v>
      </c>
      <c r="H53" s="33">
        <f t="shared" si="41"/>
        <v>3208519.6199999992</v>
      </c>
      <c r="I53" s="33">
        <f t="shared" si="41"/>
        <v>4396886.3099999996</v>
      </c>
      <c r="J53" s="33">
        <f t="shared" si="41"/>
        <v>4276442.629999999</v>
      </c>
      <c r="K53" s="33">
        <f t="shared" si="41"/>
        <v>3161924.5700000003</v>
      </c>
      <c r="L53" s="33">
        <f t="shared" si="41"/>
        <v>4130525.28</v>
      </c>
      <c r="M53" s="33">
        <f t="shared" si="41"/>
        <v>3765531</v>
      </c>
      <c r="N53" s="33">
        <f t="shared" si="41"/>
        <v>4286690</v>
      </c>
      <c r="O53" s="33">
        <f t="shared" si="41"/>
        <v>4248976.7627745029</v>
      </c>
    </row>
    <row r="54" spans="1:15" ht="15.75" thickTop="1" x14ac:dyDescent="0.25"/>
    <row r="55" spans="1:15" x14ac:dyDescent="0.25">
      <c r="A55" s="17" t="s">
        <v>324</v>
      </c>
    </row>
    <row r="56" spans="1:15" x14ac:dyDescent="0.25">
      <c r="A56" s="1" t="s">
        <v>312</v>
      </c>
      <c r="B56" s="45">
        <v>17320</v>
      </c>
      <c r="C56" s="45">
        <v>14649</v>
      </c>
      <c r="D56" s="45">
        <v>13628</v>
      </c>
      <c r="E56" s="289">
        <v>12547.000000000029</v>
      </c>
      <c r="F56" s="289">
        <v>11501.000000000055</v>
      </c>
      <c r="G56" s="289">
        <v>10651.999999999993</v>
      </c>
      <c r="H56" s="289">
        <v>9626.0000000000109</v>
      </c>
      <c r="I56" s="289">
        <v>12159.999999999936</v>
      </c>
      <c r="J56" s="289">
        <v>11754.999999999887</v>
      </c>
      <c r="K56" s="289">
        <v>12771.999999999971</v>
      </c>
      <c r="L56" s="289">
        <v>11010.999999999905</v>
      </c>
      <c r="M56" s="289">
        <v>10012</v>
      </c>
      <c r="N56" s="289">
        <v>10595.999999999936</v>
      </c>
      <c r="O56" s="289">
        <v>9897</v>
      </c>
    </row>
    <row r="57" spans="1:15" x14ac:dyDescent="0.25">
      <c r="A57" s="1" t="s">
        <v>91</v>
      </c>
      <c r="B57" s="31">
        <v>3399</v>
      </c>
      <c r="C57" s="31">
        <v>2393</v>
      </c>
      <c r="D57" s="31">
        <v>1923</v>
      </c>
      <c r="E57" s="289">
        <v>1593.0000000000034</v>
      </c>
      <c r="F57" s="289">
        <v>1198.0000000000007</v>
      </c>
      <c r="G57" s="289">
        <v>1150.0000000000025</v>
      </c>
      <c r="H57" s="289">
        <v>988.00000000000057</v>
      </c>
      <c r="I57" s="289">
        <v>1421.000000000003</v>
      </c>
      <c r="J57" s="289">
        <v>1604.9999999999991</v>
      </c>
      <c r="K57" s="289">
        <v>1474.0000000000041</v>
      </c>
      <c r="L57" s="289">
        <v>1540.000000000002</v>
      </c>
      <c r="M57" s="289">
        <v>1504</v>
      </c>
      <c r="N57" s="289">
        <v>1943.9999999999995</v>
      </c>
      <c r="O57" s="289">
        <v>2000</v>
      </c>
    </row>
    <row r="58" spans="1:15" x14ac:dyDescent="0.25">
      <c r="A58" s="1" t="s">
        <v>315</v>
      </c>
      <c r="B58" s="31"/>
      <c r="C58" s="31"/>
      <c r="D58" s="31"/>
      <c r="E58" s="31">
        <f>+'Summer Credit Hour Allocation'!T28-E57-E56</f>
        <v>0</v>
      </c>
      <c r="F58" s="31">
        <f>+'Summer Credit Hour Allocation'!X28-F57-F56</f>
        <v>0</v>
      </c>
      <c r="G58" s="31">
        <f>+'Summer Credit Hour Allocation'!AB28-G57-G56</f>
        <v>0</v>
      </c>
      <c r="H58" s="31">
        <f>+'Summer Credit Hour Allocation'!AF28-H57-H56</f>
        <v>0</v>
      </c>
      <c r="I58" s="31"/>
      <c r="J58" s="31">
        <f>+'Summer Credit Hour Allocation'!AN28-J57-J56</f>
        <v>0</v>
      </c>
      <c r="K58" s="31">
        <f>+'Summer Credit Hour Allocation'!AR28-K57-K56</f>
        <v>0</v>
      </c>
      <c r="L58" s="31">
        <v>0</v>
      </c>
      <c r="M58" s="31">
        <v>0</v>
      </c>
      <c r="N58" s="31">
        <v>0</v>
      </c>
      <c r="O58" s="31">
        <v>0</v>
      </c>
    </row>
    <row r="59" spans="1:15" x14ac:dyDescent="0.25">
      <c r="A59" s="1" t="s">
        <v>330</v>
      </c>
      <c r="B59" s="47">
        <f>SUM(B56:B58)</f>
        <v>20719</v>
      </c>
      <c r="C59" s="47">
        <f t="shared" ref="C59:N59" si="42">SUM(C56:C58)</f>
        <v>17042</v>
      </c>
      <c r="D59" s="47">
        <f t="shared" si="42"/>
        <v>15551</v>
      </c>
      <c r="E59" s="47">
        <f t="shared" si="42"/>
        <v>14140.000000000033</v>
      </c>
      <c r="F59" s="47">
        <f t="shared" si="42"/>
        <v>12699.000000000055</v>
      </c>
      <c r="G59" s="47">
        <f t="shared" si="42"/>
        <v>11801.999999999995</v>
      </c>
      <c r="H59" s="47">
        <f t="shared" si="42"/>
        <v>10614.000000000011</v>
      </c>
      <c r="I59" s="47">
        <f t="shared" si="42"/>
        <v>13580.99999999994</v>
      </c>
      <c r="J59" s="47">
        <f t="shared" si="42"/>
        <v>13359.999999999887</v>
      </c>
      <c r="K59" s="47">
        <f t="shared" si="42"/>
        <v>14245.999999999975</v>
      </c>
      <c r="L59" s="47">
        <f t="shared" si="42"/>
        <v>12550.999999999907</v>
      </c>
      <c r="M59" s="47">
        <f t="shared" si="42"/>
        <v>11516</v>
      </c>
      <c r="N59" s="47">
        <f t="shared" si="42"/>
        <v>12539.999999999936</v>
      </c>
      <c r="O59" s="47">
        <f t="shared" ref="O59" si="43">SUM(O56:O58)</f>
        <v>11897</v>
      </c>
    </row>
    <row r="61" spans="1:15" x14ac:dyDescent="0.25">
      <c r="A61" s="17" t="s">
        <v>370</v>
      </c>
    </row>
    <row r="62" spans="1:15" x14ac:dyDescent="0.25">
      <c r="A62" s="1" t="s">
        <v>312</v>
      </c>
      <c r="B62" s="10">
        <f t="shared" ref="B62:O62" si="44">(+B20+B26)/B56</f>
        <v>266.83827944572749</v>
      </c>
      <c r="C62" s="10">
        <f t="shared" si="44"/>
        <v>287.54385964912279</v>
      </c>
      <c r="D62" s="10">
        <f t="shared" si="44"/>
        <v>301.47527149985325</v>
      </c>
      <c r="E62" s="10">
        <f t="shared" si="44"/>
        <v>313.56919263568926</v>
      </c>
      <c r="F62" s="10">
        <f t="shared" si="44"/>
        <v>311.57216850708488</v>
      </c>
      <c r="G62" s="10">
        <f t="shared" si="44"/>
        <v>317.1584998122421</v>
      </c>
      <c r="H62" s="10">
        <f t="shared" si="44"/>
        <v>309.92346976937421</v>
      </c>
      <c r="I62" s="10">
        <f t="shared" si="44"/>
        <v>332.78823684210698</v>
      </c>
      <c r="J62" s="10">
        <f t="shared" si="44"/>
        <v>333.59358145470321</v>
      </c>
      <c r="K62" s="10">
        <f t="shared" si="44"/>
        <v>224.18945114312612</v>
      </c>
      <c r="L62" s="10">
        <f t="shared" si="44"/>
        <v>340.19392244119808</v>
      </c>
      <c r="M62" s="10">
        <f t="shared" si="44"/>
        <v>341.22273272073511</v>
      </c>
      <c r="N62" s="10">
        <f t="shared" si="44"/>
        <v>363.50651189128189</v>
      </c>
      <c r="O62" s="10">
        <f t="shared" si="44"/>
        <v>389.48474540347064</v>
      </c>
    </row>
    <row r="63" spans="1:15" x14ac:dyDescent="0.25">
      <c r="A63" s="1" t="s">
        <v>91</v>
      </c>
      <c r="B63" s="10">
        <f t="shared" ref="B63:O63" si="45">(B21+B27)/B57</f>
        <v>101.92733156810827</v>
      </c>
      <c r="C63" s="10">
        <f t="shared" si="45"/>
        <v>109.4391976598412</v>
      </c>
      <c r="D63" s="10">
        <f t="shared" si="45"/>
        <v>111.57618304732189</v>
      </c>
      <c r="E63" s="10">
        <f t="shared" si="45"/>
        <v>117.20505335844294</v>
      </c>
      <c r="F63" s="10">
        <f t="shared" si="45"/>
        <v>121.48831385642725</v>
      </c>
      <c r="G63" s="10">
        <f t="shared" si="45"/>
        <v>129.29260869565192</v>
      </c>
      <c r="H63" s="10">
        <f t="shared" si="45"/>
        <v>116.09240890688253</v>
      </c>
      <c r="I63" s="10">
        <f t="shared" si="45"/>
        <v>128.6863828289934</v>
      </c>
      <c r="J63" s="10">
        <f t="shared" si="45"/>
        <v>121.9368099688474</v>
      </c>
      <c r="K63" s="10">
        <f t="shared" si="45"/>
        <v>88.46126187245568</v>
      </c>
      <c r="L63" s="10">
        <f t="shared" si="45"/>
        <v>132.73311688311671</v>
      </c>
      <c r="M63" s="10">
        <f t="shared" si="45"/>
        <v>124.65425531914893</v>
      </c>
      <c r="N63" s="10">
        <f t="shared" si="45"/>
        <v>146.58590534979427</v>
      </c>
      <c r="O63" s="10">
        <f t="shared" si="45"/>
        <v>126.26211875817677</v>
      </c>
    </row>
    <row r="64" spans="1:15" x14ac:dyDescent="0.25">
      <c r="A64" s="1" t="s">
        <v>330</v>
      </c>
      <c r="B64" s="10">
        <f t="shared" ref="B64:O64" si="46">+B30/B59</f>
        <v>239.78425599691104</v>
      </c>
      <c r="C64" s="10">
        <f t="shared" si="46"/>
        <v>262.5347963854008</v>
      </c>
      <c r="D64" s="10">
        <f t="shared" si="46"/>
        <v>277.99279789081089</v>
      </c>
      <c r="E64" s="10">
        <f t="shared" si="46"/>
        <v>291.44698090523286</v>
      </c>
      <c r="F64" s="10">
        <f t="shared" si="46"/>
        <v>293.64001181195243</v>
      </c>
      <c r="G64" s="10">
        <f t="shared" si="46"/>
        <v>298.85263853584161</v>
      </c>
      <c r="H64" s="10">
        <f t="shared" si="46"/>
        <v>291.88078198605575</v>
      </c>
      <c r="I64" s="10">
        <f t="shared" si="46"/>
        <v>311.43275973787041</v>
      </c>
      <c r="J64" s="10">
        <f t="shared" si="46"/>
        <v>308.16625224551149</v>
      </c>
      <c r="K64" s="10">
        <f t="shared" si="46"/>
        <v>210.14597571248109</v>
      </c>
      <c r="L64" s="10">
        <f t="shared" si="46"/>
        <v>314.73860887578911</v>
      </c>
      <c r="M64" s="10">
        <f t="shared" si="46"/>
        <v>312.93869399096911</v>
      </c>
      <c r="N64" s="10">
        <f t="shared" si="46"/>
        <v>329.8786283891564</v>
      </c>
      <c r="O64" s="10">
        <f t="shared" si="46"/>
        <v>345.23449296246974</v>
      </c>
    </row>
    <row r="66" spans="1:16" x14ac:dyDescent="0.25">
      <c r="A66" s="17" t="s">
        <v>338</v>
      </c>
    </row>
    <row r="67" spans="1:16" x14ac:dyDescent="0.25">
      <c r="A67" s="1" t="s">
        <v>312</v>
      </c>
      <c r="B67" s="45">
        <v>16887</v>
      </c>
      <c r="C67" s="45">
        <v>14260</v>
      </c>
      <c r="D67" s="45">
        <v>13285</v>
      </c>
      <c r="E67" s="289">
        <v>12224.000000000044</v>
      </c>
      <c r="F67" s="289">
        <v>11187.000000000091</v>
      </c>
      <c r="G67" s="289">
        <v>10383.999999999978</v>
      </c>
      <c r="H67" s="289">
        <v>9362</v>
      </c>
      <c r="I67" s="289">
        <v>11856.99999999994</v>
      </c>
      <c r="J67" s="289">
        <v>11345.999999999904</v>
      </c>
      <c r="K67" s="289">
        <v>12302.999999999969</v>
      </c>
      <c r="L67" s="289">
        <v>10687.999999999924</v>
      </c>
      <c r="M67" s="289">
        <v>9745</v>
      </c>
      <c r="N67" s="289">
        <v>10273.999999999925</v>
      </c>
      <c r="O67" s="289">
        <f>+N67/N56*O56</f>
        <v>9596.2417893544607</v>
      </c>
      <c r="P67" s="80">
        <f>+O67/N67-1</f>
        <v>-6.5968289920719236E-2</v>
      </c>
    </row>
    <row r="68" spans="1:16" x14ac:dyDescent="0.25">
      <c r="A68" s="1" t="s">
        <v>91</v>
      </c>
      <c r="B68" s="31">
        <v>3258</v>
      </c>
      <c r="C68" s="31">
        <v>2374</v>
      </c>
      <c r="D68" s="31">
        <v>1912</v>
      </c>
      <c r="E68" s="289">
        <v>1569.0000000000016</v>
      </c>
      <c r="F68" s="289">
        <v>1194.0000000000005</v>
      </c>
      <c r="G68" s="289">
        <v>1141.0000000000032</v>
      </c>
      <c r="H68" s="289">
        <v>987.00000000000057</v>
      </c>
      <c r="I68" s="289">
        <v>1413.0000000000034</v>
      </c>
      <c r="J68" s="289">
        <v>1573.9999999999995</v>
      </c>
      <c r="K68" s="289">
        <v>1443.0000000000043</v>
      </c>
      <c r="L68" s="289">
        <v>1521.0000000000018</v>
      </c>
      <c r="M68" s="289">
        <v>1483.0000000000005</v>
      </c>
      <c r="N68" s="289">
        <v>1904.0000000000002</v>
      </c>
      <c r="O68" s="289">
        <f>+N68/N57*O57</f>
        <v>1958.8477366255149</v>
      </c>
    </row>
    <row r="69" spans="1:16" x14ac:dyDescent="0.25">
      <c r="A69" s="1" t="s">
        <v>315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6" x14ac:dyDescent="0.25">
      <c r="A70" s="1" t="s">
        <v>330</v>
      </c>
      <c r="B70" s="47">
        <f>SUM(B67:B69)</f>
        <v>20145</v>
      </c>
      <c r="C70" s="47">
        <f t="shared" ref="C70:N70" si="47">SUM(C67:C69)</f>
        <v>16634</v>
      </c>
      <c r="D70" s="47">
        <f t="shared" si="47"/>
        <v>15197</v>
      </c>
      <c r="E70" s="47">
        <f t="shared" si="47"/>
        <v>13793.000000000045</v>
      </c>
      <c r="F70" s="47">
        <f t="shared" si="47"/>
        <v>12381.000000000091</v>
      </c>
      <c r="G70" s="47">
        <f t="shared" si="47"/>
        <v>11524.999999999982</v>
      </c>
      <c r="H70" s="47">
        <f t="shared" si="47"/>
        <v>10349</v>
      </c>
      <c r="I70" s="47">
        <f t="shared" si="47"/>
        <v>13269.999999999944</v>
      </c>
      <c r="J70" s="47">
        <f t="shared" si="47"/>
        <v>12919.999999999904</v>
      </c>
      <c r="K70" s="47">
        <f t="shared" si="47"/>
        <v>13745.999999999973</v>
      </c>
      <c r="L70" s="47">
        <f t="shared" si="47"/>
        <v>12208.999999999925</v>
      </c>
      <c r="M70" s="47">
        <f t="shared" si="47"/>
        <v>11228</v>
      </c>
      <c r="N70" s="47">
        <f t="shared" si="47"/>
        <v>12177.999999999925</v>
      </c>
      <c r="O70" s="47">
        <f t="shared" ref="O70" si="48">SUM(O67:O69)</f>
        <v>11555.089525979976</v>
      </c>
      <c r="P70" s="80">
        <f>+O70/N70-1</f>
        <v>-5.1150474135322144E-2</v>
      </c>
    </row>
    <row r="72" spans="1:16" x14ac:dyDescent="0.25">
      <c r="A72" s="17" t="s">
        <v>342</v>
      </c>
    </row>
    <row r="73" spans="1:16" x14ac:dyDescent="0.25">
      <c r="A73" s="1" t="s">
        <v>312</v>
      </c>
      <c r="B73" s="10">
        <f t="shared" ref="B73:O73" si="49">(+B20+B26)/B67</f>
        <v>273.68028661100254</v>
      </c>
      <c r="C73" s="10">
        <f t="shared" si="49"/>
        <v>295.38779803646565</v>
      </c>
      <c r="D73" s="10">
        <f t="shared" si="49"/>
        <v>309.25893865261571</v>
      </c>
      <c r="E73" s="10">
        <f t="shared" si="49"/>
        <v>321.85476603403043</v>
      </c>
      <c r="F73" s="10">
        <f t="shared" si="49"/>
        <v>320.31746759631454</v>
      </c>
      <c r="G73" s="10">
        <f t="shared" si="49"/>
        <v>325.34402349768953</v>
      </c>
      <c r="H73" s="10">
        <f t="shared" si="49"/>
        <v>318.66303353984182</v>
      </c>
      <c r="I73" s="10">
        <f t="shared" si="49"/>
        <v>341.292482078099</v>
      </c>
      <c r="J73" s="10">
        <f t="shared" si="49"/>
        <v>345.61894500264697</v>
      </c>
      <c r="K73" s="10">
        <f t="shared" si="49"/>
        <v>232.73572868406143</v>
      </c>
      <c r="L73" s="10">
        <f t="shared" si="49"/>
        <v>350.4748577844336</v>
      </c>
      <c r="M73" s="10">
        <f t="shared" si="49"/>
        <v>350.57178040020523</v>
      </c>
      <c r="N73" s="10">
        <f t="shared" si="49"/>
        <v>374.89926026864202</v>
      </c>
      <c r="O73" s="10">
        <f t="shared" si="49"/>
        <v>401.69168408557334</v>
      </c>
    </row>
    <row r="74" spans="1:16" x14ac:dyDescent="0.25">
      <c r="A74" s="1" t="s">
        <v>91</v>
      </c>
      <c r="B74" s="10">
        <f t="shared" ref="B74:O74" si="50">(B21+B27)/B68</f>
        <v>106.33855125844076</v>
      </c>
      <c r="C74" s="10">
        <f t="shared" si="50"/>
        <v>110.31508003369839</v>
      </c>
      <c r="D74" s="10">
        <f t="shared" si="50"/>
        <v>112.21809623430963</v>
      </c>
      <c r="E74" s="10">
        <f t="shared" si="50"/>
        <v>118.99786488209038</v>
      </c>
      <c r="F74" s="10">
        <f t="shared" si="50"/>
        <v>121.89530988274697</v>
      </c>
      <c r="G74" s="10">
        <f t="shared" si="50"/>
        <v>130.31244522348783</v>
      </c>
      <c r="H74" s="10">
        <f t="shared" si="50"/>
        <v>116.21003039513671</v>
      </c>
      <c r="I74" s="10">
        <f t="shared" si="50"/>
        <v>129.41496815286592</v>
      </c>
      <c r="J74" s="10">
        <f t="shared" si="50"/>
        <v>124.33836086404067</v>
      </c>
      <c r="K74" s="10">
        <f t="shared" si="50"/>
        <v>90.361677061676815</v>
      </c>
      <c r="L74" s="10">
        <f t="shared" si="50"/>
        <v>134.39119000657445</v>
      </c>
      <c r="M74" s="10">
        <f t="shared" si="50"/>
        <v>126.41942009440319</v>
      </c>
      <c r="N74" s="10">
        <f t="shared" si="50"/>
        <v>149.66544117647058</v>
      </c>
      <c r="O74" s="10">
        <f t="shared" si="50"/>
        <v>128.91468427830651</v>
      </c>
    </row>
    <row r="75" spans="1:16" x14ac:dyDescent="0.25">
      <c r="A75" s="1" t="s">
        <v>330</v>
      </c>
      <c r="B75" s="10">
        <f t="shared" ref="B75:O75" si="51">+B30/B70</f>
        <v>246.61653015636634</v>
      </c>
      <c r="C75" s="10">
        <f t="shared" si="51"/>
        <v>268.97426956835398</v>
      </c>
      <c r="D75" s="10">
        <f t="shared" si="51"/>
        <v>284.46838191748373</v>
      </c>
      <c r="E75" s="10">
        <f t="shared" si="51"/>
        <v>298.77911331834906</v>
      </c>
      <c r="F75" s="10">
        <f t="shared" si="51"/>
        <v>301.18201356917638</v>
      </c>
      <c r="G75" s="10">
        <f t="shared" si="51"/>
        <v>306.03547418655154</v>
      </c>
      <c r="H75" s="10">
        <f t="shared" si="51"/>
        <v>299.35478017199722</v>
      </c>
      <c r="I75" s="10">
        <f t="shared" si="51"/>
        <v>318.7315983421264</v>
      </c>
      <c r="J75" s="10">
        <f t="shared" si="51"/>
        <v>318.66107817337689</v>
      </c>
      <c r="K75" s="10">
        <f t="shared" si="51"/>
        <v>217.78987123526889</v>
      </c>
      <c r="L75" s="10">
        <f t="shared" si="51"/>
        <v>323.5551052502272</v>
      </c>
      <c r="M75" s="10">
        <f t="shared" si="51"/>
        <v>320.96562166013535</v>
      </c>
      <c r="N75" s="10">
        <f t="shared" si="51"/>
        <v>339.68451305633317</v>
      </c>
      <c r="O75" s="10">
        <f t="shared" si="51"/>
        <v>355.44984342526504</v>
      </c>
    </row>
  </sheetData>
  <sortState ref="A33:P47">
    <sortCondition ref="A33:A47"/>
  </sortState>
  <pageMargins left="0.7" right="0.7" top="0.25" bottom="0.25" header="0.3" footer="0.3"/>
  <pageSetup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c4a8a5-9deb-4ac7-9bb0-04675e3754a3" xsi:nil="true"/>
    <lcf76f155ced4ddcb4097134ff3c332f xmlns="aa8b539e-5a42-4053-8a1f-20f8e54e164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F7E8397148DB498F5B43E624F4E4B1" ma:contentTypeVersion="15" ma:contentTypeDescription="Create a new document." ma:contentTypeScope="" ma:versionID="803a4527bb82a0b341cb692dec439af1">
  <xsd:schema xmlns:xsd="http://www.w3.org/2001/XMLSchema" xmlns:xs="http://www.w3.org/2001/XMLSchema" xmlns:p="http://schemas.microsoft.com/office/2006/metadata/properties" xmlns:ns2="aa8b539e-5a42-4053-8a1f-20f8e54e164f" xmlns:ns3="d8c4a8a5-9deb-4ac7-9bb0-04675e3754a3" targetNamespace="http://schemas.microsoft.com/office/2006/metadata/properties" ma:root="true" ma:fieldsID="cb8a732aa9a555e9ab0ca1f5a0925324" ns2:_="" ns3:_="">
    <xsd:import namespace="aa8b539e-5a42-4053-8a1f-20f8e54e164f"/>
    <xsd:import namespace="d8c4a8a5-9deb-4ac7-9bb0-04675e3754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b539e-5a42-4053-8a1f-20f8e54e16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c2dd9a6-8483-4555-a8f4-00fbe5822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4a8a5-9deb-4ac7-9bb0-04675e3754a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024e9b7-97ba-4d67-a37f-819381919c00}" ma:internalName="TaxCatchAll" ma:showField="CatchAllData" ma:web="d8c4a8a5-9deb-4ac7-9bb0-04675e3754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2D4C6D-8B8F-40CF-8437-AFFB42B6909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a8b539e-5a42-4053-8a1f-20f8e54e164f"/>
    <ds:schemaRef ds:uri="http://purl.org/dc/elements/1.1/"/>
    <ds:schemaRef ds:uri="http://schemas.microsoft.com/office/2006/metadata/properties"/>
    <ds:schemaRef ds:uri="http://purl.org/dc/terms/"/>
    <ds:schemaRef ds:uri="d8c4a8a5-9deb-4ac7-9bb0-04675e3754a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495F675-7D76-4830-B68B-5A8C8E5C47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78ADF1-5992-4B3A-B050-E6D03E7FB7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8b539e-5a42-4053-8a1f-20f8e54e164f"/>
    <ds:schemaRef ds:uri="d8c4a8a5-9deb-4ac7-9bb0-04675e3754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6</vt:i4>
      </vt:variant>
    </vt:vector>
  </HeadingPairs>
  <TitlesOfParts>
    <vt:vector size="35" baseType="lpstr">
      <vt:lpstr>BAM - 2020</vt:lpstr>
      <vt:lpstr>BAM - 2021</vt:lpstr>
      <vt:lpstr>BAM - 2022</vt:lpstr>
      <vt:lpstr>BAM - 2023</vt:lpstr>
      <vt:lpstr>BAM - 2024 FORECAST</vt:lpstr>
      <vt:lpstr>BAM - 2025 PLANNING</vt:lpstr>
      <vt:lpstr>ER Ratio History</vt:lpstr>
      <vt:lpstr>Net Tuition AY</vt:lpstr>
      <vt:lpstr>Net Tuition Summer</vt:lpstr>
      <vt:lpstr>Appropriations</vt:lpstr>
      <vt:lpstr>Weighted Rev Allocation</vt:lpstr>
      <vt:lpstr>Wtd Rev Alloc - Revised</vt:lpstr>
      <vt:lpstr>Research Allocation</vt:lpstr>
      <vt:lpstr>Research Data-Awards</vt:lpstr>
      <vt:lpstr>Major Allocation - Original</vt:lpstr>
      <vt:lpstr>Majors - Details - Original</vt:lpstr>
      <vt:lpstr>Major Allocation - Revised</vt:lpstr>
      <vt:lpstr>Majors - Details - Revised</vt:lpstr>
      <vt:lpstr>AY Credit Hour Allocation</vt:lpstr>
      <vt:lpstr>Summer Credit Hour Allocation</vt:lpstr>
      <vt:lpstr>State SCH</vt:lpstr>
      <vt:lpstr>Historical College Expenses</vt:lpstr>
      <vt:lpstr>Library Expenses</vt:lpstr>
      <vt:lpstr>Charts Inflation Adj Exp SCH</vt:lpstr>
      <vt:lpstr>Charts Historical Exp No 2</vt:lpstr>
      <vt:lpstr>Humanties and Sciences Options</vt:lpstr>
      <vt:lpstr>Actual Spending</vt:lpstr>
      <vt:lpstr>Budgeted FY21</vt:lpstr>
      <vt:lpstr>To Do List</vt:lpstr>
      <vt:lpstr>'BAM - 2020'!Print_Area</vt:lpstr>
      <vt:lpstr>'BAM - 2021'!Print_Area</vt:lpstr>
      <vt:lpstr>'BAM - 2022'!Print_Area</vt:lpstr>
      <vt:lpstr>'BAM - 2023'!Print_Area</vt:lpstr>
      <vt:lpstr>'BAM - 2024 FORECAST'!Print_Area</vt:lpstr>
      <vt:lpstr>'BAM - 2025 PLANNING'!Print_Area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Eve, Stacey</dc:creator>
  <cp:keywords/>
  <dc:description/>
  <cp:lastModifiedBy>Lasiter, Paul</cp:lastModifiedBy>
  <cp:revision/>
  <dcterms:created xsi:type="dcterms:W3CDTF">2019-10-28T21:43:00Z</dcterms:created>
  <dcterms:modified xsi:type="dcterms:W3CDTF">2024-03-27T19:07:23Z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0x01010006F7E8397148DB498F5B43E624F4E4B1</vt:lpwstr>
  </property>
  <property fmtid="{D5CDD505-2E9C-101B-9397-08002B2CF9AE}" pid="3" name="MediaServiceImageTags">
    <vt:lpwstr/>
  </property>
</Properties>
</file>