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HP\"/>
    </mc:Choice>
  </mc:AlternateContent>
  <xr:revisionPtr revIDLastSave="0" documentId="8_{2D57F169-ED87-4792-8474-9171F2C40906}" xr6:coauthVersionLast="36" xr6:coauthVersionMax="36" xr10:uidLastSave="{00000000-0000-0000-0000-000000000000}"/>
  <bookViews>
    <workbookView xWindow="0" yWindow="0" windowWidth="19200" windowHeight="6650" xr2:uid="{6C051EDE-826F-4B38-8F29-05276ED49F3E}"/>
  </bookViews>
  <sheets>
    <sheet name="GHG acct" sheetId="1" r:id="rId1"/>
    <sheet name="eGRID Table" sheetId="2" r:id="rId2"/>
  </sheets>
  <definedNames>
    <definedName name="Electric_Emission_Factors">'GHG acct'!$A$44:$B$51</definedName>
  </definedNames>
  <calcPr calcId="191029" iterate="1" iterateDelta="0.0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6" i="1"/>
  <c r="C46" i="1"/>
  <c r="C45" i="1"/>
  <c r="C44" i="1"/>
  <c r="E44" i="1" s="1"/>
  <c r="E47" i="1" s="1"/>
  <c r="E54" i="1" l="1"/>
  <c r="E53" i="1"/>
  <c r="D52" i="1"/>
  <c r="E52" i="1" s="1"/>
  <c r="D51" i="1"/>
  <c r="E51" i="1" s="1"/>
  <c r="E5" i="1" l="1"/>
  <c r="C14" i="1"/>
  <c r="C8" i="1"/>
  <c r="E36" i="1" l="1"/>
  <c r="E38" i="1"/>
  <c r="E37" i="1"/>
  <c r="E39" i="1" l="1"/>
  <c r="E40" i="1" s="1"/>
  <c r="F15" i="1" l="1"/>
  <c r="B16" i="1"/>
  <c r="C16" i="1" s="1"/>
  <c r="F14" i="1"/>
  <c r="D19" i="1"/>
  <c r="E19" i="1" s="1"/>
  <c r="B9" i="1"/>
  <c r="C9" i="1" s="1"/>
  <c r="D10" i="1"/>
  <c r="E10" i="1" s="1"/>
  <c r="E20" i="1" l="1"/>
  <c r="D11" i="1"/>
  <c r="E11" i="1"/>
  <c r="B20" i="1"/>
  <c r="C20" i="1"/>
  <c r="F20" i="1"/>
  <c r="B7" i="1"/>
  <c r="C7" i="1" s="1"/>
  <c r="D20" i="1"/>
  <c r="C11" i="1" l="1"/>
  <c r="G11" i="1" s="1"/>
  <c r="G20" i="1"/>
  <c r="G21" i="1" l="1"/>
  <c r="G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Kerns, Brian P.</author>
  </authors>
  <commentList>
    <comment ref="A8" authorId="0" shapeId="0" xr:uid="{DF96C57A-A7E2-406C-AF88-678A663539A0}">
      <text>
        <r>
          <rPr>
            <b/>
            <sz val="9"/>
            <color indexed="81"/>
            <rFont val="Tahoma"/>
            <family val="2"/>
          </rPr>
          <t>Kerns, Brian P.:</t>
        </r>
        <r>
          <rPr>
            <sz val="9"/>
            <color indexed="81"/>
            <rFont val="Tahoma"/>
            <family val="2"/>
          </rPr>
          <t xml:space="preserve">
From Utility Rate Analyses for CHPV6 sum(s5:w5) (May - Sep)
</t>
        </r>
      </text>
    </comment>
    <comment ref="A9" authorId="0" shapeId="0" xr:uid="{56F46CE7-2F56-4A54-900C-F40AE50031C0}">
      <text>
        <r>
          <rPr>
            <b/>
            <sz val="9"/>
            <color indexed="81"/>
            <rFont val="Tahoma"/>
            <family val="2"/>
          </rPr>
          <t>Kerns, Brian P.:</t>
        </r>
        <r>
          <rPr>
            <sz val="9"/>
            <color indexed="81"/>
            <rFont val="Tahoma"/>
            <family val="2"/>
          </rPr>
          <t xml:space="preserve">
Estimated: 1 week/yr during winter (Oct-Apr): 7days/212days=3.3%
</t>
        </r>
      </text>
    </comment>
    <comment ref="D10" authorId="0" shapeId="0" xr:uid="{0DCF2040-AD91-47F7-A20E-5D7932760308}">
      <text>
        <r>
          <rPr>
            <b/>
            <sz val="9"/>
            <color indexed="81"/>
            <rFont val="Tahoma"/>
            <family val="2"/>
          </rPr>
          <t>Kerns, Brian P.:</t>
        </r>
        <r>
          <rPr>
            <sz val="9"/>
            <color indexed="81"/>
            <rFont val="Tahoma"/>
            <family val="2"/>
          </rPr>
          <t xml:space="preserve">
From Utility Rate Analyses for CHPV6, sum(ac62Lan62) for jan-dec 2018
</t>
        </r>
      </text>
    </comment>
    <comment ref="B11" authorId="0" shapeId="0" xr:uid="{3B48091B-B4FE-49CF-9087-494354A158F8}">
      <text>
        <r>
          <rPr>
            <b/>
            <sz val="9"/>
            <color indexed="81"/>
            <rFont val="Tahoma"/>
            <family val="2"/>
          </rPr>
          <t>Kerns, Brian P.:</t>
        </r>
        <r>
          <rPr>
            <sz val="9"/>
            <color indexed="81"/>
            <rFont val="Tahoma"/>
            <family val="2"/>
          </rPr>
          <t xml:space="preserve">
Utility Rate Analyses for CHPV6, sum(p5:aa5)
</t>
        </r>
      </text>
    </comment>
    <comment ref="B14" authorId="0" shapeId="0" xr:uid="{94AC5067-DEC3-4BE8-BA51-797E168BAA4C}">
      <text>
        <r>
          <rPr>
            <b/>
            <sz val="9"/>
            <color indexed="81"/>
            <rFont val="Tahoma"/>
            <family val="2"/>
          </rPr>
          <t>Kerns, Brian P.:</t>
        </r>
        <r>
          <rPr>
            <sz val="9"/>
            <color indexed="81"/>
            <rFont val="Tahoma"/>
            <family val="2"/>
          </rPr>
          <t xml:space="preserve">
Power Engineers - UM Steam and Power Analysis - DVH CHKS and ADDS-2-check - L7</t>
        </r>
      </text>
    </comment>
    <comment ref="F14" authorId="0" shapeId="0" xr:uid="{50EA941B-ED50-4BA5-8F5A-600416B6AD38}">
      <text>
        <r>
          <rPr>
            <b/>
            <sz val="9"/>
            <color indexed="81"/>
            <rFont val="Tahoma"/>
            <family val="2"/>
          </rPr>
          <t>Kerns, Brian P.:</t>
        </r>
        <r>
          <rPr>
            <sz val="9"/>
            <color indexed="81"/>
            <rFont val="Tahoma"/>
            <family val="2"/>
          </rPr>
          <t xml:space="preserve">
Power Engineers - UM Steam and Power Analysis - DVH CHKS and ADDS-2-check - S10</t>
        </r>
      </text>
    </comment>
    <comment ref="B16" authorId="0" shapeId="0" xr:uid="{6B645C96-8856-4690-B846-E5570627A0CD}">
      <text>
        <r>
          <rPr>
            <b/>
            <sz val="9"/>
            <color indexed="81"/>
            <rFont val="Tahoma"/>
            <family val="2"/>
          </rPr>
          <t>Kerns, Brian P.:</t>
        </r>
        <r>
          <rPr>
            <sz val="9"/>
            <color indexed="81"/>
            <rFont val="Tahoma"/>
            <family val="2"/>
          </rPr>
          <t xml:space="preserve">
Power Engineers - UM Steam and Power Analysis - DVH CHKS and ADDS-2-check - M12</t>
        </r>
      </text>
    </comment>
    <comment ref="D19" authorId="0" shapeId="0" xr:uid="{24FAFC7A-103E-490C-AA16-AEF38F2B0A55}">
      <text>
        <r>
          <rPr>
            <b/>
            <sz val="9"/>
            <color indexed="81"/>
            <rFont val="Tahoma"/>
            <family val="2"/>
          </rPr>
          <t>Kerns, Brian P.:</t>
        </r>
        <r>
          <rPr>
            <sz val="9"/>
            <color indexed="81"/>
            <rFont val="Tahoma"/>
            <family val="2"/>
          </rPr>
          <t xml:space="preserve">
Power Engineers - UM Steam and Power Analysis - DVH CHKS and ADDS-2-check - N12
</t>
        </r>
      </text>
    </comment>
  </commentList>
</comments>
</file>

<file path=xl/sharedStrings.xml><?xml version="1.0" encoding="utf-8"?>
<sst xmlns="http://schemas.openxmlformats.org/spreadsheetml/2006/main" count="80" uniqueCount="69">
  <si>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Projected annual operating levels</t>
    </r>
  </si>
  <si>
    <t>Total CHP On-Line</t>
  </si>
  <si>
    <r>
      <t xml:space="preserve">Power Purchase - NWE </t>
    </r>
    <r>
      <rPr>
        <vertAlign val="superscript"/>
        <sz val="11"/>
        <color theme="1"/>
        <rFont val="Calibri"/>
        <family val="2"/>
        <scheme val="minor"/>
      </rPr>
      <t>(1)</t>
    </r>
  </si>
  <si>
    <t>Boiler #2</t>
  </si>
  <si>
    <t>Boiler #1</t>
  </si>
  <si>
    <t>HRSG Duct Burner</t>
  </si>
  <si>
    <t>Combustion Gas Turbine</t>
  </si>
  <si>
    <r>
      <t>CHP Project On-Line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</si>
  <si>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Total Base Year</t>
  </si>
  <si>
    <t>Boiler #3</t>
  </si>
  <si>
    <t>Actual to Projected Emissions Comparison, Firing Natural Gas</t>
  </si>
  <si>
    <t>UM Heating Plant Before and After CHP Project on-line</t>
  </si>
  <si>
    <t>Greenhouse Gas Accounting for CHP Project</t>
  </si>
  <si>
    <t>Steam Turbine</t>
  </si>
  <si>
    <t>UM Power Produced MWh</t>
  </si>
  <si>
    <t>NWE Power Purchased MWh</t>
  </si>
  <si>
    <r>
      <t>Boiler #1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</si>
  <si>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Boiler #2</t>
    </r>
    <r>
      <rPr>
        <vertAlign val="superscript"/>
        <sz val="11"/>
        <color theme="1"/>
        <rFont val="Calibri"/>
        <family val="2"/>
        <scheme val="minor"/>
      </rPr>
      <t>(3)</t>
    </r>
  </si>
  <si>
    <r>
      <rPr>
        <vertAlign val="superscript"/>
        <sz val="11"/>
        <color theme="1"/>
        <rFont val="Calibri"/>
        <family val="2"/>
        <scheme val="minor"/>
      </rPr>
      <t xml:space="preserve">(4) </t>
    </r>
    <r>
      <rPr>
        <sz val="11"/>
        <color theme="1"/>
        <rFont val="Calibri"/>
        <family val="2"/>
        <scheme val="minor"/>
      </rPr>
      <t>GHG Emissions Factors from 40 CFR 98, Subpart C: Table C-1 &amp; C-2, GWP from Subpart A: Table A-1</t>
    </r>
  </si>
  <si>
    <t>GHG Source                    Base Year: 2018</t>
  </si>
  <si>
    <r>
      <t>GHG Emissions: Total Mt/year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</si>
  <si>
    <t>40 CFR Appendix Table C-1 to Subpart C</t>
  </si>
  <si>
    <t>kgCO2/MMBtu</t>
  </si>
  <si>
    <t>Natural Gas Default CO2 Emission Factor</t>
  </si>
  <si>
    <t>kg CH4/MMBtu</t>
  </si>
  <si>
    <t>MTCO2e/MWh</t>
  </si>
  <si>
    <t>GWP</t>
  </si>
  <si>
    <t>Savings in GHG Emissions</t>
  </si>
  <si>
    <t>lb/MWh</t>
  </si>
  <si>
    <t>MT/MWh</t>
  </si>
  <si>
    <t>CH4</t>
  </si>
  <si>
    <t>N2O</t>
  </si>
  <si>
    <t>CO2</t>
  </si>
  <si>
    <t>Total:</t>
  </si>
  <si>
    <t>Scope 2 Emission Factor:</t>
  </si>
  <si>
    <r>
      <t>GHG Scope 1 Emissions: Combustion Mt/year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  <r>
      <rPr>
        <vertAlign val="superscript"/>
        <sz val="11"/>
        <color theme="1"/>
        <rFont val="Calibri"/>
        <family val="2"/>
        <scheme val="minor"/>
      </rPr>
      <t>(4)</t>
    </r>
  </si>
  <si>
    <r>
      <t>GHG Scope 2 Emissions: Power Purchase Mt/year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  <r>
      <rPr>
        <vertAlign val="superscript"/>
        <sz val="11"/>
        <color theme="1"/>
        <rFont val="Calibri"/>
        <family val="2"/>
        <scheme val="minor"/>
      </rPr>
      <t>(5)</t>
    </r>
  </si>
  <si>
    <t>Actual Natural Gas Heat Input MMBtu/year</t>
  </si>
  <si>
    <t>kg N2O/MMBtu</t>
  </si>
  <si>
    <t>kgCO2e/MMBtu</t>
  </si>
  <si>
    <t>Emission Factors</t>
  </si>
  <si>
    <t>EPA Emissions Hub for Non-Baseload NWPP GHG EF:</t>
  </si>
  <si>
    <t>Total Projected GHG Emissions Reduction:</t>
  </si>
  <si>
    <t>Scope 1 Emission Factor:</t>
  </si>
  <si>
    <t>MTCO2e/MMBtu</t>
  </si>
  <si>
    <t>Non-Baseload EF from EPA eGRID NWPP Region:</t>
  </si>
  <si>
    <t>STARS Program Calculations, OP2</t>
  </si>
  <si>
    <t>Square Footage of Campus Served</t>
  </si>
  <si>
    <t>GHG Emissions: Total Mt/year CO2e</t>
  </si>
  <si>
    <t>GHG Emissions: kg/year CO2e</t>
  </si>
  <si>
    <t>GHG Emissions per Square Foot</t>
  </si>
  <si>
    <t xml:space="preserve">2018 Actual </t>
  </si>
  <si>
    <t>Under the Proposed CHP Project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</si>
  <si>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NWE Power Purchase</t>
    </r>
    <r>
      <rPr>
        <vertAlign val="superscript"/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includes transmission losses estimated at 5.1 % of load - per EPA eGRID 2019 Grid Gross Loss</t>
    </r>
  </si>
  <si>
    <t xml:space="preserve">   Link here</t>
  </si>
  <si>
    <t xml:space="preserve">   for western US.  </t>
  </si>
  <si>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CHP plant is capable of 70,000 lbs/hr of steam production with duct burner. During the base year of 2018, there </t>
    </r>
  </si>
  <si>
    <t xml:space="preserve">   were no hours in the year that exceeded 70,000 lbs/hr, so there wouldappear to be no need to engage either </t>
  </si>
  <si>
    <t xml:space="preserve">   of the existing heating plant boilers. Maximum steam usage was 63,240 lbs/hr.</t>
  </si>
  <si>
    <t>Natural Gas Default CH4 Emission Factor</t>
  </si>
  <si>
    <t>Natural Gas Default N2O Emission Factor</t>
  </si>
  <si>
    <t>Benchmark Reduction:</t>
  </si>
  <si>
    <t>Percentage Reduction:</t>
  </si>
  <si>
    <t>1 metric ton =</t>
  </si>
  <si>
    <t>lbs</t>
  </si>
  <si>
    <t xml:space="preserve">   Combined Heat and Power Technical Assistance Partnership (NW CHP TAP)</t>
  </si>
  <si>
    <r>
      <rPr>
        <vertAlign val="superscript"/>
        <sz val="11"/>
        <color theme="1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>Apply 2019 eGRID GHG Emissions Factor for NWPP Region, Non-Baseload per recommendation of US DOE Northwest</t>
    </r>
  </si>
  <si>
    <t>link here</t>
  </si>
  <si>
    <t>Screen shot of EPA Emissions Hub captured 5/6/2021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</si>
</sst>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_);_(@_)"/>
    <numFmt numFmtId="169" formatCode="_(* #,##0.00000000_);_(* \(#,##0.000000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5" fillId="0" borderId="0" xfId="2"/>
    <xf numFmtId="164" fontId="0" fillId="0" borderId="0" xfId="0" applyNumberFormat="1"/>
    <xf numFmtId="165" fontId="0" fillId="0" borderId="0" xfId="0" applyNumberForma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166" fontId="0" fillId="0" borderId="0" xfId="1" applyNumberFormat="1" applyFont="1"/>
    <xf numFmtId="167" fontId="0" fillId="0" borderId="0" xfId="1" applyNumberFormat="1" applyFont="1"/>
    <xf numFmtId="10" fontId="0" fillId="0" borderId="0" xfId="3" applyNumberFormat="1" applyFo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164" fontId="0" fillId="0" borderId="0" xfId="1" applyNumberFormat="1" applyFont="1" applyBorder="1"/>
    <xf numFmtId="0" fontId="0" fillId="0" borderId="0" xfId="0" applyBorder="1"/>
    <xf numFmtId="0" fontId="0" fillId="0" borderId="5" xfId="0" applyBorder="1"/>
    <xf numFmtId="0" fontId="1" fillId="0" borderId="6" xfId="0" applyFont="1" applyBorder="1"/>
    <xf numFmtId="164" fontId="0" fillId="0" borderId="7" xfId="1" applyNumberFormat="1" applyFont="1" applyBorder="1"/>
    <xf numFmtId="164" fontId="0" fillId="0" borderId="7" xfId="0" applyNumberFormat="1" applyBorder="1"/>
    <xf numFmtId="0" fontId="0" fillId="0" borderId="7" xfId="0" applyBorder="1"/>
    <xf numFmtId="164" fontId="1" fillId="0" borderId="8" xfId="0" applyNumberFormat="1" applyFont="1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0" xfId="0" applyFont="1" applyBorder="1"/>
    <xf numFmtId="164" fontId="0" fillId="0" borderId="0" xfId="0" applyNumberFormat="1" applyBorder="1"/>
    <xf numFmtId="164" fontId="1" fillId="0" borderId="0" xfId="0" applyNumberFormat="1" applyFont="1" applyBorder="1"/>
    <xf numFmtId="9" fontId="1" fillId="2" borderId="0" xfId="3" applyNumberFormat="1" applyFont="1" applyFill="1"/>
    <xf numFmtId="164" fontId="0" fillId="0" borderId="5" xfId="0" applyNumberFormat="1" applyBorder="1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wrapText="1"/>
    </xf>
    <xf numFmtId="165" fontId="0" fillId="0" borderId="5" xfId="0" applyNumberFormat="1" applyBorder="1" applyAlignment="1">
      <alignment horizontal="center"/>
    </xf>
    <xf numFmtId="10" fontId="0" fillId="0" borderId="0" xfId="3" applyNumberFormat="1" applyFont="1" applyBorder="1"/>
    <xf numFmtId="0" fontId="0" fillId="0" borderId="0" xfId="0" applyBorder="1" applyAlignment="1">
      <alignment horizontal="right"/>
    </xf>
    <xf numFmtId="0" fontId="0" fillId="0" borderId="6" xfId="0" applyBorder="1"/>
    <xf numFmtId="10" fontId="0" fillId="0" borderId="7" xfId="3" applyNumberFormat="1" applyFont="1" applyBorder="1"/>
    <xf numFmtId="0" fontId="0" fillId="0" borderId="7" xfId="0" applyBorder="1" applyAlignment="1">
      <alignment horizontal="right"/>
    </xf>
    <xf numFmtId="9" fontId="0" fillId="2" borderId="8" xfId="3" applyFont="1" applyFill="1" applyBorder="1" applyAlignment="1">
      <alignment horizontal="center"/>
    </xf>
    <xf numFmtId="0" fontId="0" fillId="0" borderId="0" xfId="0" applyFont="1"/>
    <xf numFmtId="169" fontId="0" fillId="0" borderId="0" xfId="0" applyNumberFormat="1" applyFill="1"/>
    <xf numFmtId="0" fontId="0" fillId="0" borderId="0" xfId="0" applyFill="1"/>
    <xf numFmtId="166" fontId="0" fillId="0" borderId="0" xfId="1" applyNumberFormat="1" applyFon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8" fontId="0" fillId="0" borderId="0" xfId="1" applyNumberFormat="1" applyFont="1" applyFill="1"/>
    <xf numFmtId="10" fontId="0" fillId="0" borderId="0" xfId="0" applyNumberFormat="1" applyFill="1"/>
    <xf numFmtId="43" fontId="0" fillId="0" borderId="0" xfId="1" applyFont="1" applyFill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18</xdr:col>
      <xdr:colOff>1446</xdr:colOff>
      <xdr:row>31</xdr:row>
      <xdr:rowOff>181694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D42B59-480F-4DA1-88F4-0A698F663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36600"/>
          <a:ext cx="10364646" cy="5153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Relationship Id="rId4" Type="http://schemas.openxmlformats.org/officeDocument/2006/relationships/comments" Target="../comments1.xml"/></Relationships>

</file>

<file path=xl/worksheets/_rels/sheet2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6322E-2D88-4B9F-BD59-08BF046D47FF}">
  <dimension ref="A1:H63"/>
  <sheetViews>
    <sheetView tabSelected="1" zoomScale="80" zoomScaleNormal="80" workbookViewId="0"/>
  </sheetViews>
  <sheetFormatPr defaultRowHeight="14.5" x14ac:dyDescent="0.35"/>
  <cols>
    <col min="1" max="1" width="43" customWidth="1"/>
    <col min="2" max="2" width="15.453125" customWidth="1"/>
    <col min="3" max="3" width="16.1796875" customWidth="1"/>
    <col min="4" max="4" width="11.54296875" customWidth="1"/>
    <col min="5" max="5" width="16.54296875" customWidth="1"/>
    <col min="6" max="6" width="11.54296875" customWidth="1"/>
    <col min="7" max="7" width="17.26953125" customWidth="1"/>
  </cols>
  <sheetData>
    <row r="1" spans="1:7" x14ac:dyDescent="0.35">
      <c r="A1" s="1" t="s">
        <v>12</v>
      </c>
    </row>
    <row r="2" spans="1:7" x14ac:dyDescent="0.35">
      <c r="A2" t="s">
        <v>11</v>
      </c>
    </row>
    <row r="3" spans="1:7" x14ac:dyDescent="0.35">
      <c r="A3" t="s">
        <v>10</v>
      </c>
    </row>
    <row r="4" spans="1:7" ht="15.5" x14ac:dyDescent="0.35">
      <c r="A4" s="6"/>
    </row>
    <row r="5" spans="1:7" x14ac:dyDescent="0.35">
      <c r="A5" s="5"/>
      <c r="D5" s="31" t="s">
        <v>41</v>
      </c>
      <c r="E5" s="9">
        <f>E47</f>
        <v>0.73842842031205713</v>
      </c>
      <c r="F5" t="s">
        <v>25</v>
      </c>
    </row>
    <row r="6" spans="1:7" ht="61.5" customHeight="1" x14ac:dyDescent="0.45">
      <c r="A6" s="30" t="s">
        <v>19</v>
      </c>
      <c r="B6" s="11" t="s">
        <v>37</v>
      </c>
      <c r="C6" s="11" t="s">
        <v>35</v>
      </c>
      <c r="D6" s="11" t="s">
        <v>15</v>
      </c>
      <c r="E6" s="11" t="s">
        <v>36</v>
      </c>
      <c r="F6" s="11" t="s">
        <v>14</v>
      </c>
      <c r="G6" s="12" t="s">
        <v>20</v>
      </c>
    </row>
    <row r="7" spans="1:7" x14ac:dyDescent="0.35">
      <c r="A7" s="13" t="s">
        <v>4</v>
      </c>
      <c r="B7" s="14">
        <f>B11-SUM(B8:B9)</f>
        <v>197494.29245283018</v>
      </c>
      <c r="C7" s="14">
        <f>(B7*$B$36*$D$36+B7*$B$37*$D$37+B7*$B$38*$D$38)/1000</f>
        <v>10489.869844773586</v>
      </c>
      <c r="D7" s="15"/>
      <c r="E7" s="15"/>
      <c r="F7" s="15"/>
      <c r="G7" s="29"/>
    </row>
    <row r="8" spans="1:7" x14ac:dyDescent="0.35">
      <c r="A8" s="13" t="s">
        <v>3</v>
      </c>
      <c r="B8" s="14">
        <v>47527</v>
      </c>
      <c r="C8" s="14">
        <f>(B8*$B$36*$D$36+B8*$B$37*$D$37+B8*$B$38*$D$38)/1000</f>
        <v>2524.3870996000001</v>
      </c>
      <c r="D8" s="15"/>
      <c r="E8" s="15"/>
      <c r="F8" s="15"/>
      <c r="G8" s="29"/>
    </row>
    <row r="9" spans="1:7" x14ac:dyDescent="0.35">
      <c r="A9" s="13" t="s">
        <v>9</v>
      </c>
      <c r="B9" s="14">
        <f>(B11-B8)/212*7</f>
        <v>6743.7075471698108</v>
      </c>
      <c r="C9" s="14">
        <f>(B9*$B$36*$D$36+B9*$B$37*$D$37+B9*$B$38*$D$38)/1000</f>
        <v>358.19067762641509</v>
      </c>
      <c r="D9" s="15"/>
      <c r="E9" s="15"/>
      <c r="F9" s="15"/>
      <c r="G9" s="29"/>
    </row>
    <row r="10" spans="1:7" ht="16.5" x14ac:dyDescent="0.35">
      <c r="A10" s="13" t="s">
        <v>2</v>
      </c>
      <c r="B10" s="15"/>
      <c r="C10" s="15"/>
      <c r="D10" s="14">
        <f>34240341/1000/(1-0.051)</f>
        <v>36080.443624868283</v>
      </c>
      <c r="E10" s="14">
        <f>D10*$E$5</f>
        <v>26642.824990069719</v>
      </c>
      <c r="F10" s="15"/>
      <c r="G10" s="16"/>
    </row>
    <row r="11" spans="1:7" x14ac:dyDescent="0.35">
      <c r="A11" s="17" t="s">
        <v>8</v>
      </c>
      <c r="B11" s="18">
        <v>251765</v>
      </c>
      <c r="C11" s="18">
        <f>SUM(C7:C9)</f>
        <v>13372.447622000002</v>
      </c>
      <c r="D11" s="19">
        <f>D10</f>
        <v>36080.443624868283</v>
      </c>
      <c r="E11" s="19">
        <f>+E10</f>
        <v>26642.824990069719</v>
      </c>
      <c r="F11" s="20"/>
      <c r="G11" s="21">
        <f>C11+E11</f>
        <v>40015.272612069719</v>
      </c>
    </row>
    <row r="12" spans="1:7" x14ac:dyDescent="0.35">
      <c r="B12" s="3"/>
      <c r="C12" s="3"/>
    </row>
    <row r="13" spans="1:7" ht="16.5" x14ac:dyDescent="0.35">
      <c r="A13" s="22" t="s">
        <v>7</v>
      </c>
      <c r="B13" s="23"/>
      <c r="C13" s="23"/>
      <c r="D13" s="23"/>
      <c r="E13" s="23"/>
      <c r="F13" s="23"/>
      <c r="G13" s="24"/>
    </row>
    <row r="14" spans="1:7" x14ac:dyDescent="0.35">
      <c r="A14" s="13" t="s">
        <v>6</v>
      </c>
      <c r="B14" s="14">
        <v>431900.09186098078</v>
      </c>
      <c r="C14" s="14">
        <f>(B14*$B$36*$D$36+B14*$B$37*$D$37+B14*$B$38*$D$38)/1000</f>
        <v>22940.286999177624</v>
      </c>
      <c r="D14" s="15"/>
      <c r="E14" s="15"/>
      <c r="F14" s="14">
        <f>24422228.6271247/1000</f>
        <v>24422.228627124699</v>
      </c>
      <c r="G14" s="16"/>
    </row>
    <row r="15" spans="1:7" x14ac:dyDescent="0.35">
      <c r="A15" s="13" t="s">
        <v>13</v>
      </c>
      <c r="B15" s="14"/>
      <c r="C15" s="14"/>
      <c r="D15" s="15"/>
      <c r="E15" s="15"/>
      <c r="F15" s="14">
        <f>7087186.91709858/1000</f>
        <v>7087.1869170985801</v>
      </c>
      <c r="G15" s="16"/>
    </row>
    <row r="16" spans="1:7" x14ac:dyDescent="0.35">
      <c r="A16" s="13" t="s">
        <v>5</v>
      </c>
      <c r="B16" s="14">
        <f>453789.601445109-B14</f>
        <v>21889.509584128216</v>
      </c>
      <c r="C16" s="14">
        <f>(B16*$B$36*$D$36+B16*$B$37*$D$37+B16*$B$38*$D$38)/1000</f>
        <v>1162.6569236590533</v>
      </c>
      <c r="D16" s="15"/>
      <c r="E16" s="15"/>
      <c r="F16" s="15"/>
      <c r="G16" s="16"/>
    </row>
    <row r="17" spans="1:8" ht="16.5" x14ac:dyDescent="0.35">
      <c r="A17" s="13" t="s">
        <v>16</v>
      </c>
      <c r="B17" s="15">
        <v>0</v>
      </c>
      <c r="C17" s="15"/>
      <c r="D17" s="15"/>
      <c r="E17" s="15"/>
      <c r="F17" s="15"/>
      <c r="G17" s="16"/>
    </row>
    <row r="18" spans="1:8" ht="16.5" x14ac:dyDescent="0.35">
      <c r="A18" s="13" t="s">
        <v>17</v>
      </c>
      <c r="B18" s="15">
        <v>0</v>
      </c>
      <c r="C18" s="15"/>
      <c r="D18" s="15"/>
      <c r="E18" s="15"/>
      <c r="F18" s="15"/>
      <c r="G18" s="16"/>
    </row>
    <row r="19" spans="1:8" ht="16.5" x14ac:dyDescent="0.35">
      <c r="A19" s="13" t="s">
        <v>2</v>
      </c>
      <c r="B19" s="15"/>
      <c r="C19" s="15"/>
      <c r="D19" s="14">
        <f>5182995.08827023/1000/(1-0.051)</f>
        <v>5461.5332858485044</v>
      </c>
      <c r="E19" s="14">
        <f>D19*$E$5</f>
        <v>4032.9513967508301</v>
      </c>
      <c r="F19" s="15"/>
      <c r="G19" s="16"/>
    </row>
    <row r="20" spans="1:8" x14ac:dyDescent="0.35">
      <c r="A20" s="17" t="s">
        <v>1</v>
      </c>
      <c r="B20" s="19">
        <f>SUM(B14:B19)</f>
        <v>453789.601445109</v>
      </c>
      <c r="C20" s="19">
        <f>SUM(C14:C19)</f>
        <v>24102.943922836679</v>
      </c>
      <c r="D20" s="19">
        <f>SUM(D14:D19)</f>
        <v>5461.5332858485044</v>
      </c>
      <c r="E20" s="19">
        <f>E19</f>
        <v>4032.9513967508301</v>
      </c>
      <c r="F20" s="19">
        <f>SUM(F14:F19)</f>
        <v>31509.41554422328</v>
      </c>
      <c r="G20" s="21">
        <f>C20+E20</f>
        <v>28135.895319587507</v>
      </c>
      <c r="H20" s="3"/>
    </row>
    <row r="21" spans="1:8" x14ac:dyDescent="0.35">
      <c r="A21" s="25"/>
      <c r="B21" s="26"/>
      <c r="C21" s="26"/>
      <c r="D21" s="26"/>
      <c r="E21" s="1"/>
      <c r="F21" s="32" t="s">
        <v>42</v>
      </c>
      <c r="G21" s="27">
        <f>G11-G20</f>
        <v>11879.377292482211</v>
      </c>
      <c r="H21" s="3"/>
    </row>
    <row r="22" spans="1:8" x14ac:dyDescent="0.35">
      <c r="F22" s="32" t="s">
        <v>27</v>
      </c>
      <c r="G22" s="28">
        <f>(G11-G20)/G11</f>
        <v>0.29687108239015375</v>
      </c>
    </row>
    <row r="23" spans="1:8" x14ac:dyDescent="0.35">
      <c r="A23" s="1"/>
      <c r="G23" s="4"/>
    </row>
    <row r="24" spans="1:8" ht="16.5" x14ac:dyDescent="0.35">
      <c r="A24" t="s">
        <v>53</v>
      </c>
    </row>
    <row r="25" spans="1:8" x14ac:dyDescent="0.35">
      <c r="A25" t="s">
        <v>55</v>
      </c>
      <c r="B25" s="2" t="s">
        <v>54</v>
      </c>
      <c r="H25" s="2"/>
    </row>
    <row r="26" spans="1:8" ht="16.5" x14ac:dyDescent="0.35">
      <c r="A26" t="s">
        <v>0</v>
      </c>
    </row>
    <row r="27" spans="1:8" ht="16.5" x14ac:dyDescent="0.35">
      <c r="A27" t="s">
        <v>56</v>
      </c>
    </row>
    <row r="28" spans="1:8" x14ac:dyDescent="0.35">
      <c r="A28" t="s">
        <v>57</v>
      </c>
    </row>
    <row r="29" spans="1:8" x14ac:dyDescent="0.35">
      <c r="A29" t="s">
        <v>58</v>
      </c>
    </row>
    <row r="30" spans="1:8" ht="16.5" x14ac:dyDescent="0.35">
      <c r="A30" t="s">
        <v>18</v>
      </c>
    </row>
    <row r="31" spans="1:8" ht="16.5" x14ac:dyDescent="0.35">
      <c r="A31" t="s">
        <v>66</v>
      </c>
    </row>
    <row r="32" spans="1:8" x14ac:dyDescent="0.35">
      <c r="A32" s="44" t="s">
        <v>65</v>
      </c>
    </row>
    <row r="33" spans="1:7" x14ac:dyDescent="0.35">
      <c r="A33" s="44"/>
    </row>
    <row r="34" spans="1:7" x14ac:dyDescent="0.35">
      <c r="A34" t="s">
        <v>43</v>
      </c>
    </row>
    <row r="35" spans="1:7" x14ac:dyDescent="0.35">
      <c r="A35" t="s">
        <v>21</v>
      </c>
      <c r="D35" s="7" t="s">
        <v>26</v>
      </c>
      <c r="E35" t="s">
        <v>40</v>
      </c>
    </row>
    <row r="36" spans="1:7" x14ac:dyDescent="0.35">
      <c r="A36" t="s">
        <v>23</v>
      </c>
      <c r="B36">
        <v>53.06</v>
      </c>
      <c r="C36" t="s">
        <v>22</v>
      </c>
      <c r="D36">
        <v>1</v>
      </c>
      <c r="E36" s="8">
        <f>B36*D36</f>
        <v>53.06</v>
      </c>
      <c r="F36" t="s">
        <v>39</v>
      </c>
    </row>
    <row r="37" spans="1:7" x14ac:dyDescent="0.35">
      <c r="A37" t="s">
        <v>59</v>
      </c>
      <c r="B37">
        <v>1E-3</v>
      </c>
      <c r="C37" t="s">
        <v>24</v>
      </c>
      <c r="D37">
        <v>25</v>
      </c>
      <c r="E37" s="8">
        <f>B37*D37</f>
        <v>2.5000000000000001E-2</v>
      </c>
      <c r="F37" t="s">
        <v>39</v>
      </c>
    </row>
    <row r="38" spans="1:7" x14ac:dyDescent="0.35">
      <c r="A38" t="s">
        <v>60</v>
      </c>
      <c r="B38">
        <v>1E-4</v>
      </c>
      <c r="C38" t="s">
        <v>38</v>
      </c>
      <c r="D38">
        <v>298</v>
      </c>
      <c r="E38" s="8">
        <f>D38*B38</f>
        <v>2.98E-2</v>
      </c>
      <c r="F38" t="s">
        <v>39</v>
      </c>
    </row>
    <row r="39" spans="1:7" x14ac:dyDescent="0.35">
      <c r="D39" t="s">
        <v>33</v>
      </c>
      <c r="E39" s="8">
        <f>SUM(E36:E38)</f>
        <v>53.114800000000002</v>
      </c>
      <c r="F39" t="s">
        <v>39</v>
      </c>
    </row>
    <row r="40" spans="1:7" x14ac:dyDescent="0.35">
      <c r="E40" s="8">
        <f>E39/1000</f>
        <v>5.3114800000000004E-2</v>
      </c>
      <c r="F40" t="s">
        <v>44</v>
      </c>
    </row>
    <row r="41" spans="1:7" x14ac:dyDescent="0.35">
      <c r="A41" s="46" t="s">
        <v>34</v>
      </c>
      <c r="B41" s="46"/>
      <c r="C41" s="46"/>
      <c r="D41" s="46"/>
      <c r="E41" s="47"/>
      <c r="F41" s="46"/>
      <c r="G41" s="46"/>
    </row>
    <row r="42" spans="1:7" x14ac:dyDescent="0.35">
      <c r="A42" s="46" t="s">
        <v>45</v>
      </c>
      <c r="B42" s="46"/>
      <c r="C42" s="46"/>
      <c r="D42" s="46"/>
      <c r="E42" s="46"/>
      <c r="F42" s="46"/>
      <c r="G42" s="46"/>
    </row>
    <row r="43" spans="1:7" x14ac:dyDescent="0.35">
      <c r="A43" s="46"/>
      <c r="B43" s="48" t="s">
        <v>28</v>
      </c>
      <c r="C43" s="48" t="s">
        <v>29</v>
      </c>
      <c r="D43" s="49" t="s">
        <v>26</v>
      </c>
      <c r="E43" s="46" t="s">
        <v>40</v>
      </c>
      <c r="F43" s="46"/>
      <c r="G43" s="46"/>
    </row>
    <row r="44" spans="1:7" x14ac:dyDescent="0.35">
      <c r="A44" s="46" t="s">
        <v>32</v>
      </c>
      <c r="B44" s="50">
        <v>1617.5</v>
      </c>
      <c r="C44" s="45">
        <f>B44/$C$48</f>
        <v>0.73368565849123224</v>
      </c>
      <c r="D44" s="46">
        <v>1</v>
      </c>
      <c r="E44" s="45">
        <f>C44*D44</f>
        <v>0.73368565849123224</v>
      </c>
      <c r="F44" s="46" t="s">
        <v>25</v>
      </c>
      <c r="G44" s="46"/>
    </row>
    <row r="45" spans="1:7" x14ac:dyDescent="0.35">
      <c r="A45" s="46" t="s">
        <v>30</v>
      </c>
      <c r="B45" s="50">
        <v>0.156</v>
      </c>
      <c r="C45" s="45">
        <f>B45/$C$48</f>
        <v>7.076040972156552E-5</v>
      </c>
      <c r="D45" s="46">
        <v>25</v>
      </c>
      <c r="E45" s="45">
        <f t="shared" ref="E45:E46" si="0">C45*D45</f>
        <v>1.769010243039138E-3</v>
      </c>
      <c r="F45" s="46" t="s">
        <v>25</v>
      </c>
      <c r="G45" s="46"/>
    </row>
    <row r="46" spans="1:7" x14ac:dyDescent="0.35">
      <c r="A46" s="46" t="s">
        <v>31</v>
      </c>
      <c r="B46" s="50">
        <v>2.1999999999999999E-2</v>
      </c>
      <c r="C46" s="45">
        <f>B46/$C$48</f>
        <v>9.9790321402207781E-6</v>
      </c>
      <c r="D46" s="46">
        <v>298</v>
      </c>
      <c r="E46" s="45">
        <f t="shared" si="0"/>
        <v>2.973751577785792E-3</v>
      </c>
      <c r="F46" s="46" t="s">
        <v>25</v>
      </c>
      <c r="G46" s="46"/>
    </row>
    <row r="47" spans="1:7" x14ac:dyDescent="0.35">
      <c r="A47" s="46"/>
      <c r="B47" s="47"/>
      <c r="C47" s="51"/>
      <c r="D47" s="46" t="s">
        <v>33</v>
      </c>
      <c r="E47" s="45">
        <f>SUM(E44:E46)</f>
        <v>0.73842842031205713</v>
      </c>
      <c r="F47" s="46" t="s">
        <v>25</v>
      </c>
      <c r="G47" s="46"/>
    </row>
    <row r="48" spans="1:7" x14ac:dyDescent="0.35">
      <c r="A48" s="46"/>
      <c r="B48" s="48" t="s">
        <v>63</v>
      </c>
      <c r="C48" s="52">
        <v>2204.6226218000002</v>
      </c>
      <c r="D48" s="46" t="s">
        <v>64</v>
      </c>
      <c r="E48" s="46"/>
      <c r="F48" s="46"/>
      <c r="G48" s="46"/>
    </row>
    <row r="49" spans="1:5" x14ac:dyDescent="0.35">
      <c r="A49" s="22" t="s">
        <v>46</v>
      </c>
      <c r="B49" s="23"/>
      <c r="C49" s="23"/>
      <c r="D49" s="23"/>
      <c r="E49" s="24"/>
    </row>
    <row r="50" spans="1:5" ht="51" x14ac:dyDescent="0.35">
      <c r="A50" s="35"/>
      <c r="B50" s="33" t="s">
        <v>47</v>
      </c>
      <c r="C50" s="33" t="s">
        <v>48</v>
      </c>
      <c r="D50" s="33" t="s">
        <v>49</v>
      </c>
      <c r="E50" s="36" t="s">
        <v>50</v>
      </c>
    </row>
    <row r="51" spans="1:5" x14ac:dyDescent="0.35">
      <c r="A51" s="35" t="s">
        <v>51</v>
      </c>
      <c r="B51" s="34">
        <v>3269529</v>
      </c>
      <c r="C51" s="34">
        <v>40016</v>
      </c>
      <c r="D51" s="34">
        <f>C51*1000</f>
        <v>40016000</v>
      </c>
      <c r="E51" s="37">
        <f>D51/B51</f>
        <v>12.239071743972909</v>
      </c>
    </row>
    <row r="52" spans="1:5" x14ac:dyDescent="0.35">
      <c r="A52" s="35" t="s">
        <v>52</v>
      </c>
      <c r="B52" s="34">
        <v>3499740</v>
      </c>
      <c r="C52" s="34">
        <v>28136</v>
      </c>
      <c r="D52" s="34">
        <f>C52*1000</f>
        <v>28136000</v>
      </c>
      <c r="E52" s="37">
        <f>D52/B52</f>
        <v>8.0394543594667027</v>
      </c>
    </row>
    <row r="53" spans="1:5" x14ac:dyDescent="0.35">
      <c r="A53" s="13"/>
      <c r="B53" s="38"/>
      <c r="C53" s="15"/>
      <c r="D53" s="39" t="s">
        <v>61</v>
      </c>
      <c r="E53" s="37">
        <f>E51-E52</f>
        <v>4.1996173845062064</v>
      </c>
    </row>
    <row r="54" spans="1:5" x14ac:dyDescent="0.35">
      <c r="A54" s="40"/>
      <c r="B54" s="41"/>
      <c r="C54" s="20"/>
      <c r="D54" s="42" t="s">
        <v>62</v>
      </c>
      <c r="E54" s="43">
        <f>E53/E51</f>
        <v>0.3431320178815272</v>
      </c>
    </row>
    <row r="55" spans="1:5" x14ac:dyDescent="0.35">
      <c r="B55" s="10"/>
    </row>
    <row r="56" spans="1:5" x14ac:dyDescent="0.35">
      <c r="B56" s="10"/>
    </row>
    <row r="57" spans="1:5" x14ac:dyDescent="0.35">
      <c r="B57" s="10"/>
    </row>
    <row r="58" spans="1:5" x14ac:dyDescent="0.35">
      <c r="B58" s="10"/>
    </row>
    <row r="59" spans="1:5" x14ac:dyDescent="0.35">
      <c r="B59" s="10"/>
    </row>
    <row r="60" spans="1:5" x14ac:dyDescent="0.35">
      <c r="B60" s="10"/>
    </row>
    <row r="61" spans="1:5" x14ac:dyDescent="0.35">
      <c r="B61" s="10"/>
    </row>
    <row r="62" spans="1:5" x14ac:dyDescent="0.35">
      <c r="B62" s="10"/>
    </row>
    <row r="63" spans="1:5" x14ac:dyDescent="0.35">
      <c r="B63" s="10"/>
    </row>
  </sheetData>
  <hyperlinks>
    <hyperlink ref="B25" r:id="rId1" location="egrid5aa" display="link here" xr:uid="{3406AE7C-93A7-495A-975B-67C6C46C65D9}"/>
  </hyperlinks>
  <pageMargins left="0.7" right="0.7" top="0.75" bottom="0.75" header="0.3" footer="0.3"/>
  <pageSetup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C0E2B-3CA8-4941-AF46-333468D13324}">
  <dimension ref="A1:B2"/>
  <sheetViews>
    <sheetView workbookViewId="0">
      <selection activeCell="A2" sqref="A2"/>
    </sheetView>
  </sheetViews>
  <sheetFormatPr defaultRowHeight="14.5" x14ac:dyDescent="0.35"/>
  <sheetData>
    <row r="1" spans="1:2" x14ac:dyDescent="0.35">
      <c r="A1" t="s">
        <v>68</v>
      </c>
    </row>
    <row r="2" spans="1:2" x14ac:dyDescent="0.35">
      <c r="B2" s="2" t="s">
        <v>67</v>
      </c>
    </row>
  </sheetData>
  <hyperlinks>
    <hyperlink ref="B2" r:id="rId1" xr:uid="{43B529AB-A8E2-484F-9A24-2D2D9E23CA99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GHG acct</vt:lpstr>
      <vt:lpstr>eGRID Table</vt:lpstr>
      <vt:lpstr>Electric_Emission_Factors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Chaffee</dc:creator>
  <cp:lastModifiedBy>Kerns, Brian P.</cp:lastModifiedBy>
  <dcterms:created xsi:type="dcterms:W3CDTF">2021-03-23T19:43:24Z</dcterms:created>
  <dcterms:modified xsi:type="dcterms:W3CDTF">2021-05-10T12:25:43Z</dcterms:modified>
</cp:coreProperties>
</file>