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ate1904="1"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FILE DRAWERS\PreAward\Bryson\"/>
    </mc:Choice>
  </mc:AlternateContent>
  <xr:revisionPtr revIDLastSave="0" documentId="13_ncr:1_{69A3477A-B23D-4B5C-9942-7FB9747030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timation" sheetId="1" r:id="rId1"/>
    <sheet name="DMS Calculations" sheetId="22" r:id="rId2"/>
    <sheet name="BudgetForm" sheetId="17" r:id="rId3"/>
    <sheet name="Output-TravelTable" sheetId="20" r:id="rId4"/>
    <sheet name="Industry" sheetId="19" r:id="rId5"/>
    <sheet name="cayuse" sheetId="21" r:id="rId6"/>
  </sheets>
  <externalReferences>
    <externalReference r:id="rId7"/>
  </externalReferences>
  <definedNames>
    <definedName name="FringeBenefits" localSheetId="2">BudgetForm!$C$49:$C$58</definedName>
    <definedName name="FringeBenefits" localSheetId="4">Industry!#REF!</definedName>
    <definedName name="FringeBenefits">#REF!</definedName>
    <definedName name="IndirectCosts" localSheetId="2">BudgetForm!$D$115:$D$115</definedName>
    <definedName name="IndirectCosts" localSheetId="4">Industry!#REF!</definedName>
    <definedName name="IndirectCosts">#REF!</definedName>
    <definedName name="ok">#REF!</definedName>
    <definedName name="OtherDirectCosts" localSheetId="2">BudgetForm!$B$88:$B$109</definedName>
    <definedName name="OtherDirectCosts" localSheetId="4">Industry!#REF!</definedName>
    <definedName name="OtherDirectCosts">#REF!</definedName>
    <definedName name="_xlnm.Print_Area" localSheetId="2">BudgetForm!$A$1:$Q$121</definedName>
    <definedName name="_xlnm.Print_Area" localSheetId="0">Estimation!$B$1:$AG$286</definedName>
    <definedName name="_xlnm.Print_Area" localSheetId="4">Industry!$A$1:$P$22</definedName>
    <definedName name="Z_57C5C8F1_8001_4F07_BD71_B2E547A208C7_.wvu.Cols" localSheetId="0" hidden="1">Estimation!$L:$M,Estimation!$P:$Q,Estimation!$T:$U,Estimation!$X:$Y,Estimation!$AB:$AC,Estimation!$AF:$AG</definedName>
    <definedName name="Z_57C5C8F1_8001_4F07_BD71_B2E547A208C7_.wvu.FilterData" localSheetId="0" hidden="1">Estimation!#REF!</definedName>
    <definedName name="Z_57C5C8F1_8001_4F07_BD71_B2E547A208C7_.wvu.PrintArea" localSheetId="0" hidden="1">Estimation!$B$1:$AG$286</definedName>
    <definedName name="Z_57C5C8F1_8001_4F07_BD71_B2E547A208C7_.wvu.Rows" localSheetId="2" hidden="1">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</definedName>
    <definedName name="Z_57C5C8F1_8001_4F07_BD71_B2E547A208C7_.wvu.Rows" localSheetId="4" hidden="1">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</definedName>
    <definedName name="Z_EEFF5A2A_628E_4803_AAD1_B24B534F2503_.wvu.Cols" localSheetId="0" hidden="1">Estimation!$L:$M,Estimation!$P:$Q,Estimation!$T:$U,Estimation!$X:$Y,Estimation!$AB:$AC,Estimation!$AF:$AG</definedName>
    <definedName name="Z_EEFF5A2A_628E_4803_AAD1_B24B534F2503_.wvu.FilterData" localSheetId="0" hidden="1">Estimation!#REF!</definedName>
    <definedName name="Z_EEFF5A2A_628E_4803_AAD1_B24B534F2503_.wvu.PrintArea" localSheetId="0" hidden="1">Estimation!$B$1:$AG$286</definedName>
    <definedName name="Z_EEFF5A2A_628E_4803_AAD1_B24B534F2503_.wvu.Rows" localSheetId="2" hidden="1">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</definedName>
    <definedName name="Z_EEFF5A2A_628E_4803_AAD1_B24B534F2503_.wvu.Rows" localSheetId="4" hidden="1">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</definedName>
  </definedNames>
  <calcPr calcId="191029" fullPrecision="0"/>
  <customWorkbookViews>
    <customWorkbookView name="HideRows=0" guid="{57C5C8F1-8001-4F07-BD71-B2E547A208C7}" maximized="1" xWindow="1912" yWindow="-8" windowWidth="1936" windowHeight="1096" activeSheetId="1"/>
    <customWorkbookView name="ShowAll" guid="{EEFF5A2A-628E-4803-AAD1-B24B534F2503}" maximized="1" xWindow="1912" yWindow="-8" windowWidth="1936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59" i="1" l="1"/>
  <c r="AS58" i="1"/>
  <c r="AS56" i="1"/>
  <c r="AS55" i="1"/>
  <c r="AS53" i="1"/>
  <c r="AS52" i="1"/>
  <c r="AS50" i="1"/>
  <c r="AS49" i="1"/>
  <c r="AX55" i="1"/>
  <c r="N328" i="1"/>
  <c r="N329" i="1"/>
  <c r="N327" i="1"/>
  <c r="R322" i="1"/>
  <c r="N322" i="1"/>
  <c r="N321" i="1"/>
  <c r="N325" i="1"/>
  <c r="N319" i="1"/>
  <c r="AF259" i="1"/>
  <c r="AF256" i="1"/>
  <c r="AF253" i="1"/>
  <c r="AF250" i="1"/>
  <c r="AF247" i="1"/>
  <c r="AD247" i="1"/>
  <c r="AF241" i="1" l="1"/>
  <c r="AF269" i="1"/>
  <c r="AF267" i="1"/>
  <c r="AF262" i="1"/>
  <c r="AD262" i="1"/>
  <c r="AD259" i="1"/>
  <c r="AD256" i="1"/>
  <c r="AD253" i="1"/>
  <c r="AD250" i="1"/>
  <c r="AB263" i="1" l="1"/>
  <c r="X263" i="1"/>
  <c r="T263" i="1"/>
  <c r="P263" i="1"/>
  <c r="Z263" i="1"/>
  <c r="Z275" i="1"/>
  <c r="V263" i="1"/>
  <c r="N275" i="1"/>
  <c r="N263" i="1"/>
  <c r="L263" i="1"/>
  <c r="V275" i="1"/>
  <c r="R275" i="1"/>
  <c r="AB275" i="1"/>
  <c r="X275" i="1"/>
  <c r="T275" i="1"/>
  <c r="P275" i="1"/>
  <c r="L275" i="1"/>
  <c r="AB272" i="1"/>
  <c r="X272" i="1"/>
  <c r="T272" i="1"/>
  <c r="P272" i="1"/>
  <c r="L272" i="1"/>
  <c r="R263" i="1"/>
  <c r="J275" i="1"/>
  <c r="J263" i="1" l="1"/>
  <c r="AD210" i="1" l="1"/>
  <c r="AD275" i="1"/>
  <c r="H291" i="1"/>
  <c r="AD269" i="1"/>
  <c r="I12" i="22"/>
  <c r="C23" i="1"/>
  <c r="AF23" i="1"/>
  <c r="AP23" i="1"/>
  <c r="AR23" i="1"/>
  <c r="AW23" i="1" s="1"/>
  <c r="BB23" i="1" s="1"/>
  <c r="BG23" i="1" s="1"/>
  <c r="AS23" i="1"/>
  <c r="AX23" i="1" s="1"/>
  <c r="BC23" i="1" s="1"/>
  <c r="AT23" i="1"/>
  <c r="AY23" i="1" s="1"/>
  <c r="D24" i="1"/>
  <c r="AF24" i="1"/>
  <c r="AP24" i="1"/>
  <c r="T24" i="17" s="1"/>
  <c r="AR24" i="1"/>
  <c r="AW24" i="1" s="1"/>
  <c r="BB24" i="1" s="1"/>
  <c r="BG24" i="1" s="1"/>
  <c r="AS24" i="1"/>
  <c r="AT24" i="1"/>
  <c r="AY24" i="1" s="1"/>
  <c r="E7" i="22"/>
  <c r="E6" i="22"/>
  <c r="C17" i="22" s="1"/>
  <c r="E4" i="22"/>
  <c r="E3" i="22"/>
  <c r="E2" i="22"/>
  <c r="E1" i="22"/>
  <c r="F319" i="22"/>
  <c r="H316" i="22"/>
  <c r="H315" i="22"/>
  <c r="H314" i="22"/>
  <c r="H313" i="22"/>
  <c r="H312" i="22"/>
  <c r="H310" i="22"/>
  <c r="H309" i="22"/>
  <c r="AF260" i="22"/>
  <c r="AD260" i="22"/>
  <c r="I260" i="22"/>
  <c r="AF259" i="22"/>
  <c r="AD259" i="22"/>
  <c r="AD258" i="22"/>
  <c r="AF257" i="22"/>
  <c r="AD257" i="22"/>
  <c r="AH256" i="22"/>
  <c r="Z256" i="22"/>
  <c r="V256" i="22"/>
  <c r="V262" i="22" s="1"/>
  <c r="V264" i="22" s="1"/>
  <c r="R256" i="22"/>
  <c r="R262" i="22" s="1"/>
  <c r="R264" i="22" s="1"/>
  <c r="N256" i="22"/>
  <c r="N262" i="22" s="1"/>
  <c r="N264" i="22" s="1"/>
  <c r="J256" i="22"/>
  <c r="AF255" i="22"/>
  <c r="AD255" i="22"/>
  <c r="AB254" i="22"/>
  <c r="AB262" i="22"/>
  <c r="Z254" i="22"/>
  <c r="Z262" i="22"/>
  <c r="Z264" i="22" s="1"/>
  <c r="X254" i="22"/>
  <c r="X262" i="22"/>
  <c r="V254" i="22"/>
  <c r="T254" i="22"/>
  <c r="T262" i="22"/>
  <c r="R254" i="22"/>
  <c r="P254" i="22"/>
  <c r="N254" i="22"/>
  <c r="L254" i="22"/>
  <c r="L262" i="22"/>
  <c r="J254" i="22"/>
  <c r="AF253" i="22"/>
  <c r="AD253" i="22"/>
  <c r="AF252" i="22"/>
  <c r="AD252" i="22"/>
  <c r="AF251" i="22"/>
  <c r="AD251" i="22"/>
  <c r="AF250" i="22"/>
  <c r="AD250" i="22"/>
  <c r="AF249" i="22"/>
  <c r="AD249" i="22"/>
  <c r="AF248" i="22"/>
  <c r="AD248" i="22"/>
  <c r="AF247" i="22"/>
  <c r="AD247" i="22"/>
  <c r="AF246" i="22"/>
  <c r="AD246" i="22"/>
  <c r="AF245" i="22"/>
  <c r="AD245" i="22"/>
  <c r="AF244" i="22"/>
  <c r="AD244" i="22"/>
  <c r="AF243" i="22"/>
  <c r="AD243" i="22"/>
  <c r="AF242" i="22"/>
  <c r="AD242" i="22"/>
  <c r="AF240" i="22"/>
  <c r="AD240" i="22"/>
  <c r="AD238" i="22"/>
  <c r="AF237" i="22"/>
  <c r="AD237" i="22"/>
  <c r="AF236" i="22"/>
  <c r="AD236" i="22"/>
  <c r="AF235" i="22"/>
  <c r="AD235" i="22"/>
  <c r="AF234" i="22"/>
  <c r="AD234" i="22"/>
  <c r="AF233" i="22"/>
  <c r="AD233" i="22"/>
  <c r="AF232" i="22"/>
  <c r="AD232" i="22"/>
  <c r="AF231" i="22"/>
  <c r="AD231" i="22"/>
  <c r="AF230" i="22"/>
  <c r="AD230" i="22"/>
  <c r="AF229" i="22"/>
  <c r="AD229" i="22"/>
  <c r="AB225" i="22"/>
  <c r="Z225" i="22"/>
  <c r="X225" i="22"/>
  <c r="V225" i="22"/>
  <c r="T225" i="22"/>
  <c r="R225" i="22"/>
  <c r="P225" i="22"/>
  <c r="N225" i="22"/>
  <c r="L225" i="22"/>
  <c r="AF223" i="22"/>
  <c r="J223" i="22"/>
  <c r="AD223" i="22"/>
  <c r="AF222" i="22"/>
  <c r="J222" i="22"/>
  <c r="AD222" i="22"/>
  <c r="AF221" i="22"/>
  <c r="J221" i="22"/>
  <c r="AD221" i="22"/>
  <c r="AF220" i="22"/>
  <c r="J220" i="22"/>
  <c r="AD220" i="22"/>
  <c r="AF218" i="22"/>
  <c r="J218" i="22"/>
  <c r="AD218" i="22"/>
  <c r="AF217" i="22"/>
  <c r="AD217" i="22"/>
  <c r="J217" i="22"/>
  <c r="AF216" i="22"/>
  <c r="J216" i="22"/>
  <c r="AD216" i="22"/>
  <c r="AF215" i="22"/>
  <c r="J215" i="22"/>
  <c r="AD215" i="22"/>
  <c r="AB209" i="22"/>
  <c r="Z209" i="22"/>
  <c r="X209" i="22"/>
  <c r="V209" i="22"/>
  <c r="T209" i="22"/>
  <c r="R209" i="22"/>
  <c r="P209" i="22"/>
  <c r="N209" i="22"/>
  <c r="L209" i="22"/>
  <c r="AF208" i="22"/>
  <c r="AF206" i="22"/>
  <c r="F206" i="22"/>
  <c r="AF205" i="22"/>
  <c r="H205" i="22"/>
  <c r="H206" i="22"/>
  <c r="H207" i="22"/>
  <c r="H208" i="22"/>
  <c r="G205" i="22"/>
  <c r="G206" i="22"/>
  <c r="AF204" i="22"/>
  <c r="J204" i="22"/>
  <c r="AD204" i="22"/>
  <c r="AF201" i="22"/>
  <c r="AF199" i="22"/>
  <c r="F199" i="22"/>
  <c r="AF198" i="22"/>
  <c r="H198" i="22"/>
  <c r="H199" i="22"/>
  <c r="H200" i="22"/>
  <c r="H201" i="22"/>
  <c r="G198" i="22"/>
  <c r="AF197" i="22"/>
  <c r="J197" i="22"/>
  <c r="AD197" i="22"/>
  <c r="AF194" i="22"/>
  <c r="AF192" i="22"/>
  <c r="F192" i="22"/>
  <c r="AF191" i="22"/>
  <c r="H191" i="22"/>
  <c r="H192" i="22"/>
  <c r="H193" i="22"/>
  <c r="H194" i="22"/>
  <c r="G191" i="22"/>
  <c r="J191" i="22"/>
  <c r="AD191" i="22"/>
  <c r="AF190" i="22"/>
  <c r="J190" i="22"/>
  <c r="AD190" i="22"/>
  <c r="AB186" i="22"/>
  <c r="Z186" i="22"/>
  <c r="X186" i="22"/>
  <c r="V186" i="22"/>
  <c r="T186" i="22"/>
  <c r="R186" i="22"/>
  <c r="P186" i="22"/>
  <c r="N186" i="22"/>
  <c r="L186" i="22"/>
  <c r="AF184" i="22"/>
  <c r="E184" i="22"/>
  <c r="J184" i="22"/>
  <c r="AD184" i="22"/>
  <c r="AF181" i="22"/>
  <c r="AF180" i="22"/>
  <c r="AF179" i="22"/>
  <c r="AF178" i="22"/>
  <c r="F178" i="22"/>
  <c r="F179" i="22"/>
  <c r="AF177" i="22"/>
  <c r="H177" i="22"/>
  <c r="H178" i="22"/>
  <c r="H179" i="22"/>
  <c r="H180" i="22"/>
  <c r="H181" i="22"/>
  <c r="G177" i="22"/>
  <c r="G178" i="22"/>
  <c r="AF176" i="22"/>
  <c r="J176" i="22"/>
  <c r="AD176" i="22"/>
  <c r="AF173" i="22"/>
  <c r="AF172" i="22"/>
  <c r="AF171" i="22"/>
  <c r="AF170" i="22"/>
  <c r="F170" i="22"/>
  <c r="F171" i="22"/>
  <c r="AF169" i="22"/>
  <c r="H169" i="22"/>
  <c r="H170" i="22"/>
  <c r="H171" i="22"/>
  <c r="H172" i="22"/>
  <c r="H173" i="22"/>
  <c r="G169" i="22"/>
  <c r="G170" i="22"/>
  <c r="AF168" i="22"/>
  <c r="J168" i="22"/>
  <c r="AD168" i="22"/>
  <c r="AF165" i="22"/>
  <c r="AF164" i="22"/>
  <c r="AF163" i="22"/>
  <c r="AF162" i="22"/>
  <c r="H162" i="22"/>
  <c r="H163" i="22"/>
  <c r="H164" i="22"/>
  <c r="H165" i="22"/>
  <c r="F162" i="22"/>
  <c r="F163" i="22"/>
  <c r="AF161" i="22"/>
  <c r="H161" i="22"/>
  <c r="G161" i="22"/>
  <c r="AF160" i="22"/>
  <c r="J160" i="22"/>
  <c r="AD160" i="22"/>
  <c r="AF157" i="22"/>
  <c r="AF156" i="22"/>
  <c r="AF155" i="22"/>
  <c r="AF154" i="22"/>
  <c r="F154" i="22"/>
  <c r="F155" i="22"/>
  <c r="AF153" i="22"/>
  <c r="H153" i="22"/>
  <c r="H154" i="22"/>
  <c r="H155" i="22"/>
  <c r="H156" i="22"/>
  <c r="H157" i="22"/>
  <c r="G153" i="22"/>
  <c r="G154" i="22"/>
  <c r="G155" i="22"/>
  <c r="G156" i="22"/>
  <c r="J156" i="22"/>
  <c r="AD156" i="22"/>
  <c r="AF152" i="22"/>
  <c r="J152" i="22"/>
  <c r="AD152" i="22"/>
  <c r="AB147" i="22"/>
  <c r="Z147" i="22"/>
  <c r="X147" i="22"/>
  <c r="V147" i="22"/>
  <c r="T147" i="22"/>
  <c r="R147" i="22"/>
  <c r="P147" i="22"/>
  <c r="N147" i="22"/>
  <c r="L147" i="22"/>
  <c r="J147" i="22"/>
  <c r="AF145" i="22"/>
  <c r="AD145" i="22"/>
  <c r="AF144" i="22"/>
  <c r="AD144" i="22"/>
  <c r="AF143" i="22"/>
  <c r="AD143" i="22"/>
  <c r="AF142" i="22"/>
  <c r="AD142" i="22"/>
  <c r="AB135" i="22"/>
  <c r="T135" i="22"/>
  <c r="T137" i="22"/>
  <c r="P135" i="22"/>
  <c r="L135" i="22"/>
  <c r="AF133" i="22"/>
  <c r="C133" i="22"/>
  <c r="A133" i="22"/>
  <c r="H133" i="22"/>
  <c r="AD132" i="22"/>
  <c r="H132" i="22"/>
  <c r="C132" i="22"/>
  <c r="A132" i="22"/>
  <c r="AF131" i="22"/>
  <c r="AD131" i="22"/>
  <c r="C131" i="22"/>
  <c r="A131" i="22"/>
  <c r="H131" i="22"/>
  <c r="AF130" i="22"/>
  <c r="AD130" i="22"/>
  <c r="H130" i="22"/>
  <c r="C130" i="22"/>
  <c r="A130" i="22"/>
  <c r="AF129" i="22"/>
  <c r="AD129" i="22"/>
  <c r="C129" i="22"/>
  <c r="A129" i="22"/>
  <c r="H129" i="22"/>
  <c r="AF128" i="22"/>
  <c r="AD128" i="22"/>
  <c r="C128" i="22"/>
  <c r="A128" i="22"/>
  <c r="H128" i="22"/>
  <c r="AF127" i="22"/>
  <c r="AD127" i="22"/>
  <c r="H127" i="22"/>
  <c r="C127" i="22"/>
  <c r="A127" i="22"/>
  <c r="C126" i="22"/>
  <c r="A126" i="22"/>
  <c r="H126" i="22"/>
  <c r="AF125" i="22"/>
  <c r="C125" i="22"/>
  <c r="A125" i="22"/>
  <c r="AF124" i="22"/>
  <c r="H124" i="22"/>
  <c r="C124" i="22"/>
  <c r="A124" i="22"/>
  <c r="AF123" i="22"/>
  <c r="C123" i="22"/>
  <c r="A123" i="22"/>
  <c r="H123" i="22"/>
  <c r="AF122" i="22"/>
  <c r="H122" i="22"/>
  <c r="C122" i="22"/>
  <c r="A122" i="22"/>
  <c r="AF121" i="22"/>
  <c r="C121" i="22"/>
  <c r="A121" i="22"/>
  <c r="H120" i="22"/>
  <c r="C120" i="22"/>
  <c r="A120" i="22"/>
  <c r="AF119" i="22"/>
  <c r="C119" i="22"/>
  <c r="A119" i="22"/>
  <c r="AF118" i="22"/>
  <c r="Z118" i="22"/>
  <c r="V118" i="22"/>
  <c r="R118" i="22"/>
  <c r="N118" i="22"/>
  <c r="J118" i="22"/>
  <c r="A118" i="22"/>
  <c r="AF117" i="22"/>
  <c r="C117" i="22"/>
  <c r="A117" i="22"/>
  <c r="AF116" i="22"/>
  <c r="R116" i="22"/>
  <c r="J116" i="22"/>
  <c r="A116" i="22"/>
  <c r="Z116" i="22"/>
  <c r="AF115" i="22"/>
  <c r="C115" i="22"/>
  <c r="A115" i="22"/>
  <c r="AF114" i="22"/>
  <c r="V114" i="22"/>
  <c r="R114" i="22"/>
  <c r="N114" i="22"/>
  <c r="J114" i="22"/>
  <c r="A114" i="22"/>
  <c r="AF113" i="22"/>
  <c r="A113" i="22"/>
  <c r="AF112" i="22"/>
  <c r="A112" i="22"/>
  <c r="AF111" i="22"/>
  <c r="A111" i="22"/>
  <c r="AF110" i="22"/>
  <c r="N110" i="22"/>
  <c r="J110" i="22"/>
  <c r="A110" i="22"/>
  <c r="V110" i="22"/>
  <c r="AF109" i="22"/>
  <c r="A109" i="22"/>
  <c r="AB106" i="22"/>
  <c r="X106" i="22"/>
  <c r="T106" i="22"/>
  <c r="P106" i="22"/>
  <c r="L106" i="22"/>
  <c r="AF104" i="22"/>
  <c r="H104" i="22"/>
  <c r="A104" i="22"/>
  <c r="AF103" i="22"/>
  <c r="C103" i="22"/>
  <c r="A103" i="22"/>
  <c r="H103" i="22"/>
  <c r="AF102" i="22"/>
  <c r="A102" i="22"/>
  <c r="H102" i="22"/>
  <c r="AF101" i="22"/>
  <c r="H101" i="22"/>
  <c r="C101" i="22"/>
  <c r="A101" i="22"/>
  <c r="AF100" i="22"/>
  <c r="A100" i="22"/>
  <c r="H100" i="22"/>
  <c r="AF99" i="22"/>
  <c r="C99" i="22"/>
  <c r="A99" i="22"/>
  <c r="H99" i="22"/>
  <c r="AF98" i="22"/>
  <c r="A98" i="22"/>
  <c r="H98" i="22"/>
  <c r="AF97" i="22"/>
  <c r="C97" i="22"/>
  <c r="A97" i="22"/>
  <c r="H97" i="22"/>
  <c r="AF96" i="22"/>
  <c r="H96" i="22"/>
  <c r="A96" i="22"/>
  <c r="AF95" i="22"/>
  <c r="C95" i="22"/>
  <c r="A95" i="22"/>
  <c r="H95" i="22"/>
  <c r="AF94" i="22"/>
  <c r="H94" i="22"/>
  <c r="A94" i="22"/>
  <c r="AF93" i="22"/>
  <c r="C93" i="22"/>
  <c r="A93" i="22"/>
  <c r="H93" i="22"/>
  <c r="AF92" i="22"/>
  <c r="H92" i="22"/>
  <c r="A92" i="22"/>
  <c r="AF91" i="22"/>
  <c r="C91" i="22"/>
  <c r="A91" i="22"/>
  <c r="H91" i="22"/>
  <c r="AF90" i="22"/>
  <c r="C90" i="22"/>
  <c r="A90" i="22"/>
  <c r="H90" i="22"/>
  <c r="AF89" i="22"/>
  <c r="H89" i="22"/>
  <c r="C89" i="22"/>
  <c r="A89" i="22"/>
  <c r="AF88" i="22"/>
  <c r="C88" i="22"/>
  <c r="A88" i="22"/>
  <c r="H88" i="22"/>
  <c r="AF87" i="22"/>
  <c r="C87" i="22"/>
  <c r="A87" i="22"/>
  <c r="H87" i="22"/>
  <c r="AF86" i="22"/>
  <c r="C86" i="22"/>
  <c r="A86" i="22"/>
  <c r="H86" i="22"/>
  <c r="AF85" i="22"/>
  <c r="C85" i="22"/>
  <c r="A85" i="22"/>
  <c r="H85" i="22"/>
  <c r="AF84" i="22"/>
  <c r="C84" i="22"/>
  <c r="A84" i="22"/>
  <c r="H84" i="22"/>
  <c r="AF83" i="22"/>
  <c r="C83" i="22"/>
  <c r="A83" i="22"/>
  <c r="H83" i="22"/>
  <c r="AF82" i="22"/>
  <c r="H82" i="22"/>
  <c r="A82" i="22"/>
  <c r="AF81" i="22"/>
  <c r="C81" i="22"/>
  <c r="A81" i="22"/>
  <c r="H81" i="22"/>
  <c r="AF80" i="22"/>
  <c r="A80" i="22"/>
  <c r="H80" i="22"/>
  <c r="AF79" i="22"/>
  <c r="H79" i="22"/>
  <c r="C79" i="22"/>
  <c r="A79" i="22"/>
  <c r="AF78" i="22"/>
  <c r="A78" i="22"/>
  <c r="H78" i="22"/>
  <c r="AF77" i="22"/>
  <c r="H77" i="22"/>
  <c r="A77" i="22"/>
  <c r="AF76" i="22"/>
  <c r="A76" i="22"/>
  <c r="H76" i="22"/>
  <c r="AF75" i="22"/>
  <c r="A75" i="22"/>
  <c r="H75" i="22"/>
  <c r="AF74" i="22"/>
  <c r="A74" i="22"/>
  <c r="H74" i="22"/>
  <c r="AF73" i="22"/>
  <c r="H73" i="22"/>
  <c r="A73" i="22"/>
  <c r="AB70" i="22"/>
  <c r="X70" i="22"/>
  <c r="T70" i="22"/>
  <c r="P70" i="22"/>
  <c r="L70" i="22"/>
  <c r="AX68" i="22"/>
  <c r="BC68" i="22"/>
  <c r="AU68" i="22"/>
  <c r="N68" i="22"/>
  <c r="AS68" i="22"/>
  <c r="AP68" i="22"/>
  <c r="J68" i="22"/>
  <c r="AF68" i="22"/>
  <c r="D68" i="22"/>
  <c r="AU67" i="22"/>
  <c r="N67" i="22"/>
  <c r="AS67" i="22"/>
  <c r="AX67" i="22"/>
  <c r="BC67" i="22"/>
  <c r="AP67" i="22"/>
  <c r="J67" i="22"/>
  <c r="AF67" i="22"/>
  <c r="D67" i="22"/>
  <c r="AS65" i="22"/>
  <c r="AX65" i="22"/>
  <c r="BC65" i="22"/>
  <c r="BH65" i="22"/>
  <c r="BJ65" i="22"/>
  <c r="AP65" i="22"/>
  <c r="J65" i="22"/>
  <c r="AF65" i="22"/>
  <c r="D65" i="22"/>
  <c r="AX64" i="22"/>
  <c r="BC64" i="22"/>
  <c r="BH64" i="22"/>
  <c r="BJ64" i="22"/>
  <c r="AS64" i="22"/>
  <c r="AU64" i="22"/>
  <c r="N64" i="22"/>
  <c r="N101" i="22"/>
  <c r="AP64" i="22"/>
  <c r="J64" i="22"/>
  <c r="AF64" i="22"/>
  <c r="D64" i="22"/>
  <c r="AU62" i="22"/>
  <c r="N62" i="22"/>
  <c r="AS62" i="22"/>
  <c r="AX62" i="22"/>
  <c r="AP62" i="22"/>
  <c r="J62" i="22"/>
  <c r="AF62" i="22"/>
  <c r="D62" i="22"/>
  <c r="AU61" i="22"/>
  <c r="AS61" i="22"/>
  <c r="AX61" i="22"/>
  <c r="BC61" i="22"/>
  <c r="AP61" i="22"/>
  <c r="J61" i="22"/>
  <c r="AF61" i="22"/>
  <c r="N61" i="22"/>
  <c r="D61" i="22"/>
  <c r="AT59" i="22"/>
  <c r="AS59" i="22"/>
  <c r="AX59" i="22"/>
  <c r="BC59" i="22"/>
  <c r="AP59" i="22"/>
  <c r="AK59" i="22"/>
  <c r="AF59" i="22"/>
  <c r="J59" i="22"/>
  <c r="D59" i="22"/>
  <c r="AT58" i="22"/>
  <c r="AY58" i="22"/>
  <c r="BD58" i="22"/>
  <c r="BI58" i="22"/>
  <c r="AS58" i="22"/>
  <c r="AP58" i="22"/>
  <c r="AK58" i="22"/>
  <c r="AF58" i="22"/>
  <c r="D58" i="22"/>
  <c r="AP57" i="22"/>
  <c r="AT56" i="22"/>
  <c r="AY56" i="22"/>
  <c r="BD56" i="22"/>
  <c r="BI56" i="22"/>
  <c r="AS56" i="22"/>
  <c r="AP56" i="22"/>
  <c r="AK56" i="22"/>
  <c r="AF56" i="22"/>
  <c r="D56" i="22"/>
  <c r="AT55" i="22"/>
  <c r="AY55" i="22"/>
  <c r="BD55" i="22"/>
  <c r="BI55" i="22"/>
  <c r="AS55" i="22"/>
  <c r="AP55" i="22"/>
  <c r="J55" i="22"/>
  <c r="AK55" i="22"/>
  <c r="AF55" i="22"/>
  <c r="D55" i="22"/>
  <c r="AU53" i="22"/>
  <c r="N53" i="22"/>
  <c r="AT53" i="22"/>
  <c r="AY53" i="22"/>
  <c r="AS53" i="22"/>
  <c r="AX53" i="22"/>
  <c r="BC53" i="22"/>
  <c r="AP53" i="22"/>
  <c r="AK53" i="22"/>
  <c r="J53" i="22"/>
  <c r="AF53" i="22"/>
  <c r="D53" i="22"/>
  <c r="AX52" i="22"/>
  <c r="BC52" i="22"/>
  <c r="BH52" i="22"/>
  <c r="AT52" i="22"/>
  <c r="AS52" i="22"/>
  <c r="AP52" i="22"/>
  <c r="AK52" i="22"/>
  <c r="J52" i="22"/>
  <c r="AF52" i="22"/>
  <c r="D52" i="22"/>
  <c r="AY50" i="22"/>
  <c r="BD50" i="22"/>
  <c r="BI50" i="22"/>
  <c r="AU50" i="22"/>
  <c r="N50" i="22"/>
  <c r="AT50" i="22"/>
  <c r="AS50" i="22"/>
  <c r="AX50" i="22"/>
  <c r="AP50" i="22"/>
  <c r="AK50" i="22"/>
  <c r="AF50" i="22"/>
  <c r="J50" i="22"/>
  <c r="D50" i="22"/>
  <c r="BD49" i="22"/>
  <c r="BI49" i="22"/>
  <c r="AX49" i="22"/>
  <c r="AT49" i="22"/>
  <c r="AY49" i="22"/>
  <c r="AS49" i="22"/>
  <c r="AP49" i="22"/>
  <c r="J49" i="22"/>
  <c r="AK49" i="22"/>
  <c r="AF49" i="22"/>
  <c r="D49" i="22"/>
  <c r="BG48" i="22"/>
  <c r="BD48" i="22"/>
  <c r="BI48" i="22"/>
  <c r="AW48" i="22"/>
  <c r="BB48" i="22"/>
  <c r="AT48" i="22"/>
  <c r="AY48" i="22"/>
  <c r="AS48" i="22"/>
  <c r="AX48" i="22"/>
  <c r="AR48" i="22"/>
  <c r="AP48" i="22"/>
  <c r="J48" i="22"/>
  <c r="AK48" i="22"/>
  <c r="AF48" i="22"/>
  <c r="AT47" i="22"/>
  <c r="AY47" i="22"/>
  <c r="BD47" i="22"/>
  <c r="BI47" i="22"/>
  <c r="AS47" i="22"/>
  <c r="AX47" i="22"/>
  <c r="AR47" i="22"/>
  <c r="AW47" i="22"/>
  <c r="BB47" i="22"/>
  <c r="BG47" i="22"/>
  <c r="AP47" i="22"/>
  <c r="J47" i="22"/>
  <c r="AK47" i="22"/>
  <c r="AF47" i="22"/>
  <c r="D47" i="22"/>
  <c r="AY46" i="22"/>
  <c r="BD46" i="22"/>
  <c r="BI46" i="22"/>
  <c r="AW46" i="22"/>
  <c r="BB46" i="22"/>
  <c r="BG46" i="22"/>
  <c r="AU46" i="22"/>
  <c r="N46" i="22"/>
  <c r="AT46" i="22"/>
  <c r="AS46" i="22"/>
  <c r="AX46" i="22"/>
  <c r="BC46" i="22"/>
  <c r="AR46" i="22"/>
  <c r="AP46" i="22"/>
  <c r="J46" i="22"/>
  <c r="AK46" i="22"/>
  <c r="AF46" i="22"/>
  <c r="AY45" i="22"/>
  <c r="BD45" i="22"/>
  <c r="BI45" i="22"/>
  <c r="AT45" i="22"/>
  <c r="AS45" i="22"/>
  <c r="AU45" i="22"/>
  <c r="N45" i="22"/>
  <c r="AR45" i="22"/>
  <c r="AW45" i="22"/>
  <c r="BB45" i="22"/>
  <c r="BG45" i="22"/>
  <c r="AP45" i="22"/>
  <c r="J45" i="22"/>
  <c r="AK45" i="22"/>
  <c r="AF45" i="22"/>
  <c r="D45" i="22"/>
  <c r="AU44" i="22"/>
  <c r="N44" i="22"/>
  <c r="AT44" i="22"/>
  <c r="AY44" i="22"/>
  <c r="BD44" i="22"/>
  <c r="BI44" i="22"/>
  <c r="AS44" i="22"/>
  <c r="AX44" i="22"/>
  <c r="BC44" i="22"/>
  <c r="BH44" i="22"/>
  <c r="AR44" i="22"/>
  <c r="AW44" i="22"/>
  <c r="BB44" i="22"/>
  <c r="BG44" i="22"/>
  <c r="AP44" i="22"/>
  <c r="AK44" i="22"/>
  <c r="AF44" i="22"/>
  <c r="J44" i="22"/>
  <c r="BI43" i="22"/>
  <c r="AT43" i="22"/>
  <c r="AY43" i="22"/>
  <c r="BD43" i="22"/>
  <c r="AS43" i="22"/>
  <c r="AX43" i="22"/>
  <c r="AR43" i="22"/>
  <c r="AW43" i="22"/>
  <c r="BB43" i="22"/>
  <c r="BG43" i="22"/>
  <c r="AP43" i="22"/>
  <c r="J43" i="22"/>
  <c r="AK43" i="22"/>
  <c r="AF43" i="22"/>
  <c r="D43" i="22"/>
  <c r="BB42" i="22"/>
  <c r="BG42" i="22"/>
  <c r="AZ42" i="22"/>
  <c r="R42" i="22"/>
  <c r="AY42" i="22"/>
  <c r="BD42" i="22"/>
  <c r="BI42" i="22"/>
  <c r="AX42" i="22"/>
  <c r="BC42" i="22"/>
  <c r="BH42" i="22"/>
  <c r="AT42" i="22"/>
  <c r="AS42" i="22"/>
  <c r="AR42" i="22"/>
  <c r="AW42" i="22"/>
  <c r="AP42" i="22"/>
  <c r="J42" i="22"/>
  <c r="AK42" i="22"/>
  <c r="AF42" i="22"/>
  <c r="AT41" i="22"/>
  <c r="AY41" i="22"/>
  <c r="BD41" i="22"/>
  <c r="BI41" i="22"/>
  <c r="AS41" i="22"/>
  <c r="AR41" i="22"/>
  <c r="AW41" i="22"/>
  <c r="BB41" i="22"/>
  <c r="BG41" i="22"/>
  <c r="AP41" i="22"/>
  <c r="AK41" i="22"/>
  <c r="AF41" i="22"/>
  <c r="J41" i="22"/>
  <c r="J87" i="22"/>
  <c r="D41" i="22"/>
  <c r="AT40" i="22"/>
  <c r="AY40" i="22"/>
  <c r="BD40" i="22"/>
  <c r="BI40" i="22"/>
  <c r="AS40" i="22"/>
  <c r="AX40" i="22"/>
  <c r="BC40" i="22"/>
  <c r="BH40" i="22"/>
  <c r="BJ40" i="22"/>
  <c r="AR40" i="22"/>
  <c r="AW40" i="22"/>
  <c r="BB40" i="22"/>
  <c r="BG40" i="22"/>
  <c r="AP40" i="22"/>
  <c r="J40" i="22"/>
  <c r="AK40" i="22"/>
  <c r="AF40" i="22"/>
  <c r="AY39" i="22"/>
  <c r="BD39" i="22"/>
  <c r="BI39" i="22"/>
  <c r="AX39" i="22"/>
  <c r="BC39" i="22"/>
  <c r="BE39" i="22"/>
  <c r="AW39" i="22"/>
  <c r="BB39" i="22"/>
  <c r="BG39" i="22"/>
  <c r="AT39" i="22"/>
  <c r="AS39" i="22"/>
  <c r="AU39" i="22"/>
  <c r="AR39" i="22"/>
  <c r="AP39" i="22"/>
  <c r="J39" i="22"/>
  <c r="AK39" i="22"/>
  <c r="AF39" i="22"/>
  <c r="D39" i="22"/>
  <c r="AT38" i="22"/>
  <c r="AY38" i="22"/>
  <c r="BD38" i="22"/>
  <c r="BI38" i="22"/>
  <c r="AS38" i="22"/>
  <c r="AR38" i="22"/>
  <c r="AW38" i="22"/>
  <c r="BB38" i="22"/>
  <c r="BG38" i="22"/>
  <c r="AP38" i="22"/>
  <c r="AK38" i="22"/>
  <c r="AF38" i="22"/>
  <c r="J38" i="22"/>
  <c r="AY37" i="22"/>
  <c r="BD37" i="22"/>
  <c r="BI37" i="22"/>
  <c r="AT37" i="22"/>
  <c r="AS37" i="22"/>
  <c r="AX37" i="22"/>
  <c r="BC37" i="22"/>
  <c r="AR37" i="22"/>
  <c r="AW37" i="22"/>
  <c r="BB37" i="22"/>
  <c r="BG37" i="22"/>
  <c r="AP37" i="22"/>
  <c r="AK37" i="22"/>
  <c r="AF37" i="22"/>
  <c r="J37" i="22"/>
  <c r="D37" i="22"/>
  <c r="AT36" i="22"/>
  <c r="AY36" i="22"/>
  <c r="BD36" i="22"/>
  <c r="BI36" i="22"/>
  <c r="AS36" i="22"/>
  <c r="AR36" i="22"/>
  <c r="AW36" i="22"/>
  <c r="BB36" i="22"/>
  <c r="BG36" i="22"/>
  <c r="AP36" i="22"/>
  <c r="AK36" i="22"/>
  <c r="AF36" i="22"/>
  <c r="J36" i="22"/>
  <c r="AU35" i="22"/>
  <c r="N120" i="22"/>
  <c r="AT35" i="22"/>
  <c r="AY35" i="22"/>
  <c r="BD35" i="22"/>
  <c r="BI35" i="22"/>
  <c r="AS35" i="22"/>
  <c r="AX35" i="22"/>
  <c r="BC35" i="22"/>
  <c r="AR35" i="22"/>
  <c r="AW35" i="22"/>
  <c r="BB35" i="22"/>
  <c r="BG35" i="22"/>
  <c r="AP35" i="22"/>
  <c r="AK35" i="22"/>
  <c r="AF35" i="22"/>
  <c r="J35" i="22"/>
  <c r="D35" i="22"/>
  <c r="AY34" i="22"/>
  <c r="BD34" i="22"/>
  <c r="BI34" i="22"/>
  <c r="AT34" i="22"/>
  <c r="AS34" i="22"/>
  <c r="AX34" i="22"/>
  <c r="BC34" i="22"/>
  <c r="BH34" i="22"/>
  <c r="AR34" i="22"/>
  <c r="AW34" i="22"/>
  <c r="BB34" i="22"/>
  <c r="BG34" i="22"/>
  <c r="AP34" i="22"/>
  <c r="AK34" i="22"/>
  <c r="AF34" i="22"/>
  <c r="J34" i="22"/>
  <c r="AX33" i="22"/>
  <c r="AW33" i="22"/>
  <c r="BB33" i="22"/>
  <c r="BG33" i="22"/>
  <c r="AT33" i="22"/>
  <c r="AY33" i="22"/>
  <c r="BD33" i="22"/>
  <c r="BI33" i="22"/>
  <c r="AS33" i="22"/>
  <c r="AU33" i="22"/>
  <c r="N33" i="22"/>
  <c r="N83" i="22"/>
  <c r="AR33" i="22"/>
  <c r="AP33" i="22"/>
  <c r="J33" i="22"/>
  <c r="AK33" i="22"/>
  <c r="AF33" i="22"/>
  <c r="D33" i="22"/>
  <c r="AT32" i="22"/>
  <c r="AY32" i="22"/>
  <c r="BD32" i="22"/>
  <c r="BI32" i="22"/>
  <c r="AS32" i="22"/>
  <c r="AX32" i="22"/>
  <c r="BC32" i="22"/>
  <c r="AR32" i="22"/>
  <c r="AW32" i="22"/>
  <c r="BB32" i="22"/>
  <c r="BG32" i="22"/>
  <c r="AP32" i="22"/>
  <c r="J32" i="22"/>
  <c r="AK32" i="22"/>
  <c r="AF32" i="22"/>
  <c r="AT31" i="22"/>
  <c r="AY31" i="22"/>
  <c r="BD31" i="22"/>
  <c r="BI31" i="22"/>
  <c r="AS31" i="22"/>
  <c r="AX31" i="22"/>
  <c r="BC31" i="22"/>
  <c r="BH31" i="22"/>
  <c r="AR31" i="22"/>
  <c r="AW31" i="22"/>
  <c r="BB31" i="22"/>
  <c r="AF31" i="22"/>
  <c r="D31" i="22"/>
  <c r="AT30" i="22"/>
  <c r="AY30" i="22"/>
  <c r="BD30" i="22"/>
  <c r="BI30" i="22"/>
  <c r="AS30" i="22"/>
  <c r="AX30" i="22"/>
  <c r="AR30" i="22"/>
  <c r="AW30" i="22"/>
  <c r="BB30" i="22"/>
  <c r="BG30" i="22"/>
  <c r="AP30" i="22"/>
  <c r="J30" i="22"/>
  <c r="AF30" i="22"/>
  <c r="D30" i="22"/>
  <c r="BC29" i="22"/>
  <c r="BH29" i="22"/>
  <c r="AY29" i="22"/>
  <c r="BD29" i="22"/>
  <c r="BI29" i="22"/>
  <c r="AT29" i="22"/>
  <c r="AS29" i="22"/>
  <c r="AX29" i="22"/>
  <c r="AR29" i="22"/>
  <c r="AW29" i="22"/>
  <c r="BB29" i="22"/>
  <c r="BG29" i="22"/>
  <c r="AP29" i="22"/>
  <c r="J29" i="22"/>
  <c r="AF29" i="22"/>
  <c r="AT28" i="22"/>
  <c r="AY28" i="22"/>
  <c r="BD28" i="22"/>
  <c r="BI28" i="22"/>
  <c r="AS28" i="22"/>
  <c r="AX28" i="22"/>
  <c r="BC28" i="22"/>
  <c r="BH28" i="22"/>
  <c r="AR28" i="22"/>
  <c r="AW28" i="22"/>
  <c r="BB28" i="22"/>
  <c r="AF28" i="22"/>
  <c r="D28" i="22"/>
  <c r="AT27" i="22"/>
  <c r="AY27" i="22"/>
  <c r="BD27" i="22"/>
  <c r="BI27" i="22"/>
  <c r="AS27" i="22"/>
  <c r="AX27" i="22"/>
  <c r="AR27" i="22"/>
  <c r="AW27" i="22"/>
  <c r="BB27" i="22"/>
  <c r="BG27" i="22"/>
  <c r="AP27" i="22"/>
  <c r="J27" i="22"/>
  <c r="AF27" i="22"/>
  <c r="D27" i="22"/>
  <c r="AT26" i="22"/>
  <c r="AY26" i="22"/>
  <c r="BD26" i="22"/>
  <c r="BI26" i="22"/>
  <c r="AS26" i="22"/>
  <c r="AX26" i="22"/>
  <c r="BC26" i="22"/>
  <c r="AR26" i="22"/>
  <c r="AW26" i="22"/>
  <c r="BB26" i="22"/>
  <c r="BG26" i="22"/>
  <c r="AP26" i="22"/>
  <c r="AF26" i="22"/>
  <c r="J26" i="22"/>
  <c r="AX25" i="22"/>
  <c r="BC25" i="22"/>
  <c r="BH25" i="22"/>
  <c r="AT25" i="22"/>
  <c r="AY25" i="22"/>
  <c r="BD25" i="22"/>
  <c r="BI25" i="22"/>
  <c r="AS25" i="22"/>
  <c r="AR25" i="22"/>
  <c r="AW25" i="22"/>
  <c r="BB25" i="22"/>
  <c r="AF25" i="22"/>
  <c r="D25" i="22"/>
  <c r="AX24" i="22"/>
  <c r="BC24" i="22"/>
  <c r="BH24" i="22"/>
  <c r="AW24" i="22"/>
  <c r="BB24" i="22"/>
  <c r="BG24" i="22"/>
  <c r="AT24" i="22"/>
  <c r="AY24" i="22"/>
  <c r="BD24" i="22"/>
  <c r="BI24" i="22"/>
  <c r="AS24" i="22"/>
  <c r="AU24" i="22"/>
  <c r="N24" i="22"/>
  <c r="N77" i="22"/>
  <c r="AR24" i="22"/>
  <c r="AP24" i="22"/>
  <c r="J24" i="22"/>
  <c r="AF24" i="22"/>
  <c r="D24" i="22"/>
  <c r="AY23" i="22"/>
  <c r="BD23" i="22"/>
  <c r="BI23" i="22"/>
  <c r="AT23" i="22"/>
  <c r="AS23" i="22"/>
  <c r="AX23" i="22"/>
  <c r="AR23" i="22"/>
  <c r="AW23" i="22"/>
  <c r="BB23" i="22"/>
  <c r="BG23" i="22"/>
  <c r="AP23" i="22"/>
  <c r="AF23" i="22"/>
  <c r="J23" i="22"/>
  <c r="C23" i="22"/>
  <c r="AT22" i="22"/>
  <c r="AY22" i="22"/>
  <c r="BD22" i="22"/>
  <c r="BI22" i="22"/>
  <c r="AS22" i="22"/>
  <c r="AX22" i="22"/>
  <c r="BC22" i="22"/>
  <c r="BH22" i="22"/>
  <c r="AR22" i="22"/>
  <c r="AW22" i="22"/>
  <c r="AF22" i="22"/>
  <c r="D22" i="22"/>
  <c r="AY21" i="22"/>
  <c r="BD21" i="22"/>
  <c r="BI21" i="22"/>
  <c r="AT21" i="22"/>
  <c r="AS21" i="22"/>
  <c r="AU21" i="22"/>
  <c r="N21" i="22"/>
  <c r="AR21" i="22"/>
  <c r="AW21" i="22"/>
  <c r="BB21" i="22"/>
  <c r="BG21" i="22"/>
  <c r="AP21" i="22"/>
  <c r="J21" i="22"/>
  <c r="AF21" i="22"/>
  <c r="D21" i="22"/>
  <c r="AW20" i="22"/>
  <c r="BB20" i="22"/>
  <c r="BG20" i="22"/>
  <c r="AT20" i="22"/>
  <c r="AY20" i="22"/>
  <c r="BD20" i="22"/>
  <c r="BI20" i="22"/>
  <c r="AS20" i="22"/>
  <c r="AX20" i="22"/>
  <c r="BC20" i="22"/>
  <c r="AR20" i="22"/>
  <c r="AP20" i="22"/>
  <c r="AF20" i="22"/>
  <c r="J20" i="22"/>
  <c r="C20" i="22"/>
  <c r="C75" i="22" s="1"/>
  <c r="AX19" i="22"/>
  <c r="BC19" i="22"/>
  <c r="BH19" i="22"/>
  <c r="AW19" i="22"/>
  <c r="BB19" i="22"/>
  <c r="AT19" i="22"/>
  <c r="AY19" i="22"/>
  <c r="BD19" i="22"/>
  <c r="BI19" i="22"/>
  <c r="AS19" i="22"/>
  <c r="AR19" i="22"/>
  <c r="AF19" i="22"/>
  <c r="D19" i="22"/>
  <c r="AT18" i="22"/>
  <c r="AY18" i="22"/>
  <c r="BD18" i="22"/>
  <c r="BI18" i="22"/>
  <c r="AS18" i="22"/>
  <c r="AR18" i="22"/>
  <c r="AW18" i="22"/>
  <c r="BB18" i="22"/>
  <c r="BG18" i="22"/>
  <c r="AP18" i="22"/>
  <c r="J18" i="22"/>
  <c r="AF18" i="22"/>
  <c r="D18" i="22"/>
  <c r="AO11" i="22"/>
  <c r="AO6" i="22"/>
  <c r="AZ62" i="22"/>
  <c r="R62" i="22"/>
  <c r="BC62" i="22"/>
  <c r="BH32" i="22"/>
  <c r="BE32" i="22"/>
  <c r="V32" i="22"/>
  <c r="AU30" i="22"/>
  <c r="N30" i="22"/>
  <c r="AU32" i="22"/>
  <c r="N32" i="22"/>
  <c r="N35" i="22"/>
  <c r="N84" i="22"/>
  <c r="AZ39" i="22"/>
  <c r="R122" i="22"/>
  <c r="X132" i="22"/>
  <c r="AF132" i="22"/>
  <c r="AU55" i="22"/>
  <c r="N55" i="22"/>
  <c r="J56" i="22"/>
  <c r="J58" i="22"/>
  <c r="AZ64" i="22"/>
  <c r="R64" i="22"/>
  <c r="R101" i="22"/>
  <c r="AU65" i="22"/>
  <c r="N65" i="22"/>
  <c r="AZ67" i="22"/>
  <c r="R67" i="22"/>
  <c r="AU27" i="22"/>
  <c r="N27" i="22"/>
  <c r="N79" i="22"/>
  <c r="AU34" i="22"/>
  <c r="N34" i="22"/>
  <c r="J123" i="22"/>
  <c r="AU43" i="22"/>
  <c r="N43" i="22"/>
  <c r="AU47" i="22"/>
  <c r="AZ65" i="22"/>
  <c r="R65" i="22"/>
  <c r="R102" i="22"/>
  <c r="G192" i="22"/>
  <c r="X126" i="22"/>
  <c r="AF126" i="22"/>
  <c r="AU40" i="22"/>
  <c r="N40" i="22"/>
  <c r="AX55" i="22"/>
  <c r="AZ61" i="22"/>
  <c r="R61" i="22"/>
  <c r="BE65" i="22"/>
  <c r="V65" i="22"/>
  <c r="BJ29" i="22"/>
  <c r="N103" i="22"/>
  <c r="AZ23" i="22"/>
  <c r="R23" i="22"/>
  <c r="J120" i="22"/>
  <c r="AX45" i="22"/>
  <c r="X211" i="22"/>
  <c r="AZ29" i="22"/>
  <c r="R29" i="22"/>
  <c r="AU37" i="22"/>
  <c r="N37" i="22"/>
  <c r="N85" i="22"/>
  <c r="BJ42" i="22"/>
  <c r="Z211" i="22"/>
  <c r="AU20" i="22"/>
  <c r="N20" i="22"/>
  <c r="AX21" i="22"/>
  <c r="AU23" i="22"/>
  <c r="N23" i="22"/>
  <c r="J153" i="22"/>
  <c r="AD153" i="22"/>
  <c r="J169" i="22"/>
  <c r="AD169" i="22"/>
  <c r="AU36" i="22"/>
  <c r="N36" i="22"/>
  <c r="AU18" i="22"/>
  <c r="N18" i="22"/>
  <c r="N73" i="22"/>
  <c r="AX18" i="22"/>
  <c r="BC18" i="22"/>
  <c r="J178" i="22"/>
  <c r="AD178" i="22"/>
  <c r="G179" i="22"/>
  <c r="G180" i="22"/>
  <c r="J180" i="22"/>
  <c r="AD180" i="22"/>
  <c r="J177" i="22"/>
  <c r="AD177" i="22"/>
  <c r="J205" i="22"/>
  <c r="AD205" i="22"/>
  <c r="T139" i="22"/>
  <c r="T211" i="22"/>
  <c r="T264" i="22"/>
  <c r="T265" i="22"/>
  <c r="N211" i="22"/>
  <c r="P211" i="22"/>
  <c r="V211" i="22"/>
  <c r="AB139" i="22"/>
  <c r="AD118" i="22"/>
  <c r="L211" i="22"/>
  <c r="AB211" i="22"/>
  <c r="AB264" i="22"/>
  <c r="AF106" i="22"/>
  <c r="AF225" i="22"/>
  <c r="AF254" i="22"/>
  <c r="P262" i="22"/>
  <c r="AF262" i="22"/>
  <c r="R211" i="22"/>
  <c r="AD147" i="22"/>
  <c r="BH20" i="22"/>
  <c r="BJ20" i="22"/>
  <c r="BE20" i="22"/>
  <c r="V20" i="22"/>
  <c r="Z40" i="22"/>
  <c r="BG28" i="22"/>
  <c r="BJ24" i="22"/>
  <c r="Z29" i="22"/>
  <c r="BG31" i="22"/>
  <c r="BH26" i="22"/>
  <c r="BJ26" i="22"/>
  <c r="BE26" i="22"/>
  <c r="V26" i="22"/>
  <c r="BG19" i="22"/>
  <c r="BG25" i="22"/>
  <c r="BH46" i="22"/>
  <c r="BJ46" i="22"/>
  <c r="BE46" i="22"/>
  <c r="V46" i="22"/>
  <c r="BH18" i="22"/>
  <c r="BJ18" i="22"/>
  <c r="BE18" i="22"/>
  <c r="V18" i="22"/>
  <c r="Z42" i="22"/>
  <c r="BH35" i="22"/>
  <c r="BJ35" i="22"/>
  <c r="BE35" i="22"/>
  <c r="N81" i="22"/>
  <c r="BJ32" i="22"/>
  <c r="BH37" i="22"/>
  <c r="BJ37" i="22"/>
  <c r="BE37" i="22"/>
  <c r="V37" i="22"/>
  <c r="V85" i="22"/>
  <c r="AZ18" i="22"/>
  <c r="R18" i="22"/>
  <c r="R73" i="22"/>
  <c r="BC30" i="22"/>
  <c r="AZ30" i="22"/>
  <c r="R30" i="22"/>
  <c r="BB22" i="22"/>
  <c r="BE24" i="22"/>
  <c r="V24" i="22"/>
  <c r="V77" i="22"/>
  <c r="AU26" i="22"/>
  <c r="N26" i="22"/>
  <c r="BC33" i="22"/>
  <c r="AZ33" i="22"/>
  <c r="R33" i="22"/>
  <c r="BE34" i="22"/>
  <c r="V34" i="22"/>
  <c r="AZ35" i="22"/>
  <c r="R35" i="22"/>
  <c r="N122" i="22"/>
  <c r="N39" i="22"/>
  <c r="N86" i="22"/>
  <c r="BH39" i="22"/>
  <c r="BJ39" i="22"/>
  <c r="AZ40" i="22"/>
  <c r="R40" i="22"/>
  <c r="AX41" i="22"/>
  <c r="AU41" i="22"/>
  <c r="Z112" i="22"/>
  <c r="V112" i="22"/>
  <c r="R112" i="22"/>
  <c r="N112" i="22"/>
  <c r="J112" i="22"/>
  <c r="AZ20" i="22"/>
  <c r="R20" i="22"/>
  <c r="H308" i="22"/>
  <c r="G308" i="22"/>
  <c r="H112" i="22"/>
  <c r="H311" i="22"/>
  <c r="C113" i="22"/>
  <c r="C77" i="22"/>
  <c r="BC23" i="22"/>
  <c r="AU29" i="22"/>
  <c r="N29" i="22"/>
  <c r="AZ34" i="22"/>
  <c r="R34" i="22"/>
  <c r="AX36" i="22"/>
  <c r="AU42" i="22"/>
  <c r="N42" i="22"/>
  <c r="BC43" i="22"/>
  <c r="AZ43" i="22"/>
  <c r="R43" i="22"/>
  <c r="N100" i="22"/>
  <c r="Z64" i="22"/>
  <c r="Z101" i="22"/>
  <c r="BH68" i="22"/>
  <c r="BJ68" i="22"/>
  <c r="BE68" i="22"/>
  <c r="V68" i="22"/>
  <c r="AZ26" i="22"/>
  <c r="R26" i="22"/>
  <c r="R39" i="22"/>
  <c r="R86" i="22"/>
  <c r="BE40" i="22"/>
  <c r="V40" i="22"/>
  <c r="AZ46" i="22"/>
  <c r="R46" i="22"/>
  <c r="AZ37" i="22"/>
  <c r="R37" i="22"/>
  <c r="R85" i="22"/>
  <c r="BE42" i="22"/>
  <c r="V42" i="22"/>
  <c r="J91" i="22"/>
  <c r="AZ32" i="22"/>
  <c r="R32" i="22"/>
  <c r="J84" i="22"/>
  <c r="AU49" i="22"/>
  <c r="N49" i="22"/>
  <c r="N91" i="22"/>
  <c r="AZ24" i="22"/>
  <c r="R24" i="22"/>
  <c r="R77" i="22"/>
  <c r="BC27" i="22"/>
  <c r="AZ27" i="22"/>
  <c r="R27" i="22"/>
  <c r="R79" i="22"/>
  <c r="BE29" i="22"/>
  <c r="V29" i="22"/>
  <c r="BJ34" i="22"/>
  <c r="AX38" i="22"/>
  <c r="AU38" i="22"/>
  <c r="N38" i="22"/>
  <c r="V122" i="22"/>
  <c r="V39" i="22"/>
  <c r="V86" i="22"/>
  <c r="BE44" i="22"/>
  <c r="V44" i="22"/>
  <c r="J93" i="22"/>
  <c r="AZ53" i="22"/>
  <c r="R53" i="22"/>
  <c r="R94" i="22"/>
  <c r="BD53" i="22"/>
  <c r="BI53" i="22"/>
  <c r="BJ44" i="22"/>
  <c r="AZ47" i="22"/>
  <c r="BC47" i="22"/>
  <c r="BC48" i="22"/>
  <c r="AZ48" i="22"/>
  <c r="R48" i="22"/>
  <c r="BC49" i="22"/>
  <c r="AZ49" i="22"/>
  <c r="R49" i="22"/>
  <c r="R91" i="22"/>
  <c r="AX56" i="22"/>
  <c r="AU56" i="22"/>
  <c r="N56" i="22"/>
  <c r="N96" i="22"/>
  <c r="J89" i="22"/>
  <c r="N89" i="22"/>
  <c r="G199" i="22"/>
  <c r="J198" i="22"/>
  <c r="AD198" i="22"/>
  <c r="AZ44" i="22"/>
  <c r="R44" i="22"/>
  <c r="AY52" i="22"/>
  <c r="AU52" i="22"/>
  <c r="N52" i="22"/>
  <c r="N93" i="22"/>
  <c r="BH53" i="22"/>
  <c r="AY59" i="22"/>
  <c r="BD59" i="22"/>
  <c r="BI59" i="22"/>
  <c r="AU59" i="22"/>
  <c r="N59" i="22"/>
  <c r="N98" i="22"/>
  <c r="BE64" i="22"/>
  <c r="V64" i="22"/>
  <c r="V101" i="22"/>
  <c r="J86" i="22"/>
  <c r="C111" i="22"/>
  <c r="BH61" i="22"/>
  <c r="BJ61" i="22"/>
  <c r="BE61" i="22"/>
  <c r="V61" i="22"/>
  <c r="V99" i="22"/>
  <c r="Z65" i="22"/>
  <c r="AD65" i="22"/>
  <c r="BL65" i="22"/>
  <c r="BC50" i="22"/>
  <c r="AZ50" i="22"/>
  <c r="R50" i="22"/>
  <c r="BH67" i="22"/>
  <c r="BJ67" i="22"/>
  <c r="BE67" i="22"/>
  <c r="V67" i="22"/>
  <c r="V103" i="22"/>
  <c r="J75" i="22"/>
  <c r="N75" i="22"/>
  <c r="J85" i="22"/>
  <c r="R88" i="22"/>
  <c r="N88" i="22"/>
  <c r="J88" i="22"/>
  <c r="AX58" i="22"/>
  <c r="AU58" i="22"/>
  <c r="N58" i="22"/>
  <c r="N97" i="22"/>
  <c r="BH59" i="22"/>
  <c r="BJ59" i="22"/>
  <c r="J73" i="22"/>
  <c r="J79" i="22"/>
  <c r="J90" i="22"/>
  <c r="V104" i="22"/>
  <c r="N104" i="22"/>
  <c r="J104" i="22"/>
  <c r="R124" i="22"/>
  <c r="J124" i="22"/>
  <c r="L264" i="22"/>
  <c r="R81" i="22"/>
  <c r="H114" i="22"/>
  <c r="N119" i="22"/>
  <c r="J119" i="22"/>
  <c r="H119" i="22"/>
  <c r="L139" i="22"/>
  <c r="G157" i="22"/>
  <c r="J157" i="22"/>
  <c r="AD157" i="22"/>
  <c r="G193" i="22"/>
  <c r="J192" i="22"/>
  <c r="AD192" i="22"/>
  <c r="AZ68" i="22"/>
  <c r="R68" i="22"/>
  <c r="R104" i="22"/>
  <c r="R100" i="22"/>
  <c r="J102" i="22"/>
  <c r="R103" i="22"/>
  <c r="AF70" i="22"/>
  <c r="J81" i="22"/>
  <c r="J82" i="22"/>
  <c r="J83" i="22"/>
  <c r="R84" i="22"/>
  <c r="J100" i="22"/>
  <c r="J101" i="22"/>
  <c r="AD101" i="22"/>
  <c r="N102" i="22"/>
  <c r="J103" i="22"/>
  <c r="H117" i="22"/>
  <c r="J117" i="22"/>
  <c r="R119" i="22"/>
  <c r="N125" i="22"/>
  <c r="H125" i="22"/>
  <c r="J125" i="22"/>
  <c r="J170" i="22"/>
  <c r="AD170" i="22"/>
  <c r="G171" i="22"/>
  <c r="G172" i="22"/>
  <c r="AF186" i="22"/>
  <c r="J206" i="22"/>
  <c r="AD206" i="22"/>
  <c r="G207" i="22"/>
  <c r="J94" i="22"/>
  <c r="N95" i="22"/>
  <c r="J96" i="22"/>
  <c r="J99" i="22"/>
  <c r="J122" i="22"/>
  <c r="L137" i="22"/>
  <c r="AF209" i="22"/>
  <c r="AU48" i="22"/>
  <c r="N48" i="22"/>
  <c r="J77" i="22"/>
  <c r="R83" i="22"/>
  <c r="J92" i="22"/>
  <c r="N94" i="22"/>
  <c r="J95" i="22"/>
  <c r="J97" i="22"/>
  <c r="J98" i="22"/>
  <c r="N99" i="22"/>
  <c r="V102" i="22"/>
  <c r="Z110" i="22"/>
  <c r="R110" i="22"/>
  <c r="Z121" i="22"/>
  <c r="R121" i="22"/>
  <c r="N121" i="22"/>
  <c r="H121" i="22"/>
  <c r="J121" i="22"/>
  <c r="P137" i="22"/>
  <c r="N92" i="22"/>
  <c r="R99" i="22"/>
  <c r="AF147" i="22"/>
  <c r="J155" i="22"/>
  <c r="AD155" i="22"/>
  <c r="G162" i="22"/>
  <c r="J161" i="22"/>
  <c r="AD161" i="22"/>
  <c r="R92" i="22"/>
  <c r="P139" i="22"/>
  <c r="Z120" i="22"/>
  <c r="J126" i="22"/>
  <c r="AB137" i="22"/>
  <c r="J171" i="22"/>
  <c r="AD171" i="22"/>
  <c r="J225" i="22"/>
  <c r="AD225" i="22"/>
  <c r="Z114" i="22"/>
  <c r="AD114" i="22"/>
  <c r="N116" i="22"/>
  <c r="R120" i="22"/>
  <c r="N124" i="22"/>
  <c r="J154" i="22"/>
  <c r="AD154" i="22"/>
  <c r="V116" i="22"/>
  <c r="AD254" i="22"/>
  <c r="BE59" i="22"/>
  <c r="V59" i="22"/>
  <c r="V98" i="22"/>
  <c r="G181" i="22"/>
  <c r="J181" i="22"/>
  <c r="AD181" i="22"/>
  <c r="AZ59" i="22"/>
  <c r="R59" i="22"/>
  <c r="R98" i="22"/>
  <c r="AZ45" i="22"/>
  <c r="BC45" i="22"/>
  <c r="BL64" i="22"/>
  <c r="N126" i="22"/>
  <c r="N47" i="22"/>
  <c r="N90" i="22"/>
  <c r="BC21" i="22"/>
  <c r="AZ21" i="22"/>
  <c r="R21" i="22"/>
  <c r="R75" i="22"/>
  <c r="BH62" i="22"/>
  <c r="BJ62" i="22"/>
  <c r="BE62" i="22"/>
  <c r="V62" i="22"/>
  <c r="V100" i="22"/>
  <c r="BL42" i="22"/>
  <c r="J179" i="22"/>
  <c r="AD179" i="22"/>
  <c r="BC55" i="22"/>
  <c r="AZ55" i="22"/>
  <c r="R55" i="22"/>
  <c r="R95" i="22"/>
  <c r="AF211" i="22"/>
  <c r="T267" i="22"/>
  <c r="T273" i="22"/>
  <c r="T275" i="22"/>
  <c r="AD42" i="22"/>
  <c r="AD110" i="22"/>
  <c r="Z102" i="22"/>
  <c r="AD102" i="22"/>
  <c r="AD40" i="22"/>
  <c r="AD116" i="22"/>
  <c r="AD64" i="22"/>
  <c r="AD29" i="22"/>
  <c r="P264" i="22"/>
  <c r="AD112" i="22"/>
  <c r="BD52" i="22"/>
  <c r="AZ52" i="22"/>
  <c r="R52" i="22"/>
  <c r="R93" i="22"/>
  <c r="BH27" i="22"/>
  <c r="BJ27" i="22"/>
  <c r="BE27" i="22"/>
  <c r="V27" i="22"/>
  <c r="V79" i="22"/>
  <c r="Z44" i="22"/>
  <c r="AD44" i="22"/>
  <c r="BL44" i="22"/>
  <c r="Z32" i="22"/>
  <c r="AD32" i="22"/>
  <c r="BL32" i="22"/>
  <c r="G173" i="22"/>
  <c r="J173" i="22"/>
  <c r="AD173" i="22"/>
  <c r="J172" i="22"/>
  <c r="AD172" i="22"/>
  <c r="AZ58" i="22"/>
  <c r="R58" i="22"/>
  <c r="R97" i="22"/>
  <c r="BC58" i="22"/>
  <c r="BL67" i="22"/>
  <c r="Z67" i="22"/>
  <c r="Z103" i="22"/>
  <c r="AD103" i="22"/>
  <c r="AZ56" i="22"/>
  <c r="R56" i="22"/>
  <c r="R96" i="22"/>
  <c r="BC56" i="22"/>
  <c r="BH23" i="22"/>
  <c r="BJ23" i="22"/>
  <c r="BE23" i="22"/>
  <c r="V23" i="22"/>
  <c r="N123" i="22"/>
  <c r="N41" i="22"/>
  <c r="BJ19" i="22"/>
  <c r="BL29" i="22"/>
  <c r="BL61" i="22"/>
  <c r="Z61" i="22"/>
  <c r="BH33" i="22"/>
  <c r="BJ33" i="22"/>
  <c r="BE33" i="22"/>
  <c r="V33" i="22"/>
  <c r="V83" i="22"/>
  <c r="AB267" i="22"/>
  <c r="AB273" i="22"/>
  <c r="AB275" i="22"/>
  <c r="AB265" i="22"/>
  <c r="G200" i="22"/>
  <c r="J199" i="22"/>
  <c r="AD199" i="22"/>
  <c r="BE49" i="22"/>
  <c r="V49" i="22"/>
  <c r="V91" i="22"/>
  <c r="BH49" i="22"/>
  <c r="BJ49" i="22"/>
  <c r="BC38" i="22"/>
  <c r="AZ38" i="22"/>
  <c r="R38" i="22"/>
  <c r="BL18" i="22"/>
  <c r="Z18" i="22"/>
  <c r="BL24" i="22"/>
  <c r="Z24" i="22"/>
  <c r="BC41" i="22"/>
  <c r="AZ41" i="22"/>
  <c r="BH30" i="22"/>
  <c r="BJ30" i="22"/>
  <c r="Z117" i="22"/>
  <c r="BE30" i="22"/>
  <c r="V30" i="22"/>
  <c r="V81" i="22"/>
  <c r="G163" i="22"/>
  <c r="J162" i="22"/>
  <c r="AD162" i="22"/>
  <c r="N117" i="22"/>
  <c r="V121" i="22"/>
  <c r="AD121" i="22"/>
  <c r="R117" i="22"/>
  <c r="J193" i="22"/>
  <c r="G194" i="22"/>
  <c r="J194" i="22"/>
  <c r="AD194" i="22"/>
  <c r="L267" i="22"/>
  <c r="L265" i="22"/>
  <c r="BH50" i="22"/>
  <c r="BJ50" i="22"/>
  <c r="BE50" i="22"/>
  <c r="V50" i="22"/>
  <c r="BL68" i="22"/>
  <c r="Z68" i="22"/>
  <c r="Z104" i="22"/>
  <c r="AD104" i="22"/>
  <c r="BE43" i="22"/>
  <c r="BH43" i="22"/>
  <c r="BJ43" i="22"/>
  <c r="Z122" i="22"/>
  <c r="AD122" i="22"/>
  <c r="Z39" i="22"/>
  <c r="Z86" i="22"/>
  <c r="BL39" i="22"/>
  <c r="Z26" i="22"/>
  <c r="AD26" i="22"/>
  <c r="BL26" i="22"/>
  <c r="BL40" i="22"/>
  <c r="G208" i="22"/>
  <c r="J208" i="22"/>
  <c r="AD208" i="22"/>
  <c r="J207" i="22"/>
  <c r="V117" i="22"/>
  <c r="BE53" i="22"/>
  <c r="V53" i="22"/>
  <c r="V94" i="22"/>
  <c r="BH48" i="22"/>
  <c r="BJ48" i="22"/>
  <c r="BE48" i="22"/>
  <c r="V48" i="22"/>
  <c r="BL34" i="22"/>
  <c r="Z34" i="22"/>
  <c r="AD34" i="22"/>
  <c r="H115" i="22"/>
  <c r="H113" i="22"/>
  <c r="H116" i="22"/>
  <c r="H109" i="22"/>
  <c r="H110" i="22"/>
  <c r="H111" i="22"/>
  <c r="H118" i="22"/>
  <c r="V120" i="22"/>
  <c r="AD120" i="22"/>
  <c r="V35" i="22"/>
  <c r="V84" i="22"/>
  <c r="AD84" i="22"/>
  <c r="BL46" i="22"/>
  <c r="Z46" i="22"/>
  <c r="AD46" i="22"/>
  <c r="V73" i="22"/>
  <c r="BJ53" i="22"/>
  <c r="BH47" i="22"/>
  <c r="BJ47" i="22"/>
  <c r="BE47" i="22"/>
  <c r="BC36" i="22"/>
  <c r="AZ36" i="22"/>
  <c r="R36" i="22"/>
  <c r="AK20" i="22"/>
  <c r="AK31" i="22"/>
  <c r="BJ31" i="22"/>
  <c r="AK28" i="22"/>
  <c r="AK25" i="22"/>
  <c r="BJ25" i="22"/>
  <c r="AK24" i="22"/>
  <c r="AK29" i="22"/>
  <c r="X120" i="22"/>
  <c r="AK18" i="22"/>
  <c r="AK26" i="22"/>
  <c r="AK22" i="22"/>
  <c r="BE22" i="22"/>
  <c r="V22" i="22"/>
  <c r="V76" i="22"/>
  <c r="AK19" i="22"/>
  <c r="AK27" i="22"/>
  <c r="AK21" i="22"/>
  <c r="AK30" i="22"/>
  <c r="AK23" i="22"/>
  <c r="BL35" i="22"/>
  <c r="Z35" i="22"/>
  <c r="Z84" i="22"/>
  <c r="BL59" i="22"/>
  <c r="Z59" i="22"/>
  <c r="AD86" i="22"/>
  <c r="R126" i="22"/>
  <c r="R47" i="22"/>
  <c r="BG22" i="22"/>
  <c r="BL37" i="22"/>
  <c r="Z37" i="22"/>
  <c r="Z85" i="22"/>
  <c r="AD85" i="22"/>
  <c r="BL20" i="22"/>
  <c r="Z20" i="22"/>
  <c r="AD20" i="22"/>
  <c r="F154" i="1"/>
  <c r="BH55" i="22"/>
  <c r="BJ55" i="22"/>
  <c r="BE55" i="22"/>
  <c r="V55" i="22"/>
  <c r="V95" i="22"/>
  <c r="AD67" i="22"/>
  <c r="BH45" i="22"/>
  <c r="BJ45" i="22"/>
  <c r="BE45" i="22"/>
  <c r="Z62" i="22"/>
  <c r="BL62" i="22"/>
  <c r="R45" i="22"/>
  <c r="R89" i="22"/>
  <c r="R125" i="22"/>
  <c r="AD39" i="22"/>
  <c r="BH21" i="22"/>
  <c r="BJ21" i="22"/>
  <c r="BE21" i="22"/>
  <c r="V21" i="22"/>
  <c r="V75" i="22"/>
  <c r="BJ22" i="22"/>
  <c r="V119" i="22"/>
  <c r="AD68" i="22"/>
  <c r="AD35" i="22"/>
  <c r="P267" i="22"/>
  <c r="P273" i="22"/>
  <c r="P275" i="22"/>
  <c r="P265" i="22"/>
  <c r="AD117" i="22"/>
  <c r="Z31" i="22"/>
  <c r="Z82" i="22"/>
  <c r="X135" i="22"/>
  <c r="AF120" i="22"/>
  <c r="V92" i="22"/>
  <c r="BL27" i="22"/>
  <c r="Z27" i="22"/>
  <c r="Z79" i="22"/>
  <c r="AD79" i="22"/>
  <c r="AP25" i="22"/>
  <c r="J25" i="22"/>
  <c r="BE25" i="22"/>
  <c r="V25" i="22"/>
  <c r="V78" i="22"/>
  <c r="AZ25" i="22"/>
  <c r="R25" i="22"/>
  <c r="R78" i="22"/>
  <c r="AU25" i="22"/>
  <c r="N25" i="22"/>
  <c r="N78" i="22"/>
  <c r="Z109" i="22"/>
  <c r="R109" i="22"/>
  <c r="N109" i="22"/>
  <c r="J109" i="22"/>
  <c r="V109" i="22"/>
  <c r="Z77" i="22"/>
  <c r="AD77" i="22"/>
  <c r="AD24" i="22"/>
  <c r="BL49" i="22"/>
  <c r="Z49" i="22"/>
  <c r="AD61" i="22"/>
  <c r="Z99" i="22"/>
  <c r="AD99" i="22"/>
  <c r="N87" i="22"/>
  <c r="AP28" i="22"/>
  <c r="J28" i="22"/>
  <c r="AU28" i="22"/>
  <c r="N28" i="22"/>
  <c r="N80" i="22"/>
  <c r="BE28" i="22"/>
  <c r="V28" i="22"/>
  <c r="V80" i="22"/>
  <c r="AZ28" i="22"/>
  <c r="R28" i="22"/>
  <c r="R80" i="22"/>
  <c r="G164" i="22"/>
  <c r="J163" i="22"/>
  <c r="AD163" i="22"/>
  <c r="BI52" i="22"/>
  <c r="BJ52" i="22"/>
  <c r="BE52" i="22"/>
  <c r="V52" i="22"/>
  <c r="AD37" i="22"/>
  <c r="V126" i="22"/>
  <c r="V47" i="22"/>
  <c r="V90" i="22"/>
  <c r="Z19" i="22"/>
  <c r="Z74" i="22"/>
  <c r="N111" i="22"/>
  <c r="J111" i="22"/>
  <c r="Z111" i="22"/>
  <c r="R111" i="22"/>
  <c r="Z33" i="22"/>
  <c r="Z83" i="22"/>
  <c r="AD83" i="22"/>
  <c r="BL33" i="22"/>
  <c r="Z119" i="22"/>
  <c r="AD119" i="22"/>
  <c r="Z48" i="22"/>
  <c r="AD48" i="22"/>
  <c r="BL48" i="22"/>
  <c r="Z53" i="22"/>
  <c r="BL53" i="22"/>
  <c r="Z73" i="22"/>
  <c r="BJ28" i="22"/>
  <c r="Z22" i="22"/>
  <c r="Z76" i="22"/>
  <c r="AP22" i="22"/>
  <c r="J22" i="22"/>
  <c r="AU22" i="22"/>
  <c r="N22" i="22"/>
  <c r="N76" i="22"/>
  <c r="AZ22" i="22"/>
  <c r="R22" i="22"/>
  <c r="R76" i="22"/>
  <c r="Z115" i="22"/>
  <c r="V115" i="22"/>
  <c r="N115" i="22"/>
  <c r="J115" i="22"/>
  <c r="R115" i="22"/>
  <c r="V43" i="22"/>
  <c r="V124" i="22"/>
  <c r="G201" i="22"/>
  <c r="J201" i="22"/>
  <c r="AD201" i="22"/>
  <c r="AD209" i="22"/>
  <c r="J200" i="22"/>
  <c r="BL23" i="22"/>
  <c r="Z23" i="22"/>
  <c r="AD23" i="22"/>
  <c r="BH58" i="22"/>
  <c r="BJ58" i="22"/>
  <c r="BE58" i="22"/>
  <c r="V58" i="22"/>
  <c r="V97" i="22"/>
  <c r="BE36" i="22"/>
  <c r="V36" i="22"/>
  <c r="BH36" i="22"/>
  <c r="BJ36" i="22"/>
  <c r="R123" i="22"/>
  <c r="R41" i="22"/>
  <c r="R87" i="22"/>
  <c r="BH56" i="22"/>
  <c r="BJ56" i="22"/>
  <c r="BE56" i="22"/>
  <c r="V56" i="22"/>
  <c r="V96" i="22"/>
  <c r="Z25" i="22"/>
  <c r="Z78" i="22"/>
  <c r="Z47" i="22"/>
  <c r="Z90" i="22"/>
  <c r="BL47" i="22"/>
  <c r="Z126" i="22"/>
  <c r="BH38" i="22"/>
  <c r="BJ38" i="22"/>
  <c r="BE38" i="22"/>
  <c r="V38" i="22"/>
  <c r="Z98" i="22"/>
  <c r="AD98" i="22"/>
  <c r="AD59" i="22"/>
  <c r="Z50" i="22"/>
  <c r="Z92" i="22"/>
  <c r="BL50" i="22"/>
  <c r="AU19" i="22"/>
  <c r="N19" i="22"/>
  <c r="AP19" i="22"/>
  <c r="J19" i="22"/>
  <c r="AZ19" i="22"/>
  <c r="R19" i="22"/>
  <c r="BE19" i="22"/>
  <c r="V19" i="22"/>
  <c r="AP31" i="22"/>
  <c r="J31" i="22"/>
  <c r="BE31" i="22"/>
  <c r="V31" i="22"/>
  <c r="V82" i="22"/>
  <c r="AZ31" i="22"/>
  <c r="R31" i="22"/>
  <c r="R82" i="22"/>
  <c r="AU31" i="22"/>
  <c r="N31" i="22"/>
  <c r="N82" i="22"/>
  <c r="AD82" i="22"/>
  <c r="R113" i="22"/>
  <c r="N113" i="22"/>
  <c r="J113" i="22"/>
  <c r="Z113" i="22"/>
  <c r="V113" i="22"/>
  <c r="BL43" i="22"/>
  <c r="Z43" i="22"/>
  <c r="Z88" i="22"/>
  <c r="Z124" i="22"/>
  <c r="AD27" i="22"/>
  <c r="L273" i="22"/>
  <c r="BL30" i="22"/>
  <c r="Z30" i="22"/>
  <c r="Z81" i="22"/>
  <c r="AD81" i="22"/>
  <c r="AD18" i="22"/>
  <c r="R90" i="22"/>
  <c r="AD47" i="22"/>
  <c r="BH41" i="22"/>
  <c r="BJ41" i="22"/>
  <c r="BE41" i="22"/>
  <c r="A81" i="1"/>
  <c r="BL22" i="22"/>
  <c r="V45" i="22"/>
  <c r="V89" i="22"/>
  <c r="V125" i="22"/>
  <c r="Z100" i="22"/>
  <c r="AD100" i="22"/>
  <c r="AD62" i="22"/>
  <c r="Z45" i="22"/>
  <c r="BL45" i="22"/>
  <c r="Z125" i="22"/>
  <c r="AD125" i="22"/>
  <c r="Z21" i="22"/>
  <c r="BL21" i="22"/>
  <c r="V111" i="22"/>
  <c r="BL55" i="22"/>
  <c r="Z55" i="22"/>
  <c r="AD126" i="22"/>
  <c r="J209" i="22"/>
  <c r="AD115" i="22"/>
  <c r="AD90" i="22"/>
  <c r="AD30" i="22"/>
  <c r="Z56" i="22"/>
  <c r="BL56" i="22"/>
  <c r="BL52" i="22"/>
  <c r="Z52" i="22"/>
  <c r="Z93" i="22"/>
  <c r="Z36" i="22"/>
  <c r="AD36" i="22"/>
  <c r="BL36" i="22"/>
  <c r="BL28" i="22"/>
  <c r="Z28" i="22"/>
  <c r="Z80" i="22"/>
  <c r="BL19" i="22"/>
  <c r="J135" i="22"/>
  <c r="AD109" i="22"/>
  <c r="BL31" i="22"/>
  <c r="G165" i="22"/>
  <c r="J165" i="22"/>
  <c r="AD165" i="22"/>
  <c r="J164" i="22"/>
  <c r="N135" i="22"/>
  <c r="AD31" i="22"/>
  <c r="J78" i="22"/>
  <c r="AD78" i="22"/>
  <c r="AD25" i="22"/>
  <c r="Z91" i="22"/>
  <c r="AD91" i="22"/>
  <c r="AD49" i="22"/>
  <c r="AD33" i="22"/>
  <c r="V88" i="22"/>
  <c r="AD88" i="22"/>
  <c r="AD43" i="22"/>
  <c r="AD92" i="22"/>
  <c r="Z38" i="22"/>
  <c r="AD38" i="22"/>
  <c r="BL38" i="22"/>
  <c r="Z94" i="22"/>
  <c r="AD94" i="22"/>
  <c r="AD53" i="22"/>
  <c r="N70" i="22"/>
  <c r="N74" i="22"/>
  <c r="N106" i="22"/>
  <c r="AD111" i="22"/>
  <c r="AD124" i="22"/>
  <c r="AD73" i="22"/>
  <c r="R135" i="22"/>
  <c r="V41" i="22"/>
  <c r="V87" i="22"/>
  <c r="V123" i="22"/>
  <c r="V135" i="22"/>
  <c r="V74" i="22"/>
  <c r="BL25" i="22"/>
  <c r="Z123" i="22"/>
  <c r="Z41" i="22"/>
  <c r="Z87" i="22"/>
  <c r="BL41" i="22"/>
  <c r="L275" i="22"/>
  <c r="AD113" i="22"/>
  <c r="R74" i="22"/>
  <c r="R106" i="22"/>
  <c r="R70" i="22"/>
  <c r="AD22" i="22"/>
  <c r="J76" i="22"/>
  <c r="AD76" i="22"/>
  <c r="AD50" i="22"/>
  <c r="V93" i="22"/>
  <c r="J80" i="22"/>
  <c r="AD19" i="22"/>
  <c r="J70" i="22"/>
  <c r="J74" i="22"/>
  <c r="X137" i="22"/>
  <c r="AF137" i="22"/>
  <c r="X139" i="22"/>
  <c r="AF135" i="22"/>
  <c r="AF139" i="22"/>
  <c r="X264" i="22"/>
  <c r="Z58" i="22"/>
  <c r="BL58" i="22"/>
  <c r="AB70" i="1"/>
  <c r="X70" i="1"/>
  <c r="T70" i="1"/>
  <c r="P70" i="1"/>
  <c r="L70" i="1"/>
  <c r="AD45" i="22"/>
  <c r="Z89" i="22"/>
  <c r="AD89" i="22"/>
  <c r="Z95" i="22"/>
  <c r="AD95" i="22"/>
  <c r="AD55" i="22"/>
  <c r="Z135" i="22"/>
  <c r="AD135" i="22"/>
  <c r="Z75" i="22"/>
  <c r="AD75" i="22"/>
  <c r="AD21" i="22"/>
  <c r="N139" i="22"/>
  <c r="Z70" i="22"/>
  <c r="AD87" i="22"/>
  <c r="AD41" i="22"/>
  <c r="AD52" i="22"/>
  <c r="R137" i="22"/>
  <c r="AD93" i="22"/>
  <c r="X265" i="22"/>
  <c r="X267" i="22"/>
  <c r="AF264" i="22"/>
  <c r="AF265" i="22"/>
  <c r="AD28" i="22"/>
  <c r="Z96" i="22"/>
  <c r="AD96" i="22"/>
  <c r="AD56" i="22"/>
  <c r="N137" i="22"/>
  <c r="AD123" i="22"/>
  <c r="AD80" i="22"/>
  <c r="R139" i="22"/>
  <c r="V70" i="22"/>
  <c r="AD74" i="22"/>
  <c r="J106" i="22"/>
  <c r="Z97" i="22"/>
  <c r="AD97" i="22"/>
  <c r="AD58" i="22"/>
  <c r="AD164" i="22"/>
  <c r="J186" i="22"/>
  <c r="V106" i="22"/>
  <c r="V137" i="22"/>
  <c r="Z106" i="22"/>
  <c r="Z139" i="22"/>
  <c r="AD186" i="22"/>
  <c r="J211" i="22"/>
  <c r="AD211" i="22"/>
  <c r="AD70" i="22"/>
  <c r="J137" i="22"/>
  <c r="X273" i="22"/>
  <c r="AF267" i="22"/>
  <c r="V139" i="22"/>
  <c r="J139" i="22"/>
  <c r="AD106" i="22"/>
  <c r="Z137" i="22"/>
  <c r="AD137" i="22"/>
  <c r="AF273" i="22"/>
  <c r="X275" i="22"/>
  <c r="AF275" i="22"/>
  <c r="AD139" i="22"/>
  <c r="C44" i="17"/>
  <c r="N42" i="17"/>
  <c r="L42" i="17"/>
  <c r="J42" i="17"/>
  <c r="H42" i="17"/>
  <c r="F42" i="17"/>
  <c r="N102" i="17"/>
  <c r="N103" i="17"/>
  <c r="N104" i="17"/>
  <c r="N105" i="17"/>
  <c r="N106" i="17"/>
  <c r="N107" i="17"/>
  <c r="N108" i="17"/>
  <c r="L102" i="17"/>
  <c r="L103" i="17"/>
  <c r="L104" i="17"/>
  <c r="L105" i="17"/>
  <c r="L106" i="17"/>
  <c r="L107" i="17"/>
  <c r="L108" i="17"/>
  <c r="J102" i="17"/>
  <c r="J104" i="17"/>
  <c r="J105" i="17"/>
  <c r="J106" i="17"/>
  <c r="J107" i="17"/>
  <c r="J108" i="17"/>
  <c r="H102" i="17"/>
  <c r="H103" i="17"/>
  <c r="H104" i="17"/>
  <c r="H105" i="17"/>
  <c r="H106" i="17"/>
  <c r="H107" i="17"/>
  <c r="H108" i="17"/>
  <c r="F102" i="17"/>
  <c r="F103" i="17"/>
  <c r="F104" i="17"/>
  <c r="F105" i="17"/>
  <c r="F106" i="17"/>
  <c r="F107" i="17"/>
  <c r="F108" i="17"/>
  <c r="N89" i="17"/>
  <c r="L89" i="17"/>
  <c r="J89" i="17"/>
  <c r="H89" i="17"/>
  <c r="F89" i="17"/>
  <c r="AD254" i="1"/>
  <c r="AF254" i="1"/>
  <c r="AD255" i="1"/>
  <c r="AF255" i="1"/>
  <c r="AD257" i="1"/>
  <c r="AF257" i="1"/>
  <c r="AD258" i="1"/>
  <c r="AF258" i="1"/>
  <c r="AD260" i="1"/>
  <c r="AF260" i="1"/>
  <c r="AD261" i="1"/>
  <c r="AF261" i="1"/>
  <c r="AD264" i="1"/>
  <c r="AF264" i="1"/>
  <c r="AB106" i="1"/>
  <c r="X106" i="1"/>
  <c r="T106" i="1"/>
  <c r="P106" i="1"/>
  <c r="L106" i="1"/>
  <c r="AK48" i="1"/>
  <c r="H321" i="1"/>
  <c r="AK33" i="1" s="1"/>
  <c r="H323" i="1"/>
  <c r="H324" i="1"/>
  <c r="H325" i="1"/>
  <c r="AK41" i="1"/>
  <c r="H326" i="1"/>
  <c r="H327" i="1"/>
  <c r="AK46" i="1" s="1"/>
  <c r="H320" i="1"/>
  <c r="AK47" i="1"/>
  <c r="AK38" i="1"/>
  <c r="AK40" i="1"/>
  <c r="AK39" i="1"/>
  <c r="AK43" i="1"/>
  <c r="AK42" i="1"/>
  <c r="M11" i="17"/>
  <c r="AD267" i="1"/>
  <c r="AO6" i="1"/>
  <c r="H319" i="1" s="1"/>
  <c r="AO11" i="1"/>
  <c r="AD241" i="1"/>
  <c r="F208" i="1"/>
  <c r="C53" i="20" s="1"/>
  <c r="F200" i="1"/>
  <c r="C47" i="20" s="1"/>
  <c r="F192" i="1"/>
  <c r="G191" i="1"/>
  <c r="G192" i="1" s="1"/>
  <c r="G193" i="1" s="1"/>
  <c r="G195" i="1" s="1"/>
  <c r="F178" i="1"/>
  <c r="F179" i="1" s="1"/>
  <c r="C28" i="20" s="1"/>
  <c r="F170" i="1"/>
  <c r="C20" i="20" s="1"/>
  <c r="F162" i="1"/>
  <c r="AD270" i="1"/>
  <c r="AF110" i="1"/>
  <c r="AF111" i="1"/>
  <c r="AF112" i="1"/>
  <c r="AF113" i="1"/>
  <c r="AF114" i="1"/>
  <c r="AF115" i="1"/>
  <c r="AF116" i="1"/>
  <c r="AF117" i="1"/>
  <c r="AF118" i="1"/>
  <c r="A118" i="1"/>
  <c r="A117" i="1"/>
  <c r="A116" i="1"/>
  <c r="N116" i="1" s="1"/>
  <c r="A115" i="1"/>
  <c r="A114" i="1"/>
  <c r="N114" i="1" s="1"/>
  <c r="A112" i="1"/>
  <c r="A110" i="1"/>
  <c r="A82" i="1"/>
  <c r="H82" i="1" s="1"/>
  <c r="A80" i="1"/>
  <c r="H80" i="1" s="1"/>
  <c r="A78" i="1"/>
  <c r="H78" i="1" s="1"/>
  <c r="A76" i="1"/>
  <c r="A74" i="1"/>
  <c r="AR30" i="1"/>
  <c r="AW30" i="1" s="1"/>
  <c r="BB30" i="1" s="1"/>
  <c r="BG30" i="1" s="1"/>
  <c r="AS30" i="1"/>
  <c r="AT30" i="1"/>
  <c r="AY30" i="1" s="1"/>
  <c r="BD30" i="1" s="1"/>
  <c r="BI30" i="1" s="1"/>
  <c r="AP30" i="1"/>
  <c r="AF30" i="1"/>
  <c r="AR28" i="1"/>
  <c r="AW28" i="1" s="1"/>
  <c r="BB28" i="1" s="1"/>
  <c r="AS28" i="1"/>
  <c r="AX28" i="1" s="1"/>
  <c r="BC28" i="1" s="1"/>
  <c r="BH28" i="1" s="1"/>
  <c r="AT28" i="1"/>
  <c r="AY28" i="1" s="1"/>
  <c r="BD28" i="1" s="1"/>
  <c r="BI28" i="1" s="1"/>
  <c r="AF28" i="1"/>
  <c r="AR25" i="1"/>
  <c r="AW25" i="1" s="1"/>
  <c r="AS25" i="1"/>
  <c r="AX25" i="1" s="1"/>
  <c r="BC25" i="1" s="1"/>
  <c r="BH25" i="1" s="1"/>
  <c r="AT25" i="1"/>
  <c r="AY25" i="1" s="1"/>
  <c r="BD25" i="1" s="1"/>
  <c r="BI25" i="1" s="1"/>
  <c r="AF25" i="1"/>
  <c r="AR22" i="1"/>
  <c r="AW22" i="1" s="1"/>
  <c r="BB22" i="1" s="1"/>
  <c r="BG22" i="1" s="1"/>
  <c r="AS22" i="1"/>
  <c r="AX22" i="1" s="1"/>
  <c r="BC22" i="1" s="1"/>
  <c r="BH22" i="1" s="1"/>
  <c r="AT22" i="1"/>
  <c r="AY22" i="1" s="1"/>
  <c r="BD22" i="1" s="1"/>
  <c r="BI22" i="1" s="1"/>
  <c r="AF22" i="1"/>
  <c r="AR19" i="1"/>
  <c r="AW19" i="1" s="1"/>
  <c r="BB19" i="1" s="1"/>
  <c r="BG19" i="1" s="1"/>
  <c r="AS19" i="1"/>
  <c r="AX19" i="1" s="1"/>
  <c r="BC19" i="1" s="1"/>
  <c r="BH19" i="1" s="1"/>
  <c r="AT19" i="1"/>
  <c r="AY19" i="1" s="1"/>
  <c r="BD19" i="1" s="1"/>
  <c r="BI19" i="1" s="1"/>
  <c r="AF19" i="1"/>
  <c r="D30" i="1"/>
  <c r="C30" i="17" s="1"/>
  <c r="D28" i="1"/>
  <c r="C28" i="17" s="1"/>
  <c r="D25" i="1"/>
  <c r="C25" i="17" s="1"/>
  <c r="D22" i="1"/>
  <c r="C22" i="17" s="1"/>
  <c r="D19" i="1"/>
  <c r="C19" i="17" s="1"/>
  <c r="J118" i="1"/>
  <c r="R118" i="1"/>
  <c r="AF80" i="1"/>
  <c r="AF74" i="1"/>
  <c r="AF79" i="1"/>
  <c r="AF75" i="1"/>
  <c r="AF77" i="1"/>
  <c r="AF76" i="1"/>
  <c r="AF82" i="1"/>
  <c r="AF81" i="1"/>
  <c r="AF78" i="1"/>
  <c r="C109" i="17"/>
  <c r="J109" i="17" s="1"/>
  <c r="C101" i="17"/>
  <c r="C92" i="17"/>
  <c r="J92" i="17" s="1"/>
  <c r="C93" i="17"/>
  <c r="J93" i="17" s="1"/>
  <c r="C94" i="17"/>
  <c r="H94" i="17" s="1"/>
  <c r="C95" i="17"/>
  <c r="J95" i="17" s="1"/>
  <c r="C96" i="17"/>
  <c r="L96" i="17" s="1"/>
  <c r="C97" i="17"/>
  <c r="C98" i="17"/>
  <c r="L98" i="17" s="1"/>
  <c r="C99" i="17"/>
  <c r="L99" i="17" s="1"/>
  <c r="C100" i="17"/>
  <c r="J100" i="17" s="1"/>
  <c r="C91" i="17"/>
  <c r="N91" i="17" s="1"/>
  <c r="C90" i="17"/>
  <c r="F90" i="17" s="1"/>
  <c r="C88" i="17"/>
  <c r="J88" i="17" s="1"/>
  <c r="H177" i="1"/>
  <c r="H178" i="1" s="1"/>
  <c r="H179" i="1" s="1"/>
  <c r="H180" i="1" s="1"/>
  <c r="H181" i="1" s="1"/>
  <c r="G177" i="1"/>
  <c r="G178" i="1" s="1"/>
  <c r="AP52" i="1"/>
  <c r="J52" i="1" s="1"/>
  <c r="AP53" i="1"/>
  <c r="J53" i="1" s="1"/>
  <c r="AP55" i="1"/>
  <c r="J55" i="1" s="1"/>
  <c r="AP56" i="1"/>
  <c r="J56" i="1" s="1"/>
  <c r="AP57" i="1"/>
  <c r="AP58" i="1"/>
  <c r="J58" i="1" s="1"/>
  <c r="AP59" i="1"/>
  <c r="J59" i="1" s="1"/>
  <c r="AP50" i="1"/>
  <c r="J50" i="1" s="1"/>
  <c r="F101" i="17"/>
  <c r="F99" i="17"/>
  <c r="H101" i="17"/>
  <c r="H99" i="17"/>
  <c r="G169" i="1"/>
  <c r="G161" i="1"/>
  <c r="G162" i="1" s="1"/>
  <c r="AD238" i="1"/>
  <c r="AF238" i="1"/>
  <c r="J160" i="1"/>
  <c r="J152" i="1"/>
  <c r="AD152" i="1" s="1"/>
  <c r="I4" i="20" s="1"/>
  <c r="C61" i="17"/>
  <c r="C62" i="17"/>
  <c r="C59" i="17"/>
  <c r="C54" i="17"/>
  <c r="C52" i="17"/>
  <c r="C50" i="17"/>
  <c r="AP49" i="1"/>
  <c r="J49" i="1" s="1"/>
  <c r="AF62" i="1"/>
  <c r="A104" i="1"/>
  <c r="H104" i="1" s="1"/>
  <c r="A102" i="1"/>
  <c r="H102" i="1" s="1"/>
  <c r="A100" i="1"/>
  <c r="H100" i="1" s="1"/>
  <c r="AF68" i="1"/>
  <c r="AF65" i="1"/>
  <c r="D68" i="1"/>
  <c r="D67" i="1"/>
  <c r="D65" i="1"/>
  <c r="D64" i="1"/>
  <c r="D62" i="1"/>
  <c r="D61" i="1"/>
  <c r="AS68" i="1"/>
  <c r="AU68" i="1" s="1"/>
  <c r="N68" i="1" s="1"/>
  <c r="AS65" i="1"/>
  <c r="AS62" i="1"/>
  <c r="AU62" i="1" s="1"/>
  <c r="N62" i="1" s="1"/>
  <c r="AP68" i="1"/>
  <c r="J68" i="1" s="1"/>
  <c r="AP65" i="1"/>
  <c r="J65" i="1" s="1"/>
  <c r="AP62" i="1"/>
  <c r="J62" i="1" s="1"/>
  <c r="AF133" i="1"/>
  <c r="D59" i="1"/>
  <c r="AF48" i="1"/>
  <c r="AF20" i="1"/>
  <c r="AF100" i="1"/>
  <c r="AF102" i="1"/>
  <c r="D47" i="1"/>
  <c r="D45" i="1"/>
  <c r="D43" i="1"/>
  <c r="D41" i="1"/>
  <c r="D39" i="1"/>
  <c r="D37" i="1"/>
  <c r="D35" i="1"/>
  <c r="D33" i="1"/>
  <c r="D31" i="1"/>
  <c r="C31" i="17" s="1"/>
  <c r="D27" i="1"/>
  <c r="C27" i="17" s="1"/>
  <c r="D21" i="1"/>
  <c r="D18" i="1"/>
  <c r="C18" i="17" s="1"/>
  <c r="AT48" i="1"/>
  <c r="AY48" i="1" s="1"/>
  <c r="BD48" i="1" s="1"/>
  <c r="AS48" i="1"/>
  <c r="AX48" i="1" s="1"/>
  <c r="AR48" i="1"/>
  <c r="AW48" i="1" s="1"/>
  <c r="BB48" i="1" s="1"/>
  <c r="BG48" i="1" s="1"/>
  <c r="AT46" i="1"/>
  <c r="AY46" i="1" s="1"/>
  <c r="BD46" i="1" s="1"/>
  <c r="BI46" i="1" s="1"/>
  <c r="AS46" i="1"/>
  <c r="AX46" i="1" s="1"/>
  <c r="BC46" i="1" s="1"/>
  <c r="AR46" i="1"/>
  <c r="AW46" i="1" s="1"/>
  <c r="BB46" i="1" s="1"/>
  <c r="BG46" i="1" s="1"/>
  <c r="AT44" i="1"/>
  <c r="AS44" i="1"/>
  <c r="AX44" i="1" s="1"/>
  <c r="BC44" i="1" s="1"/>
  <c r="BH44" i="1" s="1"/>
  <c r="AR44" i="1"/>
  <c r="AW44" i="1" s="1"/>
  <c r="BB44" i="1" s="1"/>
  <c r="BG44" i="1" s="1"/>
  <c r="AT42" i="1"/>
  <c r="AY42" i="1" s="1"/>
  <c r="BD42" i="1" s="1"/>
  <c r="BI42" i="1" s="1"/>
  <c r="AS42" i="1"/>
  <c r="AX42" i="1" s="1"/>
  <c r="AR42" i="1"/>
  <c r="AW42" i="1" s="1"/>
  <c r="BB42" i="1" s="1"/>
  <c r="BG42" i="1" s="1"/>
  <c r="AT40" i="1"/>
  <c r="AY40" i="1" s="1"/>
  <c r="AS40" i="1"/>
  <c r="AX40" i="1" s="1"/>
  <c r="BC40" i="1" s="1"/>
  <c r="BH40" i="1" s="1"/>
  <c r="AR40" i="1"/>
  <c r="AW40" i="1" s="1"/>
  <c r="BB40" i="1" s="1"/>
  <c r="BG40" i="1" s="1"/>
  <c r="AT38" i="1"/>
  <c r="AY38" i="1" s="1"/>
  <c r="BD38" i="1" s="1"/>
  <c r="BI38" i="1" s="1"/>
  <c r="AS38" i="1"/>
  <c r="AX38" i="1" s="1"/>
  <c r="AR38" i="1"/>
  <c r="AW38" i="1" s="1"/>
  <c r="BB38" i="1" s="1"/>
  <c r="BG38" i="1" s="1"/>
  <c r="AT36" i="1"/>
  <c r="AY36" i="1" s="1"/>
  <c r="AS36" i="1"/>
  <c r="AX36" i="1" s="1"/>
  <c r="BC36" i="1" s="1"/>
  <c r="BH36" i="1" s="1"/>
  <c r="AR36" i="1"/>
  <c r="AW36" i="1" s="1"/>
  <c r="BB36" i="1" s="1"/>
  <c r="BG36" i="1" s="1"/>
  <c r="AT34" i="1"/>
  <c r="AY34" i="1" s="1"/>
  <c r="BD34" i="1" s="1"/>
  <c r="BI34" i="1" s="1"/>
  <c r="AS34" i="1"/>
  <c r="AX34" i="1" s="1"/>
  <c r="BC34" i="1" s="1"/>
  <c r="AR34" i="1"/>
  <c r="AW34" i="1" s="1"/>
  <c r="BB34" i="1" s="1"/>
  <c r="BG34" i="1" s="1"/>
  <c r="AT32" i="1"/>
  <c r="AY32" i="1" s="1"/>
  <c r="AS32" i="1"/>
  <c r="AX32" i="1" s="1"/>
  <c r="BC32" i="1" s="1"/>
  <c r="BH32" i="1" s="1"/>
  <c r="AR32" i="1"/>
  <c r="AW32" i="1" s="1"/>
  <c r="BB32" i="1" s="1"/>
  <c r="BG32" i="1" s="1"/>
  <c r="AT29" i="1"/>
  <c r="AY29" i="1" s="1"/>
  <c r="BD29" i="1" s="1"/>
  <c r="BI29" i="1" s="1"/>
  <c r="AS29" i="1"/>
  <c r="AX29" i="1" s="1"/>
  <c r="AR29" i="1"/>
  <c r="AW29" i="1" s="1"/>
  <c r="BB29" i="1" s="1"/>
  <c r="BG29" i="1" s="1"/>
  <c r="AT26" i="1"/>
  <c r="AS26" i="1"/>
  <c r="AX26" i="1" s="1"/>
  <c r="BC26" i="1" s="1"/>
  <c r="BH26" i="1" s="1"/>
  <c r="AR26" i="1"/>
  <c r="AW26" i="1" s="1"/>
  <c r="BB26" i="1" s="1"/>
  <c r="BG26" i="1" s="1"/>
  <c r="AP48" i="1"/>
  <c r="J48" i="1" s="1"/>
  <c r="AP46" i="1"/>
  <c r="AP44" i="1"/>
  <c r="AP42" i="1"/>
  <c r="AP40" i="1"/>
  <c r="AP38" i="1"/>
  <c r="J38" i="1" s="1"/>
  <c r="AP36" i="1"/>
  <c r="AP34" i="1"/>
  <c r="AP32" i="1"/>
  <c r="AP29" i="1"/>
  <c r="AP26" i="1"/>
  <c r="AP20" i="1"/>
  <c r="AP27" i="1"/>
  <c r="T27" i="17" s="1"/>
  <c r="AP33" i="1"/>
  <c r="AP35" i="1"/>
  <c r="AP37" i="1"/>
  <c r="AP39" i="1"/>
  <c r="AP41" i="1"/>
  <c r="AP43" i="1"/>
  <c r="AP45" i="1"/>
  <c r="AP47" i="1"/>
  <c r="AT20" i="1"/>
  <c r="AS20" i="1"/>
  <c r="AX20" i="1" s="1"/>
  <c r="BC20" i="1" s="1"/>
  <c r="BH20" i="1" s="1"/>
  <c r="AR20" i="1"/>
  <c r="AW20" i="1" s="1"/>
  <c r="BB20" i="1" s="1"/>
  <c r="BG20" i="1" s="1"/>
  <c r="D58" i="1"/>
  <c r="AP64" i="1"/>
  <c r="J64" i="1" s="1"/>
  <c r="AP67" i="1"/>
  <c r="J67" i="1" s="1"/>
  <c r="AP61" i="1"/>
  <c r="J61" i="1" s="1"/>
  <c r="A98" i="1"/>
  <c r="H98" i="1" s="1"/>
  <c r="A96" i="1"/>
  <c r="H96" i="1" s="1"/>
  <c r="A94" i="1"/>
  <c r="H94" i="1" s="1"/>
  <c r="A92" i="1"/>
  <c r="H92" i="1" s="1"/>
  <c r="C99" i="1"/>
  <c r="C101" i="1"/>
  <c r="C103" i="1"/>
  <c r="A99" i="1"/>
  <c r="H99" i="1" s="1"/>
  <c r="A101" i="1"/>
  <c r="H101" i="1" s="1"/>
  <c r="A103" i="1"/>
  <c r="H103" i="1" s="1"/>
  <c r="AF130" i="1"/>
  <c r="AF131" i="1"/>
  <c r="AD131" i="1"/>
  <c r="AD132" i="1"/>
  <c r="C131" i="1"/>
  <c r="C132" i="1"/>
  <c r="C133" i="1"/>
  <c r="A131" i="1"/>
  <c r="H131" i="1" s="1"/>
  <c r="A132" i="1"/>
  <c r="A133" i="1"/>
  <c r="H133" i="1" s="1"/>
  <c r="AF104" i="1"/>
  <c r="AR18" i="1"/>
  <c r="AW18" i="1" s="1"/>
  <c r="AP21" i="1"/>
  <c r="T21" i="17" s="1"/>
  <c r="AP18" i="1"/>
  <c r="A119" i="1"/>
  <c r="H119" i="1" s="1"/>
  <c r="AS18" i="1"/>
  <c r="AT18" i="1"/>
  <c r="AY18" i="1" s="1"/>
  <c r="BD18" i="1" s="1"/>
  <c r="BI18" i="1" s="1"/>
  <c r="A27" i="20"/>
  <c r="B27" i="20"/>
  <c r="E27" i="20"/>
  <c r="F27" i="20"/>
  <c r="G27" i="20"/>
  <c r="H27" i="20"/>
  <c r="B20" i="20"/>
  <c r="E20" i="20"/>
  <c r="F20" i="20"/>
  <c r="G20" i="20"/>
  <c r="H20" i="20"/>
  <c r="A20" i="20"/>
  <c r="B13" i="20"/>
  <c r="E13" i="20"/>
  <c r="F13" i="20"/>
  <c r="G13" i="20"/>
  <c r="H13" i="20"/>
  <c r="A13" i="20"/>
  <c r="B6" i="20"/>
  <c r="E6" i="20"/>
  <c r="F6" i="20"/>
  <c r="G6" i="20"/>
  <c r="H6" i="20"/>
  <c r="A6" i="20"/>
  <c r="AF180" i="1"/>
  <c r="AF178" i="1"/>
  <c r="AF172" i="1"/>
  <c r="AF170" i="1"/>
  <c r="AF162" i="1"/>
  <c r="AF156" i="1"/>
  <c r="AF154" i="1"/>
  <c r="AF164" i="1"/>
  <c r="G154" i="1"/>
  <c r="AF237" i="1"/>
  <c r="AF239" i="1"/>
  <c r="AD237" i="1"/>
  <c r="AD239" i="1"/>
  <c r="AS67" i="1"/>
  <c r="AU67" i="1" s="1"/>
  <c r="N67" i="1" s="1"/>
  <c r="AS64" i="1"/>
  <c r="AS61" i="1"/>
  <c r="AX61" i="1" s="1"/>
  <c r="AZ61" i="1" s="1"/>
  <c r="R61" i="1" s="1"/>
  <c r="AX58" i="1"/>
  <c r="AT58" i="1"/>
  <c r="AY58" i="1" s="1"/>
  <c r="BD58" i="1" s="1"/>
  <c r="BI58" i="1" s="1"/>
  <c r="AT55" i="1"/>
  <c r="AY55" i="1" s="1"/>
  <c r="BD55" i="1" s="1"/>
  <c r="BI55" i="1" s="1"/>
  <c r="AT52" i="1"/>
  <c r="AY52" i="1" s="1"/>
  <c r="BD52" i="1" s="1"/>
  <c r="BI52" i="1" s="1"/>
  <c r="C20" i="1"/>
  <c r="AS21" i="1"/>
  <c r="AX21" i="1" s="1"/>
  <c r="AR21" i="1"/>
  <c r="AW21" i="1" s="1"/>
  <c r="BB21" i="1" s="1"/>
  <c r="BG21" i="1" s="1"/>
  <c r="AS27" i="1"/>
  <c r="AX27" i="1" s="1"/>
  <c r="BC27" i="1" s="1"/>
  <c r="BH27" i="1" s="1"/>
  <c r="AT27" i="1"/>
  <c r="AS31" i="1"/>
  <c r="AX31" i="1" s="1"/>
  <c r="BC31" i="1" s="1"/>
  <c r="BH31" i="1" s="1"/>
  <c r="AT31" i="1"/>
  <c r="AY31" i="1" s="1"/>
  <c r="BD31" i="1" s="1"/>
  <c r="BI31" i="1" s="1"/>
  <c r="AS33" i="1"/>
  <c r="AX33" i="1" s="1"/>
  <c r="AT33" i="1"/>
  <c r="AY33" i="1" s="1"/>
  <c r="BD33" i="1" s="1"/>
  <c r="BI33" i="1" s="1"/>
  <c r="AS35" i="1"/>
  <c r="AX35" i="1" s="1"/>
  <c r="BC35" i="1" s="1"/>
  <c r="BH35" i="1" s="1"/>
  <c r="AT35" i="1"/>
  <c r="AY35" i="1" s="1"/>
  <c r="BD35" i="1" s="1"/>
  <c r="BI35" i="1" s="1"/>
  <c r="AS37" i="1"/>
  <c r="AT37" i="1"/>
  <c r="AY37" i="1" s="1"/>
  <c r="BD37" i="1" s="1"/>
  <c r="BI37" i="1" s="1"/>
  <c r="AS39" i="1"/>
  <c r="AX39" i="1" s="1"/>
  <c r="BC39" i="1" s="1"/>
  <c r="BH39" i="1" s="1"/>
  <c r="AT39" i="1"/>
  <c r="AS41" i="1"/>
  <c r="AT41" i="1"/>
  <c r="AY41" i="1" s="1"/>
  <c r="BD41" i="1" s="1"/>
  <c r="BI41" i="1" s="1"/>
  <c r="AS43" i="1"/>
  <c r="AX43" i="1" s="1"/>
  <c r="AT43" i="1"/>
  <c r="AY43" i="1" s="1"/>
  <c r="BD43" i="1" s="1"/>
  <c r="BI43" i="1" s="1"/>
  <c r="AS45" i="1"/>
  <c r="AT45" i="1"/>
  <c r="AY45" i="1" s="1"/>
  <c r="BD45" i="1" s="1"/>
  <c r="BI45" i="1" s="1"/>
  <c r="AS47" i="1"/>
  <c r="AT47" i="1"/>
  <c r="AY47" i="1" s="1"/>
  <c r="BD47" i="1" s="1"/>
  <c r="BI47" i="1" s="1"/>
  <c r="B54" i="20"/>
  <c r="H207" i="1"/>
  <c r="E54" i="20"/>
  <c r="F54" i="20"/>
  <c r="G54" i="20"/>
  <c r="H54" i="20"/>
  <c r="B48" i="20"/>
  <c r="H199" i="1"/>
  <c r="H200" i="1" s="1"/>
  <c r="H201" i="1" s="1"/>
  <c r="E48" i="20"/>
  <c r="F48" i="20"/>
  <c r="G48" i="20"/>
  <c r="H48" i="20"/>
  <c r="B42" i="20"/>
  <c r="H191" i="1"/>
  <c r="H192" i="1" s="1"/>
  <c r="H193" i="1" s="1"/>
  <c r="H195" i="1" s="1"/>
  <c r="J195" i="1" s="1"/>
  <c r="AD195" i="1" s="1"/>
  <c r="I43" i="20" s="1"/>
  <c r="E42" i="20"/>
  <c r="F42" i="20"/>
  <c r="G42" i="20"/>
  <c r="H42" i="20"/>
  <c r="B29" i="20"/>
  <c r="E29" i="20"/>
  <c r="F29" i="20"/>
  <c r="G29" i="20"/>
  <c r="H29" i="20"/>
  <c r="B22" i="20"/>
  <c r="E22" i="20"/>
  <c r="F22" i="20"/>
  <c r="G22" i="20"/>
  <c r="H22" i="20"/>
  <c r="B15" i="20"/>
  <c r="E15" i="20"/>
  <c r="F15" i="20"/>
  <c r="G15" i="20"/>
  <c r="H15" i="20"/>
  <c r="E8" i="20"/>
  <c r="F8" i="20"/>
  <c r="G8" i="20"/>
  <c r="H8" i="20"/>
  <c r="B8" i="20"/>
  <c r="A54" i="20"/>
  <c r="A48" i="20"/>
  <c r="A42" i="20"/>
  <c r="A29" i="20"/>
  <c r="A22" i="20"/>
  <c r="A15" i="20"/>
  <c r="A16" i="20"/>
  <c r="A8" i="20"/>
  <c r="L186" i="1"/>
  <c r="N186" i="1"/>
  <c r="E35" i="20" s="1"/>
  <c r="P186" i="1"/>
  <c r="R186" i="1"/>
  <c r="F35" i="20" s="1"/>
  <c r="T186" i="1"/>
  <c r="V186" i="1"/>
  <c r="G35" i="20" s="1"/>
  <c r="X186" i="1"/>
  <c r="Z186" i="1"/>
  <c r="H35" i="20" s="1"/>
  <c r="AB186" i="1"/>
  <c r="G207" i="1"/>
  <c r="G208" i="1" s="1"/>
  <c r="G209" i="1" s="1"/>
  <c r="G199" i="1"/>
  <c r="G200" i="1" s="1"/>
  <c r="G201" i="1" s="1"/>
  <c r="H169" i="1"/>
  <c r="H170" i="1" s="1"/>
  <c r="H171" i="1" s="1"/>
  <c r="H172" i="1" s="1"/>
  <c r="H173" i="1" s="1"/>
  <c r="H161" i="1"/>
  <c r="AR47" i="1"/>
  <c r="AW47" i="1" s="1"/>
  <c r="BB47" i="1" s="1"/>
  <c r="BG47" i="1" s="1"/>
  <c r="A126" i="1"/>
  <c r="H126" i="1" s="1"/>
  <c r="AR45" i="1"/>
  <c r="AW45" i="1" s="1"/>
  <c r="BB45" i="1" s="1"/>
  <c r="BG45" i="1" s="1"/>
  <c r="A125" i="1"/>
  <c r="H125" i="1" s="1"/>
  <c r="AR43" i="1"/>
  <c r="AW43" i="1" s="1"/>
  <c r="BB43" i="1" s="1"/>
  <c r="BG43" i="1" s="1"/>
  <c r="A124" i="1"/>
  <c r="AR41" i="1"/>
  <c r="AW41" i="1" s="1"/>
  <c r="BB41" i="1" s="1"/>
  <c r="BG41" i="1" s="1"/>
  <c r="A123" i="1"/>
  <c r="H123" i="1" s="1"/>
  <c r="AR39" i="1"/>
  <c r="AW39" i="1" s="1"/>
  <c r="BB39" i="1" s="1"/>
  <c r="BG39" i="1" s="1"/>
  <c r="A122" i="1"/>
  <c r="H122" i="1" s="1"/>
  <c r="AR37" i="1"/>
  <c r="AW37" i="1" s="1"/>
  <c r="BB37" i="1" s="1"/>
  <c r="BG37" i="1" s="1"/>
  <c r="A121" i="1"/>
  <c r="H121" i="1" s="1"/>
  <c r="AR35" i="1"/>
  <c r="AW35" i="1" s="1"/>
  <c r="BB35" i="1" s="1"/>
  <c r="BG35" i="1" s="1"/>
  <c r="A120" i="1"/>
  <c r="AR33" i="1"/>
  <c r="AW33" i="1" s="1"/>
  <c r="BB33" i="1" s="1"/>
  <c r="BG33" i="1" s="1"/>
  <c r="AR31" i="1"/>
  <c r="AW31" i="1" s="1"/>
  <c r="BB31" i="1" s="1"/>
  <c r="BG31" i="1" s="1"/>
  <c r="A113" i="1"/>
  <c r="A111" i="1"/>
  <c r="A109" i="1"/>
  <c r="H109" i="1" s="1"/>
  <c r="AR27" i="1"/>
  <c r="AW27" i="1" s="1"/>
  <c r="BB27" i="1" s="1"/>
  <c r="BG27" i="1" s="1"/>
  <c r="A73" i="1"/>
  <c r="H73" i="1" s="1"/>
  <c r="A75" i="1"/>
  <c r="H75" i="1" s="1"/>
  <c r="A77" i="1"/>
  <c r="H77" i="1" s="1"/>
  <c r="A79" i="1"/>
  <c r="H79" i="1" s="1"/>
  <c r="H81" i="1"/>
  <c r="A83" i="1"/>
  <c r="H83" i="1" s="1"/>
  <c r="A84" i="1"/>
  <c r="H84" i="1" s="1"/>
  <c r="A85" i="1"/>
  <c r="H85" i="1" s="1"/>
  <c r="A86" i="1"/>
  <c r="H86" i="1" s="1"/>
  <c r="A87" i="1"/>
  <c r="H87" i="1" s="1"/>
  <c r="A88" i="1"/>
  <c r="H88" i="1" s="1"/>
  <c r="A89" i="1"/>
  <c r="H89" i="1" s="1"/>
  <c r="A90" i="1"/>
  <c r="H90" i="1" s="1"/>
  <c r="AX59" i="1"/>
  <c r="AT59" i="1"/>
  <c r="AY59" i="1" s="1"/>
  <c r="BD59" i="1" s="1"/>
  <c r="BI59" i="1" s="1"/>
  <c r="AX56" i="1"/>
  <c r="BC56" i="1" s="1"/>
  <c r="BH56" i="1" s="1"/>
  <c r="AT56" i="1"/>
  <c r="AT53" i="1"/>
  <c r="AX50" i="1"/>
  <c r="AT50" i="1"/>
  <c r="AY50" i="1" s="1"/>
  <c r="BD50" i="1" s="1"/>
  <c r="BI50" i="1" s="1"/>
  <c r="AX49" i="1"/>
  <c r="BC49" i="1" s="1"/>
  <c r="BH49" i="1" s="1"/>
  <c r="AT49" i="1"/>
  <c r="AF127" i="1"/>
  <c r="AF128" i="1"/>
  <c r="AF129" i="1"/>
  <c r="AD127" i="1"/>
  <c r="AD128" i="1"/>
  <c r="AD129" i="1"/>
  <c r="AD130" i="1"/>
  <c r="A91" i="1"/>
  <c r="H91" i="1" s="1"/>
  <c r="A93" i="1"/>
  <c r="H93" i="1" s="1"/>
  <c r="A95" i="1"/>
  <c r="H95" i="1" s="1"/>
  <c r="A97" i="1"/>
  <c r="H97" i="1" s="1"/>
  <c r="J147" i="1"/>
  <c r="F17" i="19" s="1"/>
  <c r="J190" i="1"/>
  <c r="J198" i="1"/>
  <c r="J206" i="1"/>
  <c r="AD206" i="1" s="1"/>
  <c r="I51" i="20" s="1"/>
  <c r="AD160" i="1"/>
  <c r="I11" i="20" s="1"/>
  <c r="J168" i="1"/>
  <c r="J176" i="1"/>
  <c r="AD176" i="1" s="1"/>
  <c r="I25" i="20" s="1"/>
  <c r="J177" i="1"/>
  <c r="J184" i="1"/>
  <c r="AD184" i="1" s="1"/>
  <c r="I33" i="20" s="1"/>
  <c r="L30" i="20" s="1"/>
  <c r="J218" i="1"/>
  <c r="J219" i="1"/>
  <c r="AD219" i="1" s="1"/>
  <c r="J220" i="1"/>
  <c r="AD220" i="1" s="1"/>
  <c r="J221" i="1"/>
  <c r="J223" i="1"/>
  <c r="AD223" i="1" s="1"/>
  <c r="J224" i="1"/>
  <c r="AD224" i="1" s="1"/>
  <c r="J225" i="1"/>
  <c r="AD225" i="1" s="1"/>
  <c r="J226" i="1"/>
  <c r="AD226" i="1" s="1"/>
  <c r="AT21" i="1"/>
  <c r="AY21" i="1" s="1"/>
  <c r="BD21" i="1" s="1"/>
  <c r="BI21" i="1" s="1"/>
  <c r="N147" i="1"/>
  <c r="H17" i="19" s="1"/>
  <c r="N212" i="1"/>
  <c r="N228" i="1"/>
  <c r="X28" i="19" s="1"/>
  <c r="R147" i="1"/>
  <c r="J17" i="19" s="1"/>
  <c r="R212" i="1"/>
  <c r="F57" i="20" s="1"/>
  <c r="R228" i="1"/>
  <c r="V147" i="1"/>
  <c r="L17" i="19" s="1"/>
  <c r="V212" i="1"/>
  <c r="V228" i="1"/>
  <c r="AB28" i="19" s="1"/>
  <c r="AB29" i="19" s="1"/>
  <c r="Z147" i="1"/>
  <c r="Z212" i="1"/>
  <c r="H57" i="20" s="1"/>
  <c r="Z228" i="1"/>
  <c r="C51" i="17"/>
  <c r="A127" i="1"/>
  <c r="H127" i="1" s="1"/>
  <c r="A128" i="1"/>
  <c r="H128" i="1" s="1"/>
  <c r="A129" i="1"/>
  <c r="H129" i="1" s="1"/>
  <c r="A130" i="1"/>
  <c r="H130" i="1" s="1"/>
  <c r="C53" i="17"/>
  <c r="C55" i="17"/>
  <c r="C56" i="17"/>
  <c r="C57" i="17"/>
  <c r="C58" i="17"/>
  <c r="C60" i="17"/>
  <c r="C49" i="17"/>
  <c r="L147" i="1"/>
  <c r="L212" i="1"/>
  <c r="L228" i="1"/>
  <c r="AF228" i="1" s="1"/>
  <c r="P147" i="1"/>
  <c r="P212" i="1"/>
  <c r="P214" i="1" s="1"/>
  <c r="P228" i="1"/>
  <c r="T147" i="1"/>
  <c r="T212" i="1"/>
  <c r="T228" i="1"/>
  <c r="X147" i="1"/>
  <c r="X212" i="1"/>
  <c r="X228" i="1"/>
  <c r="AB147" i="1"/>
  <c r="AB212" i="1"/>
  <c r="AB228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7" i="1"/>
  <c r="C115" i="1"/>
  <c r="C23" i="17"/>
  <c r="C17" i="1"/>
  <c r="A59" i="20"/>
  <c r="E51" i="20"/>
  <c r="F51" i="20"/>
  <c r="G51" i="20"/>
  <c r="H51" i="20"/>
  <c r="E52" i="20"/>
  <c r="F52" i="20"/>
  <c r="G52" i="20"/>
  <c r="H52" i="20"/>
  <c r="E45" i="20"/>
  <c r="F45" i="20"/>
  <c r="G45" i="20"/>
  <c r="H45" i="20"/>
  <c r="E46" i="20"/>
  <c r="F46" i="20"/>
  <c r="G46" i="20"/>
  <c r="H46" i="20"/>
  <c r="E39" i="20"/>
  <c r="F39" i="20"/>
  <c r="G39" i="20"/>
  <c r="H39" i="20"/>
  <c r="E40" i="20"/>
  <c r="F40" i="20"/>
  <c r="G40" i="20"/>
  <c r="H40" i="20"/>
  <c r="E33" i="20"/>
  <c r="F33" i="20"/>
  <c r="G33" i="20"/>
  <c r="H33" i="20"/>
  <c r="E25" i="20"/>
  <c r="F25" i="20"/>
  <c r="G25" i="20"/>
  <c r="H25" i="20"/>
  <c r="E26" i="20"/>
  <c r="F26" i="20"/>
  <c r="G26" i="20"/>
  <c r="H26" i="20"/>
  <c r="E28" i="20"/>
  <c r="F28" i="20"/>
  <c r="G28" i="20"/>
  <c r="H28" i="20"/>
  <c r="E30" i="20"/>
  <c r="F30" i="20"/>
  <c r="G30" i="20"/>
  <c r="H30" i="20"/>
  <c r="E18" i="20"/>
  <c r="F18" i="20"/>
  <c r="G18" i="20"/>
  <c r="H18" i="20"/>
  <c r="E19" i="20"/>
  <c r="F19" i="20"/>
  <c r="G19" i="20"/>
  <c r="H19" i="20"/>
  <c r="E21" i="20"/>
  <c r="F21" i="20"/>
  <c r="G21" i="20"/>
  <c r="H21" i="20"/>
  <c r="E23" i="20"/>
  <c r="F23" i="20"/>
  <c r="G23" i="20"/>
  <c r="H23" i="20"/>
  <c r="E11" i="20"/>
  <c r="F11" i="20"/>
  <c r="G11" i="20"/>
  <c r="H11" i="20"/>
  <c r="E12" i="20"/>
  <c r="F12" i="20"/>
  <c r="G12" i="20"/>
  <c r="H12" i="20"/>
  <c r="E14" i="20"/>
  <c r="F14" i="20"/>
  <c r="G14" i="20"/>
  <c r="H14" i="20"/>
  <c r="E16" i="20"/>
  <c r="F16" i="20"/>
  <c r="G16" i="20"/>
  <c r="H16" i="20"/>
  <c r="C5" i="20"/>
  <c r="E4" i="20"/>
  <c r="F4" i="20"/>
  <c r="G4" i="20"/>
  <c r="H4" i="20"/>
  <c r="E5" i="20"/>
  <c r="F5" i="20"/>
  <c r="G5" i="20"/>
  <c r="H5" i="20"/>
  <c r="E7" i="20"/>
  <c r="F7" i="20"/>
  <c r="G7" i="20"/>
  <c r="H7" i="20"/>
  <c r="E9" i="20"/>
  <c r="F9" i="20"/>
  <c r="G9" i="20"/>
  <c r="H9" i="20"/>
  <c r="AF190" i="1"/>
  <c r="A31" i="20"/>
  <c r="A24" i="20"/>
  <c r="A17" i="20"/>
  <c r="A10" i="20"/>
  <c r="A3" i="20"/>
  <c r="A50" i="20"/>
  <c r="A44" i="20"/>
  <c r="A38" i="20"/>
  <c r="A2" i="20"/>
  <c r="A57" i="20"/>
  <c r="A55" i="20"/>
  <c r="H55" i="20"/>
  <c r="G55" i="20"/>
  <c r="F55" i="20"/>
  <c r="E55" i="20"/>
  <c r="B55" i="20"/>
  <c r="A53" i="20"/>
  <c r="H53" i="20"/>
  <c r="G53" i="20"/>
  <c r="F53" i="20"/>
  <c r="E53" i="20"/>
  <c r="B53" i="20"/>
  <c r="A52" i="20"/>
  <c r="C52" i="20"/>
  <c r="B52" i="20"/>
  <c r="A51" i="20"/>
  <c r="B51" i="20"/>
  <c r="A49" i="20"/>
  <c r="H49" i="20"/>
  <c r="G49" i="20"/>
  <c r="F49" i="20"/>
  <c r="E49" i="20"/>
  <c r="B49" i="20"/>
  <c r="A47" i="20"/>
  <c r="H47" i="20"/>
  <c r="G47" i="20"/>
  <c r="F47" i="20"/>
  <c r="E47" i="20"/>
  <c r="B47" i="20"/>
  <c r="A46" i="20"/>
  <c r="C46" i="20"/>
  <c r="B46" i="20"/>
  <c r="A45" i="20"/>
  <c r="B45" i="20"/>
  <c r="A43" i="20"/>
  <c r="H43" i="20"/>
  <c r="G43" i="20"/>
  <c r="F43" i="20"/>
  <c r="E43" i="20"/>
  <c r="B43" i="20"/>
  <c r="A41" i="20"/>
  <c r="H41" i="20"/>
  <c r="G41" i="20"/>
  <c r="F41" i="20"/>
  <c r="E41" i="20"/>
  <c r="C41" i="20"/>
  <c r="B41" i="20"/>
  <c r="A40" i="20"/>
  <c r="C40" i="20"/>
  <c r="B40" i="20"/>
  <c r="A39" i="20"/>
  <c r="B39" i="20"/>
  <c r="A37" i="20"/>
  <c r="A35" i="20"/>
  <c r="A32" i="20"/>
  <c r="B32" i="20"/>
  <c r="A30" i="20"/>
  <c r="B30" i="20"/>
  <c r="A28" i="20"/>
  <c r="B28" i="20"/>
  <c r="A26" i="20"/>
  <c r="C26" i="20"/>
  <c r="B26" i="20"/>
  <c r="A25" i="20"/>
  <c r="B25" i="20"/>
  <c r="A33" i="20"/>
  <c r="C33" i="20"/>
  <c r="B33" i="20"/>
  <c r="A23" i="20"/>
  <c r="B23" i="20"/>
  <c r="A21" i="20"/>
  <c r="B21" i="20"/>
  <c r="A19" i="20"/>
  <c r="C19" i="20"/>
  <c r="B19" i="20"/>
  <c r="A18" i="20"/>
  <c r="B18" i="20"/>
  <c r="B16" i="20"/>
  <c r="A14" i="20"/>
  <c r="B14" i="20"/>
  <c r="A12" i="20"/>
  <c r="C12" i="20"/>
  <c r="B12" i="20"/>
  <c r="A11" i="20"/>
  <c r="B11" i="20"/>
  <c r="A9" i="20"/>
  <c r="B9" i="20"/>
  <c r="A7" i="20"/>
  <c r="B7" i="20"/>
  <c r="A5" i="20"/>
  <c r="B5" i="20"/>
  <c r="A4" i="20"/>
  <c r="B4" i="20"/>
  <c r="I37" i="20"/>
  <c r="I2" i="20"/>
  <c r="H37" i="20"/>
  <c r="H2" i="20"/>
  <c r="G37" i="20"/>
  <c r="G2" i="20"/>
  <c r="F37" i="20"/>
  <c r="F2" i="20"/>
  <c r="E37" i="20"/>
  <c r="E2" i="20"/>
  <c r="D37" i="20"/>
  <c r="D2" i="20"/>
  <c r="AF203" i="1"/>
  <c r="AF200" i="1"/>
  <c r="AF199" i="1"/>
  <c r="AF198" i="1"/>
  <c r="AF173" i="1"/>
  <c r="AF171" i="1"/>
  <c r="AF169" i="1"/>
  <c r="AF168" i="1"/>
  <c r="AF165" i="1"/>
  <c r="AF163" i="1"/>
  <c r="AF161" i="1"/>
  <c r="AF160" i="1"/>
  <c r="AF176" i="1"/>
  <c r="AF177" i="1"/>
  <c r="AF179" i="1"/>
  <c r="AF181" i="1"/>
  <c r="M9" i="19"/>
  <c r="AF30" i="17"/>
  <c r="AF27" i="17"/>
  <c r="AF24" i="17"/>
  <c r="AF21" i="17"/>
  <c r="AF18" i="17"/>
  <c r="N38" i="17"/>
  <c r="L38" i="17"/>
  <c r="J38" i="17"/>
  <c r="H38" i="17"/>
  <c r="F38" i="17"/>
  <c r="C21" i="17"/>
  <c r="C24" i="17"/>
  <c r="D49" i="1"/>
  <c r="D50" i="1"/>
  <c r="D52" i="1"/>
  <c r="D53" i="1"/>
  <c r="D55" i="1"/>
  <c r="D56" i="1"/>
  <c r="C79" i="1"/>
  <c r="C81" i="1"/>
  <c r="C83" i="1"/>
  <c r="C84" i="1"/>
  <c r="C85" i="1"/>
  <c r="C86" i="1"/>
  <c r="C87" i="1"/>
  <c r="C88" i="1"/>
  <c r="C89" i="1"/>
  <c r="C90" i="1"/>
  <c r="C91" i="1"/>
  <c r="C93" i="1"/>
  <c r="C95" i="1"/>
  <c r="C97" i="1"/>
  <c r="AD142" i="1"/>
  <c r="AF142" i="1"/>
  <c r="AD143" i="1"/>
  <c r="AF143" i="1"/>
  <c r="AD144" i="1"/>
  <c r="AF144" i="1"/>
  <c r="AD145" i="1"/>
  <c r="AF145" i="1"/>
  <c r="AF152" i="1"/>
  <c r="AF153" i="1"/>
  <c r="AF155" i="1"/>
  <c r="AF157" i="1"/>
  <c r="AF184" i="1"/>
  <c r="AF191" i="1"/>
  <c r="AF192" i="1"/>
  <c r="AF195" i="1"/>
  <c r="AF206" i="1"/>
  <c r="AF207" i="1"/>
  <c r="AF208" i="1"/>
  <c r="AF211" i="1"/>
  <c r="AF218" i="1"/>
  <c r="AF219" i="1"/>
  <c r="AF220" i="1"/>
  <c r="AF221" i="1"/>
  <c r="AF223" i="1"/>
  <c r="AF224" i="1"/>
  <c r="AF225" i="1"/>
  <c r="AF226" i="1"/>
  <c r="AD232" i="1"/>
  <c r="AF232" i="1"/>
  <c r="AD233" i="1"/>
  <c r="AF233" i="1"/>
  <c r="AD234" i="1"/>
  <c r="AF234" i="1"/>
  <c r="AD235" i="1"/>
  <c r="AF235" i="1"/>
  <c r="AD236" i="1"/>
  <c r="AF236" i="1"/>
  <c r="AD240" i="1"/>
  <c r="AF240" i="1"/>
  <c r="AD243" i="1"/>
  <c r="AF243" i="1"/>
  <c r="AD245" i="1"/>
  <c r="AF245" i="1"/>
  <c r="AD246" i="1"/>
  <c r="AF246" i="1"/>
  <c r="AD248" i="1"/>
  <c r="AF248" i="1"/>
  <c r="AD249" i="1"/>
  <c r="AF249" i="1"/>
  <c r="AD251" i="1"/>
  <c r="AF251" i="1"/>
  <c r="AD252" i="1"/>
  <c r="AF252" i="1"/>
  <c r="AF266" i="1"/>
  <c r="AD268" i="1"/>
  <c r="AF268" i="1"/>
  <c r="I270" i="1"/>
  <c r="AF270" i="1"/>
  <c r="H20" i="19"/>
  <c r="U26" i="19"/>
  <c r="J20" i="19"/>
  <c r="L20" i="19"/>
  <c r="N20" i="19"/>
  <c r="M11" i="19"/>
  <c r="C9" i="19"/>
  <c r="M7" i="19"/>
  <c r="M6" i="19"/>
  <c r="D6" i="19"/>
  <c r="M5" i="19"/>
  <c r="D5" i="19"/>
  <c r="N87" i="17"/>
  <c r="C73" i="17"/>
  <c r="H73" i="17" s="1"/>
  <c r="C72" i="17"/>
  <c r="C34" i="17"/>
  <c r="H34" i="17" s="1"/>
  <c r="C35" i="17"/>
  <c r="C36" i="17"/>
  <c r="J36" i="17" s="1"/>
  <c r="C37" i="17"/>
  <c r="C39" i="17"/>
  <c r="C40" i="17"/>
  <c r="C43" i="17"/>
  <c r="C67" i="17"/>
  <c r="C117" i="17"/>
  <c r="D116" i="17"/>
  <c r="M9" i="17"/>
  <c r="M5" i="17"/>
  <c r="M7" i="17"/>
  <c r="M6" i="17"/>
  <c r="C9" i="17"/>
  <c r="D6" i="17"/>
  <c r="D5" i="17"/>
  <c r="B116" i="17"/>
  <c r="C29" i="17"/>
  <c r="C26" i="17"/>
  <c r="U23" i="19"/>
  <c r="AD221" i="1"/>
  <c r="AD218" i="1"/>
  <c r="H120" i="1"/>
  <c r="H124" i="1"/>
  <c r="L101" i="17"/>
  <c r="J101" i="17"/>
  <c r="AX53" i="1"/>
  <c r="BC53" i="1" s="1"/>
  <c r="D11" i="20"/>
  <c r="N17" i="19"/>
  <c r="C20" i="17"/>
  <c r="L87" i="17"/>
  <c r="F87" i="17"/>
  <c r="J199" i="1"/>
  <c r="D25" i="20"/>
  <c r="J87" i="17"/>
  <c r="AU43" i="1"/>
  <c r="C113" i="1"/>
  <c r="AX52" i="1"/>
  <c r="BB18" i="1"/>
  <c r="BG18" i="1" s="1"/>
  <c r="C77" i="1"/>
  <c r="J153" i="1"/>
  <c r="AD153" i="1" s="1"/>
  <c r="H154" i="1"/>
  <c r="C73" i="1"/>
  <c r="G170" i="1"/>
  <c r="G171" i="1" s="1"/>
  <c r="G172" i="1" s="1"/>
  <c r="AF34" i="1"/>
  <c r="AF40" i="1"/>
  <c r="AF44" i="1"/>
  <c r="AF38" i="1"/>
  <c r="AF26" i="1"/>
  <c r="AF32" i="1"/>
  <c r="AF29" i="1"/>
  <c r="AF42" i="1"/>
  <c r="AF46" i="1"/>
  <c r="AF36" i="1"/>
  <c r="H87" i="17"/>
  <c r="D53" i="20"/>
  <c r="AD208" i="1"/>
  <c r="I53" i="20" s="1"/>
  <c r="N101" i="17"/>
  <c r="L135" i="1"/>
  <c r="AF99" i="1"/>
  <c r="AF109" i="1"/>
  <c r="AF67" i="1"/>
  <c r="AF59" i="1"/>
  <c r="AF47" i="1"/>
  <c r="AF27" i="1"/>
  <c r="AF61" i="1"/>
  <c r="AD28" i="19"/>
  <c r="AD29" i="19" s="1"/>
  <c r="AF73" i="1"/>
  <c r="AF18" i="1"/>
  <c r="AF41" i="1"/>
  <c r="AF87" i="1"/>
  <c r="AF123" i="1"/>
  <c r="AF45" i="1"/>
  <c r="P135" i="1"/>
  <c r="AF96" i="1"/>
  <c r="AF56" i="1"/>
  <c r="AF53" i="1"/>
  <c r="AF94" i="1"/>
  <c r="AF92" i="1"/>
  <c r="AF50" i="1"/>
  <c r="AF98" i="1"/>
  <c r="AF64" i="1"/>
  <c r="AF101" i="1"/>
  <c r="T135" i="1"/>
  <c r="T137" i="1" s="1"/>
  <c r="AF95" i="1"/>
  <c r="AF43" i="1"/>
  <c r="AF31" i="1"/>
  <c r="AF90" i="1"/>
  <c r="AF39" i="1"/>
  <c r="AF86" i="1"/>
  <c r="AF122" i="1"/>
  <c r="AF103" i="1"/>
  <c r="AF35" i="1"/>
  <c r="AF89" i="1"/>
  <c r="AF125" i="1"/>
  <c r="AF21" i="1"/>
  <c r="AF37" i="1"/>
  <c r="AF85" i="1"/>
  <c r="AF121" i="1"/>
  <c r="AF84" i="1"/>
  <c r="AF97" i="1"/>
  <c r="AF58" i="1"/>
  <c r="AF55" i="1"/>
  <c r="AF33" i="1"/>
  <c r="AF83" i="1"/>
  <c r="AF119" i="1"/>
  <c r="AF124" i="1"/>
  <c r="AF88" i="1"/>
  <c r="AF91" i="1"/>
  <c r="AF49" i="1"/>
  <c r="AF93" i="1"/>
  <c r="AF52" i="1"/>
  <c r="AB135" i="1"/>
  <c r="J109" i="1" l="1"/>
  <c r="AU35" i="1"/>
  <c r="AZ35" i="1"/>
  <c r="J119" i="1"/>
  <c r="T18" i="17"/>
  <c r="AU61" i="1"/>
  <c r="N61" i="1" s="1"/>
  <c r="N99" i="1" s="1"/>
  <c r="J42" i="1"/>
  <c r="AU40" i="1"/>
  <c r="N40" i="1" s="1"/>
  <c r="AZ36" i="1"/>
  <c r="N36" i="17"/>
  <c r="H36" i="17"/>
  <c r="J98" i="17"/>
  <c r="L36" i="17"/>
  <c r="J123" i="1"/>
  <c r="N43" i="1"/>
  <c r="N88" i="1" s="1"/>
  <c r="J125" i="1"/>
  <c r="J41" i="1"/>
  <c r="J87" i="1" s="1"/>
  <c r="I5" i="20"/>
  <c r="V214" i="1"/>
  <c r="AD256" i="22"/>
  <c r="AU34" i="1"/>
  <c r="R99" i="1"/>
  <c r="N73" i="17"/>
  <c r="J122" i="1"/>
  <c r="L94" i="17"/>
  <c r="D4" i="20"/>
  <c r="C27" i="20"/>
  <c r="AX67" i="1"/>
  <c r="AZ67" i="1" s="1"/>
  <c r="R67" i="1" s="1"/>
  <c r="R103" i="1" s="1"/>
  <c r="J90" i="17"/>
  <c r="J102" i="1"/>
  <c r="AK36" i="1"/>
  <c r="J36" i="1" s="1"/>
  <c r="J73" i="17"/>
  <c r="J200" i="1"/>
  <c r="AD200" i="1" s="1"/>
  <c r="I47" i="20" s="1"/>
  <c r="H100" i="17"/>
  <c r="L73" i="17"/>
  <c r="N214" i="1"/>
  <c r="E59" i="20" s="1"/>
  <c r="J34" i="17"/>
  <c r="N93" i="17"/>
  <c r="AK37" i="1"/>
  <c r="J37" i="1" s="1"/>
  <c r="J85" i="1" s="1"/>
  <c r="AF70" i="1"/>
  <c r="N34" i="17"/>
  <c r="J91" i="17"/>
  <c r="L91" i="17"/>
  <c r="AZ21" i="1"/>
  <c r="X21" i="17" s="1"/>
  <c r="AU20" i="1"/>
  <c r="J33" i="1"/>
  <c r="J83" i="1" s="1"/>
  <c r="F93" i="17"/>
  <c r="AK45" i="1"/>
  <c r="J45" i="1" s="1"/>
  <c r="J89" i="1" s="1"/>
  <c r="L137" i="1"/>
  <c r="L34" i="17"/>
  <c r="F34" i="17"/>
  <c r="F91" i="17"/>
  <c r="G57" i="20"/>
  <c r="H93" i="17"/>
  <c r="J121" i="1"/>
  <c r="AK34" i="1"/>
  <c r="H91" i="17"/>
  <c r="F98" i="17"/>
  <c r="AK32" i="1"/>
  <c r="J32" i="1" s="1"/>
  <c r="BC61" i="1"/>
  <c r="BE61" i="1" s="1"/>
  <c r="V61" i="1" s="1"/>
  <c r="AU39" i="1"/>
  <c r="N39" i="1" s="1"/>
  <c r="N86" i="1" s="1"/>
  <c r="AK35" i="1"/>
  <c r="R35" i="1" s="1"/>
  <c r="R84" i="1" s="1"/>
  <c r="L93" i="17"/>
  <c r="L139" i="1"/>
  <c r="P87" i="17"/>
  <c r="H90" i="17"/>
  <c r="AU52" i="1"/>
  <c r="N52" i="1" s="1"/>
  <c r="N93" i="1" s="1"/>
  <c r="L90" i="17"/>
  <c r="AU32" i="1"/>
  <c r="AX68" i="1"/>
  <c r="BC68" i="1" s="1"/>
  <c r="J99" i="17"/>
  <c r="N90" i="17"/>
  <c r="X214" i="1"/>
  <c r="AY20" i="1"/>
  <c r="BD20" i="1" s="1"/>
  <c r="BI20" i="1" s="1"/>
  <c r="BJ20" i="1" s="1"/>
  <c r="D43" i="20"/>
  <c r="R214" i="1"/>
  <c r="F59" i="20" s="1"/>
  <c r="T214" i="1"/>
  <c r="T274" i="1" s="1"/>
  <c r="J94" i="17"/>
  <c r="F40" i="17"/>
  <c r="AF272" i="1"/>
  <c r="J126" i="1"/>
  <c r="AF106" i="1"/>
  <c r="L19" i="19"/>
  <c r="G194" i="1"/>
  <c r="AU48" i="1"/>
  <c r="N48" i="1" s="1"/>
  <c r="AZ48" i="1"/>
  <c r="R48" i="1" s="1"/>
  <c r="N96" i="17"/>
  <c r="J192" i="1"/>
  <c r="D41" i="20" s="1"/>
  <c r="AU50" i="1"/>
  <c r="N50" i="1" s="1"/>
  <c r="N92" i="1" s="1"/>
  <c r="AU21" i="1"/>
  <c r="V21" i="17" s="1"/>
  <c r="AU46" i="1"/>
  <c r="N46" i="1" s="1"/>
  <c r="AK44" i="1"/>
  <c r="J44" i="1" s="1"/>
  <c r="AU33" i="1"/>
  <c r="N119" i="1" s="1"/>
  <c r="J96" i="17"/>
  <c r="BD23" i="1"/>
  <c r="BI23" i="1" s="1"/>
  <c r="AZ23" i="1"/>
  <c r="F36" i="17"/>
  <c r="AU29" i="1"/>
  <c r="D33" i="20"/>
  <c r="L28" i="20" s="1"/>
  <c r="F95" i="17"/>
  <c r="V116" i="1"/>
  <c r="AU24" i="1"/>
  <c r="V24" i="17" s="1"/>
  <c r="AZ29" i="1"/>
  <c r="AF212" i="1"/>
  <c r="P38" i="17"/>
  <c r="AF147" i="1"/>
  <c r="AU42" i="1"/>
  <c r="AX62" i="1"/>
  <c r="BC62" i="1" s="1"/>
  <c r="BE62" i="1" s="1"/>
  <c r="V62" i="1" s="1"/>
  <c r="V100" i="1" s="1"/>
  <c r="N100" i="17"/>
  <c r="H95" i="17"/>
  <c r="J97" i="1"/>
  <c r="R116" i="1"/>
  <c r="AF263" i="1"/>
  <c r="AZ42" i="1"/>
  <c r="R42" i="1" s="1"/>
  <c r="AB139" i="1"/>
  <c r="AB137" i="1"/>
  <c r="BC21" i="1"/>
  <c r="J228" i="1"/>
  <c r="AD228" i="1" s="1"/>
  <c r="D2" i="21" s="1"/>
  <c r="N103" i="1"/>
  <c r="AU59" i="1"/>
  <c r="N59" i="1" s="1"/>
  <c r="N98" i="1" s="1"/>
  <c r="J116" i="1"/>
  <c r="D51" i="20"/>
  <c r="AU38" i="1"/>
  <c r="N38" i="1" s="1"/>
  <c r="J101" i="1"/>
  <c r="J46" i="1"/>
  <c r="AU26" i="1"/>
  <c r="AZ40" i="1"/>
  <c r="R40" i="1" s="1"/>
  <c r="N95" i="17"/>
  <c r="L95" i="17"/>
  <c r="Z116" i="1"/>
  <c r="AD263" i="1"/>
  <c r="P274" i="1"/>
  <c r="AU58" i="1"/>
  <c r="N58" i="1" s="1"/>
  <c r="N97" i="1" s="1"/>
  <c r="AF186" i="1"/>
  <c r="F171" i="1"/>
  <c r="C21" i="20" s="1"/>
  <c r="H117" i="1"/>
  <c r="J169" i="1"/>
  <c r="D19" i="20" s="1"/>
  <c r="AU49" i="1"/>
  <c r="N49" i="1" s="1"/>
  <c r="N91" i="1" s="1"/>
  <c r="N81" i="17"/>
  <c r="N84" i="17" s="1"/>
  <c r="AY39" i="1"/>
  <c r="BD39" i="1" s="1"/>
  <c r="BI39" i="1" s="1"/>
  <c r="BJ39" i="1" s="1"/>
  <c r="H322" i="1"/>
  <c r="AX24" i="1"/>
  <c r="BC24" i="1" s="1"/>
  <c r="BH24" i="1" s="1"/>
  <c r="BC67" i="1"/>
  <c r="BH67" i="1" s="1"/>
  <c r="BJ67" i="1" s="1"/>
  <c r="AX18" i="1"/>
  <c r="AU18" i="1"/>
  <c r="J91" i="1"/>
  <c r="AY49" i="1"/>
  <c r="AU37" i="1"/>
  <c r="AX37" i="1"/>
  <c r="AY27" i="1"/>
  <c r="AU27" i="1"/>
  <c r="V27" i="17" s="1"/>
  <c r="BC48" i="1"/>
  <c r="BH48" i="1" s="1"/>
  <c r="G179" i="1"/>
  <c r="J178" i="1"/>
  <c r="AK29" i="1"/>
  <c r="J29" i="1" s="1"/>
  <c r="AK24" i="1"/>
  <c r="J24" i="1" s="1"/>
  <c r="AK25" i="1"/>
  <c r="AU25" i="1" s="1"/>
  <c r="AK28" i="1"/>
  <c r="AK31" i="1"/>
  <c r="AU31" i="1" s="1"/>
  <c r="V30" i="17" s="1"/>
  <c r="AZ55" i="1"/>
  <c r="R55" i="1" s="1"/>
  <c r="R95" i="1" s="1"/>
  <c r="BC55" i="1"/>
  <c r="N124" i="1"/>
  <c r="AZ58" i="1"/>
  <c r="R58" i="1" s="1"/>
  <c r="R97" i="1" s="1"/>
  <c r="BC58" i="1"/>
  <c r="BH58" i="1" s="1"/>
  <c r="BJ58" i="1" s="1"/>
  <c r="AU55" i="1"/>
  <c r="N55" i="1" s="1"/>
  <c r="N95" i="1" s="1"/>
  <c r="L79" i="17"/>
  <c r="H162" i="1"/>
  <c r="H163" i="1" s="1"/>
  <c r="H164" i="1" s="1"/>
  <c r="H165" i="1" s="1"/>
  <c r="J161" i="1"/>
  <c r="AX47" i="1"/>
  <c r="AU47" i="1"/>
  <c r="F44" i="17"/>
  <c r="BC38" i="1"/>
  <c r="AZ38" i="1"/>
  <c r="R38" i="1" s="1"/>
  <c r="BE46" i="1"/>
  <c r="V46" i="1" s="1"/>
  <c r="BH46" i="1"/>
  <c r="BJ46" i="1" s="1"/>
  <c r="Z46" i="1" s="1"/>
  <c r="BI48" i="1"/>
  <c r="L214" i="1"/>
  <c r="AD190" i="1"/>
  <c r="I39" i="20" s="1"/>
  <c r="L36" i="20" s="1"/>
  <c r="D39" i="20"/>
  <c r="P137" i="1"/>
  <c r="R120" i="1"/>
  <c r="D5" i="20"/>
  <c r="D18" i="20"/>
  <c r="AD168" i="1"/>
  <c r="I18" i="20" s="1"/>
  <c r="J124" i="1"/>
  <c r="G202" i="1"/>
  <c r="G203" i="1"/>
  <c r="C111" i="1"/>
  <c r="C75" i="1"/>
  <c r="G210" i="1"/>
  <c r="G211" i="1"/>
  <c r="AD169" i="1"/>
  <c r="I19" i="20" s="1"/>
  <c r="AD147" i="1"/>
  <c r="B2" i="21" s="1"/>
  <c r="N72" i="17"/>
  <c r="N75" i="17" s="1"/>
  <c r="J72" i="17"/>
  <c r="L72" i="17"/>
  <c r="H72" i="17"/>
  <c r="H75" i="17" s="1"/>
  <c r="F20" i="19"/>
  <c r="P20" i="19" s="1"/>
  <c r="L18" i="19"/>
  <c r="G59" i="20"/>
  <c r="AY53" i="1"/>
  <c r="BD53" i="1" s="1"/>
  <c r="BI53" i="1" s="1"/>
  <c r="AU53" i="1"/>
  <c r="N53" i="1" s="1"/>
  <c r="N94" i="1" s="1"/>
  <c r="P139" i="1"/>
  <c r="T139" i="1"/>
  <c r="L29" i="20"/>
  <c r="C109" i="1"/>
  <c r="C17" i="17"/>
  <c r="J95" i="1"/>
  <c r="AZ43" i="1"/>
  <c r="R43" i="1" s="1"/>
  <c r="R88" i="1" s="1"/>
  <c r="BC43" i="1"/>
  <c r="BE43" i="1" s="1"/>
  <c r="AU44" i="1"/>
  <c r="AY44" i="1"/>
  <c r="AZ44" i="1" s="1"/>
  <c r="J98" i="1"/>
  <c r="AZ32" i="1"/>
  <c r="J39" i="1"/>
  <c r="J193" i="1"/>
  <c r="J191" i="1"/>
  <c r="AD191" i="1" s="1"/>
  <c r="I40" i="20" s="1"/>
  <c r="L37" i="20" s="1"/>
  <c r="AZ59" i="1"/>
  <c r="R59" i="1" s="1"/>
  <c r="R98" i="1" s="1"/>
  <c r="H194" i="1"/>
  <c r="J99" i="1"/>
  <c r="J40" i="1"/>
  <c r="R114" i="1"/>
  <c r="J93" i="1"/>
  <c r="BJ35" i="1"/>
  <c r="Z120" i="1" s="1"/>
  <c r="J43" i="1"/>
  <c r="J88" i="1" s="1"/>
  <c r="AU36" i="1"/>
  <c r="N36" i="1" s="1"/>
  <c r="F67" i="17"/>
  <c r="F69" i="17" s="1"/>
  <c r="F41" i="17"/>
  <c r="AB214" i="1"/>
  <c r="AB274" i="1" s="1"/>
  <c r="AY26" i="1"/>
  <c r="AZ26" i="1" s="1"/>
  <c r="N99" i="17"/>
  <c r="P42" i="17"/>
  <c r="H88" i="17"/>
  <c r="N88" i="17"/>
  <c r="L88" i="17"/>
  <c r="F88" i="17"/>
  <c r="BH61" i="1"/>
  <c r="BJ61" i="1" s="1"/>
  <c r="F52" i="17"/>
  <c r="J54" i="17"/>
  <c r="F50" i="17"/>
  <c r="F79" i="17"/>
  <c r="N52" i="17"/>
  <c r="H79" i="17"/>
  <c r="F78" i="17"/>
  <c r="L52" i="17"/>
  <c r="F56" i="17"/>
  <c r="L81" i="17"/>
  <c r="L84" i="17" s="1"/>
  <c r="L82" i="17"/>
  <c r="H62" i="17"/>
  <c r="J56" i="17"/>
  <c r="L67" i="17"/>
  <c r="L69" i="17" s="1"/>
  <c r="H54" i="17"/>
  <c r="H82" i="17"/>
  <c r="J62" i="17"/>
  <c r="L56" i="17"/>
  <c r="F54" i="17"/>
  <c r="F81" i="17"/>
  <c r="F84" i="17" s="1"/>
  <c r="H76" i="1"/>
  <c r="N78" i="17"/>
  <c r="L62" i="17"/>
  <c r="J52" i="17"/>
  <c r="H67" i="17"/>
  <c r="H69" i="17" s="1"/>
  <c r="H52" i="17"/>
  <c r="J67" i="17"/>
  <c r="J69" i="17" s="1"/>
  <c r="J50" i="17"/>
  <c r="N53" i="17"/>
  <c r="J81" i="17"/>
  <c r="J84" i="17" s="1"/>
  <c r="H53" i="17"/>
  <c r="J53" i="17"/>
  <c r="N62" i="17"/>
  <c r="N67" i="17"/>
  <c r="N69" i="17" s="1"/>
  <c r="H50" i="17"/>
  <c r="L53" i="17"/>
  <c r="N54" i="17"/>
  <c r="N50" i="17"/>
  <c r="N56" i="17"/>
  <c r="J78" i="17"/>
  <c r="H81" i="17"/>
  <c r="H84" i="17" s="1"/>
  <c r="L54" i="17"/>
  <c r="J171" i="1"/>
  <c r="F62" i="17"/>
  <c r="AX64" i="1"/>
  <c r="AU64" i="1"/>
  <c r="N64" i="1" s="1"/>
  <c r="N101" i="1" s="1"/>
  <c r="L50" i="17"/>
  <c r="D47" i="20"/>
  <c r="J172" i="1"/>
  <c r="G173" i="1"/>
  <c r="J173" i="1" s="1"/>
  <c r="BC52" i="1"/>
  <c r="AZ52" i="1"/>
  <c r="R52" i="1" s="1"/>
  <c r="AU41" i="1"/>
  <c r="AX41" i="1"/>
  <c r="AZ50" i="1"/>
  <c r="R50" i="1" s="1"/>
  <c r="BC50" i="1"/>
  <c r="F43" i="17"/>
  <c r="G163" i="1"/>
  <c r="G164" i="1" s="1"/>
  <c r="J162" i="1"/>
  <c r="J154" i="1"/>
  <c r="D26" i="20"/>
  <c r="AD177" i="1"/>
  <c r="I26" i="20" s="1"/>
  <c r="AD198" i="1"/>
  <c r="I45" i="20" s="1"/>
  <c r="D45" i="20"/>
  <c r="N19" i="19"/>
  <c r="BC33" i="1"/>
  <c r="AZ33" i="1"/>
  <c r="J94" i="1"/>
  <c r="AU65" i="1"/>
  <c r="N65" i="1" s="1"/>
  <c r="H43" i="17" s="1"/>
  <c r="AX65" i="1"/>
  <c r="BH53" i="1"/>
  <c r="AD199" i="1"/>
  <c r="I46" i="20" s="1"/>
  <c r="D46" i="20"/>
  <c r="AY56" i="1"/>
  <c r="AU56" i="1"/>
  <c r="N56" i="1" s="1"/>
  <c r="N120" i="1"/>
  <c r="J120" i="1"/>
  <c r="H208" i="1"/>
  <c r="H209" i="1" s="1"/>
  <c r="J207" i="1"/>
  <c r="AX45" i="1"/>
  <c r="AU45" i="1"/>
  <c r="H203" i="1"/>
  <c r="H202" i="1"/>
  <c r="X29" i="19"/>
  <c r="H19" i="19" s="1"/>
  <c r="J96" i="1"/>
  <c r="V112" i="1"/>
  <c r="N112" i="1"/>
  <c r="Z112" i="1"/>
  <c r="R112" i="1"/>
  <c r="J112" i="1"/>
  <c r="F163" i="1"/>
  <c r="C13" i="20"/>
  <c r="BC59" i="1"/>
  <c r="Z214" i="1"/>
  <c r="J97" i="17"/>
  <c r="F97" i="17"/>
  <c r="H97" i="17"/>
  <c r="N97" i="17"/>
  <c r="L97" i="17"/>
  <c r="J201" i="1"/>
  <c r="BE34" i="1"/>
  <c r="BH34" i="1"/>
  <c r="BJ34" i="1" s="1"/>
  <c r="BB25" i="1"/>
  <c r="BE35" i="1"/>
  <c r="H56" i="17"/>
  <c r="H132" i="1"/>
  <c r="X132" i="1" s="1"/>
  <c r="AF132" i="1" s="1"/>
  <c r="J92" i="1"/>
  <c r="N104" i="1"/>
  <c r="J104" i="1"/>
  <c r="AU30" i="1"/>
  <c r="AX30" i="1"/>
  <c r="F53" i="17"/>
  <c r="P17" i="19"/>
  <c r="F92" i="17"/>
  <c r="L92" i="17"/>
  <c r="H92" i="17"/>
  <c r="N92" i="17"/>
  <c r="Z118" i="1"/>
  <c r="N118" i="1"/>
  <c r="J34" i="1"/>
  <c r="F96" i="17"/>
  <c r="H96" i="17"/>
  <c r="J170" i="1"/>
  <c r="AZ68" i="1"/>
  <c r="R68" i="1" s="1"/>
  <c r="R104" i="1" s="1"/>
  <c r="V118" i="1"/>
  <c r="H74" i="1"/>
  <c r="N79" i="17"/>
  <c r="N82" i="17"/>
  <c r="J79" i="17"/>
  <c r="J82" i="17"/>
  <c r="L80" i="17"/>
  <c r="H78" i="17"/>
  <c r="F80" i="17"/>
  <c r="N80" i="17"/>
  <c r="H80" i="17"/>
  <c r="F82" i="17"/>
  <c r="J80" i="17"/>
  <c r="L78" i="17"/>
  <c r="R110" i="1"/>
  <c r="J110" i="1"/>
  <c r="V110" i="1"/>
  <c r="N110" i="1"/>
  <c r="Z110" i="1"/>
  <c r="AZ46" i="1"/>
  <c r="AZ34" i="1"/>
  <c r="R34" i="1" s="1"/>
  <c r="J103" i="1"/>
  <c r="BC29" i="1"/>
  <c r="BD32" i="1"/>
  <c r="BD36" i="1"/>
  <c r="BI36" i="1" s="1"/>
  <c r="BJ36" i="1" s="1"/>
  <c r="BD40" i="1"/>
  <c r="BC42" i="1"/>
  <c r="BD44" i="1"/>
  <c r="BI44" i="1" s="1"/>
  <c r="BJ44" i="1" s="1"/>
  <c r="F100" i="17"/>
  <c r="L100" i="17"/>
  <c r="V114" i="1"/>
  <c r="Z114" i="1"/>
  <c r="J114" i="1"/>
  <c r="N42" i="1"/>
  <c r="C109" i="22"/>
  <c r="C73" i="22"/>
  <c r="N100" i="1"/>
  <c r="J100" i="1"/>
  <c r="AK18" i="1"/>
  <c r="AK22" i="1"/>
  <c r="AK19" i="1"/>
  <c r="AK20" i="1"/>
  <c r="AK23" i="1"/>
  <c r="AK27" i="1"/>
  <c r="BD24" i="1"/>
  <c r="BI24" i="1" s="1"/>
  <c r="BG28" i="1"/>
  <c r="F94" i="17"/>
  <c r="N94" i="17"/>
  <c r="AK30" i="1"/>
  <c r="C6" i="20"/>
  <c r="N98" i="17"/>
  <c r="H98" i="17"/>
  <c r="AK26" i="1"/>
  <c r="J47" i="1"/>
  <c r="BH23" i="1"/>
  <c r="AK21" i="1"/>
  <c r="AU23" i="1"/>
  <c r="N267" i="22"/>
  <c r="N273" i="22" s="1"/>
  <c r="N275" i="22" s="1"/>
  <c r="N265" i="1" s="1"/>
  <c r="N272" i="1" s="1"/>
  <c r="N265" i="22"/>
  <c r="Z265" i="22"/>
  <c r="Z267" i="22"/>
  <c r="Z273" i="22" s="1"/>
  <c r="Z275" i="22" s="1"/>
  <c r="Z265" i="1" s="1"/>
  <c r="Z272" i="1" s="1"/>
  <c r="R265" i="22"/>
  <c r="R267" i="22"/>
  <c r="R273" i="22" s="1"/>
  <c r="R275" i="22" s="1"/>
  <c r="R266" i="1" s="1"/>
  <c r="R272" i="1" s="1"/>
  <c r="V265" i="22"/>
  <c r="V267" i="22"/>
  <c r="V273" i="22" s="1"/>
  <c r="V275" i="22" s="1"/>
  <c r="V265" i="1" s="1"/>
  <c r="V272" i="1" s="1"/>
  <c r="J262" i="22"/>
  <c r="E57" i="20"/>
  <c r="H18" i="19"/>
  <c r="P102" i="17"/>
  <c r="P105" i="17"/>
  <c r="P104" i="17"/>
  <c r="P106" i="17"/>
  <c r="P101" i="17"/>
  <c r="P108" i="17"/>
  <c r="P89" i="17"/>
  <c r="P107" i="17"/>
  <c r="BE23" i="1" l="1"/>
  <c r="V23" i="1" s="1"/>
  <c r="R36" i="1"/>
  <c r="BD26" i="1"/>
  <c r="BI26" i="1" s="1"/>
  <c r="BJ26" i="1" s="1"/>
  <c r="R44" i="1"/>
  <c r="BJ23" i="1"/>
  <c r="V35" i="1"/>
  <c r="V84" i="1" s="1"/>
  <c r="AZ62" i="1"/>
  <c r="R62" i="1" s="1"/>
  <c r="R100" i="1" s="1"/>
  <c r="P36" i="17"/>
  <c r="N34" i="1"/>
  <c r="N44" i="1"/>
  <c r="J75" i="17"/>
  <c r="R269" i="22"/>
  <c r="AB278" i="1"/>
  <c r="AB284" i="1" s="1"/>
  <c r="AB286" i="1" s="1"/>
  <c r="N121" i="17" s="1"/>
  <c r="AB276" i="1"/>
  <c r="T276" i="1"/>
  <c r="T278" i="1"/>
  <c r="T284" i="1" s="1"/>
  <c r="T286" i="1" s="1"/>
  <c r="J121" i="17" s="1"/>
  <c r="P278" i="1"/>
  <c r="P284" i="1" s="1"/>
  <c r="P286" i="1" s="1"/>
  <c r="H121" i="17" s="1"/>
  <c r="P276" i="1"/>
  <c r="V269" i="22"/>
  <c r="N269" i="22"/>
  <c r="H44" i="17"/>
  <c r="Z35" i="1"/>
  <c r="Z84" i="1" s="1"/>
  <c r="AD192" i="1"/>
  <c r="I41" i="20" s="1"/>
  <c r="L38" i="20" s="1"/>
  <c r="P90" i="17"/>
  <c r="BE67" i="1"/>
  <c r="V67" i="1" s="1"/>
  <c r="H114" i="1"/>
  <c r="V34" i="1"/>
  <c r="P34" i="17"/>
  <c r="P91" i="17"/>
  <c r="BE53" i="1"/>
  <c r="V53" i="1" s="1"/>
  <c r="V94" i="1" s="1"/>
  <c r="N31" i="1"/>
  <c r="H31" i="17" s="1"/>
  <c r="H115" i="1"/>
  <c r="J115" i="1" s="1"/>
  <c r="R32" i="1"/>
  <c r="H110" i="1"/>
  <c r="H118" i="1"/>
  <c r="H112" i="1"/>
  <c r="AZ31" i="1"/>
  <c r="X30" i="17" s="1"/>
  <c r="J194" i="1"/>
  <c r="AD194" i="1" s="1"/>
  <c r="P95" i="17"/>
  <c r="AP31" i="1"/>
  <c r="L75" i="17"/>
  <c r="BJ53" i="1"/>
  <c r="Z53" i="1" s="1"/>
  <c r="Z94" i="1" s="1"/>
  <c r="AZ53" i="1"/>
  <c r="R53" i="1" s="1"/>
  <c r="R94" i="1" s="1"/>
  <c r="BJ31" i="1"/>
  <c r="AB30" i="17" s="1"/>
  <c r="H111" i="1"/>
  <c r="N111" i="1" s="1"/>
  <c r="AZ20" i="1"/>
  <c r="R20" i="1" s="1"/>
  <c r="P93" i="17"/>
  <c r="BE31" i="1"/>
  <c r="V31" i="1" s="1"/>
  <c r="H113" i="1"/>
  <c r="J113" i="1" s="1"/>
  <c r="J202" i="1"/>
  <c r="AD202" i="1" s="1"/>
  <c r="N32" i="1"/>
  <c r="J203" i="1"/>
  <c r="D49" i="20" s="1"/>
  <c r="BE48" i="1"/>
  <c r="V48" i="1" s="1"/>
  <c r="F61" i="17"/>
  <c r="X126" i="1"/>
  <c r="AF126" i="1" s="1"/>
  <c r="J35" i="1"/>
  <c r="J84" i="1" s="1"/>
  <c r="BE20" i="1"/>
  <c r="V20" i="1" s="1"/>
  <c r="N35" i="1"/>
  <c r="N84" i="1" s="1"/>
  <c r="N122" i="1"/>
  <c r="P99" i="17"/>
  <c r="N29" i="1"/>
  <c r="BE26" i="1"/>
  <c r="V26" i="1" s="1"/>
  <c r="N33" i="1"/>
  <c r="N83" i="1" s="1"/>
  <c r="P96" i="17"/>
  <c r="J18" i="19"/>
  <c r="H61" i="17"/>
  <c r="AZ39" i="1"/>
  <c r="R39" i="1" s="1"/>
  <c r="R86" i="1" s="1"/>
  <c r="AD116" i="1"/>
  <c r="AZ24" i="1"/>
  <c r="X24" i="17" s="1"/>
  <c r="X120" i="1"/>
  <c r="AF120" i="1" s="1"/>
  <c r="BJ48" i="1"/>
  <c r="Z48" i="1" s="1"/>
  <c r="N24" i="1"/>
  <c r="H24" i="17" s="1"/>
  <c r="H116" i="1"/>
  <c r="N117" i="1"/>
  <c r="J117" i="1"/>
  <c r="H58" i="17"/>
  <c r="P88" i="17"/>
  <c r="BE28" i="1"/>
  <c r="V28" i="1" s="1"/>
  <c r="BE21" i="1"/>
  <c r="Z21" i="17" s="1"/>
  <c r="BH21" i="1"/>
  <c r="BJ21" i="1" s="1"/>
  <c r="Z21" i="1" s="1"/>
  <c r="H40" i="17"/>
  <c r="F37" i="17"/>
  <c r="BH43" i="1"/>
  <c r="BJ43" i="1" s="1"/>
  <c r="Z43" i="1" s="1"/>
  <c r="V28" i="19"/>
  <c r="BJ28" i="1"/>
  <c r="Z28" i="1" s="1"/>
  <c r="AU28" i="1"/>
  <c r="N28" i="1" s="1"/>
  <c r="H28" i="17" s="1"/>
  <c r="AZ28" i="1"/>
  <c r="R28" i="1" s="1"/>
  <c r="AD114" i="1"/>
  <c r="AZ37" i="1"/>
  <c r="BC37" i="1"/>
  <c r="P98" i="17"/>
  <c r="BL35" i="1"/>
  <c r="AD193" i="1"/>
  <c r="I42" i="20" s="1"/>
  <c r="D42" i="20"/>
  <c r="Z122" i="1"/>
  <c r="Z39" i="1"/>
  <c r="Z86" i="1" s="1"/>
  <c r="N37" i="1"/>
  <c r="N85" i="1" s="1"/>
  <c r="N121" i="1"/>
  <c r="F60" i="17"/>
  <c r="R29" i="1"/>
  <c r="P62" i="17"/>
  <c r="R124" i="1"/>
  <c r="AF214" i="1"/>
  <c r="L274" i="1"/>
  <c r="AZ47" i="1"/>
  <c r="BC47" i="1"/>
  <c r="AD178" i="1"/>
  <c r="I27" i="20" s="1"/>
  <c r="D27" i="20"/>
  <c r="BD49" i="1"/>
  <c r="AZ49" i="1"/>
  <c r="R49" i="1" s="1"/>
  <c r="N126" i="1"/>
  <c r="N47" i="1"/>
  <c r="N90" i="1" s="1"/>
  <c r="J86" i="1"/>
  <c r="F55" i="17" s="1"/>
  <c r="BH62" i="1"/>
  <c r="BJ62" i="1" s="1"/>
  <c r="BE58" i="1"/>
  <c r="V58" i="1" s="1"/>
  <c r="V97" i="1" s="1"/>
  <c r="D12" i="20"/>
  <c r="AD161" i="1"/>
  <c r="I12" i="20" s="1"/>
  <c r="BH55" i="1"/>
  <c r="BJ55" i="1" s="1"/>
  <c r="BE55" i="1"/>
  <c r="V55" i="1" s="1"/>
  <c r="G180" i="1"/>
  <c r="J179" i="1"/>
  <c r="AP25" i="1"/>
  <c r="J25" i="1" s="1"/>
  <c r="F25" i="17" s="1"/>
  <c r="D40" i="20"/>
  <c r="L35" i="20" s="1"/>
  <c r="P54" i="17"/>
  <c r="F58" i="17"/>
  <c r="N25" i="1"/>
  <c r="N78" i="1" s="1"/>
  <c r="BE38" i="1"/>
  <c r="V38" i="1" s="1"/>
  <c r="BH38" i="1"/>
  <c r="BJ38" i="1" s="1"/>
  <c r="V18" i="17"/>
  <c r="N109" i="1"/>
  <c r="BJ24" i="1"/>
  <c r="Z24" i="1" s="1"/>
  <c r="Z77" i="1" s="1"/>
  <c r="AZ25" i="1"/>
  <c r="R25" i="1" s="1"/>
  <c r="R78" i="1" s="1"/>
  <c r="V124" i="1"/>
  <c r="V43" i="1"/>
  <c r="V88" i="1" s="1"/>
  <c r="BE39" i="1"/>
  <c r="AP28" i="1"/>
  <c r="J28" i="1" s="1"/>
  <c r="BD27" i="1"/>
  <c r="AZ27" i="1"/>
  <c r="R27" i="1" s="1"/>
  <c r="AZ18" i="1"/>
  <c r="R18" i="1" s="1"/>
  <c r="BC18" i="1"/>
  <c r="P78" i="17"/>
  <c r="P94" i="17"/>
  <c r="P97" i="17"/>
  <c r="P80" i="17"/>
  <c r="P79" i="17"/>
  <c r="P82" i="17"/>
  <c r="P84" i="17"/>
  <c r="P69" i="17"/>
  <c r="P92" i="17"/>
  <c r="P100" i="17"/>
  <c r="Z36" i="1"/>
  <c r="BC30" i="1"/>
  <c r="AZ30" i="1"/>
  <c r="R117" i="1" s="1"/>
  <c r="P50" i="17"/>
  <c r="BH68" i="1"/>
  <c r="BJ68" i="1" s="1"/>
  <c r="BE68" i="1"/>
  <c r="V68" i="1" s="1"/>
  <c r="V104" i="1" s="1"/>
  <c r="D22" i="20"/>
  <c r="AD172" i="1"/>
  <c r="I22" i="20" s="1"/>
  <c r="AU22" i="1"/>
  <c r="N22" i="1" s="1"/>
  <c r="BE22" i="1"/>
  <c r="V22" i="1" s="1"/>
  <c r="AP22" i="1"/>
  <c r="J22" i="1" s="1"/>
  <c r="J76" i="1" s="1"/>
  <c r="AZ22" i="1"/>
  <c r="R22" i="1" s="1"/>
  <c r="J22" i="17" s="1"/>
  <c r="BJ22" i="1"/>
  <c r="BE32" i="1"/>
  <c r="V32" i="1" s="1"/>
  <c r="BI32" i="1"/>
  <c r="BJ32" i="1" s="1"/>
  <c r="J77" i="1"/>
  <c r="F24" i="17"/>
  <c r="H41" i="17"/>
  <c r="V103" i="1"/>
  <c r="BE59" i="1"/>
  <c r="V59" i="1" s="1"/>
  <c r="BH59" i="1"/>
  <c r="BJ59" i="1" s="1"/>
  <c r="BC45" i="1"/>
  <c r="AZ45" i="1"/>
  <c r="J157" i="1"/>
  <c r="J156" i="1"/>
  <c r="Z58" i="1"/>
  <c r="Z97" i="1" s="1"/>
  <c r="AZ64" i="1"/>
  <c r="R64" i="1" s="1"/>
  <c r="BC64" i="1"/>
  <c r="J21" i="1"/>
  <c r="N21" i="1"/>
  <c r="R21" i="1"/>
  <c r="Z44" i="1"/>
  <c r="BE29" i="1"/>
  <c r="V29" i="1" s="1"/>
  <c r="BH29" i="1"/>
  <c r="BJ29" i="1" s="1"/>
  <c r="D20" i="20"/>
  <c r="AD170" i="1"/>
  <c r="I20" i="20" s="1"/>
  <c r="Z34" i="1"/>
  <c r="BL34" i="1"/>
  <c r="P52" i="17"/>
  <c r="P81" i="17"/>
  <c r="AD110" i="1"/>
  <c r="D52" i="20"/>
  <c r="AD207" i="1"/>
  <c r="I52" i="20" s="1"/>
  <c r="R119" i="1"/>
  <c r="R33" i="1"/>
  <c r="AD154" i="1"/>
  <c r="D6" i="20"/>
  <c r="BC41" i="1"/>
  <c r="AZ41" i="1"/>
  <c r="R93" i="1"/>
  <c r="D21" i="20"/>
  <c r="AD171" i="1"/>
  <c r="I21" i="20" s="1"/>
  <c r="AZ19" i="1"/>
  <c r="R19" i="1" s="1"/>
  <c r="J19" i="17" s="1"/>
  <c r="AP19" i="1"/>
  <c r="J19" i="1" s="1"/>
  <c r="BJ19" i="1"/>
  <c r="Z19" i="1" s="1"/>
  <c r="N19" i="17" s="1"/>
  <c r="BD56" i="1"/>
  <c r="AZ56" i="1"/>
  <c r="R56" i="1" s="1"/>
  <c r="R96" i="1" s="1"/>
  <c r="AD118" i="1"/>
  <c r="P53" i="17"/>
  <c r="AD201" i="1"/>
  <c r="I48" i="20" s="1"/>
  <c r="D48" i="20"/>
  <c r="C14" i="20"/>
  <c r="J163" i="1"/>
  <c r="H211" i="1"/>
  <c r="J211" i="1" s="1"/>
  <c r="H210" i="1"/>
  <c r="J209" i="1"/>
  <c r="BE33" i="1"/>
  <c r="BH33" i="1"/>
  <c r="BJ33" i="1" s="1"/>
  <c r="AD162" i="1"/>
  <c r="I13" i="20" s="1"/>
  <c r="D13" i="20"/>
  <c r="BH50" i="1"/>
  <c r="BJ50" i="1" s="1"/>
  <c r="BE50" i="1"/>
  <c r="V50" i="1" s="1"/>
  <c r="N123" i="1"/>
  <c r="N41" i="1"/>
  <c r="BE52" i="1"/>
  <c r="V52" i="1" s="1"/>
  <c r="V93" i="1" s="1"/>
  <c r="BH52" i="1"/>
  <c r="BJ52" i="1" s="1"/>
  <c r="F59" i="17"/>
  <c r="N102" i="1"/>
  <c r="N18" i="1"/>
  <c r="P67" i="17"/>
  <c r="F39" i="17"/>
  <c r="J90" i="1"/>
  <c r="C7" i="20"/>
  <c r="J155" i="1"/>
  <c r="J23" i="1"/>
  <c r="R23" i="1"/>
  <c r="N23" i="1"/>
  <c r="Z23" i="1"/>
  <c r="BE42" i="1"/>
  <c r="V42" i="1" s="1"/>
  <c r="BH42" i="1"/>
  <c r="BJ42" i="1" s="1"/>
  <c r="BE19" i="1"/>
  <c r="V19" i="1" s="1"/>
  <c r="L19" i="17" s="1"/>
  <c r="BE24" i="1"/>
  <c r="J164" i="1"/>
  <c r="G165" i="1"/>
  <c r="J165" i="1" s="1"/>
  <c r="R92" i="1"/>
  <c r="BL61" i="1"/>
  <c r="Z61" i="1"/>
  <c r="Z67" i="1"/>
  <c r="Z103" i="1" s="1"/>
  <c r="BL67" i="1"/>
  <c r="H59" i="20"/>
  <c r="N18" i="19"/>
  <c r="N45" i="1"/>
  <c r="N125" i="1"/>
  <c r="J26" i="1"/>
  <c r="N26" i="1"/>
  <c r="R26" i="1"/>
  <c r="Z26" i="1"/>
  <c r="AU19" i="1"/>
  <c r="N19" i="1" s="1"/>
  <c r="J27" i="1"/>
  <c r="N27" i="1"/>
  <c r="BE44" i="1"/>
  <c r="V44" i="1" s="1"/>
  <c r="J30" i="1"/>
  <c r="N30" i="1"/>
  <c r="BL46" i="1"/>
  <c r="R46" i="1"/>
  <c r="AD46" i="1" s="1"/>
  <c r="BE36" i="1"/>
  <c r="V36" i="1" s="1"/>
  <c r="N20" i="1"/>
  <c r="J20" i="1"/>
  <c r="Z20" i="1"/>
  <c r="BI40" i="1"/>
  <c r="BJ40" i="1" s="1"/>
  <c r="BE40" i="1"/>
  <c r="V40" i="1" s="1"/>
  <c r="BE25" i="1"/>
  <c r="V25" i="1" s="1"/>
  <c r="BG25" i="1"/>
  <c r="BJ25" i="1" s="1"/>
  <c r="AD112" i="1"/>
  <c r="N96" i="1"/>
  <c r="H59" i="17" s="1"/>
  <c r="V120" i="1"/>
  <c r="AD120" i="1" s="1"/>
  <c r="AZ65" i="1"/>
  <c r="R65" i="1" s="1"/>
  <c r="BC65" i="1"/>
  <c r="AD173" i="1"/>
  <c r="I23" i="20" s="1"/>
  <c r="D23" i="20"/>
  <c r="P56" i="17"/>
  <c r="V99" i="1"/>
  <c r="N109" i="17"/>
  <c r="N111" i="17" s="1"/>
  <c r="AD266" i="1"/>
  <c r="Z28" i="19"/>
  <c r="J103" i="17"/>
  <c r="L109" i="17"/>
  <c r="L111" i="17" s="1"/>
  <c r="Z269" i="22"/>
  <c r="AD262" i="22"/>
  <c r="J264" i="22"/>
  <c r="H109" i="17"/>
  <c r="H111" i="17" s="1"/>
  <c r="BL23" i="1" l="1"/>
  <c r="AD36" i="1"/>
  <c r="N113" i="1"/>
  <c r="BL62" i="1"/>
  <c r="BL26" i="1"/>
  <c r="N82" i="1"/>
  <c r="R24" i="1"/>
  <c r="J24" i="17" s="1"/>
  <c r="Z30" i="17"/>
  <c r="N115" i="1"/>
  <c r="AD48" i="1"/>
  <c r="R113" i="1"/>
  <c r="I6" i="20"/>
  <c r="L278" i="1"/>
  <c r="L284" i="1" s="1"/>
  <c r="L286" i="1" s="1"/>
  <c r="L276" i="1"/>
  <c r="AD34" i="1"/>
  <c r="Z124" i="1"/>
  <c r="AD124" i="1" s="1"/>
  <c r="BL43" i="1"/>
  <c r="Z31" i="1"/>
  <c r="N31" i="17" s="1"/>
  <c r="BL53" i="1"/>
  <c r="BL31" i="1"/>
  <c r="AD94" i="1"/>
  <c r="Z62" i="1"/>
  <c r="AD62" i="1" s="1"/>
  <c r="AD203" i="1"/>
  <c r="I49" i="20" s="1"/>
  <c r="BL20" i="1"/>
  <c r="N77" i="1"/>
  <c r="R111" i="1"/>
  <c r="T30" i="17"/>
  <c r="J31" i="1"/>
  <c r="J70" i="1" s="1"/>
  <c r="R31" i="1"/>
  <c r="R82" i="1" s="1"/>
  <c r="J111" i="1"/>
  <c r="J135" i="1" s="1"/>
  <c r="AD84" i="1"/>
  <c r="F51" i="17"/>
  <c r="AD97" i="1"/>
  <c r="AD103" i="1"/>
  <c r="H25" i="17"/>
  <c r="AD35" i="1"/>
  <c r="X135" i="1"/>
  <c r="X137" i="1" s="1"/>
  <c r="AF137" i="1" s="1"/>
  <c r="F35" i="17"/>
  <c r="F33" i="17" s="1"/>
  <c r="BL48" i="1"/>
  <c r="H22" i="17"/>
  <c r="N76" i="1"/>
  <c r="BL28" i="1"/>
  <c r="R30" i="1"/>
  <c r="R81" i="1" s="1"/>
  <c r="BL22" i="1"/>
  <c r="AB24" i="17"/>
  <c r="BL24" i="1"/>
  <c r="N24" i="17"/>
  <c r="Z113" i="1"/>
  <c r="N80" i="1"/>
  <c r="BL58" i="1"/>
  <c r="R122" i="1"/>
  <c r="BL39" i="1"/>
  <c r="H35" i="17"/>
  <c r="R80" i="1"/>
  <c r="J28" i="17"/>
  <c r="V111" i="1"/>
  <c r="V29" i="19"/>
  <c r="F19" i="19" s="1"/>
  <c r="J25" i="17"/>
  <c r="V21" i="1"/>
  <c r="AD21" i="1" s="1"/>
  <c r="Z111" i="1"/>
  <c r="BL21" i="1"/>
  <c r="AB21" i="17"/>
  <c r="AD21" i="17" s="1"/>
  <c r="L22" i="17"/>
  <c r="V76" i="1"/>
  <c r="F28" i="17"/>
  <c r="J80" i="1"/>
  <c r="BL38" i="1"/>
  <c r="Z38" i="1"/>
  <c r="AD38" i="1" s="1"/>
  <c r="V122" i="1"/>
  <c r="V39" i="1"/>
  <c r="AD179" i="1"/>
  <c r="I28" i="20" s="1"/>
  <c r="D28" i="20"/>
  <c r="H51" i="17"/>
  <c r="BE18" i="1"/>
  <c r="BH18" i="1"/>
  <c r="BJ18" i="1" s="1"/>
  <c r="X18" i="17"/>
  <c r="R109" i="1"/>
  <c r="Z55" i="1"/>
  <c r="Z95" i="1" s="1"/>
  <c r="BL55" i="1"/>
  <c r="BH37" i="1"/>
  <c r="BJ37" i="1" s="1"/>
  <c r="BE37" i="1"/>
  <c r="V95" i="1"/>
  <c r="BL44" i="1"/>
  <c r="X27" i="17"/>
  <c r="R115" i="1"/>
  <c r="R37" i="1"/>
  <c r="J35" i="17" s="1"/>
  <c r="R121" i="1"/>
  <c r="Z22" i="1"/>
  <c r="N22" i="17" s="1"/>
  <c r="BI27" i="1"/>
  <c r="BJ27" i="1" s="1"/>
  <c r="BE27" i="1"/>
  <c r="R91" i="1"/>
  <c r="J58" i="17" s="1"/>
  <c r="J40" i="17"/>
  <c r="G181" i="1"/>
  <c r="J181" i="1" s="1"/>
  <c r="J180" i="1"/>
  <c r="F72" i="17" s="1"/>
  <c r="P72" i="17" s="1"/>
  <c r="BE47" i="1"/>
  <c r="BH47" i="1"/>
  <c r="BJ47" i="1" s="1"/>
  <c r="R126" i="1"/>
  <c r="R47" i="1"/>
  <c r="J78" i="1"/>
  <c r="AD28" i="1"/>
  <c r="AD58" i="1"/>
  <c r="L28" i="17"/>
  <c r="V80" i="1"/>
  <c r="BI49" i="1"/>
  <c r="BJ49" i="1" s="1"/>
  <c r="BE49" i="1"/>
  <c r="V49" i="1" s="1"/>
  <c r="L40" i="17" s="1"/>
  <c r="F19" i="17"/>
  <c r="AD19" i="1"/>
  <c r="J74" i="1"/>
  <c r="H19" i="17"/>
  <c r="N74" i="1"/>
  <c r="Z33" i="1"/>
  <c r="Z119" i="1"/>
  <c r="BL33" i="1"/>
  <c r="R74" i="1"/>
  <c r="R101" i="1"/>
  <c r="J44" i="17"/>
  <c r="Z32" i="1"/>
  <c r="AD32" i="1" s="1"/>
  <c r="BL32" i="1"/>
  <c r="BL36" i="1"/>
  <c r="BL25" i="1"/>
  <c r="Z25" i="1"/>
  <c r="AD25" i="1" s="1"/>
  <c r="BL40" i="1"/>
  <c r="Z40" i="1"/>
  <c r="AD40" i="1" s="1"/>
  <c r="L31" i="17"/>
  <c r="V82" i="1"/>
  <c r="N87" i="1"/>
  <c r="H37" i="17"/>
  <c r="V33" i="1"/>
  <c r="V119" i="1"/>
  <c r="AD209" i="1"/>
  <c r="D54" i="20"/>
  <c r="R102" i="1"/>
  <c r="J60" i="17" s="1"/>
  <c r="J43" i="17"/>
  <c r="AD20" i="1"/>
  <c r="J73" i="1"/>
  <c r="F18" i="17"/>
  <c r="V92" i="1"/>
  <c r="Z75" i="1"/>
  <c r="N21" i="17"/>
  <c r="D9" i="20"/>
  <c r="AD157" i="1"/>
  <c r="I9" i="20" s="1"/>
  <c r="V98" i="1"/>
  <c r="F22" i="17"/>
  <c r="V78" i="1"/>
  <c r="L25" i="17"/>
  <c r="AD156" i="1"/>
  <c r="I8" i="20" s="1"/>
  <c r="D8" i="20"/>
  <c r="BE30" i="1"/>
  <c r="BH30" i="1"/>
  <c r="BJ30" i="1" s="1"/>
  <c r="J41" i="17"/>
  <c r="H18" i="17"/>
  <c r="N70" i="1"/>
  <c r="N73" i="1"/>
  <c r="D55" i="20"/>
  <c r="AD211" i="1"/>
  <c r="I55" i="20" s="1"/>
  <c r="Z74" i="1"/>
  <c r="R75" i="1"/>
  <c r="J21" i="17"/>
  <c r="R125" i="1"/>
  <c r="R45" i="1"/>
  <c r="AD67" i="1"/>
  <c r="Z99" i="1"/>
  <c r="AD99" i="1" s="1"/>
  <c r="H30" i="17"/>
  <c r="N81" i="1"/>
  <c r="R79" i="1"/>
  <c r="J27" i="17"/>
  <c r="AD26" i="1"/>
  <c r="V113" i="1"/>
  <c r="Z24" i="17"/>
  <c r="V24" i="1"/>
  <c r="BL50" i="1"/>
  <c r="Z50" i="1"/>
  <c r="F30" i="17"/>
  <c r="J81" i="1"/>
  <c r="H27" i="17"/>
  <c r="N79" i="1"/>
  <c r="H39" i="17"/>
  <c r="N89" i="1"/>
  <c r="J59" i="17"/>
  <c r="AD23" i="1"/>
  <c r="X274" i="1"/>
  <c r="J18" i="17"/>
  <c r="R73" i="1"/>
  <c r="BL19" i="1"/>
  <c r="R41" i="1"/>
  <c r="R123" i="1"/>
  <c r="R83" i="1"/>
  <c r="H21" i="17"/>
  <c r="N75" i="1"/>
  <c r="BH45" i="1"/>
  <c r="BJ45" i="1" s="1"/>
  <c r="BE45" i="1"/>
  <c r="AD53" i="1"/>
  <c r="J212" i="1"/>
  <c r="BE65" i="1"/>
  <c r="V65" i="1" s="1"/>
  <c r="BH65" i="1"/>
  <c r="BJ65" i="1" s="1"/>
  <c r="BI56" i="1"/>
  <c r="BJ56" i="1" s="1"/>
  <c r="BE56" i="1"/>
  <c r="V56" i="1" s="1"/>
  <c r="L41" i="17" s="1"/>
  <c r="BL59" i="1"/>
  <c r="Z59" i="1"/>
  <c r="Z98" i="1" s="1"/>
  <c r="F27" i="17"/>
  <c r="J79" i="1"/>
  <c r="D16" i="20"/>
  <c r="AD165" i="1"/>
  <c r="I16" i="20" s="1"/>
  <c r="AD155" i="1"/>
  <c r="I7" i="20" s="1"/>
  <c r="D7" i="20"/>
  <c r="F73" i="17"/>
  <c r="P73" i="17" s="1"/>
  <c r="F57" i="17"/>
  <c r="BE41" i="1"/>
  <c r="BH41" i="1"/>
  <c r="BJ41" i="1" s="1"/>
  <c r="V74" i="1"/>
  <c r="N28" i="17"/>
  <c r="Z80" i="1"/>
  <c r="BL29" i="1"/>
  <c r="Z29" i="1"/>
  <c r="AD29" i="1" s="1"/>
  <c r="F21" i="17"/>
  <c r="J75" i="1"/>
  <c r="H60" i="17"/>
  <c r="AD61" i="1"/>
  <c r="AD44" i="1"/>
  <c r="R76" i="1"/>
  <c r="AD164" i="1"/>
  <c r="I15" i="20" s="1"/>
  <c r="D15" i="20"/>
  <c r="Z42" i="1"/>
  <c r="AD42" i="1" s="1"/>
  <c r="BL42" i="1"/>
  <c r="Z52" i="1"/>
  <c r="BL52" i="1"/>
  <c r="AD163" i="1"/>
  <c r="I14" i="20" s="1"/>
  <c r="D14" i="20"/>
  <c r="BH64" i="1"/>
  <c r="BJ64" i="1" s="1"/>
  <c r="BE64" i="1"/>
  <c r="V64" i="1" s="1"/>
  <c r="AD43" i="1"/>
  <c r="Z88" i="1"/>
  <c r="AD88" i="1" s="1"/>
  <c r="BL68" i="1"/>
  <c r="Z68" i="1"/>
  <c r="J111" i="17"/>
  <c r="P103" i="17"/>
  <c r="Z29" i="19"/>
  <c r="J19" i="19" s="1"/>
  <c r="AD264" i="22"/>
  <c r="J265" i="22"/>
  <c r="J267" i="22"/>
  <c r="J269" i="22" s="1"/>
  <c r="N135" i="1" l="1"/>
  <c r="X139" i="1"/>
  <c r="Z82" i="1"/>
  <c r="R77" i="1"/>
  <c r="J49" i="17" s="1"/>
  <c r="AD30" i="17"/>
  <c r="J30" i="17"/>
  <c r="AD31" i="1"/>
  <c r="AF135" i="1"/>
  <c r="AF139" i="1" s="1"/>
  <c r="X276" i="1"/>
  <c r="X278" i="1"/>
  <c r="AD113" i="1"/>
  <c r="Z100" i="1"/>
  <c r="J31" i="17"/>
  <c r="AD33" i="1"/>
  <c r="J82" i="1"/>
  <c r="F31" i="17"/>
  <c r="F16" i="17" s="1"/>
  <c r="F46" i="17" s="1"/>
  <c r="AD24" i="17"/>
  <c r="AD111" i="1"/>
  <c r="L21" i="17"/>
  <c r="P21" i="17" s="1"/>
  <c r="V75" i="1"/>
  <c r="AD75" i="1" s="1"/>
  <c r="Z76" i="1"/>
  <c r="AD76" i="1" s="1"/>
  <c r="P22" i="17"/>
  <c r="AD122" i="1"/>
  <c r="AD22" i="1"/>
  <c r="AD119" i="1"/>
  <c r="P28" i="17"/>
  <c r="P19" i="17"/>
  <c r="Z27" i="17"/>
  <c r="V115" i="1"/>
  <c r="V27" i="1"/>
  <c r="AD80" i="1"/>
  <c r="R135" i="1"/>
  <c r="Z109" i="1"/>
  <c r="BL18" i="1"/>
  <c r="AB18" i="17"/>
  <c r="Z18" i="1"/>
  <c r="AD95" i="1"/>
  <c r="Z18" i="17"/>
  <c r="V109" i="1"/>
  <c r="V18" i="1"/>
  <c r="R90" i="1"/>
  <c r="Z115" i="1"/>
  <c r="BL27" i="1"/>
  <c r="AB27" i="17"/>
  <c r="Z27" i="1"/>
  <c r="Z49" i="1"/>
  <c r="Z91" i="1" s="1"/>
  <c r="BL49" i="1"/>
  <c r="Z47" i="1"/>
  <c r="Z90" i="1" s="1"/>
  <c r="BL47" i="1"/>
  <c r="Z126" i="1"/>
  <c r="AD55" i="1"/>
  <c r="V126" i="1"/>
  <c r="V47" i="1"/>
  <c r="V90" i="1" s="1"/>
  <c r="AD74" i="1"/>
  <c r="AD180" i="1"/>
  <c r="I29" i="20" s="1"/>
  <c r="D29" i="20"/>
  <c r="R85" i="1"/>
  <c r="J51" i="17" s="1"/>
  <c r="V121" i="1"/>
  <c r="V37" i="1"/>
  <c r="V85" i="1" s="1"/>
  <c r="J186" i="1"/>
  <c r="J214" i="1" s="1"/>
  <c r="V91" i="1"/>
  <c r="AD181" i="1"/>
  <c r="I30" i="20" s="1"/>
  <c r="L26" i="20" s="1"/>
  <c r="D30" i="20"/>
  <c r="Z37" i="1"/>
  <c r="Z85" i="1" s="1"/>
  <c r="BL37" i="1"/>
  <c r="Z121" i="1"/>
  <c r="V86" i="1"/>
  <c r="AD86" i="1" s="1"/>
  <c r="AD39" i="1"/>
  <c r="V101" i="1"/>
  <c r="L61" i="17" s="1"/>
  <c r="L44" i="17"/>
  <c r="J61" i="17"/>
  <c r="J37" i="17"/>
  <c r="R87" i="1"/>
  <c r="J55" i="17" s="1"/>
  <c r="F121" i="17"/>
  <c r="AD98" i="1"/>
  <c r="H33" i="17"/>
  <c r="V117" i="1"/>
  <c r="V30" i="1"/>
  <c r="BL64" i="1"/>
  <c r="Z64" i="1"/>
  <c r="AD64" i="1" s="1"/>
  <c r="V96" i="1"/>
  <c r="Z92" i="1"/>
  <c r="AD50" i="1"/>
  <c r="AD59" i="1"/>
  <c r="Z104" i="1"/>
  <c r="AD104" i="1" s="1"/>
  <c r="AD68" i="1"/>
  <c r="BL56" i="1"/>
  <c r="Z56" i="1"/>
  <c r="Z96" i="1" s="1"/>
  <c r="N106" i="1"/>
  <c r="H49" i="17"/>
  <c r="D57" i="20"/>
  <c r="AD100" i="1"/>
  <c r="AF274" i="1"/>
  <c r="AF276" i="1" s="1"/>
  <c r="V77" i="1"/>
  <c r="L24" i="17"/>
  <c r="P24" i="17" s="1"/>
  <c r="AD24" i="1"/>
  <c r="V83" i="1"/>
  <c r="V102" i="1"/>
  <c r="L43" i="17"/>
  <c r="H16" i="17"/>
  <c r="Z83" i="1"/>
  <c r="BL45" i="1"/>
  <c r="Z45" i="1"/>
  <c r="Z125" i="1"/>
  <c r="Z41" i="1"/>
  <c r="Z87" i="1" s="1"/>
  <c r="Z123" i="1"/>
  <c r="BL41" i="1"/>
  <c r="V41" i="1"/>
  <c r="V123" i="1"/>
  <c r="H55" i="17"/>
  <c r="Z93" i="1"/>
  <c r="Z65" i="1"/>
  <c r="BL65" i="1"/>
  <c r="V45" i="1"/>
  <c r="V125" i="1"/>
  <c r="R70" i="1"/>
  <c r="H57" i="17"/>
  <c r="J39" i="17"/>
  <c r="R89" i="1"/>
  <c r="BL30" i="1"/>
  <c r="Z117" i="1"/>
  <c r="Z30" i="1"/>
  <c r="AD52" i="1"/>
  <c r="I54" i="20"/>
  <c r="AD212" i="1"/>
  <c r="I57" i="20" s="1"/>
  <c r="L34" i="20" s="1"/>
  <c r="N25" i="17"/>
  <c r="Z78" i="1"/>
  <c r="F75" i="17"/>
  <c r="P75" i="17" s="1"/>
  <c r="P19" i="19"/>
  <c r="J273" i="22"/>
  <c r="AD267" i="22"/>
  <c r="AD269" i="22" s="1"/>
  <c r="AD265" i="22"/>
  <c r="AK71" i="22"/>
  <c r="AD77" i="1" l="1"/>
  <c r="J57" i="17"/>
  <c r="J64" i="17" s="1"/>
  <c r="AD82" i="1"/>
  <c r="J16" i="17"/>
  <c r="F49" i="17"/>
  <c r="F64" i="17" s="1"/>
  <c r="J106" i="1"/>
  <c r="J139" i="1" s="1"/>
  <c r="F16" i="19" s="1"/>
  <c r="P31" i="17"/>
  <c r="N37" i="17"/>
  <c r="AD115" i="1"/>
  <c r="AD83" i="1"/>
  <c r="AD27" i="17"/>
  <c r="N40" i="17"/>
  <c r="P40" i="17" s="1"/>
  <c r="J33" i="17"/>
  <c r="AD109" i="1"/>
  <c r="AD37" i="1"/>
  <c r="Z79" i="1"/>
  <c r="N27" i="17"/>
  <c r="L18" i="17"/>
  <c r="V73" i="1"/>
  <c r="AD18" i="1"/>
  <c r="H64" i="17"/>
  <c r="AD85" i="1"/>
  <c r="AD27" i="1"/>
  <c r="L27" i="17"/>
  <c r="V79" i="1"/>
  <c r="Z73" i="1"/>
  <c r="N18" i="17"/>
  <c r="L51" i="17"/>
  <c r="AD41" i="1"/>
  <c r="L35" i="17"/>
  <c r="AD49" i="1"/>
  <c r="AD126" i="1"/>
  <c r="AD18" i="17"/>
  <c r="Z135" i="1"/>
  <c r="R106" i="1"/>
  <c r="R139" i="1" s="1"/>
  <c r="J16" i="19" s="1"/>
  <c r="J22" i="19" s="1"/>
  <c r="AD123" i="1"/>
  <c r="N51" i="17"/>
  <c r="AD56" i="1"/>
  <c r="AD91" i="1"/>
  <c r="L58" i="17"/>
  <c r="AD47" i="1"/>
  <c r="AD125" i="1"/>
  <c r="N35" i="17"/>
  <c r="AD96" i="1"/>
  <c r="AD121" i="1"/>
  <c r="D35" i="20"/>
  <c r="AD186" i="1"/>
  <c r="I35" i="20" s="1"/>
  <c r="AD90" i="1"/>
  <c r="N58" i="17"/>
  <c r="AD93" i="1"/>
  <c r="X284" i="1"/>
  <c r="AF278" i="1"/>
  <c r="N139" i="1"/>
  <c r="H16" i="19" s="1"/>
  <c r="H22" i="19" s="1"/>
  <c r="N137" i="1"/>
  <c r="N274" i="1"/>
  <c r="Z101" i="1"/>
  <c r="N44" i="17"/>
  <c r="P44" i="17" s="1"/>
  <c r="L59" i="17"/>
  <c r="V89" i="1"/>
  <c r="L57" i="17" s="1"/>
  <c r="L39" i="17"/>
  <c r="AD45" i="1"/>
  <c r="V87" i="1"/>
  <c r="L55" i="17" s="1"/>
  <c r="L37" i="17"/>
  <c r="H46" i="17"/>
  <c r="L60" i="17"/>
  <c r="AD78" i="1"/>
  <c r="P25" i="17"/>
  <c r="Z89" i="1"/>
  <c r="N57" i="17" s="1"/>
  <c r="N39" i="17"/>
  <c r="Z102" i="1"/>
  <c r="N60" i="17" s="1"/>
  <c r="N43" i="17"/>
  <c r="P43" i="17" s="1"/>
  <c r="V135" i="1"/>
  <c r="N55" i="17"/>
  <c r="F18" i="19"/>
  <c r="P18" i="19" s="1"/>
  <c r="AD214" i="1"/>
  <c r="D59" i="20"/>
  <c r="N59" i="17"/>
  <c r="AD92" i="1"/>
  <c r="V81" i="1"/>
  <c r="L30" i="17"/>
  <c r="AD30" i="1"/>
  <c r="AD65" i="1"/>
  <c r="Z70" i="1"/>
  <c r="Z81" i="1"/>
  <c r="N30" i="17"/>
  <c r="N41" i="17"/>
  <c r="P41" i="17" s="1"/>
  <c r="AD117" i="1"/>
  <c r="V70" i="1"/>
  <c r="AD273" i="22"/>
  <c r="J275" i="22"/>
  <c r="P37" i="17" l="1"/>
  <c r="J137" i="1"/>
  <c r="J46" i="17"/>
  <c r="J113" i="17" s="1"/>
  <c r="L49" i="17"/>
  <c r="L64" i="17" s="1"/>
  <c r="AD89" i="1"/>
  <c r="L32" i="20"/>
  <c r="N278" i="1"/>
  <c r="N276" i="1"/>
  <c r="P51" i="17"/>
  <c r="N49" i="17"/>
  <c r="P55" i="17"/>
  <c r="P58" i="17"/>
  <c r="AD79" i="1"/>
  <c r="AD87" i="1"/>
  <c r="AD73" i="1"/>
  <c r="R137" i="1"/>
  <c r="R274" i="1"/>
  <c r="P35" i="17"/>
  <c r="N16" i="17"/>
  <c r="AD102" i="1"/>
  <c r="P57" i="17"/>
  <c r="P60" i="17"/>
  <c r="N33" i="17"/>
  <c r="P18" i="17"/>
  <c r="P27" i="17"/>
  <c r="Z106" i="1"/>
  <c r="Z274" i="1" s="1"/>
  <c r="AD101" i="1"/>
  <c r="N61" i="17"/>
  <c r="P61" i="17" s="1"/>
  <c r="F22" i="19"/>
  <c r="P39" i="17"/>
  <c r="L33" i="17"/>
  <c r="AD135" i="1"/>
  <c r="L16" i="17"/>
  <c r="P30" i="17"/>
  <c r="AF284" i="1"/>
  <c r="X286" i="1"/>
  <c r="H113" i="17"/>
  <c r="P59" i="17"/>
  <c r="AD81" i="1"/>
  <c r="V106" i="1"/>
  <c r="V274" i="1" s="1"/>
  <c r="AD70" i="1"/>
  <c r="I59" i="20"/>
  <c r="C2" i="21"/>
  <c r="AD275" i="22"/>
  <c r="AK70" i="22" s="1"/>
  <c r="J265" i="1"/>
  <c r="J272" i="1" s="1"/>
  <c r="P49" i="17" l="1"/>
  <c r="P16" i="17"/>
  <c r="Z278" i="1"/>
  <c r="Z276" i="1"/>
  <c r="V276" i="1"/>
  <c r="V278" i="1"/>
  <c r="R278" i="1"/>
  <c r="R280" i="1" s="1"/>
  <c r="R276" i="1"/>
  <c r="N46" i="17"/>
  <c r="V137" i="1"/>
  <c r="Z137" i="1"/>
  <c r="Z139" i="1"/>
  <c r="N16" i="19" s="1"/>
  <c r="N22" i="19" s="1"/>
  <c r="L46" i="17"/>
  <c r="P33" i="17"/>
  <c r="V139" i="1"/>
  <c r="L16" i="19" s="1"/>
  <c r="AD106" i="1"/>
  <c r="AD139" i="1" s="1"/>
  <c r="A2" i="21" s="1"/>
  <c r="L121" i="17"/>
  <c r="P121" i="17" s="1"/>
  <c r="AF286" i="1"/>
  <c r="N64" i="17"/>
  <c r="N280" i="1"/>
  <c r="H116" i="17"/>
  <c r="N284" i="1"/>
  <c r="AD265" i="1"/>
  <c r="F109" i="17"/>
  <c r="N113" i="17" l="1"/>
  <c r="P46" i="17"/>
  <c r="J116" i="17"/>
  <c r="R284" i="1"/>
  <c r="J115" i="17" s="1"/>
  <c r="J119" i="17" s="1"/>
  <c r="AD137" i="1"/>
  <c r="P64" i="17"/>
  <c r="L113" i="17"/>
  <c r="Z284" i="1"/>
  <c r="N116" i="17"/>
  <c r="H115" i="17"/>
  <c r="H119" i="17" s="1"/>
  <c r="N286" i="1"/>
  <c r="L22" i="19"/>
  <c r="P16" i="19"/>
  <c r="P22" i="19" s="1"/>
  <c r="G2" i="21"/>
  <c r="S121" i="17"/>
  <c r="V284" i="1"/>
  <c r="L116" i="17"/>
  <c r="Z280" i="1"/>
  <c r="V280" i="1"/>
  <c r="P109" i="17"/>
  <c r="F111" i="17"/>
  <c r="AD272" i="1"/>
  <c r="E2" i="21" s="1"/>
  <c r="J274" i="1"/>
  <c r="J278" i="1" s="1"/>
  <c r="R286" i="1" l="1"/>
  <c r="L115" i="17"/>
  <c r="L119" i="17" s="1"/>
  <c r="V286" i="1"/>
  <c r="N115" i="17"/>
  <c r="N119" i="17" s="1"/>
  <c r="Z286" i="1"/>
  <c r="J276" i="1"/>
  <c r="AD274" i="1"/>
  <c r="F113" i="17"/>
  <c r="P113" i="17" s="1"/>
  <c r="P111" i="17"/>
  <c r="J280" i="1" l="1"/>
  <c r="F116" i="17"/>
  <c r="P116" i="17" s="1"/>
  <c r="J284" i="1"/>
  <c r="AD278" i="1"/>
  <c r="J290" i="1" s="1"/>
  <c r="AD276" i="1"/>
  <c r="AK71" i="1"/>
  <c r="S113" i="17"/>
  <c r="AD280" i="1" l="1"/>
  <c r="F115" i="17"/>
  <c r="AD284" i="1"/>
  <c r="J286" i="1"/>
  <c r="AD286" i="1" s="1"/>
  <c r="S119" i="17" l="1"/>
  <c r="AK70" i="1"/>
  <c r="F2" i="21"/>
  <c r="J291" i="1"/>
  <c r="J292" i="1" s="1"/>
  <c r="S115" i="17"/>
  <c r="P115" i="17"/>
  <c r="F119" i="17"/>
  <c r="P11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Quirk, Dari</author>
    <author>Maumenee, Zia</author>
  </authors>
  <commentList>
    <comment ref="AN18" authorId="0" shapeId="0" xr:uid="{ACB36B7B-154B-48FE-AE33-9F2864D7B485}">
      <text>
        <r>
          <rPr>
            <b/>
            <sz val="9"/>
            <color indexed="81"/>
            <rFont val="Tahoma"/>
            <charset val="1"/>
          </rPr>
          <t>Quirk, Dari:</t>
        </r>
        <r>
          <rPr>
            <sz val="9"/>
            <color indexed="81"/>
            <rFont val="Tahoma"/>
            <charset val="1"/>
          </rPr>
          <t xml:space="preserve">
These are the only two cells to enter numbers into to calulate AY salary.</t>
        </r>
      </text>
    </comment>
    <comment ref="AM19" authorId="0" shapeId="0" xr:uid="{D1AEBFF6-4966-47F7-B535-8178B2FEECAB}">
      <text>
        <r>
          <rPr>
            <b/>
            <sz val="9"/>
            <color indexed="81"/>
            <rFont val="Tahoma"/>
            <charset val="1"/>
          </rPr>
          <t>Quirk, Dari:</t>
        </r>
        <r>
          <rPr>
            <sz val="9"/>
            <color indexed="81"/>
            <rFont val="Tahoma"/>
            <charset val="1"/>
          </rPr>
          <t xml:space="preserve">
Enter the number of summer days here</t>
        </r>
      </text>
    </comment>
    <comment ref="D278" authorId="1" shapeId="0" xr:uid="{E0114AAB-0C8C-444B-8AEC-BB7989F6C75A}">
      <text>
        <r>
          <rPr>
            <b/>
            <sz val="9"/>
            <color indexed="81"/>
            <rFont val="Tahoma"/>
            <family val="2"/>
          </rPr>
          <t>Maumenee, Zia:</t>
        </r>
        <r>
          <rPr>
            <sz val="9"/>
            <color indexed="81"/>
            <rFont val="Tahoma"/>
            <family val="2"/>
          </rPr>
          <t xml:space="preserve">
Modified Total Direct Cost is for federal rates utilizing the NICRA. For State rates, use Total Direct Cost.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Quirk, Dari</author>
  </authors>
  <commentList>
    <comment ref="H272" authorId="0" shapeId="0" xr:uid="{98923D50-E7BA-4A0C-9390-05958524B455}">
      <text>
        <r>
          <rPr>
            <b/>
            <sz val="9"/>
            <color indexed="81"/>
            <rFont val="Tahoma"/>
            <charset val="1"/>
          </rPr>
          <t>Quirk, Dari:</t>
        </r>
        <r>
          <rPr>
            <sz val="9"/>
            <color indexed="81"/>
            <rFont val="Tahoma"/>
            <charset val="1"/>
          </rPr>
          <t xml:space="preserve">
Leave at 0.00%</t>
        </r>
      </text>
    </comment>
  </commentList>
</comments>
</file>

<file path=xl/sharedStrings.xml><?xml version="1.0" encoding="utf-8"?>
<sst xmlns="http://schemas.openxmlformats.org/spreadsheetml/2006/main" count="1183" uniqueCount="306">
  <si>
    <t>Year 1</t>
  </si>
  <si>
    <t>Year 2</t>
  </si>
  <si>
    <t>A.</t>
  </si>
  <si>
    <t>Salaries and Wages</t>
  </si>
  <si>
    <t>Total Salaries and Wages</t>
  </si>
  <si>
    <t>B.</t>
  </si>
  <si>
    <t>Fringe Benefits</t>
  </si>
  <si>
    <t>Total Fringe Benefits</t>
  </si>
  <si>
    <t>D.</t>
  </si>
  <si>
    <t>E.</t>
  </si>
  <si>
    <t>Travel</t>
  </si>
  <si>
    <t>F.</t>
  </si>
  <si>
    <t>Other Direct Costs</t>
  </si>
  <si>
    <t>Total Other Direct Costs</t>
  </si>
  <si>
    <t>G.</t>
  </si>
  <si>
    <t>Total Direct Costs</t>
  </si>
  <si>
    <t>H.</t>
  </si>
  <si>
    <t>Total Costs</t>
  </si>
  <si>
    <t>Duration:</t>
  </si>
  <si>
    <t>C.</t>
  </si>
  <si>
    <t xml:space="preserve">Title: </t>
  </si>
  <si>
    <t>Total Travel</t>
  </si>
  <si>
    <t>Year 3</t>
  </si>
  <si>
    <t>Total</t>
  </si>
  <si>
    <t>Labor</t>
  </si>
  <si>
    <t>Other Costs</t>
  </si>
  <si>
    <t>Publication Costs</t>
  </si>
  <si>
    <t>Budget Category</t>
  </si>
  <si>
    <t>International</t>
  </si>
  <si>
    <t>Participant Support</t>
  </si>
  <si>
    <t>Year 4</t>
  </si>
  <si>
    <t>Rate</t>
  </si>
  <si>
    <t>Domestic</t>
  </si>
  <si>
    <t>Stipend</t>
  </si>
  <si>
    <t>Subsistence</t>
  </si>
  <si>
    <t>Other</t>
  </si>
  <si>
    <t>Item 1</t>
  </si>
  <si>
    <t>Item 2</t>
  </si>
  <si>
    <t>Item 3</t>
  </si>
  <si>
    <t>I.</t>
  </si>
  <si>
    <t>MTDC Base</t>
  </si>
  <si>
    <t>Subcontracts</t>
  </si>
  <si>
    <t>Year 5</t>
  </si>
  <si>
    <t>Direct Costs</t>
  </si>
  <si>
    <t>Total Participant Support</t>
  </si>
  <si>
    <t>Materials and Supplies</t>
  </si>
  <si>
    <t>Subtotal Domestic Travel</t>
  </si>
  <si>
    <t>Subtotal International Travel</t>
  </si>
  <si>
    <t>Mileage</t>
  </si>
  <si>
    <t>Item 4</t>
  </si>
  <si>
    <t>Principal Investigator:</t>
  </si>
  <si>
    <t xml:space="preserve">Co-Principal Investigator(s):  </t>
  </si>
  <si>
    <t>Graduate Research Assistant</t>
  </si>
  <si>
    <t>Undergraduate Research Assistant</t>
  </si>
  <si>
    <t>Inflation Rates</t>
  </si>
  <si>
    <t>Tuition</t>
  </si>
  <si>
    <t>Cost Share</t>
  </si>
  <si>
    <t xml:space="preserve">Cost Share </t>
  </si>
  <si>
    <t>Salaries</t>
  </si>
  <si>
    <t>GRA Tuition Rate</t>
  </si>
  <si>
    <t>Base Salary</t>
  </si>
  <si>
    <t>AY/CY/Sum.</t>
  </si>
  <si>
    <t>%</t>
  </si>
  <si>
    <t># Mos.</t>
  </si>
  <si>
    <t>P-Mos.</t>
  </si>
  <si>
    <t>Appt. Mos.</t>
  </si>
  <si>
    <t>Capital Equipment</t>
  </si>
  <si>
    <t>Total Estimate</t>
  </si>
  <si>
    <t>No. Days</t>
  </si>
  <si>
    <t>No. Trips</t>
  </si>
  <si>
    <t>Cost</t>
  </si>
  <si>
    <t>Description</t>
  </si>
  <si>
    <t>Airfare</t>
  </si>
  <si>
    <t>No. Participants</t>
  </si>
  <si>
    <t>Total from OCG Budget:</t>
  </si>
  <si>
    <t>Yr 1</t>
  </si>
  <si>
    <t>Yr 2</t>
  </si>
  <si>
    <t>Yr 3</t>
  </si>
  <si>
    <t>Yr 4</t>
  </si>
  <si>
    <t>Yr 5</t>
  </si>
  <si>
    <t>Person Mos.</t>
  </si>
  <si>
    <t>No. People</t>
  </si>
  <si>
    <t>Ground Transportation</t>
  </si>
  <si>
    <t>CY</t>
  </si>
  <si>
    <t>AY</t>
  </si>
  <si>
    <t>Summer</t>
  </si>
  <si>
    <t>MTDC</t>
  </si>
  <si>
    <t>TDC</t>
  </si>
  <si>
    <t xml:space="preserve">Co-PI: </t>
  </si>
  <si>
    <t>Research Associate:</t>
  </si>
  <si>
    <t>Senior Personnel:</t>
  </si>
  <si>
    <t>Administrative Assistant:</t>
  </si>
  <si>
    <t>No. Budget Periods:</t>
  </si>
  <si>
    <t>Computers</t>
  </si>
  <si>
    <t xml:space="preserve">       *update MTDC formula as applicable for each year if subaward costs are less than $25,000 in Year 1</t>
  </si>
  <si>
    <t>On Campus: MTDC Base</t>
  </si>
  <si>
    <t>No. Miles</t>
  </si>
  <si>
    <t>Monitors, cords, speakers, etc.</t>
  </si>
  <si>
    <t>Total Capital Equipment</t>
  </si>
  <si>
    <t>OEP P/T (14.8% FB Rate)</t>
  </si>
  <si>
    <t>Facilities and Administration (F&amp;A) Costs</t>
  </si>
  <si>
    <t>F&amp;A Base:</t>
  </si>
  <si>
    <t>F&amp;A Costs</t>
  </si>
  <si>
    <t>Total Direct Costs less Sub F&amp;A (for NIH)</t>
  </si>
  <si>
    <t>A. Salaries and Wages</t>
  </si>
  <si>
    <t>C. Capital Equipment</t>
  </si>
  <si>
    <t xml:space="preserve">D. Travel  </t>
  </si>
  <si>
    <t>Senior/Key Personnel</t>
  </si>
  <si>
    <t>Other Personnel</t>
  </si>
  <si>
    <t>E. Participant Support</t>
  </si>
  <si>
    <t>F. Other Direct Costs</t>
  </si>
  <si>
    <t>Estimation Tab Total</t>
  </si>
  <si>
    <t>G. Total Direct Costs</t>
  </si>
  <si>
    <t>H. Total F&amp;A (Indirect) Costs</t>
  </si>
  <si>
    <t>I. Total Funds Requested</t>
  </si>
  <si>
    <r>
      <t xml:space="preserve">              </t>
    </r>
    <r>
      <rPr>
        <b/>
        <sz val="12"/>
        <rFont val="Arial Black"/>
        <family val="2"/>
      </rPr>
      <t xml:space="preserve"> PROPOSED BUDGET</t>
    </r>
  </si>
  <si>
    <t>Date Prepared:</t>
  </si>
  <si>
    <t>Person-Months Table</t>
  </si>
  <si>
    <t>Category</t>
  </si>
  <si>
    <t>F&amp;A Rate:</t>
  </si>
  <si>
    <t>Yes</t>
  </si>
  <si>
    <t>No</t>
  </si>
  <si>
    <t>Total Other Costs*:</t>
  </si>
  <si>
    <t>MTDC Base Other Direct Costs**:</t>
  </si>
  <si>
    <t>Other F&amp;A Base for Other Direct Costs:</t>
  </si>
  <si>
    <t xml:space="preserve">   *All other costs, excluding labor, capital equipment, travel and subcontracts</t>
  </si>
  <si>
    <t xml:space="preserve">   **Total Other Costs less tuition and participant support</t>
  </si>
  <si>
    <t>Note: Update Subcontracts formula as applicable for each year if subaward costs are less than $25,000 in Year 1</t>
  </si>
  <si>
    <t>J.</t>
  </si>
  <si>
    <t>Professional Research Assistant</t>
  </si>
  <si>
    <t>IDC Exclusions</t>
  </si>
  <si>
    <t>Budget Total:</t>
  </si>
  <si>
    <t>Lab Supplies</t>
  </si>
  <si>
    <t>Off-site Facility Rental (F&amp;A Exempt)</t>
  </si>
  <si>
    <t>Tuition Remission (F&amp;A Exempt)</t>
  </si>
  <si>
    <t>Pre/Post Doctoral Stipend</t>
  </si>
  <si>
    <t>Cost/ Person</t>
  </si>
  <si>
    <t># Days</t>
  </si>
  <si>
    <t>Copy and paste into your budget justification Travel section.</t>
  </si>
  <si>
    <t># Miles</t>
  </si>
  <si>
    <t>The travel table is provided for easy transfer of travel details to a budget justification. Travel cost details are required by NSF and may be required by other sponsors.</t>
  </si>
  <si>
    <t>Formatting should be appropriate for an NSF budget justification.</t>
  </si>
  <si>
    <t xml:space="preserve">Sponsor:  </t>
  </si>
  <si>
    <t xml:space="preserve">               INTERNAL BUDGET</t>
  </si>
  <si>
    <t># GRAs</t>
  </si>
  <si>
    <t># Semesters</t>
  </si>
  <si>
    <t>Predetermined for the period 7/1/21-6/30/22:</t>
  </si>
  <si>
    <t>Provisional thereafter per HHS agreement dated 3/6/2020.</t>
  </si>
  <si>
    <t>Subrecipients</t>
  </si>
  <si>
    <t>Subaward 1 [enter recipient]</t>
  </si>
  <si>
    <t>Subaward 2 [enter recipient]</t>
  </si>
  <si>
    <t>Subaward 3 [enter recipient]</t>
  </si>
  <si>
    <t>Contract Services</t>
  </si>
  <si>
    <t>Name of contractor/consultant</t>
  </si>
  <si>
    <t>UM Proposal Number:</t>
  </si>
  <si>
    <t xml:space="preserve">OSP Preaward Specialist: </t>
  </si>
  <si>
    <t>Source</t>
  </si>
  <si>
    <t>Total Health Insurance</t>
  </si>
  <si>
    <t>Health Insurance</t>
  </si>
  <si>
    <t>Total Salaries/Wages, Fringe Benefits, Health Insurance</t>
  </si>
  <si>
    <t>Project Period:</t>
  </si>
  <si>
    <t>Travel Table Instructions</t>
  </si>
  <si>
    <t>Travel costs will autopopulate in the table.</t>
  </si>
  <si>
    <t>To transfer details to a budget justification,hide any unused rows and/or columns.</t>
  </si>
  <si>
    <r>
      <rPr>
        <b/>
        <sz val="12"/>
        <color theme="5" tint="-0.499984740745262"/>
        <rFont val="Times New Roman"/>
        <family val="1"/>
      </rPr>
      <t>**FAQ:</t>
    </r>
    <r>
      <rPr>
        <sz val="12"/>
        <color theme="5" tint="-0.499984740745262"/>
        <rFont val="Times New Roman"/>
        <family val="1"/>
      </rPr>
      <t xml:space="preserve"> How do I "hide" rows or columns?</t>
    </r>
    <r>
      <rPr>
        <b/>
        <sz val="12"/>
        <color theme="5" tint="-0.499984740745262"/>
        <rFont val="Times New Roman"/>
        <family val="1"/>
      </rPr>
      <t xml:space="preserve">A: </t>
    </r>
    <r>
      <rPr>
        <sz val="12"/>
        <color theme="5" tint="-0.499984740745262"/>
        <rFont val="Times New Roman"/>
        <family val="1"/>
      </rPr>
      <t xml:space="preserve">Click on the number of the row/column you would like to start at, hold </t>
    </r>
    <r>
      <rPr>
        <b/>
        <sz val="12"/>
        <color theme="5" tint="-0.499984740745262"/>
        <rFont val="Times New Roman"/>
        <family val="1"/>
      </rPr>
      <t>shift</t>
    </r>
    <r>
      <rPr>
        <sz val="12"/>
        <color theme="5" tint="-0.499984740745262"/>
        <rFont val="Times New Roman"/>
        <family val="1"/>
      </rPr>
      <t xml:space="preserve">, then click the row/column number you will end with. Once your chosen rows or columns are highlighted, </t>
    </r>
    <r>
      <rPr>
        <b/>
        <sz val="12"/>
        <color theme="5" tint="-0.499984740745262"/>
        <rFont val="Times New Roman"/>
        <family val="1"/>
      </rPr>
      <t>right click</t>
    </r>
    <r>
      <rPr>
        <sz val="12"/>
        <color theme="5" tint="-0.499984740745262"/>
        <rFont val="Times New Roman"/>
        <family val="1"/>
      </rPr>
      <t xml:space="preserve"> and choose </t>
    </r>
    <r>
      <rPr>
        <b/>
        <sz val="12"/>
        <color theme="5" tint="-0.499984740745262"/>
        <rFont val="Times New Roman"/>
        <family val="1"/>
      </rPr>
      <t>"Hide."</t>
    </r>
  </si>
  <si>
    <t xml:space="preserve">UM Proposal No. </t>
  </si>
  <si>
    <t>B. Fringe Benefits and Health Insurance</t>
  </si>
  <si>
    <t>Faculty, Academic Year</t>
  </si>
  <si>
    <t>Faculty, Fiscal Year</t>
  </si>
  <si>
    <t>Research Associate LOA</t>
  </si>
  <si>
    <t>Post Doc Assoc LOA</t>
  </si>
  <si>
    <t>Senior Personnel LOA</t>
  </si>
  <si>
    <t>Sum. days</t>
  </si>
  <si>
    <t>Lodging (DoS rate)</t>
  </si>
  <si>
    <t>Conference Registration</t>
  </si>
  <si>
    <t>Sum. Days</t>
  </si>
  <si>
    <t>FTE &lt; 1?</t>
  </si>
  <si>
    <t>Postage and Mailing</t>
  </si>
  <si>
    <t>Animal Per Diem</t>
  </si>
  <si>
    <t>Meals Per Diem (UM rate)</t>
  </si>
  <si>
    <t>Hourly Student Summer</t>
  </si>
  <si>
    <t>Hourly Student AY</t>
  </si>
  <si>
    <t>Research Associate AY</t>
  </si>
  <si>
    <t>Hourly Temp Employee</t>
  </si>
  <si>
    <t>No. Vehicles</t>
  </si>
  <si>
    <t>Small Equipment (&lt;$5k)</t>
  </si>
  <si>
    <t>Field Research Equipment (&lt;$5k)</t>
  </si>
  <si>
    <t>Conference Costs (Um conf., non-regist.)</t>
  </si>
  <si>
    <t>Hourly rate</t>
  </si>
  <si>
    <t>Hours</t>
  </si>
  <si>
    <t>GRA AY</t>
  </si>
  <si>
    <t>GRA Summer</t>
  </si>
  <si>
    <t>UM Proposal Number</t>
  </si>
  <si>
    <t>`</t>
  </si>
  <si>
    <t>Per Diem (DoS/UM rate)</t>
  </si>
  <si>
    <t>Incidentals</t>
  </si>
  <si>
    <t>63199 - Capital Equipment</t>
  </si>
  <si>
    <t>62199 - Contract Services</t>
  </si>
  <si>
    <t>62299 - Supplies</t>
  </si>
  <si>
    <t>62214 - Printing</t>
  </si>
  <si>
    <t>62293 - Publication</t>
  </si>
  <si>
    <t>62399 - Communications</t>
  </si>
  <si>
    <t>62599 - Rent</t>
  </si>
  <si>
    <t>62699 - Utilities</t>
  </si>
  <si>
    <t>62799 - Repairs &amp; Maintenance</t>
  </si>
  <si>
    <t>62809 - Education Training Costs</t>
  </si>
  <si>
    <t>62812 - Allowances/Stipends</t>
  </si>
  <si>
    <t>62817 - Meeting Costs</t>
  </si>
  <si>
    <t>62868A - Human Subjects Payments</t>
  </si>
  <si>
    <t>62828 - Scholarship/fellowships</t>
  </si>
  <si>
    <t>62147 - Subawards</t>
  </si>
  <si>
    <t>Communications</t>
  </si>
  <si>
    <t>TDC Total:</t>
  </si>
  <si>
    <t xml:space="preserve"> </t>
  </si>
  <si>
    <t>AY days</t>
  </si>
  <si>
    <t>Summer Days</t>
  </si>
  <si>
    <t>AY Fac Appt Mos</t>
  </si>
  <si>
    <t>FY Emp Appt Mos</t>
  </si>
  <si>
    <t>Human Subjects payments</t>
  </si>
  <si>
    <t>research_team</t>
  </si>
  <si>
    <t>equipment</t>
  </si>
  <si>
    <t>travel</t>
  </si>
  <si>
    <t>participant_support</t>
  </si>
  <si>
    <t>other_direct</t>
  </si>
  <si>
    <t>F&amp;A</t>
  </si>
  <si>
    <t>internal_share</t>
  </si>
  <si>
    <t>external_share</t>
  </si>
  <si>
    <t>Days in Month</t>
  </si>
  <si>
    <t>Shipping Costs</t>
  </si>
  <si>
    <t>Salary Basis</t>
  </si>
  <si>
    <t># Subs &gt;=$25k Yr1:</t>
  </si>
  <si>
    <t>62499 - Domestic Travel</t>
  </si>
  <si>
    <t>62426 - International Travel</t>
  </si>
  <si>
    <t>62812 - Participant Stipend</t>
  </si>
  <si>
    <t>62868 - Participant Support Cost Form</t>
  </si>
  <si>
    <t>TBD - Other</t>
  </si>
  <si>
    <t>62499 - Part. Travel and Subsistence</t>
  </si>
  <si>
    <t>62208A - Animal Per Diem</t>
  </si>
  <si>
    <t>62426 - Pert. Foreign Travel and Subsistence</t>
  </si>
  <si>
    <t>62822 - Shipping Costs</t>
  </si>
  <si>
    <t>62801 - Dues</t>
  </si>
  <si>
    <t>62802 - Subscriptions</t>
  </si>
  <si>
    <t>62810 - Relocation</t>
  </si>
  <si>
    <t>62814 - Credit Reporting Fees (Cont. Educ)</t>
  </si>
  <si>
    <t>62815 - Recruiting</t>
  </si>
  <si>
    <t>62823 - Licenses</t>
  </si>
  <si>
    <t>62852 - Bank Svc Chg (wire fees only)</t>
  </si>
  <si>
    <t>Total Fringe Benefits, Health Insurance</t>
  </si>
  <si>
    <t>Subaward 4 [enter recipient]</t>
  </si>
  <si>
    <t>Subaward 5 [enter recipient]</t>
  </si>
  <si>
    <t>Subaward 6 [enter recipient]</t>
  </si>
  <si>
    <t>personmonths=output from personmonths table—column AP year 1</t>
  </si>
  <si>
    <t>*Manual H.I.</t>
  </si>
  <si>
    <t>Classified Staff</t>
  </si>
  <si>
    <t>*FTE&lt;1=(HIpermonthcost)*(personmonths)/(FTE)*(escalation)</t>
  </si>
  <si>
    <t>Subtotal Subawards</t>
  </si>
  <si>
    <t>Lodging (GSA) + 10% tax</t>
  </si>
  <si>
    <t>Extra Comp or MT Teachers</t>
  </si>
  <si>
    <t>Extra comp or MT Teachers</t>
  </si>
  <si>
    <t>010323</t>
  </si>
  <si>
    <t>DMS Plan (NIH only) Pre populates from DMS tab</t>
  </si>
  <si>
    <t>check with DMS tab</t>
  </si>
  <si>
    <t>H.I.: Project start on/after 12/1/23</t>
  </si>
  <si>
    <t>F.B.: Project start on/after 7/1/24</t>
  </si>
  <si>
    <t>Sal.: Project start on/after 7/1/24</t>
  </si>
  <si>
    <t>3.5% COLA for salaries will automatically be calculated on all years if you select "yes" in AK13. It will be calculated in out years 2-5 if you say "no" to AK13. Ask your PDA for budget justification language for the COLA.</t>
  </si>
  <si>
    <t>https://sharing.nih.gov/data-management-and-sharing-policy</t>
  </si>
  <si>
    <t>.5 = FTE &lt; 1 ?</t>
  </si>
  <si>
    <t>Enter FTE</t>
  </si>
  <si>
    <t>Total Direct Costs less Sub F&amp;A (for NIH modular budgets)</t>
  </si>
  <si>
    <t>Populates from DMS Calcuations sheet</t>
  </si>
  <si>
    <t>DMS Plan (NIH only) Populates from DMS tab</t>
  </si>
  <si>
    <t>This row assists with determining the number of modules for NIH modular budgets.</t>
  </si>
  <si>
    <t>To confirm F&amp;A rate: review RFP, master agreement, sponsor guidelines, and OSP website.</t>
  </si>
  <si>
    <t>Data Management and Sharing (DMS) Plan Calculations</t>
  </si>
  <si>
    <t>Do not enter an F&amp;A rate here - leave it as 0.00% - this will be captured on the Estimation sheet.</t>
  </si>
  <si>
    <t>Y/N Dropdown</t>
  </si>
  <si>
    <t>F&amp;A Waiver Calculation</t>
  </si>
  <si>
    <t>Dollar amount for waiver</t>
  </si>
  <si>
    <t>GeoBlue Insurance</t>
  </si>
  <si>
    <t>GRA Mandatory Health Insurance (F&amp;A exempt)</t>
  </si>
  <si>
    <t>Full F&amp;A rate without waiver</t>
  </si>
  <si>
    <t>F&amp;A rate to be used with approved F&amp;A waiver</t>
  </si>
  <si>
    <t>Name of Contractor</t>
  </si>
  <si>
    <t>Budgeted at $2,232 per semester</t>
  </si>
  <si>
    <t>Predetermined for the period 7/1/23-6/30/27:</t>
  </si>
  <si>
    <t>Total Subaward F&amp;A</t>
  </si>
  <si>
    <t>Total in this row cannot exceed $25,000 over the entire project period</t>
  </si>
  <si>
    <t>First $25,000</t>
  </si>
  <si>
    <t>Over $25,000</t>
  </si>
  <si>
    <t>070125</t>
  </si>
  <si>
    <t>62199 - Contract/Consulting Services</t>
  </si>
  <si>
    <t>62828 - Scholarship/Fellowships</t>
  </si>
  <si>
    <t>F&amp;A calculation - still include F&amp;A above</t>
  </si>
  <si>
    <t>Subrecipients (If more than 6, contact OSP for assistance.)</t>
  </si>
  <si>
    <t>Provisional thereafter per HHS agreement dated 7/1/2023</t>
  </si>
  <si>
    <t>Registration fees</t>
  </si>
  <si>
    <t>Gas</t>
  </si>
  <si>
    <t>Use the TA/RA rates for Tuition Remission costs</t>
  </si>
  <si>
    <t xml:space="preserve">https://www.umt.edu/business-services/students/tuition-and-fees/default.php </t>
  </si>
  <si>
    <t xml:space="preserve">https://www.umt.edu/sponsored-programs/propdev/farate.php </t>
  </si>
  <si>
    <t xml:space="preserve">https://www.umt.edu/curry-health-center/insurance/student-insurance-page.php </t>
  </si>
  <si>
    <t>H.I.: Project start on/after 7/1/26?</t>
  </si>
  <si>
    <t>F.B.: Project start on/after 7/1/26?</t>
  </si>
  <si>
    <t>Sal.: Project start on/after 7/1/26?</t>
  </si>
  <si>
    <t>Template Updated 7/2/2025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</si>
</sst>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&quot;$&quot;#,##0"/>
    <numFmt numFmtId="167" formatCode="0.0%"/>
    <numFmt numFmtId="168" formatCode="_(&quot;$&quot;* #,##0_);_(&quot;$&quot;* \(#,##0\);_(&quot;$&quot;* &quot;-&quot;??_);_(@_)"/>
  </numFmts>
  <fonts count="50" x14ac:knownFonts="1">
    <font>
      <sz val="12"/>
      <name val="Time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sz val="12"/>
      <name val="Arial Black"/>
      <family val="2"/>
    </font>
    <font>
      <i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sz val="12"/>
      <name val="Times"/>
    </font>
    <font>
      <sz val="11"/>
      <name val="Times"/>
    </font>
    <font>
      <sz val="12"/>
      <color theme="1"/>
      <name val="Times New Roman"/>
      <family val="1"/>
    </font>
    <font>
      <b/>
      <sz val="11"/>
      <name val="Times"/>
    </font>
    <font>
      <i/>
      <sz val="12"/>
      <color theme="1"/>
      <name val="Times New Roman"/>
      <family val="1"/>
    </font>
    <font>
      <b/>
      <sz val="12"/>
      <color rgb="FF3333FF"/>
      <name val="Times"/>
    </font>
    <font>
      <i/>
      <sz val="12"/>
      <color rgb="FF3333FF"/>
      <name val="Times"/>
    </font>
    <font>
      <i/>
      <sz val="11"/>
      <name val="Times"/>
    </font>
    <font>
      <b/>
      <sz val="12"/>
      <color theme="5" tint="-0.499984740745262"/>
      <name val="Times"/>
    </font>
    <font>
      <sz val="12"/>
      <color theme="5" tint="-0.499984740745262"/>
      <name val="Times"/>
    </font>
    <font>
      <sz val="12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1"/>
      <color theme="0" tint="-0.249977111117893"/>
      <name val="Calibri"/>
      <family val="2"/>
      <scheme val="minor"/>
    </font>
    <font>
      <sz val="12"/>
      <color theme="0" tint="-0.249977111117893"/>
      <name val="Times"/>
    </font>
    <font>
      <u/>
      <sz val="12"/>
      <color theme="10"/>
      <name val="Times"/>
    </font>
    <font>
      <sz val="11"/>
      <color theme="0" tint="-0.14999847407452621"/>
      <name val="Calibri"/>
      <family val="2"/>
      <scheme val="minor"/>
    </font>
    <font>
      <sz val="12"/>
      <color theme="0"/>
      <name val="Times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0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425">
    <xf numFmtId="0" fontId="0" fillId="0" borderId="0" xfId="0"/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3" fontId="6" fillId="0" borderId="0" xfId="0" applyNumberFormat="1" applyFont="1"/>
    <xf numFmtId="3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3" fontId="12" fillId="0" borderId="0" xfId="0" applyNumberFormat="1" applyFont="1"/>
    <xf numFmtId="0" fontId="7" fillId="0" borderId="0" xfId="0" applyFont="1"/>
    <xf numFmtId="3" fontId="4" fillId="2" borderId="0" xfId="0" applyNumberFormat="1" applyFont="1" applyFill="1" applyAlignmen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3" fontId="4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wrapText="1"/>
    </xf>
    <xf numFmtId="3" fontId="4" fillId="0" borderId="0" xfId="0" applyNumberFormat="1" applyFont="1"/>
    <xf numFmtId="0" fontId="4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3" fontId="4" fillId="0" borderId="2" xfId="0" applyNumberFormat="1" applyFont="1" applyBorder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3" fontId="18" fillId="0" borderId="0" xfId="0" applyNumberFormat="1" applyFont="1"/>
    <xf numFmtId="42" fontId="4" fillId="0" borderId="0" xfId="0" applyNumberFormat="1" applyFont="1" applyProtection="1">
      <protection locked="0"/>
    </xf>
    <xf numFmtId="41" fontId="4" fillId="0" borderId="0" xfId="0" applyNumberFormat="1" applyFont="1" applyAlignment="1" applyProtection="1">
      <alignment horizontal="right"/>
      <protection locked="0"/>
    </xf>
    <xf numFmtId="41" fontId="4" fillId="0" borderId="0" xfId="0" applyNumberFormat="1" applyFont="1" applyProtection="1">
      <protection locked="0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left"/>
    </xf>
    <xf numFmtId="3" fontId="5" fillId="0" borderId="0" xfId="0" applyNumberFormat="1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65" fontId="9" fillId="0" borderId="0" xfId="0" applyNumberFormat="1" applyFont="1" applyAlignment="1" applyProtection="1">
      <alignment horizontal="center" wrapText="1"/>
      <protection locked="0"/>
    </xf>
    <xf numFmtId="165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3" fontId="4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2" fontId="4" fillId="0" borderId="0" xfId="0" applyNumberFormat="1" applyFont="1" applyProtection="1">
      <protection locked="0"/>
    </xf>
    <xf numFmtId="166" fontId="4" fillId="0" borderId="0" xfId="0" applyNumberFormat="1" applyFont="1"/>
    <xf numFmtId="0" fontId="14" fillId="0" borderId="0" xfId="1" applyFont="1" applyAlignment="1">
      <alignment horizontal="left" vertical="top"/>
    </xf>
    <xf numFmtId="0" fontId="4" fillId="0" borderId="0" xfId="1" applyFont="1" applyAlignment="1">
      <alignment horizontal="right" vertical="top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3" fontId="4" fillId="0" borderId="2" xfId="0" applyNumberFormat="1" applyFont="1" applyBorder="1"/>
    <xf numFmtId="0" fontId="9" fillId="2" borderId="2" xfId="0" applyFont="1" applyFill="1" applyBorder="1" applyAlignment="1">
      <alignment horizontal="center" wrapText="1"/>
    </xf>
    <xf numFmtId="0" fontId="4" fillId="0" borderId="0" xfId="1" applyFont="1" applyAlignment="1">
      <alignment horizontal="left" vertical="top" inden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 applyProtection="1">
      <alignment horizontal="right"/>
      <protection locked="0"/>
    </xf>
    <xf numFmtId="0" fontId="6" fillId="0" borderId="0" xfId="0" applyFont="1"/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5" fillId="0" borderId="0" xfId="0" applyNumberFormat="1" applyFont="1" applyProtection="1">
      <protection locked="0"/>
    </xf>
    <xf numFmtId="0" fontId="5" fillId="0" borderId="0" xfId="0" applyFont="1" applyAlignment="1">
      <alignment horizontal="left" vertical="center" indent="1"/>
    </xf>
    <xf numFmtId="0" fontId="5" fillId="0" borderId="0" xfId="1" applyFont="1" applyAlignment="1">
      <alignment horizontal="right" vertical="top"/>
    </xf>
    <xf numFmtId="10" fontId="4" fillId="0" borderId="0" xfId="1" applyNumberFormat="1" applyFont="1" applyAlignment="1">
      <alignment horizontal="left" vertical="top" indent="2"/>
    </xf>
    <xf numFmtId="3" fontId="6" fillId="0" borderId="0" xfId="0" applyNumberFormat="1" applyFont="1" applyAlignment="1">
      <alignment horizontal="left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/>
    </xf>
    <xf numFmtId="42" fontId="4" fillId="0" borderId="0" xfId="0" applyNumberFormat="1" applyFont="1"/>
    <xf numFmtId="0" fontId="4" fillId="2" borderId="0" xfId="0" applyFont="1" applyFill="1"/>
    <xf numFmtId="3" fontId="6" fillId="2" borderId="0" xfId="0" applyNumberFormat="1" applyFont="1" applyFill="1" applyAlignment="1">
      <alignment horizontal="center"/>
    </xf>
    <xf numFmtId="41" fontId="4" fillId="2" borderId="0" xfId="0" applyNumberFormat="1" applyFont="1" applyFill="1" applyAlignment="1" applyProtection="1">
      <alignment horizontal="right"/>
      <protection locked="0"/>
    </xf>
    <xf numFmtId="41" fontId="4" fillId="2" borderId="0" xfId="0" applyNumberFormat="1" applyFont="1" applyFill="1" applyProtection="1">
      <protection locked="0"/>
    </xf>
    <xf numFmtId="10" fontId="18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3" fontId="4" fillId="0" borderId="1" xfId="0" applyNumberFormat="1" applyFont="1" applyBorder="1"/>
    <xf numFmtId="3" fontId="6" fillId="0" borderId="1" xfId="0" applyNumberFormat="1" applyFont="1" applyBorder="1"/>
    <xf numFmtId="41" fontId="4" fillId="0" borderId="1" xfId="0" applyNumberFormat="1" applyFont="1" applyBorder="1" applyProtection="1">
      <protection locked="0"/>
    </xf>
    <xf numFmtId="41" fontId="4" fillId="2" borderId="1" xfId="0" applyNumberFormat="1" applyFont="1" applyFill="1" applyBorder="1" applyProtection="1">
      <protection locked="0"/>
    </xf>
    <xf numFmtId="42" fontId="4" fillId="0" borderId="1" xfId="0" applyNumberFormat="1" applyFont="1" applyBorder="1"/>
    <xf numFmtId="3" fontId="4" fillId="0" borderId="0" xfId="0" applyNumberFormat="1" applyFont="1" applyProtection="1">
      <protection locked="0"/>
    </xf>
    <xf numFmtId="0" fontId="18" fillId="0" borderId="0" xfId="0" applyFont="1"/>
    <xf numFmtId="0" fontId="9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18" fillId="0" borderId="2" xfId="0" applyNumberFormat="1" applyFont="1" applyBorder="1" applyAlignment="1">
      <alignment vertical="center"/>
    </xf>
    <xf numFmtId="0" fontId="24" fillId="0" borderId="1" xfId="0" applyFont="1" applyBorder="1"/>
    <xf numFmtId="0" fontId="26" fillId="0" borderId="0" xfId="0" applyFont="1" applyAlignment="1">
      <alignment horizontal="left"/>
    </xf>
    <xf numFmtId="168" fontId="26" fillId="0" borderId="0" xfId="8" applyNumberFormat="1" applyFont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6" fillId="0" borderId="5" xfId="7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wrapText="1"/>
    </xf>
    <xf numFmtId="0" fontId="26" fillId="0" borderId="5" xfId="7" applyNumberFormat="1" applyFont="1" applyBorder="1" applyAlignment="1">
      <alignment vertical="center" wrapText="1"/>
    </xf>
    <xf numFmtId="0" fontId="26" fillId="4" borderId="6" xfId="7" applyNumberFormat="1" applyFont="1" applyFill="1" applyBorder="1" applyAlignment="1">
      <alignment vertical="center"/>
    </xf>
    <xf numFmtId="0" fontId="26" fillId="4" borderId="3" xfId="7" applyNumberFormat="1" applyFont="1" applyFill="1" applyBorder="1" applyAlignment="1">
      <alignment vertical="center"/>
    </xf>
    <xf numFmtId="0" fontId="26" fillId="4" borderId="8" xfId="7" applyNumberFormat="1" applyFont="1" applyFill="1" applyBorder="1" applyAlignment="1">
      <alignment vertical="center"/>
    </xf>
    <xf numFmtId="0" fontId="26" fillId="0" borderId="0" xfId="8" applyNumberFormat="1" applyFont="1" applyAlignment="1">
      <alignment horizontal="right"/>
    </xf>
    <xf numFmtId="3" fontId="26" fillId="0" borderId="5" xfId="7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166" fontId="26" fillId="0" borderId="5" xfId="7" applyNumberFormat="1" applyFont="1" applyBorder="1" applyAlignment="1">
      <alignment vertical="center"/>
    </xf>
    <xf numFmtId="164" fontId="26" fillId="0" borderId="5" xfId="7" applyNumberFormat="1" applyFont="1" applyBorder="1" applyAlignment="1">
      <alignment vertical="center"/>
    </xf>
    <xf numFmtId="166" fontId="28" fillId="0" borderId="5" xfId="7" applyNumberFormat="1" applyFont="1" applyBorder="1" applyAlignment="1">
      <alignment vertical="center"/>
    </xf>
    <xf numFmtId="5" fontId="26" fillId="0" borderId="5" xfId="7" applyNumberFormat="1" applyFont="1" applyBorder="1" applyAlignment="1">
      <alignment vertical="center"/>
    </xf>
    <xf numFmtId="0" fontId="28" fillId="0" borderId="5" xfId="7" applyNumberFormat="1" applyFont="1" applyBorder="1" applyAlignment="1">
      <alignment horizontal="left"/>
    </xf>
    <xf numFmtId="0" fontId="28" fillId="0" borderId="5" xfId="7" applyNumberFormat="1" applyFont="1" applyBorder="1" applyAlignment="1">
      <alignment horizontal="center" wrapText="1"/>
    </xf>
    <xf numFmtId="3" fontId="28" fillId="0" borderId="5" xfId="7" applyNumberFormat="1" applyFont="1" applyBorder="1" applyAlignment="1">
      <alignment horizontal="center"/>
    </xf>
    <xf numFmtId="0" fontId="28" fillId="0" borderId="5" xfId="7" applyNumberFormat="1" applyFont="1" applyBorder="1" applyAlignment="1">
      <alignment horizontal="center"/>
    </xf>
    <xf numFmtId="0" fontId="28" fillId="0" borderId="5" xfId="7" applyNumberFormat="1" applyFont="1" applyBorder="1" applyAlignment="1"/>
    <xf numFmtId="0" fontId="28" fillId="0" borderId="5" xfId="7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vertical="top" wrapText="1"/>
    </xf>
    <xf numFmtId="3" fontId="5" fillId="4" borderId="0" xfId="0" applyNumberFormat="1" applyFont="1" applyFill="1" applyProtection="1">
      <protection locked="0"/>
    </xf>
    <xf numFmtId="2" fontId="5" fillId="4" borderId="0" xfId="0" applyNumberFormat="1" applyFont="1" applyFill="1" applyAlignment="1" applyProtection="1">
      <alignment horizontal="right"/>
      <protection locked="0"/>
    </xf>
    <xf numFmtId="3" fontId="5" fillId="4" borderId="0" xfId="0" applyNumberFormat="1" applyFont="1" applyFill="1" applyAlignment="1" applyProtection="1">
      <alignment horizontal="center"/>
      <protection locked="0"/>
    </xf>
    <xf numFmtId="10" fontId="4" fillId="4" borderId="0" xfId="0" applyNumberFormat="1" applyFont="1" applyFill="1" applyProtection="1">
      <protection locked="0"/>
    </xf>
    <xf numFmtId="2" fontId="4" fillId="4" borderId="0" xfId="0" applyNumberFormat="1" applyFont="1" applyFill="1" applyProtection="1">
      <protection locked="0"/>
    </xf>
    <xf numFmtId="0" fontId="6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wrapText="1"/>
    </xf>
    <xf numFmtId="3" fontId="6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3" fontId="6" fillId="5" borderId="3" xfId="0" applyNumberFormat="1" applyFont="1" applyFill="1" applyBorder="1" applyAlignment="1">
      <alignment vertical="center"/>
    </xf>
    <xf numFmtId="3" fontId="4" fillId="5" borderId="3" xfId="0" applyNumberFormat="1" applyFont="1" applyFill="1" applyBorder="1" applyAlignment="1">
      <alignment vertical="center"/>
    </xf>
    <xf numFmtId="0" fontId="6" fillId="5" borderId="3" xfId="0" applyFont="1" applyFill="1" applyBorder="1" applyAlignment="1" applyProtection="1">
      <alignment vertical="center"/>
      <protection locked="0"/>
    </xf>
    <xf numFmtId="0" fontId="6" fillId="5" borderId="3" xfId="1" applyFont="1" applyFill="1" applyBorder="1" applyAlignment="1" applyProtection="1">
      <alignment horizontal="left" vertical="top"/>
      <protection locked="0"/>
    </xf>
    <xf numFmtId="0" fontId="9" fillId="5" borderId="3" xfId="0" applyFont="1" applyFill="1" applyBorder="1" applyAlignment="1" applyProtection="1">
      <alignment horizontal="center" wrapText="1"/>
      <protection locked="0"/>
    </xf>
    <xf numFmtId="3" fontId="6" fillId="5" borderId="3" xfId="0" applyNumberFormat="1" applyFont="1" applyFill="1" applyBorder="1" applyProtection="1">
      <protection locked="0"/>
    </xf>
    <xf numFmtId="3" fontId="9" fillId="5" borderId="3" xfId="0" applyNumberFormat="1" applyFont="1" applyFill="1" applyBorder="1" applyAlignment="1" applyProtection="1">
      <alignment horizontal="center" wrapText="1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 applyProtection="1">
      <alignment vertical="center"/>
      <protection locked="0"/>
    </xf>
    <xf numFmtId="3" fontId="6" fillId="5" borderId="4" xfId="0" applyNumberFormat="1" applyFont="1" applyFill="1" applyBorder="1" applyAlignment="1" applyProtection="1">
      <alignment vertical="center"/>
      <protection locked="0"/>
    </xf>
    <xf numFmtId="3" fontId="4" fillId="5" borderId="4" xfId="0" applyNumberFormat="1" applyFont="1" applyFill="1" applyBorder="1" applyAlignment="1" applyProtection="1">
      <alignment vertical="center"/>
      <protection locked="0"/>
    </xf>
    <xf numFmtId="3" fontId="4" fillId="5" borderId="4" xfId="0" applyNumberFormat="1" applyFont="1" applyFill="1" applyBorder="1"/>
    <xf numFmtId="3" fontId="6" fillId="5" borderId="4" xfId="0" applyNumberFormat="1" applyFont="1" applyFill="1" applyBorder="1"/>
    <xf numFmtId="41" fontId="4" fillId="5" borderId="4" xfId="0" applyNumberFormat="1" applyFont="1" applyFill="1" applyBorder="1" applyProtection="1">
      <protection locked="0"/>
    </xf>
    <xf numFmtId="42" fontId="4" fillId="5" borderId="4" xfId="0" applyNumberFormat="1" applyFont="1" applyFill="1" applyBorder="1" applyProtection="1">
      <protection locked="0"/>
    </xf>
    <xf numFmtId="3" fontId="18" fillId="3" borderId="0" xfId="0" applyNumberFormat="1" applyFont="1" applyFill="1"/>
    <xf numFmtId="0" fontId="33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vertical="top" wrapText="1"/>
    </xf>
    <xf numFmtId="4" fontId="5" fillId="4" borderId="0" xfId="0" applyNumberFormat="1" applyFont="1" applyFill="1" applyProtection="1">
      <protection locked="0"/>
    </xf>
    <xf numFmtId="1" fontId="4" fillId="4" borderId="0" xfId="0" applyNumberFormat="1" applyFont="1" applyFill="1" applyProtection="1">
      <protection locked="0"/>
    </xf>
    <xf numFmtId="4" fontId="22" fillId="4" borderId="0" xfId="0" applyNumberFormat="1" applyFont="1" applyFill="1" applyProtection="1">
      <protection locked="0"/>
    </xf>
    <xf numFmtId="2" fontId="22" fillId="4" borderId="0" xfId="0" applyNumberFormat="1" applyFont="1" applyFill="1" applyAlignment="1" applyProtection="1">
      <alignment horizontal="right"/>
      <protection locked="0"/>
    </xf>
    <xf numFmtId="3" fontId="22" fillId="4" borderId="0" xfId="0" applyNumberFormat="1" applyFont="1" applyFill="1" applyAlignment="1" applyProtection="1">
      <alignment horizontal="center"/>
      <protection locked="0"/>
    </xf>
    <xf numFmtId="10" fontId="23" fillId="4" borderId="0" xfId="0" applyNumberFormat="1" applyFont="1" applyFill="1" applyProtection="1">
      <protection locked="0"/>
    </xf>
    <xf numFmtId="2" fontId="23" fillId="4" borderId="0" xfId="0" applyNumberFormat="1" applyFont="1" applyFill="1" applyProtection="1">
      <protection locked="0"/>
    </xf>
    <xf numFmtId="165" fontId="23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2" fontId="23" fillId="0" borderId="0" xfId="0" applyNumberFormat="1" applyFont="1" applyProtection="1">
      <protection locked="0"/>
    </xf>
    <xf numFmtId="10" fontId="5" fillId="4" borderId="0" xfId="0" applyNumberFormat="1" applyFont="1" applyFill="1" applyProtection="1">
      <protection locked="0"/>
    </xf>
    <xf numFmtId="165" fontId="4" fillId="4" borderId="0" xfId="0" applyNumberFormat="1" applyFont="1" applyFill="1" applyProtection="1">
      <protection locked="0"/>
    </xf>
    <xf numFmtId="165" fontId="23" fillId="4" borderId="0" xfId="0" applyNumberFormat="1" applyFont="1" applyFill="1" applyProtection="1">
      <protection locked="0"/>
    </xf>
    <xf numFmtId="10" fontId="4" fillId="4" borderId="0" xfId="9" applyNumberFormat="1" applyFont="1" applyFill="1" applyProtection="1">
      <protection locked="0"/>
    </xf>
    <xf numFmtId="10" fontId="23" fillId="4" borderId="0" xfId="9" applyNumberFormat="1" applyFont="1" applyFill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4" fillId="0" borderId="0" xfId="0" applyNumberFormat="1" applyFont="1" applyProtection="1">
      <protection locked="0"/>
    </xf>
    <xf numFmtId="4" fontId="5" fillId="4" borderId="0" xfId="0" applyNumberFormat="1" applyFont="1" applyFill="1" applyAlignment="1" applyProtection="1">
      <alignment horizontal="center"/>
      <protection locked="0"/>
    </xf>
    <xf numFmtId="4" fontId="22" fillId="4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3" fontId="4" fillId="4" borderId="0" xfId="0" applyNumberFormat="1" applyFont="1" applyFill="1" applyProtection="1"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3" fontId="4" fillId="4" borderId="0" xfId="0" applyNumberFormat="1" applyFont="1" applyFill="1" applyAlignment="1" applyProtection="1">
      <alignment horizontal="left"/>
      <protection locked="0"/>
    </xf>
    <xf numFmtId="3" fontId="4" fillId="4" borderId="0" xfId="0" applyNumberFormat="1" applyFont="1" applyFill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10" fontId="5" fillId="0" borderId="7" xfId="0" applyNumberFormat="1" applyFont="1" applyBorder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2" fontId="4" fillId="3" borderId="0" xfId="0" applyNumberFormat="1" applyFont="1" applyFill="1" applyProtection="1">
      <protection locked="0"/>
    </xf>
    <xf numFmtId="3" fontId="4" fillId="0" borderId="0" xfId="0" applyNumberFormat="1" applyFont="1" applyAlignment="1" applyProtection="1">
      <alignment horizontal="left"/>
      <protection locked="0"/>
    </xf>
    <xf numFmtId="2" fontId="4" fillId="3" borderId="0" xfId="0" applyNumberFormat="1" applyFont="1" applyFill="1" applyAlignment="1" applyProtection="1">
      <alignment horizontal="right"/>
      <protection locked="0"/>
    </xf>
    <xf numFmtId="3" fontId="6" fillId="2" borderId="0" xfId="0" applyNumberFormat="1" applyFont="1" applyFill="1" applyAlignment="1" applyProtection="1">
      <alignment horizontal="center"/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3" fontId="4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3" fontId="4" fillId="2" borderId="0" xfId="0" applyNumberFormat="1" applyFont="1" applyFill="1" applyProtection="1">
      <protection locked="0"/>
    </xf>
    <xf numFmtId="10" fontId="4" fillId="0" borderId="0" xfId="0" applyNumberFormat="1" applyFont="1" applyAlignment="1" applyProtection="1">
      <alignment horizontal="left"/>
      <protection locked="0"/>
    </xf>
    <xf numFmtId="0" fontId="4" fillId="4" borderId="7" xfId="0" applyFont="1" applyFill="1" applyBorder="1" applyProtection="1"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37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3" fontId="23" fillId="0" borderId="0" xfId="0" applyNumberFormat="1" applyFont="1" applyProtection="1">
      <protection locked="0"/>
    </xf>
    <xf numFmtId="3" fontId="22" fillId="0" borderId="0" xfId="0" applyNumberFormat="1" applyFont="1" applyAlignment="1" applyProtection="1">
      <alignment horizontal="center"/>
      <protection locked="0"/>
    </xf>
    <xf numFmtId="3" fontId="37" fillId="0" borderId="0" xfId="0" applyNumberFormat="1" applyFont="1" applyAlignment="1" applyProtection="1">
      <alignment horizontal="right"/>
      <protection locked="0"/>
    </xf>
    <xf numFmtId="3" fontId="40" fillId="0" borderId="0" xfId="0" applyNumberFormat="1" applyFont="1" applyAlignment="1" applyProtection="1">
      <alignment horizontal="right"/>
      <protection locked="0"/>
    </xf>
    <xf numFmtId="3" fontId="23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right"/>
      <protection locked="0"/>
    </xf>
    <xf numFmtId="3" fontId="23" fillId="2" borderId="0" xfId="0" applyNumberFormat="1" applyFont="1" applyFill="1" applyAlignment="1" applyProtection="1">
      <alignment horizontal="right"/>
      <protection locked="0"/>
    </xf>
    <xf numFmtId="0" fontId="23" fillId="4" borderId="7" xfId="0" applyFont="1" applyFill="1" applyBorder="1" applyProtection="1">
      <protection locked="0"/>
    </xf>
    <xf numFmtId="0" fontId="38" fillId="0" borderId="0" xfId="0" applyFont="1" applyProtection="1">
      <protection locked="0"/>
    </xf>
    <xf numFmtId="0" fontId="4" fillId="0" borderId="7" xfId="0" applyFont="1" applyBorder="1" applyProtection="1"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3" fontId="4" fillId="2" borderId="2" xfId="0" applyNumberFormat="1" applyFont="1" applyFill="1" applyBorder="1" applyAlignment="1" applyProtection="1">
      <alignment horizontal="right"/>
      <protection locked="0"/>
    </xf>
    <xf numFmtId="3" fontId="4" fillId="0" borderId="2" xfId="0" applyNumberFormat="1" applyFont="1" applyBorder="1" applyProtection="1">
      <protection locked="0"/>
    </xf>
    <xf numFmtId="3" fontId="4" fillId="2" borderId="2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10" fontId="4" fillId="0" borderId="0" xfId="0" applyNumberFormat="1" applyFont="1" applyProtection="1">
      <protection locked="0"/>
    </xf>
    <xf numFmtId="3" fontId="18" fillId="0" borderId="0" xfId="0" applyNumberFormat="1" applyFont="1" applyProtection="1">
      <protection locked="0"/>
    </xf>
    <xf numFmtId="3" fontId="13" fillId="0" borderId="0" xfId="0" applyNumberFormat="1" applyFont="1" applyAlignment="1" applyProtection="1">
      <alignment horizontal="center"/>
      <protection locked="0"/>
    </xf>
    <xf numFmtId="10" fontId="5" fillId="0" borderId="0" xfId="0" applyNumberFormat="1" applyFont="1" applyAlignment="1" applyProtection="1">
      <alignment horizontal="right"/>
      <protection locked="0"/>
    </xf>
    <xf numFmtId="168" fontId="5" fillId="0" borderId="0" xfId="8" applyNumberFormat="1" applyFont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4" fillId="2" borderId="1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3" fontId="18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6" fontId="18" fillId="3" borderId="0" xfId="0" applyNumberFormat="1" applyFont="1" applyFill="1" applyAlignment="1" applyProtection="1">
      <alignment horizontal="center"/>
      <protection locked="0"/>
    </xf>
    <xf numFmtId="3" fontId="18" fillId="3" borderId="0" xfId="0" applyNumberFormat="1" applyFont="1" applyFill="1" applyAlignment="1" applyProtection="1">
      <alignment horizontal="center"/>
      <protection locked="0"/>
    </xf>
    <xf numFmtId="0" fontId="39" fillId="0" borderId="0" xfId="10" applyAlignment="1" applyProtection="1">
      <alignment horizontal="left"/>
      <protection locked="0"/>
    </xf>
    <xf numFmtId="164" fontId="18" fillId="3" borderId="0" xfId="0" applyNumberFormat="1" applyFont="1" applyFill="1" applyAlignment="1" applyProtection="1">
      <alignment horizontal="center"/>
      <protection locked="0"/>
    </xf>
    <xf numFmtId="3" fontId="12" fillId="0" borderId="0" xfId="0" applyNumberFormat="1" applyFont="1" applyAlignment="1" applyProtection="1">
      <alignment horizontal="right"/>
      <protection locked="0"/>
    </xf>
    <xf numFmtId="3" fontId="12" fillId="2" borderId="0" xfId="0" applyNumberFormat="1" applyFont="1" applyFill="1" applyAlignment="1" applyProtection="1">
      <alignment horizontal="right"/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66" fontId="18" fillId="0" borderId="0" xfId="0" applyNumberFormat="1" applyFont="1" applyAlignment="1" applyProtection="1">
      <alignment horizontal="left"/>
      <protection locked="0"/>
    </xf>
    <xf numFmtId="3" fontId="18" fillId="0" borderId="0" xfId="0" applyNumberFormat="1" applyFont="1" applyAlignment="1" applyProtection="1">
      <alignment horizontal="right"/>
      <protection locked="0"/>
    </xf>
    <xf numFmtId="3" fontId="18" fillId="2" borderId="0" xfId="0" applyNumberFormat="1" applyFont="1" applyFill="1" applyAlignment="1" applyProtection="1">
      <alignment horizontal="right"/>
      <protection locked="0"/>
    </xf>
    <xf numFmtId="166" fontId="5" fillId="0" borderId="0" xfId="0" applyNumberFormat="1" applyFont="1" applyAlignment="1" applyProtection="1">
      <alignment horizontal="center"/>
      <protection locked="0"/>
    </xf>
    <xf numFmtId="3" fontId="17" fillId="0" borderId="0" xfId="0" applyNumberFormat="1" applyFont="1" applyAlignment="1" applyProtection="1">
      <alignment horizontal="right"/>
      <protection locked="0"/>
    </xf>
    <xf numFmtId="3" fontId="17" fillId="2" borderId="0" xfId="0" applyNumberFormat="1" applyFont="1" applyFill="1" applyAlignment="1" applyProtection="1">
      <alignment horizontal="right"/>
      <protection locked="0"/>
    </xf>
    <xf numFmtId="3" fontId="17" fillId="0" borderId="0" xfId="0" applyNumberFormat="1" applyFont="1" applyProtection="1">
      <protection locked="0"/>
    </xf>
    <xf numFmtId="3" fontId="12" fillId="0" borderId="0" xfId="0" applyNumberFormat="1" applyFont="1" applyProtection="1">
      <protection locked="0"/>
    </xf>
    <xf numFmtId="3" fontId="18" fillId="0" borderId="0" xfId="0" applyNumberFormat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right"/>
      <protection locked="0"/>
    </xf>
    <xf numFmtId="3" fontId="6" fillId="2" borderId="0" xfId="0" applyNumberFormat="1" applyFont="1" applyFill="1" applyAlignment="1" applyProtection="1">
      <alignment horizontal="right"/>
      <protection locked="0"/>
    </xf>
    <xf numFmtId="3" fontId="6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3" fontId="11" fillId="0" borderId="0" xfId="0" applyNumberFormat="1" applyFont="1" applyProtection="1">
      <protection locked="0"/>
    </xf>
    <xf numFmtId="3" fontId="11" fillId="0" borderId="0" xfId="0" applyNumberFormat="1" applyFont="1" applyAlignment="1" applyProtection="1">
      <alignment horizontal="right"/>
      <protection locked="0"/>
    </xf>
    <xf numFmtId="3" fontId="11" fillId="2" borderId="0" xfId="0" applyNumberFormat="1" applyFont="1" applyFill="1" applyAlignment="1" applyProtection="1">
      <alignment horizontal="right"/>
      <protection locked="0"/>
    </xf>
    <xf numFmtId="3" fontId="5" fillId="3" borderId="0" xfId="0" applyNumberFormat="1" applyFont="1" applyFill="1" applyProtection="1">
      <protection locked="0"/>
    </xf>
    <xf numFmtId="3" fontId="5" fillId="2" borderId="0" xfId="0" applyNumberFormat="1" applyFont="1" applyFill="1" applyAlignment="1" applyProtection="1">
      <alignment horizontal="right"/>
      <protection locked="0"/>
    </xf>
    <xf numFmtId="3" fontId="22" fillId="0" borderId="0" xfId="0" applyNumberFormat="1" applyFont="1" applyAlignment="1" applyProtection="1">
      <alignment horizontal="right"/>
      <protection locked="0"/>
    </xf>
    <xf numFmtId="3" fontId="22" fillId="2" borderId="0" xfId="0" applyNumberFormat="1" applyFont="1" applyFill="1" applyAlignment="1" applyProtection="1">
      <alignment horizontal="right"/>
      <protection locked="0"/>
    </xf>
    <xf numFmtId="3" fontId="22" fillId="0" borderId="0" xfId="0" applyNumberFormat="1" applyFont="1" applyProtection="1">
      <protection locked="0"/>
    </xf>
    <xf numFmtId="3" fontId="22" fillId="2" borderId="0" xfId="0" applyNumberFormat="1" applyFont="1" applyFill="1" applyProtection="1">
      <protection locked="0"/>
    </xf>
    <xf numFmtId="0" fontId="15" fillId="0" borderId="0" xfId="0" applyFont="1" applyProtection="1">
      <protection locked="0"/>
    </xf>
    <xf numFmtId="0" fontId="4" fillId="2" borderId="2" xfId="0" applyFont="1" applyFill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4" fontId="4" fillId="0" borderId="0" xfId="0" quotePrefix="1" applyNumberFormat="1" applyFont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wrapText="1"/>
      <protection locked="0"/>
    </xf>
    <xf numFmtId="3" fontId="5" fillId="4" borderId="6" xfId="0" applyNumberFormat="1" applyFont="1" applyFill="1" applyBorder="1" applyAlignment="1">
      <alignment horizontal="center"/>
    </xf>
    <xf numFmtId="3" fontId="5" fillId="4" borderId="9" xfId="0" applyNumberFormat="1" applyFont="1" applyFill="1" applyBorder="1"/>
    <xf numFmtId="10" fontId="5" fillId="4" borderId="7" xfId="0" applyNumberFormat="1" applyFont="1" applyFill="1" applyBorder="1"/>
    <xf numFmtId="3" fontId="5" fillId="4" borderId="10" xfId="0" applyNumberFormat="1" applyFont="1" applyFill="1" applyBorder="1"/>
    <xf numFmtId="10" fontId="5" fillId="4" borderId="10" xfId="0" applyNumberFormat="1" applyFont="1" applyFill="1" applyBorder="1"/>
    <xf numFmtId="3" fontId="5" fillId="4" borderId="11" xfId="0" applyNumberFormat="1" applyFont="1" applyFill="1" applyBorder="1"/>
    <xf numFmtId="10" fontId="5" fillId="4" borderId="11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3" fontId="13" fillId="0" borderId="0" xfId="0" applyNumberFormat="1" applyFont="1" applyAlignment="1">
      <alignment horizontal="left"/>
    </xf>
    <xf numFmtId="2" fontId="4" fillId="0" borderId="0" xfId="0" applyNumberFormat="1" applyFont="1"/>
    <xf numFmtId="165" fontId="4" fillId="0" borderId="0" xfId="0" applyNumberFormat="1" applyFont="1"/>
    <xf numFmtId="3" fontId="4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3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4" fillId="2" borderId="0" xfId="0" applyNumberFormat="1" applyFont="1" applyFill="1"/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4" fillId="4" borderId="0" xfId="0" applyFont="1" applyFill="1"/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14" fillId="0" borderId="0" xfId="0" applyFont="1" applyProtection="1">
      <protection locked="0"/>
    </xf>
    <xf numFmtId="2" fontId="14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165" fontId="14" fillId="0" borderId="0" xfId="0" applyNumberFormat="1" applyFont="1" applyProtection="1">
      <protection locked="0"/>
    </xf>
    <xf numFmtId="0" fontId="4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167" fontId="14" fillId="0" borderId="0" xfId="0" applyNumberFormat="1" applyFont="1"/>
    <xf numFmtId="44" fontId="14" fillId="0" borderId="0" xfId="8" applyFont="1" applyFill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4" fillId="0" borderId="0" xfId="1" applyFont="1" applyAlignment="1">
      <alignment horizontal="left" vertical="top" wrapText="1"/>
    </xf>
    <xf numFmtId="0" fontId="42" fillId="0" borderId="0" xfId="1" applyFont="1" applyAlignment="1">
      <alignment horizontal="left" vertical="top"/>
    </xf>
    <xf numFmtId="166" fontId="14" fillId="0" borderId="0" xfId="0" applyNumberFormat="1" applyFont="1"/>
    <xf numFmtId="0" fontId="42" fillId="0" borderId="0" xfId="0" applyFont="1"/>
    <xf numFmtId="0" fontId="18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3" fontId="43" fillId="0" borderId="0" xfId="0" applyNumberFormat="1" applyFont="1" applyProtection="1">
      <protection locked="0"/>
    </xf>
    <xf numFmtId="0" fontId="14" fillId="0" borderId="0" xfId="1" applyFont="1" applyAlignment="1" applyProtection="1">
      <alignment horizontal="left" vertical="top"/>
      <protection locked="0"/>
    </xf>
    <xf numFmtId="167" fontId="14" fillId="0" borderId="0" xfId="0" applyNumberFormat="1" applyFont="1" applyProtection="1">
      <protection locked="0"/>
    </xf>
    <xf numFmtId="49" fontId="5" fillId="4" borderId="8" xfId="0" applyNumberFormat="1" applyFont="1" applyFill="1" applyBorder="1" applyAlignment="1">
      <alignment horizontal="center"/>
    </xf>
    <xf numFmtId="0" fontId="4" fillId="6" borderId="0" xfId="0" applyFont="1" applyFill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41" fillId="0" borderId="0" xfId="0" applyFont="1"/>
    <xf numFmtId="3" fontId="8" fillId="0" borderId="0" xfId="0" applyNumberFormat="1" applyFont="1" applyProtection="1"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46" fillId="0" borderId="0" xfId="0" applyFont="1" applyAlignment="1" applyProtection="1">
      <alignment vertical="center"/>
      <protection locked="0"/>
    </xf>
    <xf numFmtId="168" fontId="4" fillId="0" borderId="0" xfId="0" applyNumberFormat="1" applyFont="1" applyAlignment="1" applyProtection="1">
      <alignment horizontal="right"/>
      <protection locked="0"/>
    </xf>
    <xf numFmtId="168" fontId="4" fillId="0" borderId="0" xfId="0" applyNumberFormat="1" applyFont="1" applyProtection="1">
      <protection locked="0"/>
    </xf>
    <xf numFmtId="168" fontId="4" fillId="0" borderId="0" xfId="0" applyNumberFormat="1" applyFont="1" applyAlignment="1" applyProtection="1">
      <alignment horizontal="center"/>
      <protection locked="0"/>
    </xf>
    <xf numFmtId="168" fontId="8" fillId="0" borderId="0" xfId="0" applyNumberFormat="1" applyFont="1" applyProtection="1">
      <protection locked="0"/>
    </xf>
    <xf numFmtId="168" fontId="4" fillId="4" borderId="0" xfId="0" applyNumberFormat="1" applyFont="1" applyFill="1" applyAlignment="1" applyProtection="1">
      <alignment horizontal="left" vertical="top" wrapText="1"/>
      <protection locked="0"/>
    </xf>
    <xf numFmtId="168" fontId="4" fillId="0" borderId="0" xfId="0" applyNumberFormat="1" applyFont="1" applyAlignment="1" applyProtection="1">
      <alignment horizontal="left"/>
      <protection locked="0"/>
    </xf>
    <xf numFmtId="168" fontId="7" fillId="0" borderId="0" xfId="0" applyNumberFormat="1" applyFont="1" applyProtection="1">
      <protection locked="0"/>
    </xf>
    <xf numFmtId="168" fontId="6" fillId="2" borderId="0" xfId="0" applyNumberFormat="1" applyFont="1" applyFill="1" applyAlignment="1" applyProtection="1">
      <alignment horizontal="center"/>
      <protection locked="0"/>
    </xf>
    <xf numFmtId="168" fontId="6" fillId="0" borderId="0" xfId="0" applyNumberFormat="1" applyFont="1" applyAlignment="1">
      <alignment horizontal="center"/>
    </xf>
    <xf numFmtId="168" fontId="6" fillId="2" borderId="0" xfId="0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68" fontId="4" fillId="2" borderId="0" xfId="0" applyNumberFormat="1" applyFont="1" applyFill="1" applyAlignment="1">
      <alignment horizontal="right"/>
    </xf>
    <xf numFmtId="168" fontId="4" fillId="0" borderId="0" xfId="0" applyNumberFormat="1" applyFont="1"/>
    <xf numFmtId="168" fontId="4" fillId="2" borderId="0" xfId="0" applyNumberFormat="1" applyFont="1" applyFill="1"/>
    <xf numFmtId="168" fontId="4" fillId="2" borderId="0" xfId="0" applyNumberFormat="1" applyFont="1" applyFill="1" applyAlignment="1" applyProtection="1">
      <alignment horizontal="right"/>
      <protection locked="0"/>
    </xf>
    <xf numFmtId="168" fontId="40" fillId="0" borderId="0" xfId="0" applyNumberFormat="1" applyFont="1" applyAlignment="1" applyProtection="1">
      <alignment horizontal="right"/>
      <protection locked="0"/>
    </xf>
    <xf numFmtId="168" fontId="23" fillId="0" borderId="0" xfId="0" applyNumberFormat="1" applyFont="1" applyAlignment="1" applyProtection="1">
      <alignment horizontal="right"/>
      <protection locked="0"/>
    </xf>
    <xf numFmtId="168" fontId="23" fillId="0" borderId="0" xfId="0" applyNumberFormat="1" applyFont="1" applyProtection="1">
      <protection locked="0"/>
    </xf>
    <xf numFmtId="168" fontId="4" fillId="0" borderId="2" xfId="0" applyNumberFormat="1" applyFont="1" applyBorder="1" applyAlignment="1" applyProtection="1">
      <alignment horizontal="right"/>
      <protection locked="0"/>
    </xf>
    <xf numFmtId="168" fontId="4" fillId="2" borderId="2" xfId="0" applyNumberFormat="1" applyFont="1" applyFill="1" applyBorder="1" applyAlignment="1" applyProtection="1">
      <alignment horizontal="right"/>
      <protection locked="0"/>
    </xf>
    <xf numFmtId="168" fontId="4" fillId="0" borderId="2" xfId="0" applyNumberFormat="1" applyFont="1" applyBorder="1" applyProtection="1">
      <protection locked="0"/>
    </xf>
    <xf numFmtId="168" fontId="4" fillId="2" borderId="2" xfId="0" applyNumberFormat="1" applyFont="1" applyFill="1" applyBorder="1" applyProtection="1">
      <protection locked="0"/>
    </xf>
    <xf numFmtId="168" fontId="4" fillId="2" borderId="0" xfId="0" applyNumberFormat="1" applyFont="1" applyFill="1" applyProtection="1">
      <protection locked="0"/>
    </xf>
    <xf numFmtId="168" fontId="4" fillId="0" borderId="1" xfId="0" applyNumberFormat="1" applyFont="1" applyBorder="1" applyAlignment="1" applyProtection="1">
      <alignment horizontal="right"/>
      <protection locked="0"/>
    </xf>
    <xf numFmtId="168" fontId="4" fillId="2" borderId="1" xfId="0" applyNumberFormat="1" applyFont="1" applyFill="1" applyBorder="1" applyAlignment="1" applyProtection="1">
      <alignment horizontal="right"/>
      <protection locked="0"/>
    </xf>
    <xf numFmtId="168" fontId="18" fillId="0" borderId="0" xfId="0" applyNumberFormat="1" applyFont="1" applyAlignment="1" applyProtection="1">
      <alignment horizontal="right"/>
      <protection locked="0"/>
    </xf>
    <xf numFmtId="168" fontId="18" fillId="2" borderId="0" xfId="0" applyNumberFormat="1" applyFont="1" applyFill="1" applyAlignment="1" applyProtection="1">
      <alignment horizontal="right"/>
      <protection locked="0"/>
    </xf>
    <xf numFmtId="168" fontId="18" fillId="0" borderId="0" xfId="0" applyNumberFormat="1" applyFont="1" applyProtection="1">
      <protection locked="0"/>
    </xf>
    <xf numFmtId="168" fontId="17" fillId="0" borderId="0" xfId="0" applyNumberFormat="1" applyFont="1" applyAlignment="1" applyProtection="1">
      <alignment horizontal="right"/>
      <protection locked="0"/>
    </xf>
    <xf numFmtId="168" fontId="17" fillId="2" borderId="0" xfId="0" applyNumberFormat="1" applyFont="1" applyFill="1" applyAlignment="1" applyProtection="1">
      <alignment horizontal="right"/>
      <protection locked="0"/>
    </xf>
    <xf numFmtId="168" fontId="17" fillId="0" borderId="0" xfId="0" applyNumberFormat="1" applyFont="1" applyProtection="1">
      <protection locked="0"/>
    </xf>
    <xf numFmtId="168" fontId="6" fillId="0" borderId="0" xfId="0" applyNumberFormat="1" applyFont="1" applyAlignment="1" applyProtection="1">
      <alignment horizontal="right"/>
      <protection locked="0"/>
    </xf>
    <xf numFmtId="168" fontId="6" fillId="2" borderId="0" xfId="0" applyNumberFormat="1" applyFont="1" applyFill="1" applyAlignment="1" applyProtection="1">
      <alignment horizontal="right"/>
      <protection locked="0"/>
    </xf>
    <xf numFmtId="168" fontId="6" fillId="0" borderId="0" xfId="0" applyNumberFormat="1" applyFont="1" applyProtection="1">
      <protection locked="0"/>
    </xf>
    <xf numFmtId="168" fontId="11" fillId="0" borderId="0" xfId="0" applyNumberFormat="1" applyFont="1" applyAlignment="1" applyProtection="1">
      <alignment horizontal="right"/>
      <protection locked="0"/>
    </xf>
    <xf numFmtId="168" fontId="11" fillId="0" borderId="0" xfId="0" applyNumberFormat="1" applyFont="1" applyProtection="1">
      <protection locked="0"/>
    </xf>
    <xf numFmtId="168" fontId="22" fillId="0" borderId="0" xfId="0" applyNumberFormat="1" applyFont="1" applyAlignment="1" applyProtection="1">
      <alignment horizontal="right"/>
      <protection locked="0"/>
    </xf>
    <xf numFmtId="168" fontId="22" fillId="2" borderId="0" xfId="0" applyNumberFormat="1" applyFont="1" applyFill="1" applyAlignment="1" applyProtection="1">
      <alignment horizontal="right"/>
      <protection locked="0"/>
    </xf>
    <xf numFmtId="168" fontId="22" fillId="0" borderId="0" xfId="0" applyNumberFormat="1" applyFont="1" applyProtection="1">
      <protection locked="0"/>
    </xf>
    <xf numFmtId="168" fontId="22" fillId="2" borderId="0" xfId="0" applyNumberFormat="1" applyFont="1" applyFill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3" fontId="47" fillId="0" borderId="0" xfId="0" applyNumberFormat="1" applyFont="1" applyProtection="1">
      <protection locked="0"/>
    </xf>
    <xf numFmtId="0" fontId="13" fillId="6" borderId="0" xfId="0" applyFont="1" applyFill="1" applyAlignment="1" applyProtection="1">
      <alignment horizontal="left"/>
      <protection locked="0"/>
    </xf>
    <xf numFmtId="0" fontId="4" fillId="6" borderId="0" xfId="0" applyFont="1" applyFill="1" applyProtection="1">
      <protection locked="0"/>
    </xf>
    <xf numFmtId="3" fontId="5" fillId="6" borderId="0" xfId="0" applyNumberFormat="1" applyFont="1" applyFill="1" applyProtection="1">
      <protection locked="0"/>
    </xf>
    <xf numFmtId="2" fontId="4" fillId="6" borderId="0" xfId="0" applyNumberFormat="1" applyFont="1" applyFill="1" applyProtection="1">
      <protection locked="0"/>
    </xf>
    <xf numFmtId="0" fontId="4" fillId="6" borderId="0" xfId="0" applyFont="1" applyFill="1" applyAlignment="1" applyProtection="1">
      <alignment horizontal="center"/>
      <protection locked="0"/>
    </xf>
    <xf numFmtId="165" fontId="4" fillId="6" borderId="0" xfId="0" applyNumberFormat="1" applyFont="1" applyFill="1" applyProtection="1">
      <protection locked="0"/>
    </xf>
    <xf numFmtId="0" fontId="4" fillId="7" borderId="0" xfId="0" applyFont="1" applyFill="1" applyProtection="1">
      <protection locked="0"/>
    </xf>
    <xf numFmtId="0" fontId="4" fillId="7" borderId="0" xfId="0" applyFont="1" applyFill="1" applyAlignment="1">
      <alignment horizontal="center"/>
    </xf>
    <xf numFmtId="3" fontId="6" fillId="7" borderId="0" xfId="0" applyNumberFormat="1" applyFont="1" applyFill="1" applyAlignment="1" applyProtection="1">
      <alignment horizontal="left"/>
      <protection locked="0"/>
    </xf>
    <xf numFmtId="3" fontId="6" fillId="7" borderId="0" xfId="0" applyNumberFormat="1" applyFont="1" applyFill="1" applyAlignment="1" applyProtection="1">
      <alignment horizontal="right"/>
      <protection locked="0"/>
    </xf>
    <xf numFmtId="0" fontId="6" fillId="7" borderId="0" xfId="0" applyFont="1" applyFill="1" applyProtection="1">
      <protection locked="0"/>
    </xf>
    <xf numFmtId="10" fontId="4" fillId="6" borderId="0" xfId="0" applyNumberFormat="1" applyFont="1" applyFill="1" applyAlignment="1" applyProtection="1">
      <alignment horizontal="left"/>
      <protection locked="0"/>
    </xf>
    <xf numFmtId="0" fontId="4" fillId="3" borderId="0" xfId="0" applyFont="1" applyFill="1" applyProtection="1">
      <protection locked="0"/>
    </xf>
    <xf numFmtId="10" fontId="4" fillId="3" borderId="0" xfId="0" applyNumberFormat="1" applyFont="1" applyFill="1" applyAlignment="1" applyProtection="1">
      <alignment horizontal="left"/>
      <protection locked="0"/>
    </xf>
    <xf numFmtId="9" fontId="4" fillId="0" borderId="0" xfId="9" applyFont="1" applyFill="1" applyAlignment="1" applyProtection="1">
      <alignment horizontal="right"/>
      <protection locked="0"/>
    </xf>
    <xf numFmtId="9" fontId="4" fillId="3" borderId="0" xfId="9" applyFont="1" applyFill="1" applyAlignment="1" applyProtection="1">
      <alignment horizontal="right"/>
      <protection locked="0"/>
    </xf>
    <xf numFmtId="4" fontId="5" fillId="6" borderId="0" xfId="0" applyNumberFormat="1" applyFont="1" applyFill="1" applyAlignment="1" applyProtection="1">
      <alignment horizontal="center"/>
      <protection locked="0"/>
    </xf>
    <xf numFmtId="10" fontId="4" fillId="6" borderId="0" xfId="0" applyNumberFormat="1" applyFont="1" applyFill="1" applyProtection="1">
      <protection locked="0"/>
    </xf>
    <xf numFmtId="166" fontId="4" fillId="0" borderId="0" xfId="0" applyNumberFormat="1" applyFont="1" applyProtection="1">
      <protection locked="0"/>
    </xf>
    <xf numFmtId="0" fontId="4" fillId="0" borderId="0" xfId="1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/>
      <protection locked="0"/>
    </xf>
    <xf numFmtId="168" fontId="5" fillId="0" borderId="0" xfId="0" applyNumberFormat="1" applyFont="1" applyAlignment="1" applyProtection="1">
      <alignment horizontal="right"/>
      <protection locked="0"/>
    </xf>
    <xf numFmtId="168" fontId="5" fillId="0" borderId="0" xfId="0" applyNumberFormat="1" applyFont="1" applyProtection="1">
      <protection locked="0"/>
    </xf>
    <xf numFmtId="4" fontId="4" fillId="3" borderId="0" xfId="0" applyNumberFormat="1" applyFont="1" applyFill="1" applyProtection="1">
      <protection locked="0"/>
    </xf>
    <xf numFmtId="0" fontId="39" fillId="0" borderId="0" xfId="10" applyProtection="1">
      <protection locked="0"/>
    </xf>
    <xf numFmtId="2" fontId="39" fillId="0" borderId="0" xfId="10" applyNumberFormat="1" applyProtection="1">
      <protection locked="0"/>
    </xf>
    <xf numFmtId="168" fontId="14" fillId="0" borderId="0" xfId="0" applyNumberFormat="1" applyFont="1" applyAlignment="1" applyProtection="1">
      <alignment horizontal="right"/>
      <protection locked="0"/>
    </xf>
    <xf numFmtId="168" fontId="14" fillId="0" borderId="0" xfId="0" applyNumberFormat="1" applyFont="1" applyProtection="1">
      <protection locked="0"/>
    </xf>
    <xf numFmtId="168" fontId="14" fillId="0" borderId="0" xfId="1" applyNumberFormat="1" applyFont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4" fillId="4" borderId="0" xfId="0" applyNumberFormat="1" applyFont="1" applyFill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14" fontId="4" fillId="4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3" fontId="4" fillId="4" borderId="0" xfId="0" applyNumberFormat="1" applyFont="1" applyFill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 applyAlignment="1" applyProtection="1">
      <alignment horizontal="center" vertical="top" wrapText="1"/>
      <protection locked="0"/>
    </xf>
    <xf numFmtId="3" fontId="2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 vertical="top" wrapText="1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34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26" fillId="4" borderId="6" xfId="7" applyNumberFormat="1" applyFont="1" applyFill="1" applyBorder="1" applyAlignment="1">
      <alignment horizontal="center" vertical="center"/>
    </xf>
    <xf numFmtId="0" fontId="26" fillId="4" borderId="3" xfId="7" applyNumberFormat="1" applyFont="1" applyFill="1" applyBorder="1" applyAlignment="1">
      <alignment horizontal="center" vertical="center"/>
    </xf>
    <xf numFmtId="0" fontId="26" fillId="4" borderId="8" xfId="7" applyNumberFormat="1" applyFont="1" applyFill="1" applyBorder="1" applyAlignment="1">
      <alignment horizontal="center" vertical="center"/>
    </xf>
    <xf numFmtId="0" fontId="32" fillId="4" borderId="6" xfId="7" applyNumberFormat="1" applyFont="1" applyFill="1" applyBorder="1" applyAlignment="1">
      <alignment horizontal="left" vertical="center" indent="1"/>
    </xf>
    <xf numFmtId="0" fontId="32" fillId="4" borderId="3" xfId="7" applyNumberFormat="1" applyFont="1" applyFill="1" applyBorder="1" applyAlignment="1">
      <alignment horizontal="left" vertical="center" indent="1"/>
    </xf>
    <xf numFmtId="0" fontId="32" fillId="4" borderId="8" xfId="7" applyNumberFormat="1" applyFont="1" applyFill="1" applyBorder="1" applyAlignment="1">
      <alignment horizontal="left" vertical="center" indent="1"/>
    </xf>
    <xf numFmtId="0" fontId="32" fillId="4" borderId="5" xfId="7" applyNumberFormat="1" applyFont="1" applyFill="1" applyBorder="1" applyAlignment="1">
      <alignment horizontal="left" vertical="center" indent="1"/>
    </xf>
    <xf numFmtId="0" fontId="31" fillId="0" borderId="0" xfId="0" applyFont="1" applyAlignment="1">
      <alignment horizontal="left" vertical="top" wrapText="1"/>
    </xf>
    <xf numFmtId="3" fontId="28" fillId="0" borderId="5" xfId="7" applyNumberFormat="1" applyFont="1" applyBorder="1" applyAlignment="1">
      <alignment vertical="center"/>
    </xf>
    <xf numFmtId="0" fontId="28" fillId="0" borderId="5" xfId="7" applyNumberFormat="1" applyFont="1" applyBorder="1" applyAlignment="1">
      <alignment vertical="center"/>
    </xf>
  </cellXfs>
  <cellStyles count="11">
    <cellStyle name="Comma" xfId="7" builtinId="3"/>
    <cellStyle name="Currency" xfId="8" builtinId="4"/>
    <cellStyle name="Hyperlink" xfId="10" builtinId="8"/>
    <cellStyle name="Hyperlink 2" xfId="3" xr:uid="{00000000-0005-0000-0000-000002000000}"/>
    <cellStyle name="Hyperlink 2 2" xfId="4" xr:uid="{00000000-0005-0000-0000-000003000000}"/>
    <cellStyle name="Normal" xfId="0" builtinId="0"/>
    <cellStyle name="Normal 2" xfId="1" xr:uid="{00000000-0005-0000-0000-000005000000}"/>
    <cellStyle name="Normal 3" xfId="2" xr:uid="{00000000-0005-0000-0000-000006000000}"/>
    <cellStyle name="Normal 4" xfId="5" xr:uid="{00000000-0005-0000-0000-000007000000}"/>
    <cellStyle name="Normal 5" xfId="6" xr:uid="{00000000-0005-0000-0000-000008000000}"/>
    <cellStyle name="Percent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39158</xdr:colOff>
      <xdr:row>9</xdr:row>
      <xdr:rowOff>21166</xdr:rowOff>
    </xdr:from>
    <xdr:to>
      <xdr:col>6</xdr:col>
      <xdr:colOff>119591</xdr:colOff>
      <xdr:row>13</xdr:row>
      <xdr:rowOff>98066</xdr:rowOff>
    </xdr:to>
    <xdr:pic>
      <xdr:nvPicPr>
        <xdr:cNvPr id="4" name="Picture 3" descr="Office of Research &amp; Creative Scholarship Lo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861" y="1807104"/>
          <a:ext cx="3642386" cy="87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39158</xdr:colOff>
      <xdr:row>9</xdr:row>
      <xdr:rowOff>21166</xdr:rowOff>
    </xdr:from>
    <xdr:to>
      <xdr:col>6</xdr:col>
      <xdr:colOff>119591</xdr:colOff>
      <xdr:row>13</xdr:row>
      <xdr:rowOff>98066</xdr:rowOff>
    </xdr:to>
    <xdr:pic>
      <xdr:nvPicPr>
        <xdr:cNvPr id="2" name="Picture 1" descr="Office of Research &amp; Creative Scholarship Log">
          <a:extLst>
            <a:ext uri="{FF2B5EF4-FFF2-40B4-BE49-F238E27FC236}">
              <a16:creationId xmlns:a16="http://schemas.microsoft.com/office/drawing/2014/main" id="{4CE57199-1F85-4496-85EF-ACEAD783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3683" y="1821391"/>
          <a:ext cx="3328458" cy="87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95404</xdr:colOff>
      <xdr:row>1</xdr:row>
      <xdr:rowOff>139700</xdr:rowOff>
    </xdr:to>
    <xdr:pic>
      <xdr:nvPicPr>
        <xdr:cNvPr id="6" name="Picture 5" descr="Office of Research &amp; Creative Scholarship Lo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0"/>
          <a:ext cx="2470304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38100</xdr:colOff>
      <xdr:row>1</xdr:row>
      <xdr:rowOff>169348</xdr:rowOff>
    </xdr:to>
    <xdr:pic>
      <xdr:nvPicPr>
        <xdr:cNvPr id="4" name="Picture 3" descr="Office of Research &amp; Creative Scholarship Lo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2552700" cy="721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SP%20Information/Cayuse/Cost%20Estimation%20Tool/um_budgettemplate_052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DMS calculations"/>
      <sheetName val="Output-TravelTable"/>
      <sheetName val="Industry"/>
    </sheetNames>
    <sheetDataSet>
      <sheetData sheetId="0" refreshError="1"/>
      <sheetData sheetId="1">
        <row r="274">
          <cell r="J274">
            <v>0</v>
          </cell>
          <cell r="N274">
            <v>0</v>
          </cell>
          <cell r="R274">
            <v>0</v>
          </cell>
          <cell r="V274">
            <v>0</v>
          </cell>
          <cell r="Z274">
            <v>0</v>
          </cell>
          <cell r="AD274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oprals.state.gov/web920/per_diem.asp" TargetMode="External"/><Relationship Id="rId13" Type="http://schemas.openxmlformats.org/officeDocument/2006/relationships/hyperlink" Target="https://www.gsa.gov/travel/plan-book/per-diem-rates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gsa.gov/travel/plan-book/per-diem-rates" TargetMode="External"/><Relationship Id="rId7" Type="http://schemas.openxmlformats.org/officeDocument/2006/relationships/hyperlink" Target="https://www.umt.edu/business-services/employees/services/accounts-payable/travel-guidelines-and-procedures.php" TargetMode="External"/><Relationship Id="rId12" Type="http://schemas.openxmlformats.org/officeDocument/2006/relationships/hyperlink" Target="https://www.gsa.gov/travel/plan-book/per-diem-rates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https://www.umt.edu/business-services/students/tuition-and-fees/default.php" TargetMode="Externa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umt.edu/business-services/employees/services/accounts-payable/travel-guidelines-and-procedures.php" TargetMode="External"/><Relationship Id="rId11" Type="http://schemas.openxmlformats.org/officeDocument/2006/relationships/hyperlink" Target="https://www.gsa.gov/travel/plan-book/per-diem-rates" TargetMode="External"/><Relationship Id="rId5" Type="http://schemas.openxmlformats.org/officeDocument/2006/relationships/hyperlink" Target="https://www.umt.edu/business-services/employees/services/accounts-payable/travel-guidelines-and-procedures.php" TargetMode="External"/><Relationship Id="rId15" Type="http://schemas.openxmlformats.org/officeDocument/2006/relationships/hyperlink" Target="https://www.umt.edu/curry-health-center/insurance/student-insurance-page.php" TargetMode="External"/><Relationship Id="rId10" Type="http://schemas.openxmlformats.org/officeDocument/2006/relationships/hyperlink" Target="https://aoprals.state.gov/web920/per_diem.asp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www.umt.edu/business-services/employees/services/accounts-payable/travel-guidelines-and-procedures.php" TargetMode="External"/><Relationship Id="rId9" Type="http://schemas.openxmlformats.org/officeDocument/2006/relationships/hyperlink" Target="https://aoprals.state.gov/web920/per_diem.asp" TargetMode="External"/><Relationship Id="rId14" Type="http://schemas.openxmlformats.org/officeDocument/2006/relationships/hyperlink" Target="https://www.umt.edu/sponsored-programs/propdev/farate.ph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oprals.state.gov/web920/per_diem.asp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umt.edu/business-services/employees/services/accounts-payable/travel-guidelines-and-procedures.php" TargetMode="External"/><Relationship Id="rId7" Type="http://schemas.openxmlformats.org/officeDocument/2006/relationships/hyperlink" Target="https://aoprals.state.gov/web920/per_diem.asp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www.umt.edu/business-services/employees/services/accounts-payable/travel-guidelines-and-procedures.php" TargetMode="External"/><Relationship Id="rId1" Type="http://schemas.openxmlformats.org/officeDocument/2006/relationships/hyperlink" Target="https://www.gsa.gov/travel/plan-book/per-diem-rates" TargetMode="External"/><Relationship Id="rId6" Type="http://schemas.openxmlformats.org/officeDocument/2006/relationships/hyperlink" Target="https://aoprals.state.gov/web920/per_diem.asp" TargetMode="External"/><Relationship Id="rId11" Type="http://schemas.openxmlformats.org/officeDocument/2006/relationships/hyperlink" Target="https://www.gsa.gov/travel/plan-book/per-diem-rates" TargetMode="External"/><Relationship Id="rId5" Type="http://schemas.openxmlformats.org/officeDocument/2006/relationships/hyperlink" Target="https://www.umt.edu/business-services/employees/services/accounts-payable/travel-guidelines-and-procedures.php" TargetMode="External"/><Relationship Id="rId15" Type="http://schemas.openxmlformats.org/officeDocument/2006/relationships/comments" Target="../comments2.xml"/><Relationship Id="rId10" Type="http://schemas.openxmlformats.org/officeDocument/2006/relationships/hyperlink" Target="https://www.gsa.gov/travel/plan-book/per-diem-rates" TargetMode="External"/><Relationship Id="rId4" Type="http://schemas.openxmlformats.org/officeDocument/2006/relationships/hyperlink" Target="https://www.umt.edu/business-services/employees/services/accounts-payable/travel-guidelines-and-procedures.php" TargetMode="External"/><Relationship Id="rId9" Type="http://schemas.openxmlformats.org/officeDocument/2006/relationships/hyperlink" Target="https://www.gsa.gov/travel/plan-book/per-diem-rates" TargetMode="External"/><Relationship Id="rId1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U474"/>
  <sheetViews>
    <sheetView tabSelected="1" topLeftCell="A263" zoomScaleNormal="100" workbookViewId="0">
      <selection activeCell="E277" sqref="E277"/>
    </sheetView>
  </sheetViews>
  <sheetFormatPr defaultColWidth="11" defaultRowHeight="15.75" outlineLevelRow="1" x14ac:dyDescent="0.25"/>
  <cols>
    <col min="1" max="1" width="32.125" style="167" bestFit="1" customWidth="1"/>
    <col min="2" max="2" width="2.75" style="167" customWidth="1"/>
    <col min="3" max="3" width="5.125" style="167" customWidth="1"/>
    <col min="4" max="4" width="23.75" style="167" customWidth="1"/>
    <col min="5" max="5" width="6.5" style="167" customWidth="1"/>
    <col min="6" max="6" width="8.75" style="81" customWidth="1"/>
    <col min="7" max="7" width="9.5" style="81" customWidth="1"/>
    <col min="8" max="8" width="11.625" style="170" customWidth="1"/>
    <col min="9" max="9" width="1.75" style="170" hidden="1" customWidth="1"/>
    <col min="10" max="10" width="11" style="320" customWidth="1"/>
    <col min="11" max="11" width="1.75" style="320" customWidth="1"/>
    <col min="12" max="12" width="11" style="320" hidden="1" customWidth="1"/>
    <col min="13" max="13" width="1.75" style="320" hidden="1" customWidth="1"/>
    <col min="14" max="14" width="11" style="320" customWidth="1"/>
    <col min="15" max="15" width="1.75" style="321" hidden="1" customWidth="1"/>
    <col min="16" max="16" width="11" style="320" hidden="1" customWidth="1"/>
    <col min="17" max="17" width="1.75" style="321" customWidth="1"/>
    <col min="18" max="18" width="11" style="321" customWidth="1"/>
    <col min="19" max="19" width="1.75" style="321" hidden="1" customWidth="1"/>
    <col min="20" max="20" width="11" style="321" hidden="1" customWidth="1"/>
    <col min="21" max="21" width="1.75" style="321" customWidth="1"/>
    <col min="22" max="22" width="11" style="321" customWidth="1"/>
    <col min="23" max="23" width="1.75" style="321" hidden="1" customWidth="1"/>
    <col min="24" max="24" width="11" style="321" hidden="1" customWidth="1"/>
    <col min="25" max="25" width="1.75" style="321" customWidth="1"/>
    <col min="26" max="26" width="11" style="321" customWidth="1"/>
    <col min="27" max="27" width="1.75" style="321" hidden="1" customWidth="1"/>
    <col min="28" max="28" width="11.125" style="321" hidden="1" customWidth="1"/>
    <col min="29" max="29" width="1.75" style="321" customWidth="1"/>
    <col min="30" max="30" width="11" style="320" customWidth="1"/>
    <col min="31" max="31" width="2.125" style="172" hidden="1" customWidth="1"/>
    <col min="32" max="32" width="11" style="172" hidden="1" customWidth="1"/>
    <col min="33" max="33" width="13.5" style="28" hidden="1" customWidth="1"/>
    <col min="34" max="34" width="9.25" style="28" customWidth="1"/>
    <col min="35" max="35" width="14.25" style="28" customWidth="1"/>
    <col min="36" max="36" width="13.625" style="60" customWidth="1"/>
    <col min="37" max="37" width="9.25" style="45" customWidth="1"/>
    <col min="38" max="39" width="9.875" style="173" customWidth="1"/>
    <col min="40" max="40" width="8.375" style="28" customWidth="1"/>
    <col min="41" max="41" width="6.75" style="28" customWidth="1"/>
    <col min="42" max="42" width="6.75" style="41" customWidth="1"/>
    <col min="43" max="43" width="1.875" style="28" customWidth="1"/>
    <col min="44" max="44" width="8.25" style="28" customWidth="1"/>
    <col min="45" max="45" width="7.375" style="28" customWidth="1"/>
    <col min="46" max="46" width="6.75" style="28" customWidth="1"/>
    <col min="47" max="47" width="6.75" style="41" customWidth="1"/>
    <col min="48" max="48" width="1.875" style="28" customWidth="1"/>
    <col min="49" max="49" width="8.25" style="28" customWidth="1"/>
    <col min="50" max="50" width="7.375" style="28" customWidth="1"/>
    <col min="51" max="51" width="6.75" style="28" customWidth="1"/>
    <col min="52" max="52" width="6.75" style="41" customWidth="1"/>
    <col min="53" max="53" width="1.625" style="28" customWidth="1"/>
    <col min="54" max="54" width="7.5" style="28" customWidth="1"/>
    <col min="55" max="55" width="7.375" style="28" customWidth="1"/>
    <col min="56" max="56" width="6.25" style="28" customWidth="1"/>
    <col min="57" max="57" width="6.25" style="41" customWidth="1"/>
    <col min="58" max="58" width="1.875" style="28" customWidth="1"/>
    <col min="59" max="59" width="8.25" style="28" customWidth="1"/>
    <col min="60" max="60" width="7.375" style="28" customWidth="1"/>
    <col min="61" max="61" width="6.25" style="28" customWidth="1"/>
    <col min="62" max="62" width="6.25" style="41" customWidth="1"/>
    <col min="63" max="63" width="1.75" style="45" customWidth="1"/>
    <col min="64" max="64" width="11" style="28"/>
    <col min="65" max="73" width="11" style="174"/>
    <col min="74" max="16384" width="11" style="28"/>
  </cols>
  <sheetData>
    <row r="1" spans="1:64" x14ac:dyDescent="0.25">
      <c r="B1" s="167" t="s">
        <v>154</v>
      </c>
      <c r="E1" s="168"/>
      <c r="F1" s="169"/>
      <c r="G1" s="169"/>
      <c r="I1" s="171"/>
    </row>
    <row r="2" spans="1:64" x14ac:dyDescent="0.25">
      <c r="B2" s="167" t="s">
        <v>155</v>
      </c>
      <c r="E2" s="168"/>
      <c r="F2" s="169"/>
      <c r="G2" s="169"/>
      <c r="AJ2" s="363" t="s">
        <v>265</v>
      </c>
    </row>
    <row r="3" spans="1:64" x14ac:dyDescent="0.25">
      <c r="B3" s="167" t="s">
        <v>116</v>
      </c>
      <c r="E3" s="399"/>
      <c r="F3" s="399"/>
      <c r="G3" s="399"/>
      <c r="AJ3" s="261" t="s">
        <v>54</v>
      </c>
      <c r="AK3" s="312" t="s">
        <v>290</v>
      </c>
    </row>
    <row r="4" spans="1:64" x14ac:dyDescent="0.25">
      <c r="B4" s="167" t="s">
        <v>142</v>
      </c>
      <c r="E4" s="400"/>
      <c r="F4" s="400"/>
      <c r="G4" s="400"/>
      <c r="AJ4" s="262" t="s">
        <v>58</v>
      </c>
      <c r="AK4" s="263">
        <v>3.5000000000000003E-2</v>
      </c>
    </row>
    <row r="5" spans="1:64" x14ac:dyDescent="0.25">
      <c r="B5" s="398" t="s">
        <v>143</v>
      </c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22"/>
      <c r="O5" s="322"/>
      <c r="P5" s="322"/>
      <c r="Q5" s="322"/>
      <c r="V5" s="323"/>
      <c r="X5" s="323"/>
      <c r="AJ5" s="264" t="s">
        <v>6</v>
      </c>
      <c r="AK5" s="263">
        <v>0</v>
      </c>
      <c r="AM5" s="403" t="s">
        <v>229</v>
      </c>
      <c r="AN5" s="404"/>
      <c r="AO5" s="405"/>
    </row>
    <row r="6" spans="1:64" x14ac:dyDescent="0.25">
      <c r="B6" s="167" t="s">
        <v>50</v>
      </c>
      <c r="D6" s="174"/>
      <c r="E6" s="177"/>
      <c r="F6" s="177"/>
      <c r="G6" s="177"/>
      <c r="AH6" s="45"/>
      <c r="AJ6" s="264" t="s">
        <v>55</v>
      </c>
      <c r="AK6" s="263">
        <v>0.03</v>
      </c>
      <c r="AM6" s="291" t="s">
        <v>216</v>
      </c>
      <c r="AN6" s="284"/>
      <c r="AO6" s="288">
        <f>(190/195)*9</f>
        <v>8.7692307692307701</v>
      </c>
    </row>
    <row r="7" spans="1:64" x14ac:dyDescent="0.25">
      <c r="B7" s="167" t="s">
        <v>51</v>
      </c>
      <c r="E7" s="177"/>
      <c r="F7" s="177"/>
      <c r="G7" s="177"/>
      <c r="H7" s="167" t="s">
        <v>20</v>
      </c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24"/>
      <c r="AC7" s="324"/>
      <c r="AJ7" s="264" t="s">
        <v>25</v>
      </c>
      <c r="AK7" s="265">
        <v>0.03</v>
      </c>
      <c r="AM7" s="291" t="s">
        <v>217</v>
      </c>
      <c r="AN7" s="284"/>
      <c r="AO7" s="289">
        <v>12</v>
      </c>
    </row>
    <row r="8" spans="1:64" x14ac:dyDescent="0.25">
      <c r="E8" s="168"/>
      <c r="F8" s="177"/>
      <c r="G8" s="177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24"/>
      <c r="AC8" s="324"/>
      <c r="AF8" s="179"/>
      <c r="AJ8" s="266" t="s">
        <v>158</v>
      </c>
      <c r="AK8" s="267">
        <v>0.03</v>
      </c>
      <c r="AM8" s="285"/>
      <c r="AN8" s="284"/>
      <c r="AO8" s="289"/>
    </row>
    <row r="9" spans="1:64" x14ac:dyDescent="0.25"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395"/>
      <c r="AB9" s="324"/>
      <c r="AC9" s="324"/>
      <c r="AF9" s="179"/>
      <c r="AK9" s="180"/>
      <c r="AM9" s="291" t="s">
        <v>214</v>
      </c>
      <c r="AN9" s="284"/>
      <c r="AO9" s="289">
        <v>190</v>
      </c>
    </row>
    <row r="10" spans="1:64" x14ac:dyDescent="0.25"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24"/>
      <c r="AC10" s="324"/>
      <c r="AF10" s="179"/>
      <c r="AH10" s="8"/>
      <c r="AI10" s="8"/>
      <c r="AJ10" s="282" t="s">
        <v>92</v>
      </c>
      <c r="AK10" s="184">
        <v>1</v>
      </c>
      <c r="AM10" s="396" t="s">
        <v>215</v>
      </c>
      <c r="AN10" s="397"/>
      <c r="AO10" s="289">
        <v>70</v>
      </c>
    </row>
    <row r="11" spans="1:64" x14ac:dyDescent="0.25">
      <c r="I11" s="179"/>
      <c r="J11" s="325"/>
      <c r="K11" s="326"/>
      <c r="L11" s="325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179"/>
      <c r="AF11" s="179"/>
      <c r="AH11" s="401" t="s">
        <v>302</v>
      </c>
      <c r="AI11" s="401"/>
      <c r="AJ11" s="401"/>
      <c r="AK11" s="184" t="s">
        <v>121</v>
      </c>
      <c r="AM11" s="286" t="s">
        <v>227</v>
      </c>
      <c r="AN11" s="287"/>
      <c r="AO11" s="290">
        <f>260/12</f>
        <v>21.6666666666667</v>
      </c>
    </row>
    <row r="12" spans="1:64" ht="15.95" customHeight="1" x14ac:dyDescent="0.25">
      <c r="H12" s="175" t="s">
        <v>160</v>
      </c>
      <c r="I12" s="402"/>
      <c r="J12" s="402"/>
      <c r="K12" s="402"/>
      <c r="L12" s="402"/>
      <c r="M12" s="402"/>
      <c r="N12" s="402"/>
      <c r="P12" s="321"/>
      <c r="AH12" s="401" t="s">
        <v>303</v>
      </c>
      <c r="AI12" s="401"/>
      <c r="AJ12" s="401"/>
      <c r="AK12" s="184" t="s">
        <v>121</v>
      </c>
      <c r="AM12" s="167"/>
      <c r="AR12" s="28" t="s">
        <v>213</v>
      </c>
    </row>
    <row r="13" spans="1:64" x14ac:dyDescent="0.25">
      <c r="L13" s="327" t="s">
        <v>56</v>
      </c>
      <c r="P13" s="327" t="s">
        <v>56</v>
      </c>
      <c r="T13" s="327" t="s">
        <v>56</v>
      </c>
      <c r="X13" s="327" t="s">
        <v>56</v>
      </c>
      <c r="AB13" s="327" t="s">
        <v>56</v>
      </c>
      <c r="AF13" s="185" t="s">
        <v>56</v>
      </c>
      <c r="AG13" s="163" t="s">
        <v>57</v>
      </c>
      <c r="AH13" s="401" t="s">
        <v>304</v>
      </c>
      <c r="AI13" s="401"/>
      <c r="AJ13" s="401"/>
      <c r="AK13" s="184" t="s">
        <v>121</v>
      </c>
      <c r="AM13" s="370" t="s">
        <v>254</v>
      </c>
      <c r="AN13" s="370"/>
      <c r="AO13" s="370"/>
      <c r="AP13" s="370"/>
      <c r="AQ13" s="370"/>
      <c r="AR13" s="370"/>
      <c r="AS13" s="370"/>
      <c r="AT13" s="370"/>
    </row>
    <row r="14" spans="1:64" x14ac:dyDescent="0.25">
      <c r="H14" s="186"/>
      <c r="J14" s="328" t="s">
        <v>0</v>
      </c>
      <c r="K14" s="328"/>
      <c r="L14" s="329" t="s">
        <v>0</v>
      </c>
      <c r="M14" s="328"/>
      <c r="N14" s="328" t="s">
        <v>1</v>
      </c>
      <c r="O14" s="330"/>
      <c r="P14" s="329" t="s">
        <v>1</v>
      </c>
      <c r="Q14" s="330"/>
      <c r="R14" s="328" t="s">
        <v>22</v>
      </c>
      <c r="S14" s="330"/>
      <c r="T14" s="329" t="s">
        <v>22</v>
      </c>
      <c r="U14" s="330"/>
      <c r="V14" s="328" t="s">
        <v>30</v>
      </c>
      <c r="W14" s="330"/>
      <c r="X14" s="329" t="s">
        <v>30</v>
      </c>
      <c r="Y14" s="330"/>
      <c r="Z14" s="328" t="s">
        <v>42</v>
      </c>
      <c r="AA14" s="330"/>
      <c r="AB14" s="329" t="s">
        <v>42</v>
      </c>
      <c r="AC14" s="330"/>
      <c r="AD14" s="328" t="s">
        <v>23</v>
      </c>
      <c r="AE14" s="269"/>
      <c r="AF14" s="270" t="s">
        <v>23</v>
      </c>
      <c r="AG14" s="271" t="s">
        <v>156</v>
      </c>
      <c r="AH14" s="8"/>
      <c r="AI14" s="8"/>
      <c r="AJ14" s="272" t="s">
        <v>117</v>
      </c>
      <c r="AK14" s="273"/>
      <c r="AL14" s="268"/>
      <c r="AM14" s="394" t="s">
        <v>251</v>
      </c>
      <c r="AN14" s="394"/>
      <c r="AO14" s="394"/>
      <c r="AP14" s="394"/>
      <c r="AQ14" s="394"/>
      <c r="AR14" s="394"/>
      <c r="AS14" s="394"/>
      <c r="AT14" s="394"/>
      <c r="AU14" s="394"/>
      <c r="AV14" s="8"/>
      <c r="AW14" s="8"/>
      <c r="AX14" s="8"/>
      <c r="AY14" s="8"/>
      <c r="AZ14" s="274"/>
      <c r="BA14" s="8"/>
      <c r="BB14" s="8"/>
      <c r="BC14" s="8"/>
      <c r="BD14" s="8"/>
      <c r="BE14" s="274"/>
      <c r="BF14" s="8"/>
      <c r="BG14" s="8"/>
      <c r="BH14" s="8"/>
      <c r="BI14" s="8"/>
      <c r="BJ14" s="274"/>
      <c r="BK14" s="273"/>
      <c r="BL14" s="8"/>
    </row>
    <row r="15" spans="1:64" x14ac:dyDescent="0.25">
      <c r="H15" s="186"/>
      <c r="J15" s="328"/>
      <c r="K15" s="328"/>
      <c r="L15" s="329"/>
      <c r="M15" s="328"/>
      <c r="N15" s="328"/>
      <c r="O15" s="330"/>
      <c r="P15" s="329"/>
      <c r="Q15" s="330"/>
      <c r="R15" s="328"/>
      <c r="S15" s="330"/>
      <c r="T15" s="329"/>
      <c r="U15" s="330"/>
      <c r="V15" s="328"/>
      <c r="W15" s="330"/>
      <c r="X15" s="329"/>
      <c r="Y15" s="330"/>
      <c r="Z15" s="328"/>
      <c r="AA15" s="330"/>
      <c r="AB15" s="329"/>
      <c r="AC15" s="330"/>
      <c r="AD15" s="328"/>
      <c r="AE15" s="269"/>
      <c r="AF15" s="270"/>
      <c r="AG15" s="271"/>
      <c r="AH15" s="8"/>
      <c r="AI15" s="268" t="s">
        <v>267</v>
      </c>
      <c r="AJ15" s="272"/>
      <c r="AK15" s="273"/>
      <c r="AL15" s="268"/>
      <c r="AM15" s="268"/>
      <c r="AN15" s="8"/>
      <c r="AO15" s="8"/>
      <c r="AP15" s="274"/>
      <c r="AQ15" s="8"/>
      <c r="AR15" s="8"/>
      <c r="AS15" s="8"/>
      <c r="AT15" s="8"/>
      <c r="AU15" s="274"/>
      <c r="AV15" s="8"/>
      <c r="AW15" s="8"/>
      <c r="AX15" s="8"/>
      <c r="AY15" s="8"/>
      <c r="AZ15" s="274"/>
      <c r="BA15" s="8"/>
      <c r="BB15" s="8"/>
      <c r="BC15" s="8"/>
      <c r="BD15" s="8"/>
      <c r="BE15" s="274"/>
      <c r="BF15" s="8"/>
      <c r="BG15" s="8"/>
      <c r="BH15" s="8"/>
      <c r="BI15" s="8"/>
      <c r="BJ15" s="274"/>
      <c r="BK15" s="273"/>
      <c r="BL15" s="8"/>
    </row>
    <row r="16" spans="1:64" x14ac:dyDescent="0.25">
      <c r="A16" s="187" t="s">
        <v>118</v>
      </c>
      <c r="B16" s="187" t="s">
        <v>2</v>
      </c>
      <c r="C16" s="187" t="s">
        <v>3</v>
      </c>
      <c r="I16" s="188"/>
      <c r="J16" s="331"/>
      <c r="K16" s="332"/>
      <c r="L16" s="333"/>
      <c r="M16" s="332"/>
      <c r="N16" s="332"/>
      <c r="O16" s="334"/>
      <c r="P16" s="333"/>
      <c r="Q16" s="334"/>
      <c r="R16" s="332"/>
      <c r="S16" s="334"/>
      <c r="T16" s="335"/>
      <c r="U16" s="334"/>
      <c r="V16" s="332"/>
      <c r="W16" s="334"/>
      <c r="X16" s="335"/>
      <c r="Y16" s="334"/>
      <c r="Z16" s="332"/>
      <c r="AA16" s="334"/>
      <c r="AB16" s="335"/>
      <c r="AC16" s="334"/>
      <c r="AD16" s="332"/>
      <c r="AE16" s="276"/>
      <c r="AF16" s="277"/>
      <c r="AG16" s="8"/>
      <c r="AH16" s="8"/>
      <c r="AI16" s="371" t="s">
        <v>252</v>
      </c>
      <c r="AJ16" s="278" t="s">
        <v>60</v>
      </c>
      <c r="AK16" s="279" t="s">
        <v>65</v>
      </c>
      <c r="AL16" s="278" t="s">
        <v>61</v>
      </c>
      <c r="AM16" s="278" t="s">
        <v>172</v>
      </c>
      <c r="AN16" s="271" t="s">
        <v>62</v>
      </c>
      <c r="AO16" s="271" t="s">
        <v>63</v>
      </c>
      <c r="AP16" s="280" t="s">
        <v>64</v>
      </c>
      <c r="AQ16" s="271"/>
      <c r="AR16" s="271" t="s">
        <v>175</v>
      </c>
      <c r="AS16" s="271" t="s">
        <v>62</v>
      </c>
      <c r="AT16" s="271" t="s">
        <v>63</v>
      </c>
      <c r="AU16" s="280" t="s">
        <v>64</v>
      </c>
      <c r="AV16" s="271"/>
      <c r="AW16" s="271" t="s">
        <v>175</v>
      </c>
      <c r="AX16" s="271" t="s">
        <v>62</v>
      </c>
      <c r="AY16" s="271" t="s">
        <v>63</v>
      </c>
      <c r="AZ16" s="280" t="s">
        <v>64</v>
      </c>
      <c r="BA16" s="271"/>
      <c r="BB16" s="271" t="s">
        <v>175</v>
      </c>
      <c r="BC16" s="271" t="s">
        <v>62</v>
      </c>
      <c r="BD16" s="271" t="s">
        <v>63</v>
      </c>
      <c r="BE16" s="280" t="s">
        <v>64</v>
      </c>
      <c r="BF16" s="268"/>
      <c r="BG16" s="271" t="s">
        <v>175</v>
      </c>
      <c r="BH16" s="271" t="s">
        <v>62</v>
      </c>
      <c r="BI16" s="271" t="s">
        <v>63</v>
      </c>
      <c r="BJ16" s="280" t="s">
        <v>64</v>
      </c>
      <c r="BK16" s="279"/>
      <c r="BL16" s="271" t="s">
        <v>80</v>
      </c>
    </row>
    <row r="17" spans="1:73" x14ac:dyDescent="0.25">
      <c r="A17" s="168"/>
      <c r="B17" s="187"/>
      <c r="C17" s="167" t="str">
        <f>"PI: "&amp;E6</f>
        <v xml:space="preserve">PI: </v>
      </c>
      <c r="H17" s="191"/>
      <c r="I17" s="188"/>
      <c r="J17" s="332"/>
      <c r="K17" s="332"/>
      <c r="L17" s="333"/>
      <c r="M17" s="332"/>
      <c r="N17" s="332"/>
      <c r="O17" s="334"/>
      <c r="P17" s="333"/>
      <c r="Q17" s="334"/>
      <c r="R17" s="334"/>
      <c r="S17" s="334"/>
      <c r="T17" s="335"/>
      <c r="U17" s="334"/>
      <c r="V17" s="334"/>
      <c r="W17" s="334"/>
      <c r="X17" s="335"/>
      <c r="Y17" s="334"/>
      <c r="Z17" s="334"/>
      <c r="AA17" s="334"/>
      <c r="AB17" s="335"/>
      <c r="AC17" s="334"/>
      <c r="AD17" s="332"/>
      <c r="AE17" s="276"/>
      <c r="AF17" s="277"/>
      <c r="AG17" s="8"/>
      <c r="AH17" s="8" t="s">
        <v>268</v>
      </c>
      <c r="AI17" s="173" t="s">
        <v>276</v>
      </c>
      <c r="AJ17" s="37"/>
      <c r="AK17" s="273"/>
      <c r="AL17" s="10"/>
      <c r="AM17" s="10"/>
      <c r="AN17" s="393" t="s">
        <v>0</v>
      </c>
      <c r="AO17" s="393"/>
      <c r="AP17" s="393"/>
      <c r="AQ17" s="271"/>
      <c r="AR17" s="271"/>
      <c r="AS17" s="393" t="s">
        <v>1</v>
      </c>
      <c r="AT17" s="393"/>
      <c r="AU17" s="393"/>
      <c r="AV17" s="271"/>
      <c r="AW17" s="271"/>
      <c r="AX17" s="393" t="s">
        <v>22</v>
      </c>
      <c r="AY17" s="393"/>
      <c r="AZ17" s="393"/>
      <c r="BA17" s="271"/>
      <c r="BB17" s="271"/>
      <c r="BC17" s="393" t="s">
        <v>30</v>
      </c>
      <c r="BD17" s="393"/>
      <c r="BE17" s="393"/>
      <c r="BF17" s="8"/>
      <c r="BG17" s="8"/>
      <c r="BH17" s="393" t="s">
        <v>42</v>
      </c>
      <c r="BI17" s="393"/>
      <c r="BJ17" s="393"/>
      <c r="BK17" s="271"/>
      <c r="BL17" s="271" t="s">
        <v>23</v>
      </c>
    </row>
    <row r="18" spans="1:73" x14ac:dyDescent="0.25">
      <c r="A18" s="168" t="s">
        <v>167</v>
      </c>
      <c r="B18" s="187"/>
      <c r="C18" s="187"/>
      <c r="D18" s="193" t="str">
        <f>IF(AL18="Summer", (AM18)&amp;" days,"&amp;" Summer", ((AN18*100)&amp;"%"&amp;" time, "&amp;AO18&amp;" months, "&amp;AL18))</f>
        <v>100% time, 0 months, AY</v>
      </c>
      <c r="E18" s="193"/>
      <c r="F18" s="175"/>
      <c r="G18" s="175"/>
      <c r="H18" s="191"/>
      <c r="I18" s="188"/>
      <c r="J18" s="320">
        <v>0</v>
      </c>
      <c r="L18" s="336">
        <v>0</v>
      </c>
      <c r="N18" s="320">
        <f>IF($AK$13="No",IF(AU18=0,0,($AJ18*(1+$AK$4)/$AK18*AU18)),($AJ18*(1+$AK$4)^2/$AK18*AU18))</f>
        <v>0</v>
      </c>
      <c r="O18" s="320"/>
      <c r="P18" s="336">
        <v>0</v>
      </c>
      <c r="R18" s="320">
        <f>IF($AK$13="No",IF(AZ18=0,0,($AJ18*(1+$AK$4)^2/$AK18*AZ18)),($AJ18*(1+$AK$4)^3/$AK18*AZ18))</f>
        <v>0</v>
      </c>
      <c r="S18" s="320"/>
      <c r="T18" s="336">
        <v>0</v>
      </c>
      <c r="V18" s="320">
        <f>IF($AK$13="No",IF(BE18=0,0,($AJ18*(1+$AK$4)^3/$AK18*BE18)),($AJ18*(1+$AK$4)^4/$AK18*BE18))</f>
        <v>0</v>
      </c>
      <c r="W18" s="320"/>
      <c r="X18" s="336">
        <v>0</v>
      </c>
      <c r="Z18" s="320">
        <f>IF($AK$13="No", IF(BJ18=0,0,($AJ18*(1+$AK$4)^4/$AK18*BJ18)), ($AJ18*(1+$AK$4)^5/$AK18*BJ18))</f>
        <v>0</v>
      </c>
      <c r="AA18" s="320"/>
      <c r="AB18" s="336">
        <v>0</v>
      </c>
      <c r="AD18" s="320">
        <f t="shared" ref="AD18:AD50" si="0">J18+N18+R18+V18+Z18</f>
        <v>0</v>
      </c>
      <c r="AE18" s="170"/>
      <c r="AF18" s="189">
        <f t="shared" ref="AF18:AF50" si="1">L18+P18+T18+X18+AB18</f>
        <v>0</v>
      </c>
      <c r="AH18" s="376"/>
      <c r="AI18" s="194"/>
      <c r="AJ18" s="148">
        <v>0.01</v>
      </c>
      <c r="AK18" s="118">
        <f t="shared" ref="AK18:AK48" si="2">VLOOKUP(A18, $D$319:$H$333, 5, FALSE)</f>
        <v>8.77</v>
      </c>
      <c r="AL18" s="119" t="s">
        <v>84</v>
      </c>
      <c r="AM18" s="165"/>
      <c r="AN18" s="381">
        <v>1</v>
      </c>
      <c r="AO18" s="367">
        <v>0</v>
      </c>
      <c r="AP18" s="41">
        <f>IF($AL18="Summer",(AM18/$AO$9*AK18),AN18*AO18)</f>
        <v>0</v>
      </c>
      <c r="AR18" s="121">
        <f>IF($AK$10=1,0,AM18)</f>
        <v>0</v>
      </c>
      <c r="AS18" s="120">
        <f>IF($AK$10=1, 0, AN18)</f>
        <v>0</v>
      </c>
      <c r="AT18" s="121">
        <f t="shared" ref="AT18:AT50" si="3">IF($AK$10=1,0,AO18)</f>
        <v>0</v>
      </c>
      <c r="AU18" s="41">
        <f>IF($AL18="Summer",(AR18/$AO$9*AK18),AS18*AT18)</f>
        <v>0</v>
      </c>
      <c r="AW18" s="121">
        <f t="shared" ref="AW18:AY20" si="4">IF($AK$10=2,0,AR18)</f>
        <v>0</v>
      </c>
      <c r="AX18" s="161">
        <f t="shared" si="4"/>
        <v>0</v>
      </c>
      <c r="AY18" s="159">
        <f t="shared" si="4"/>
        <v>0</v>
      </c>
      <c r="AZ18" s="41">
        <f>IF($AL18="Summer",(AW18/$AO$9*AK18),AX18*AY18)</f>
        <v>0</v>
      </c>
      <c r="BB18" s="121">
        <f t="shared" ref="BB18:BD20" si="5">IF($AK$10=3,0,AW18)</f>
        <v>0</v>
      </c>
      <c r="BC18" s="120">
        <f t="shared" si="5"/>
        <v>0</v>
      </c>
      <c r="BD18" s="121">
        <f t="shared" si="5"/>
        <v>0</v>
      </c>
      <c r="BE18" s="41">
        <f>IF($AL18="Summer",(BB18/$AO$9*AK18),BC18*BD18)</f>
        <v>0</v>
      </c>
      <c r="BG18" s="121">
        <f t="shared" ref="BG18:BI20" si="6">IF($AK$10=4,0,BB18)</f>
        <v>0</v>
      </c>
      <c r="BH18" s="120">
        <f t="shared" si="6"/>
        <v>0</v>
      </c>
      <c r="BI18" s="121">
        <f t="shared" si="6"/>
        <v>0</v>
      </c>
      <c r="BJ18" s="41">
        <f>IF($AL18="Summer",(BG18/$AO$9*AK18),BH18*BI18)</f>
        <v>0</v>
      </c>
      <c r="BL18" s="45">
        <f>BJ18+BE18+AZ18+AU18+AP18</f>
        <v>0</v>
      </c>
    </row>
    <row r="19" spans="1:73" x14ac:dyDescent="0.25">
      <c r="A19" s="168" t="s">
        <v>167</v>
      </c>
      <c r="B19" s="187"/>
      <c r="C19" s="187"/>
      <c r="D19" s="193" t="str">
        <f>IF(AL19="Summer", (AM19)&amp;" days,"&amp;" Summer", ((AN19*100)&amp;"%"&amp;" time, "&amp;AO19&amp;" months, "&amp;AL19))</f>
        <v>0 days, Summer</v>
      </c>
      <c r="E19" s="193"/>
      <c r="F19" s="175"/>
      <c r="G19" s="175"/>
      <c r="H19" s="191"/>
      <c r="I19" s="188"/>
      <c r="J19" s="320">
        <f>IF($AK$13="No", IF(AP19=0,0,($AJ19/$AK19*AP19)), ($AJ19*(1+$AK$4)/$AK19*AP19))</f>
        <v>0</v>
      </c>
      <c r="L19" s="336">
        <v>0</v>
      </c>
      <c r="N19" s="320">
        <f>IF($AK$13="No",IF(AU19=0,0,($AJ19*(1+$AK$4)/$AK19*AU19)),($AJ19*(1+$AK$4)^2/$AK19*AU19))</f>
        <v>0</v>
      </c>
      <c r="O19" s="320"/>
      <c r="P19" s="336">
        <v>0</v>
      </c>
      <c r="R19" s="320">
        <f>IF($AK$13="No",IF(AZ19=0,0,($AJ19*(1+$AK$4)^2/$AK19*AZ19)),($AJ19*(1+$AK$4)^3/$AK19*AZ19))</f>
        <v>0</v>
      </c>
      <c r="S19" s="320"/>
      <c r="T19" s="336">
        <v>0</v>
      </c>
      <c r="V19" s="320">
        <f>IF($AK$13="No",IF(BE19=0,0,($AJ19*(1+$AK$4)^3/$AK19*BE19)),($AJ19*(1+$AK$4)^4/$AK19*BE19))</f>
        <v>0</v>
      </c>
      <c r="W19" s="320"/>
      <c r="X19" s="336">
        <v>0</v>
      </c>
      <c r="Z19" s="320">
        <f>IF($AK$13="No", IF(BJ19=0,0,($AJ19*(1+$AK$4)^4/$AK19*BJ19)), ($AJ19*(1+$AK$4)^5/$AK19*BJ19))</f>
        <v>0</v>
      </c>
      <c r="AA19" s="320"/>
      <c r="AB19" s="336">
        <v>0</v>
      </c>
      <c r="AD19" s="320">
        <f t="shared" si="0"/>
        <v>0</v>
      </c>
      <c r="AE19" s="170"/>
      <c r="AF19" s="189">
        <f t="shared" si="1"/>
        <v>0</v>
      </c>
      <c r="AI19" s="194"/>
      <c r="AJ19" s="148">
        <v>0.01</v>
      </c>
      <c r="AK19" s="118">
        <f t="shared" si="2"/>
        <v>8.77</v>
      </c>
      <c r="AL19" s="119" t="s">
        <v>85</v>
      </c>
      <c r="AM19" s="380">
        <v>0</v>
      </c>
      <c r="AN19" s="120">
        <v>0</v>
      </c>
      <c r="AO19" s="121">
        <v>0</v>
      </c>
      <c r="AP19" s="41">
        <f>IF($AL19="Summer",(AM19/$AO$9*AK19),AN19*AO19)</f>
        <v>0</v>
      </c>
      <c r="AR19" s="121">
        <f>IF($AK$10=1,0,AM19)</f>
        <v>0</v>
      </c>
      <c r="AS19" s="120">
        <f>IF($AK$10=1, 0, AN19)</f>
        <v>0</v>
      </c>
      <c r="AT19" s="121">
        <f t="shared" ref="AT19" si="7">IF($AK$10=1,0,AO19)</f>
        <v>0</v>
      </c>
      <c r="AU19" s="41">
        <f>IF($AL19="Summer",(AR19/$AO$9*AK19),AS19*AT19)</f>
        <v>0</v>
      </c>
      <c r="AW19" s="121">
        <f t="shared" ref="AW19" si="8">IF($AK$10=2,0,AR19)</f>
        <v>0</v>
      </c>
      <c r="AX19" s="161">
        <f t="shared" ref="AX19" si="9">IF($AK$10=2,0,AS19)</f>
        <v>0</v>
      </c>
      <c r="AY19" s="159">
        <f t="shared" ref="AY19" si="10">IF($AK$10=2,0,AT19)</f>
        <v>0</v>
      </c>
      <c r="AZ19" s="41">
        <f>IF($AL19="Summer",(AW19/$AO$9*AK19),AX19*AY19)</f>
        <v>0</v>
      </c>
      <c r="BB19" s="121">
        <f t="shared" ref="BB19" si="11">IF($AK$10=3,0,AW19)</f>
        <v>0</v>
      </c>
      <c r="BC19" s="120">
        <f t="shared" ref="BC19" si="12">IF($AK$10=3,0,AX19)</f>
        <v>0</v>
      </c>
      <c r="BD19" s="121">
        <f t="shared" ref="BD19" si="13">IF($AK$10=3,0,AY19)</f>
        <v>0</v>
      </c>
      <c r="BE19" s="41">
        <f>IF($AL19="Summer",(BB19/$AO$9*AK19),BC19*BD19)</f>
        <v>0</v>
      </c>
      <c r="BG19" s="121">
        <f t="shared" ref="BG19" si="14">IF($AK$10=4,0,BB19)</f>
        <v>0</v>
      </c>
      <c r="BH19" s="120">
        <f t="shared" ref="BH19" si="15">IF($AK$10=4,0,BC19)</f>
        <v>0</v>
      </c>
      <c r="BI19" s="121">
        <f t="shared" ref="BI19" si="16">IF($AK$10=4,0,BD19)</f>
        <v>0</v>
      </c>
      <c r="BJ19" s="41">
        <f>IF($AL19="Summer",(BG19/$AO$9*AK19),BH19*BI19)</f>
        <v>0</v>
      </c>
      <c r="BL19" s="45">
        <f>BJ19+BE19+AZ19+AU19+AP19</f>
        <v>0</v>
      </c>
    </row>
    <row r="20" spans="1:73" s="156" customFormat="1" x14ac:dyDescent="0.25">
      <c r="A20" s="195" t="s">
        <v>167</v>
      </c>
      <c r="B20" s="196"/>
      <c r="C20" s="167" t="str">
        <f>"Co-PI: "&amp;E7</f>
        <v xml:space="preserve">Co-PI: </v>
      </c>
      <c r="D20" s="197"/>
      <c r="E20" s="197"/>
      <c r="F20" s="198"/>
      <c r="G20" s="198"/>
      <c r="H20" s="199"/>
      <c r="I20" s="200"/>
      <c r="J20" s="337">
        <f t="shared" ref="J20:J48" si="17">IF($AK$13="No", IF(AP20=0,0,($AJ20/$AK20*AP20)), ($AJ20*(1+$AK$4)/$AK20*AP20))</f>
        <v>0</v>
      </c>
      <c r="K20" s="338"/>
      <c r="L20" s="336"/>
      <c r="M20" s="338"/>
      <c r="N20" s="338">
        <f t="shared" ref="N20:N48" si="18">IF($AK$13="No",IF(AU20=0,0,($AJ20*(1+$AK$4)/$AK20*AU20)),($AJ20*(1+$AK$4)^2/$AK20*AU20))</f>
        <v>0</v>
      </c>
      <c r="O20" s="338"/>
      <c r="P20" s="336"/>
      <c r="Q20" s="339"/>
      <c r="R20" s="338">
        <f t="shared" ref="R20:R48" si="19">IF($AK$13="No",IF(AZ20=0,0,($AJ20*(1+$AK$4)^2/$AK20*AZ20)),($AJ20*(1+$AK$4)^3/$AK20*AZ20))</f>
        <v>0</v>
      </c>
      <c r="S20" s="338"/>
      <c r="T20" s="336"/>
      <c r="U20" s="339"/>
      <c r="V20" s="320">
        <f t="shared" ref="V20:V50" si="20">IF($AK$13="No",IF(BE20=0,0,($AJ20*(1+$AK$4)^3/$AK20*BE20)),($AJ20*(1+$AK$4)^4/$AK20*BE20))</f>
        <v>0</v>
      </c>
      <c r="W20" s="338"/>
      <c r="X20" s="336"/>
      <c r="Y20" s="339"/>
      <c r="Z20" s="338">
        <f t="shared" ref="Z20:Z48" si="21">IF($AK$13="No", IF(BJ20=0,0,($AJ20*(1+$AK$4)^4/$AK20*BJ20)), ($AJ20*(1+$AK$4)^5/$AK20*BJ20))</f>
        <v>0</v>
      </c>
      <c r="AA20" s="338"/>
      <c r="AB20" s="336"/>
      <c r="AC20" s="339"/>
      <c r="AD20" s="338">
        <f t="shared" si="0"/>
        <v>0</v>
      </c>
      <c r="AE20" s="203"/>
      <c r="AF20" s="204">
        <f t="shared" si="1"/>
        <v>0</v>
      </c>
      <c r="AI20" s="205"/>
      <c r="AJ20" s="150">
        <v>0.01</v>
      </c>
      <c r="AK20" s="151">
        <f t="shared" si="2"/>
        <v>8.77</v>
      </c>
      <c r="AL20" s="152"/>
      <c r="AM20" s="166"/>
      <c r="AN20" s="153">
        <v>0</v>
      </c>
      <c r="AO20" s="154">
        <v>0</v>
      </c>
      <c r="AP20" s="155">
        <f t="shared" ref="AP20:AP47" si="22">IF($AL20="Summer",(AM20/$AO$9*AK20),AN20*AO20)</f>
        <v>0</v>
      </c>
      <c r="AR20" s="154">
        <f>IF($AK$10=1,0,AM20)</f>
        <v>0</v>
      </c>
      <c r="AS20" s="153">
        <f>IF($AK$10=1, 0, AN20)</f>
        <v>0</v>
      </c>
      <c r="AT20" s="154">
        <f t="shared" si="3"/>
        <v>0</v>
      </c>
      <c r="AU20" s="155">
        <f t="shared" ref="AU20:AU48" si="23">IF($AL20="Summer",(AR20/$AO$9*AK20),AS20*AT20)</f>
        <v>0</v>
      </c>
      <c r="AW20" s="154">
        <f t="shared" si="4"/>
        <v>0</v>
      </c>
      <c r="AX20" s="162">
        <f t="shared" si="4"/>
        <v>0</v>
      </c>
      <c r="AY20" s="160">
        <f t="shared" si="4"/>
        <v>0</v>
      </c>
      <c r="AZ20" s="155">
        <f t="shared" ref="AZ20:AZ48" si="24">IF($AL20="Summer",(AW20/$AO$9*AK20),AX20*AY20)</f>
        <v>0</v>
      </c>
      <c r="BB20" s="154">
        <f t="shared" si="5"/>
        <v>0</v>
      </c>
      <c r="BC20" s="153">
        <f t="shared" si="5"/>
        <v>0</v>
      </c>
      <c r="BD20" s="154">
        <f t="shared" si="5"/>
        <v>0</v>
      </c>
      <c r="BE20" s="155">
        <f t="shared" ref="BE20:BE48" si="25">IF($AL20="Summer",(BB20/$AO$9*AK20),BC20*BD20)</f>
        <v>0</v>
      </c>
      <c r="BG20" s="154">
        <f t="shared" si="6"/>
        <v>0</v>
      </c>
      <c r="BH20" s="153">
        <f t="shared" si="6"/>
        <v>0</v>
      </c>
      <c r="BI20" s="154">
        <f t="shared" si="6"/>
        <v>0</v>
      </c>
      <c r="BJ20" s="155">
        <f t="shared" ref="BJ20:BJ48" si="26">IF($AL20="Summer",(BG20/$AO$9*AK20),BH20*BI20)</f>
        <v>0</v>
      </c>
      <c r="BK20" s="157"/>
      <c r="BL20" s="157">
        <f t="shared" ref="BL20:BL48" si="27">BJ20+BE20+AZ20+AU20+AP20</f>
        <v>0</v>
      </c>
      <c r="BM20" s="206"/>
      <c r="BN20" s="206"/>
      <c r="BO20" s="206"/>
      <c r="BP20" s="206"/>
      <c r="BQ20" s="206"/>
      <c r="BR20" s="206"/>
      <c r="BS20" s="206"/>
      <c r="BT20" s="206"/>
      <c r="BU20" s="206"/>
    </row>
    <row r="21" spans="1:73" ht="16.5" customHeight="1" x14ac:dyDescent="0.25">
      <c r="A21" s="168" t="s">
        <v>167</v>
      </c>
      <c r="B21" s="187"/>
      <c r="C21" s="187"/>
      <c r="D21" s="193" t="str">
        <f>IF(AL21="Summer", (AM21)&amp;" days,"&amp;" Summer", ((AN21*100)&amp;"%"&amp;" time, "&amp;AO21&amp;" months, "&amp;AL21))</f>
        <v>0% time, 0 months, AY</v>
      </c>
      <c r="E21" s="193"/>
      <c r="F21" s="175"/>
      <c r="G21" s="175"/>
      <c r="H21" s="191"/>
      <c r="I21" s="188"/>
      <c r="J21" s="320">
        <f t="shared" si="17"/>
        <v>0</v>
      </c>
      <c r="L21" s="336">
        <v>0</v>
      </c>
      <c r="N21" s="320">
        <f t="shared" si="18"/>
        <v>0</v>
      </c>
      <c r="O21" s="320"/>
      <c r="P21" s="336">
        <v>0</v>
      </c>
      <c r="R21" s="320">
        <f t="shared" si="19"/>
        <v>0</v>
      </c>
      <c r="S21" s="320"/>
      <c r="T21" s="336">
        <v>0</v>
      </c>
      <c r="V21" s="320">
        <f t="shared" si="20"/>
        <v>0</v>
      </c>
      <c r="W21" s="320"/>
      <c r="X21" s="336">
        <v>0</v>
      </c>
      <c r="Z21" s="320">
        <f t="shared" si="21"/>
        <v>0</v>
      </c>
      <c r="AA21" s="320"/>
      <c r="AB21" s="336">
        <v>0</v>
      </c>
      <c r="AD21" s="320">
        <f t="shared" si="0"/>
        <v>0</v>
      </c>
      <c r="AE21" s="170"/>
      <c r="AF21" s="189">
        <f t="shared" si="1"/>
        <v>0</v>
      </c>
      <c r="AH21" s="376"/>
      <c r="AI21" s="194"/>
      <c r="AJ21" s="148">
        <v>0.01</v>
      </c>
      <c r="AK21" s="118">
        <f t="shared" si="2"/>
        <v>8.77</v>
      </c>
      <c r="AL21" s="119" t="s">
        <v>84</v>
      </c>
      <c r="AM21" s="165"/>
      <c r="AN21" s="120">
        <v>0</v>
      </c>
      <c r="AO21" s="121">
        <v>0</v>
      </c>
      <c r="AP21" s="41">
        <f t="shared" si="22"/>
        <v>0</v>
      </c>
      <c r="AR21" s="121">
        <f t="shared" ref="AR21:AR47" si="28">IF($AK$10=1,0,AM21)</f>
        <v>0</v>
      </c>
      <c r="AS21" s="120">
        <f t="shared" ref="AS21:AS48" si="29">IF($AK$10=1,0,AN21)</f>
        <v>0</v>
      </c>
      <c r="AT21" s="121">
        <f t="shared" si="3"/>
        <v>0</v>
      </c>
      <c r="AU21" s="41">
        <f t="shared" si="23"/>
        <v>0</v>
      </c>
      <c r="AW21" s="121">
        <f t="shared" ref="AW21:AW47" si="30">IF($AK$10=2,0,AR21)</f>
        <v>0</v>
      </c>
      <c r="AX21" s="120">
        <f t="shared" ref="AX21:AX50" si="31">IF($AK$10=2,0,AS21)</f>
        <v>0</v>
      </c>
      <c r="AY21" s="121">
        <f t="shared" ref="AY21:AY50" si="32">IF($AK$10=2,0,AT21)</f>
        <v>0</v>
      </c>
      <c r="AZ21" s="41">
        <f t="shared" si="24"/>
        <v>0</v>
      </c>
      <c r="BB21" s="121">
        <f t="shared" ref="BB21:BB47" si="33">IF($AK$10=3,0,AW21)</f>
        <v>0</v>
      </c>
      <c r="BC21" s="120">
        <f t="shared" ref="BC21:BC50" si="34">IF($AK$10=3,0,AX21)</f>
        <v>0</v>
      </c>
      <c r="BD21" s="121">
        <f t="shared" ref="BD21:BD50" si="35">IF($AK$10=3,0,AY21)</f>
        <v>0</v>
      </c>
      <c r="BE21" s="41">
        <f t="shared" si="25"/>
        <v>0</v>
      </c>
      <c r="BG21" s="121">
        <f t="shared" ref="BG21:BG47" si="36">IF($AK$10=4,0,BB21)</f>
        <v>0</v>
      </c>
      <c r="BH21" s="120">
        <f t="shared" ref="BH21:BH50" si="37">IF($AK$10=4,0,BC21)</f>
        <v>0</v>
      </c>
      <c r="BI21" s="121">
        <f t="shared" ref="BI21:BI50" si="38">IF($AK$10=4,0,BD21)</f>
        <v>0</v>
      </c>
      <c r="BJ21" s="41">
        <f t="shared" si="26"/>
        <v>0</v>
      </c>
      <c r="BL21" s="45">
        <f t="shared" si="27"/>
        <v>0</v>
      </c>
    </row>
    <row r="22" spans="1:73" ht="16.5" customHeight="1" x14ac:dyDescent="0.25">
      <c r="A22" s="168" t="s">
        <v>167</v>
      </c>
      <c r="B22" s="187"/>
      <c r="C22" s="187"/>
      <c r="D22" s="193" t="str">
        <f>IF(AL22="Summer", (AM22)&amp;" days,"&amp;" Summer", ((AN22*100)&amp;"%"&amp;" time, "&amp;AO22&amp;" months, "&amp;AL22))</f>
        <v>0 days, Summer</v>
      </c>
      <c r="E22" s="193"/>
      <c r="F22" s="175"/>
      <c r="G22" s="175"/>
      <c r="H22" s="191"/>
      <c r="I22" s="188"/>
      <c r="J22" s="320">
        <f t="shared" ref="J22" si="39">IF($AK$13="No", IF(AP22=0,0,($AJ22/$AK22*AP22)), ($AJ22*(1+$AK$4)/$AK22*AP22))</f>
        <v>0</v>
      </c>
      <c r="L22" s="336">
        <v>0</v>
      </c>
      <c r="N22" s="320">
        <f t="shared" ref="N22" si="40">IF($AK$13="No",IF(AU22=0,0,($AJ22*(1+$AK$4)/$AK22*AU22)),($AJ22*(1+$AK$4)^2/$AK22*AU22))</f>
        <v>0</v>
      </c>
      <c r="O22" s="320"/>
      <c r="P22" s="336">
        <v>0</v>
      </c>
      <c r="R22" s="320">
        <f t="shared" ref="R22" si="41">IF($AK$13="No",IF(AZ22=0,0,($AJ22*(1+$AK$4)^2/$AK22*AZ22)),($AJ22*(1+$AK$4)^3/$AK22*AZ22))</f>
        <v>0</v>
      </c>
      <c r="S22" s="320"/>
      <c r="T22" s="336">
        <v>0</v>
      </c>
      <c r="V22" s="320">
        <f t="shared" si="20"/>
        <v>0</v>
      </c>
      <c r="W22" s="320"/>
      <c r="X22" s="336">
        <v>0</v>
      </c>
      <c r="Z22" s="320">
        <f t="shared" ref="Z22" si="42">IF($AK$13="No", IF(BJ22=0,0,($AJ22*(1+$AK$4)^4/$AK22*BJ22)), ($AJ22*(1+$AK$4)^5/$AK22*BJ22))</f>
        <v>0</v>
      </c>
      <c r="AA22" s="320"/>
      <c r="AB22" s="336">
        <v>0</v>
      </c>
      <c r="AD22" s="320">
        <f t="shared" si="0"/>
        <v>0</v>
      </c>
      <c r="AE22" s="170"/>
      <c r="AF22" s="189">
        <f t="shared" si="1"/>
        <v>0</v>
      </c>
      <c r="AI22" s="194"/>
      <c r="AJ22" s="148">
        <v>0.01</v>
      </c>
      <c r="AK22" s="118">
        <f t="shared" si="2"/>
        <v>8.77</v>
      </c>
      <c r="AL22" s="119" t="s">
        <v>85</v>
      </c>
      <c r="AM22" s="165">
        <v>0</v>
      </c>
      <c r="AN22" s="120">
        <v>0</v>
      </c>
      <c r="AO22" s="121">
        <v>0</v>
      </c>
      <c r="AP22" s="41">
        <f t="shared" si="22"/>
        <v>0</v>
      </c>
      <c r="AR22" s="121">
        <f t="shared" ref="AR22" si="43">IF($AK$10=1,0,AM22)</f>
        <v>0</v>
      </c>
      <c r="AS22" s="120">
        <f t="shared" ref="AS22" si="44">IF($AK$10=1,0,AN22)</f>
        <v>0</v>
      </c>
      <c r="AT22" s="121">
        <f t="shared" ref="AT22" si="45">IF($AK$10=1,0,AO22)</f>
        <v>0</v>
      </c>
      <c r="AU22" s="41">
        <f t="shared" si="23"/>
        <v>0</v>
      </c>
      <c r="AW22" s="121">
        <f t="shared" ref="AW22" si="46">IF($AK$10=2,0,AR22)</f>
        <v>0</v>
      </c>
      <c r="AX22" s="120">
        <f t="shared" ref="AX22" si="47">IF($AK$10=2,0,AS22)</f>
        <v>0</v>
      </c>
      <c r="AY22" s="121">
        <f t="shared" ref="AY22" si="48">IF($AK$10=2,0,AT22)</f>
        <v>0</v>
      </c>
      <c r="AZ22" s="41">
        <f t="shared" ref="AZ22" si="49">IF($AL22="Summer",(AW22/$AO$9*AK22),AX22*AY22)</f>
        <v>0</v>
      </c>
      <c r="BB22" s="121">
        <f t="shared" ref="BB22" si="50">IF($AK$10=3,0,AW22)</f>
        <v>0</v>
      </c>
      <c r="BC22" s="120">
        <f t="shared" ref="BC22" si="51">IF($AK$10=3,0,AX22)</f>
        <v>0</v>
      </c>
      <c r="BD22" s="121">
        <f t="shared" ref="BD22" si="52">IF($AK$10=3,0,AY22)</f>
        <v>0</v>
      </c>
      <c r="BE22" s="41">
        <f t="shared" ref="BE22" si="53">IF($AL22="Summer",(BB22/$AO$9*AK22),BC22*BD22)</f>
        <v>0</v>
      </c>
      <c r="BG22" s="121">
        <f t="shared" ref="BG22" si="54">IF($AK$10=4,0,BB22)</f>
        <v>0</v>
      </c>
      <c r="BH22" s="120">
        <f t="shared" ref="BH22" si="55">IF($AK$10=4,0,BC22)</f>
        <v>0</v>
      </c>
      <c r="BI22" s="121">
        <f t="shared" ref="BI22" si="56">IF($AK$10=4,0,BD22)</f>
        <v>0</v>
      </c>
      <c r="BJ22" s="41">
        <f t="shared" ref="BJ22" si="57">IF($AL22="Summer",(BG22/$AO$9*AK22),BH22*BI22)</f>
        <v>0</v>
      </c>
      <c r="BL22" s="45">
        <f t="shared" si="27"/>
        <v>0</v>
      </c>
    </row>
    <row r="23" spans="1:73" s="156" customFormat="1" ht="16.5" customHeight="1" x14ac:dyDescent="0.25">
      <c r="A23" s="195" t="s">
        <v>167</v>
      </c>
      <c r="B23" s="187"/>
      <c r="C23" s="167" t="str">
        <f>"Co-PI: "&amp;E8</f>
        <v xml:space="preserve">Co-PI: </v>
      </c>
      <c r="D23" s="167"/>
      <c r="E23" s="197"/>
      <c r="F23" s="198"/>
      <c r="G23" s="198"/>
      <c r="H23" s="199"/>
      <c r="I23" s="200"/>
      <c r="J23" s="337">
        <f t="shared" si="17"/>
        <v>0</v>
      </c>
      <c r="K23" s="338"/>
      <c r="L23" s="336"/>
      <c r="M23" s="338"/>
      <c r="N23" s="338">
        <f t="shared" si="18"/>
        <v>0</v>
      </c>
      <c r="O23" s="338"/>
      <c r="P23" s="336"/>
      <c r="Q23" s="339"/>
      <c r="R23" s="338">
        <f t="shared" si="19"/>
        <v>0</v>
      </c>
      <c r="S23" s="338"/>
      <c r="T23" s="336"/>
      <c r="U23" s="339"/>
      <c r="V23" s="320">
        <f t="shared" si="20"/>
        <v>0</v>
      </c>
      <c r="W23" s="338"/>
      <c r="X23" s="336"/>
      <c r="Y23" s="339"/>
      <c r="Z23" s="338">
        <f t="shared" si="21"/>
        <v>0</v>
      </c>
      <c r="AA23" s="338"/>
      <c r="AB23" s="336"/>
      <c r="AC23" s="339"/>
      <c r="AD23" s="338">
        <f t="shared" si="0"/>
        <v>0</v>
      </c>
      <c r="AE23" s="202"/>
      <c r="AF23" s="204">
        <f t="shared" si="1"/>
        <v>0</v>
      </c>
      <c r="AI23" s="194"/>
      <c r="AJ23" s="150">
        <v>0.01</v>
      </c>
      <c r="AK23" s="151">
        <f t="shared" si="2"/>
        <v>8.77</v>
      </c>
      <c r="AL23" s="152"/>
      <c r="AM23" s="166"/>
      <c r="AN23" s="153">
        <v>0</v>
      </c>
      <c r="AO23" s="154">
        <v>0</v>
      </c>
      <c r="AP23" s="155">
        <f t="shared" ref="AP23" si="58">IF($AL23="Summer",(AM23/$AO$9*AK23),AN23*AO23)</f>
        <v>0</v>
      </c>
      <c r="AR23" s="154">
        <f t="shared" ref="AR23" si="59">IF($AK$10=1,0,AM23)</f>
        <v>0</v>
      </c>
      <c r="AS23" s="153">
        <f t="shared" si="29"/>
        <v>0</v>
      </c>
      <c r="AT23" s="154">
        <f t="shared" si="3"/>
        <v>0</v>
      </c>
      <c r="AU23" s="155">
        <f t="shared" si="23"/>
        <v>0</v>
      </c>
      <c r="AW23" s="154">
        <f t="shared" ref="AW23" si="60">IF($AK$10=2,0,AR23)</f>
        <v>0</v>
      </c>
      <c r="AX23" s="153">
        <f t="shared" si="31"/>
        <v>0</v>
      </c>
      <c r="AY23" s="154">
        <f t="shared" si="32"/>
        <v>0</v>
      </c>
      <c r="AZ23" s="155">
        <f t="shared" si="24"/>
        <v>0</v>
      </c>
      <c r="BB23" s="154">
        <f t="shared" ref="BB23" si="61">IF($AK$10=3,0,AW23)</f>
        <v>0</v>
      </c>
      <c r="BC23" s="153">
        <f t="shared" si="34"/>
        <v>0</v>
      </c>
      <c r="BD23" s="154">
        <f t="shared" si="35"/>
        <v>0</v>
      </c>
      <c r="BE23" s="155">
        <f t="shared" si="25"/>
        <v>0</v>
      </c>
      <c r="BG23" s="154">
        <f t="shared" ref="BG23" si="62">IF($AK$10=4,0,BB23)</f>
        <v>0</v>
      </c>
      <c r="BH23" s="153">
        <f t="shared" si="37"/>
        <v>0</v>
      </c>
      <c r="BI23" s="154">
        <f t="shared" si="38"/>
        <v>0</v>
      </c>
      <c r="BJ23" s="155">
        <f t="shared" si="26"/>
        <v>0</v>
      </c>
      <c r="BK23" s="157"/>
      <c r="BL23" s="157">
        <f t="shared" si="27"/>
        <v>0</v>
      </c>
      <c r="BM23" s="206"/>
      <c r="BN23" s="206"/>
      <c r="BO23" s="206"/>
      <c r="BP23" s="206"/>
      <c r="BQ23" s="206"/>
      <c r="BR23" s="206"/>
      <c r="BS23" s="206"/>
      <c r="BT23" s="206"/>
      <c r="BU23" s="206"/>
    </row>
    <row r="24" spans="1:73" ht="16.5" customHeight="1" x14ac:dyDescent="0.25">
      <c r="A24" s="168" t="s">
        <v>167</v>
      </c>
      <c r="B24" s="187"/>
      <c r="D24" s="193" t="str">
        <f>IF(AL24="Summer", (AM24)&amp;" days,"&amp;" Summer", ((AN24*100)&amp;"%"&amp;" time, "&amp;AO24&amp;" months, "&amp;AL24))</f>
        <v>0% time, 0 months, AY</v>
      </c>
      <c r="E24" s="193"/>
      <c r="H24" s="191"/>
      <c r="I24" s="188"/>
      <c r="J24" s="320">
        <f t="shared" si="17"/>
        <v>0</v>
      </c>
      <c r="L24" s="336">
        <v>0</v>
      </c>
      <c r="N24" s="320">
        <f t="shared" si="18"/>
        <v>0</v>
      </c>
      <c r="O24" s="320"/>
      <c r="P24" s="336">
        <v>0</v>
      </c>
      <c r="R24" s="320">
        <f t="shared" si="19"/>
        <v>0</v>
      </c>
      <c r="S24" s="320"/>
      <c r="T24" s="336">
        <v>0</v>
      </c>
      <c r="V24" s="320">
        <f t="shared" si="20"/>
        <v>0</v>
      </c>
      <c r="W24" s="320"/>
      <c r="X24" s="336">
        <v>0</v>
      </c>
      <c r="Z24" s="320">
        <f t="shared" si="21"/>
        <v>0</v>
      </c>
      <c r="AA24" s="320"/>
      <c r="AB24" s="336">
        <v>0</v>
      </c>
      <c r="AD24" s="320">
        <f t="shared" si="0"/>
        <v>0</v>
      </c>
      <c r="AE24" s="170"/>
      <c r="AF24" s="189">
        <f t="shared" si="1"/>
        <v>0</v>
      </c>
      <c r="AH24" s="376"/>
      <c r="AI24" s="194"/>
      <c r="AJ24" s="148">
        <v>0.01</v>
      </c>
      <c r="AK24" s="118">
        <f t="shared" si="2"/>
        <v>8.77</v>
      </c>
      <c r="AL24" s="119" t="s">
        <v>84</v>
      </c>
      <c r="AM24" s="165"/>
      <c r="AN24" s="120">
        <v>0</v>
      </c>
      <c r="AO24" s="121">
        <v>0</v>
      </c>
      <c r="AP24" s="41">
        <f t="shared" si="22"/>
        <v>0</v>
      </c>
      <c r="AR24" s="121">
        <f t="shared" si="28"/>
        <v>0</v>
      </c>
      <c r="AS24" s="120">
        <f t="shared" si="29"/>
        <v>0</v>
      </c>
      <c r="AT24" s="121">
        <f t="shared" si="3"/>
        <v>0</v>
      </c>
      <c r="AU24" s="41">
        <f t="shared" si="23"/>
        <v>0</v>
      </c>
      <c r="AW24" s="121">
        <f t="shared" si="30"/>
        <v>0</v>
      </c>
      <c r="AX24" s="120">
        <f t="shared" si="31"/>
        <v>0</v>
      </c>
      <c r="AY24" s="121">
        <f t="shared" si="32"/>
        <v>0</v>
      </c>
      <c r="AZ24" s="41">
        <f t="shared" si="24"/>
        <v>0</v>
      </c>
      <c r="BB24" s="121">
        <f t="shared" si="33"/>
        <v>0</v>
      </c>
      <c r="BC24" s="120">
        <f t="shared" si="34"/>
        <v>0</v>
      </c>
      <c r="BD24" s="121">
        <f t="shared" si="35"/>
        <v>0</v>
      </c>
      <c r="BE24" s="41">
        <f t="shared" si="25"/>
        <v>0</v>
      </c>
      <c r="BG24" s="121">
        <f t="shared" si="36"/>
        <v>0</v>
      </c>
      <c r="BH24" s="120">
        <f t="shared" si="37"/>
        <v>0</v>
      </c>
      <c r="BI24" s="121">
        <f t="shared" si="38"/>
        <v>0</v>
      </c>
      <c r="BJ24" s="41">
        <f t="shared" si="26"/>
        <v>0</v>
      </c>
      <c r="BL24" s="45">
        <f t="shared" si="27"/>
        <v>0</v>
      </c>
    </row>
    <row r="25" spans="1:73" ht="16.5" customHeight="1" x14ac:dyDescent="0.25">
      <c r="A25" s="168" t="s">
        <v>167</v>
      </c>
      <c r="B25" s="187"/>
      <c r="D25" s="193" t="str">
        <f>IF(AL25="Summer", (AM25)&amp;" days,"&amp;" Summer", ((AN25*100)&amp;"%"&amp;" time, "&amp;AO25&amp;" months, "&amp;AL25))</f>
        <v>0 days, Summer</v>
      </c>
      <c r="E25" s="193"/>
      <c r="H25" s="191"/>
      <c r="I25" s="188"/>
      <c r="J25" s="320">
        <f t="shared" ref="J25" si="63">IF($AK$13="No", IF(AP25=0,0,($AJ25/$AK25*AP25)), ($AJ25*(1+$AK$4)/$AK25*AP25))</f>
        <v>0</v>
      </c>
      <c r="L25" s="336">
        <v>0</v>
      </c>
      <c r="N25" s="320">
        <f t="shared" ref="N25" si="64">IF($AK$13="No",IF(AU25=0,0,($AJ25*(1+$AK$4)/$AK25*AU25)),($AJ25*(1+$AK$4)^2/$AK25*AU25))</f>
        <v>0</v>
      </c>
      <c r="O25" s="320"/>
      <c r="P25" s="336">
        <v>0</v>
      </c>
      <c r="R25" s="320">
        <f t="shared" ref="R25" si="65">IF($AK$13="No",IF(AZ25=0,0,($AJ25*(1+$AK$4)^2/$AK25*AZ25)),($AJ25*(1+$AK$4)^3/$AK25*AZ25))</f>
        <v>0</v>
      </c>
      <c r="S25" s="320"/>
      <c r="T25" s="336">
        <v>0</v>
      </c>
      <c r="V25" s="320">
        <f t="shared" si="20"/>
        <v>0</v>
      </c>
      <c r="W25" s="320"/>
      <c r="X25" s="336">
        <v>0</v>
      </c>
      <c r="Z25" s="320">
        <f t="shared" ref="Z25" si="66">IF($AK$13="No", IF(BJ25=0,0,($AJ25*(1+$AK$4)^4/$AK25*BJ25)), ($AJ25*(1+$AK$4)^5/$AK25*BJ25))</f>
        <v>0</v>
      </c>
      <c r="AA25" s="320"/>
      <c r="AB25" s="336">
        <v>0</v>
      </c>
      <c r="AD25" s="320">
        <f t="shared" si="0"/>
        <v>0</v>
      </c>
      <c r="AE25" s="170"/>
      <c r="AF25" s="189">
        <f t="shared" si="1"/>
        <v>0</v>
      </c>
      <c r="AI25" s="194"/>
      <c r="AJ25" s="148">
        <v>0.01</v>
      </c>
      <c r="AK25" s="118">
        <f t="shared" si="2"/>
        <v>8.77</v>
      </c>
      <c r="AL25" s="119" t="s">
        <v>85</v>
      </c>
      <c r="AM25" s="165">
        <v>0</v>
      </c>
      <c r="AN25" s="120">
        <v>0</v>
      </c>
      <c r="AO25" s="121">
        <v>0</v>
      </c>
      <c r="AP25" s="41">
        <f t="shared" si="22"/>
        <v>0</v>
      </c>
      <c r="AR25" s="121">
        <f t="shared" ref="AR25" si="67">IF($AK$10=1,0,AM25)</f>
        <v>0</v>
      </c>
      <c r="AS25" s="120">
        <f t="shared" ref="AS25" si="68">IF($AK$10=1,0,AN25)</f>
        <v>0</v>
      </c>
      <c r="AT25" s="121">
        <f t="shared" ref="AT25" si="69">IF($AK$10=1,0,AO25)</f>
        <v>0</v>
      </c>
      <c r="AU25" s="41">
        <f t="shared" ref="AU25" si="70">IF($AL25="Summer",(AR25/$AO$9*AK25),AS25*AT25)</f>
        <v>0</v>
      </c>
      <c r="AW25" s="121">
        <f t="shared" ref="AW25" si="71">IF($AK$10=2,0,AR25)</f>
        <v>0</v>
      </c>
      <c r="AX25" s="120">
        <f t="shared" ref="AX25" si="72">IF($AK$10=2,0,AS25)</f>
        <v>0</v>
      </c>
      <c r="AY25" s="121">
        <f t="shared" ref="AY25" si="73">IF($AK$10=2,0,AT25)</f>
        <v>0</v>
      </c>
      <c r="AZ25" s="41">
        <f t="shared" ref="AZ25" si="74">IF($AL25="Summer",(AW25/$AO$9*AK25),AX25*AY25)</f>
        <v>0</v>
      </c>
      <c r="BB25" s="121">
        <f t="shared" ref="BB25" si="75">IF($AK$10=3,0,AW25)</f>
        <v>0</v>
      </c>
      <c r="BC25" s="120">
        <f t="shared" ref="BC25" si="76">IF($AK$10=3,0,AX25)</f>
        <v>0</v>
      </c>
      <c r="BD25" s="121">
        <f t="shared" ref="BD25" si="77">IF($AK$10=3,0,AY25)</f>
        <v>0</v>
      </c>
      <c r="BE25" s="41">
        <f t="shared" ref="BE25" si="78">IF($AL25="Summer",(BB25/$AO$9*AK25),BC25*BD25)</f>
        <v>0</v>
      </c>
      <c r="BG25" s="121">
        <f t="shared" ref="BG25" si="79">IF($AK$10=4,0,BB25)</f>
        <v>0</v>
      </c>
      <c r="BH25" s="120">
        <f t="shared" ref="BH25" si="80">IF($AK$10=4,0,BC25)</f>
        <v>0</v>
      </c>
      <c r="BI25" s="121">
        <f t="shared" ref="BI25" si="81">IF($AK$10=4,0,BD25)</f>
        <v>0</v>
      </c>
      <c r="BJ25" s="41">
        <f t="shared" ref="BJ25" si="82">IF($AL25="Summer",(BG25/$AO$9*AK25),BH25*BI25)</f>
        <v>0</v>
      </c>
      <c r="BL25" s="45">
        <f t="shared" si="27"/>
        <v>0</v>
      </c>
    </row>
    <row r="26" spans="1:73" s="156" customFormat="1" ht="16.5" customHeight="1" x14ac:dyDescent="0.25">
      <c r="A26" s="195" t="s">
        <v>167</v>
      </c>
      <c r="B26" s="187"/>
      <c r="C26" s="167" t="s">
        <v>88</v>
      </c>
      <c r="D26" s="167"/>
      <c r="E26" s="197"/>
      <c r="F26" s="198"/>
      <c r="G26" s="198"/>
      <c r="H26" s="199"/>
      <c r="I26" s="200"/>
      <c r="J26" s="337">
        <f t="shared" si="17"/>
        <v>0</v>
      </c>
      <c r="K26" s="338"/>
      <c r="L26" s="336"/>
      <c r="M26" s="338"/>
      <c r="N26" s="338">
        <f t="shared" si="18"/>
        <v>0</v>
      </c>
      <c r="O26" s="338"/>
      <c r="P26" s="336"/>
      <c r="Q26" s="339"/>
      <c r="R26" s="338">
        <f t="shared" si="19"/>
        <v>0</v>
      </c>
      <c r="S26" s="338"/>
      <c r="T26" s="336"/>
      <c r="U26" s="339"/>
      <c r="V26" s="320">
        <f t="shared" si="20"/>
        <v>0</v>
      </c>
      <c r="W26" s="338"/>
      <c r="X26" s="336"/>
      <c r="Y26" s="339"/>
      <c r="Z26" s="338">
        <f t="shared" si="21"/>
        <v>0</v>
      </c>
      <c r="AA26" s="338"/>
      <c r="AB26" s="336"/>
      <c r="AC26" s="339"/>
      <c r="AD26" s="338">
        <f t="shared" si="0"/>
        <v>0</v>
      </c>
      <c r="AE26" s="202"/>
      <c r="AF26" s="204">
        <f t="shared" si="1"/>
        <v>0</v>
      </c>
      <c r="AI26" s="194"/>
      <c r="AJ26" s="150">
        <v>0.01</v>
      </c>
      <c r="AK26" s="151">
        <f t="shared" si="2"/>
        <v>8.77</v>
      </c>
      <c r="AL26" s="152"/>
      <c r="AM26" s="166"/>
      <c r="AN26" s="153">
        <v>0</v>
      </c>
      <c r="AO26" s="154">
        <v>0</v>
      </c>
      <c r="AP26" s="155">
        <f t="shared" ref="AP26" si="83">IF($AL26="Summer",(AM26/$AO$9*AK26),AN26*AO26)</f>
        <v>0</v>
      </c>
      <c r="AR26" s="154">
        <f t="shared" ref="AR26" si="84">IF($AK$10=1,0,AM26)</f>
        <v>0</v>
      </c>
      <c r="AS26" s="153">
        <f t="shared" si="29"/>
        <v>0</v>
      </c>
      <c r="AT26" s="154">
        <f t="shared" si="3"/>
        <v>0</v>
      </c>
      <c r="AU26" s="155">
        <f t="shared" si="23"/>
        <v>0</v>
      </c>
      <c r="AW26" s="154">
        <f t="shared" ref="AW26" si="85">IF($AK$10=2,0,AR26)</f>
        <v>0</v>
      </c>
      <c r="AX26" s="153">
        <f t="shared" si="31"/>
        <v>0</v>
      </c>
      <c r="AY26" s="154">
        <f t="shared" si="32"/>
        <v>0</v>
      </c>
      <c r="AZ26" s="155">
        <f t="shared" si="24"/>
        <v>0</v>
      </c>
      <c r="BB26" s="154">
        <f t="shared" ref="BB26" si="86">IF($AK$10=3,0,AW26)</f>
        <v>0</v>
      </c>
      <c r="BC26" s="153">
        <f t="shared" si="34"/>
        <v>0</v>
      </c>
      <c r="BD26" s="154">
        <f t="shared" si="35"/>
        <v>0</v>
      </c>
      <c r="BE26" s="155">
        <f t="shared" si="25"/>
        <v>0</v>
      </c>
      <c r="BG26" s="154">
        <f t="shared" ref="BG26" si="87">IF($AK$10=4,0,BB26)</f>
        <v>0</v>
      </c>
      <c r="BH26" s="153">
        <f t="shared" si="37"/>
        <v>0</v>
      </c>
      <c r="BI26" s="154">
        <f t="shared" si="38"/>
        <v>0</v>
      </c>
      <c r="BJ26" s="155">
        <f t="shared" si="26"/>
        <v>0</v>
      </c>
      <c r="BK26" s="157"/>
      <c r="BL26" s="157">
        <f t="shared" si="27"/>
        <v>0</v>
      </c>
      <c r="BM26" s="206"/>
      <c r="BN26" s="206"/>
      <c r="BO26" s="206"/>
      <c r="BP26" s="206"/>
      <c r="BQ26" s="206"/>
      <c r="BR26" s="206"/>
      <c r="BS26" s="206"/>
      <c r="BT26" s="206"/>
      <c r="BU26" s="206"/>
    </row>
    <row r="27" spans="1:73" ht="16.5" customHeight="1" x14ac:dyDescent="0.25">
      <c r="A27" s="168" t="s">
        <v>167</v>
      </c>
      <c r="B27" s="187"/>
      <c r="D27" s="193" t="str">
        <f>IF(AL27="Summer", (AM27)&amp;" days,"&amp;" Summer", ((AN27*100)&amp;"%"&amp;" time, "&amp;AO27&amp;" months, "&amp;AL27))</f>
        <v>0% time, 0 months, AY</v>
      </c>
      <c r="E27" s="193"/>
      <c r="H27" s="191"/>
      <c r="I27" s="188"/>
      <c r="J27" s="320">
        <f t="shared" si="17"/>
        <v>0</v>
      </c>
      <c r="L27" s="336">
        <v>0</v>
      </c>
      <c r="N27" s="320">
        <f t="shared" si="18"/>
        <v>0</v>
      </c>
      <c r="O27" s="320"/>
      <c r="P27" s="336">
        <v>0</v>
      </c>
      <c r="R27" s="320">
        <f t="shared" si="19"/>
        <v>0</v>
      </c>
      <c r="S27" s="320"/>
      <c r="T27" s="336">
        <v>0</v>
      </c>
      <c r="V27" s="320">
        <f t="shared" si="20"/>
        <v>0</v>
      </c>
      <c r="W27" s="320"/>
      <c r="X27" s="336">
        <v>0</v>
      </c>
      <c r="Z27" s="320">
        <f t="shared" si="21"/>
        <v>0</v>
      </c>
      <c r="AA27" s="320"/>
      <c r="AB27" s="336">
        <v>0</v>
      </c>
      <c r="AD27" s="320">
        <f t="shared" si="0"/>
        <v>0</v>
      </c>
      <c r="AE27" s="170"/>
      <c r="AF27" s="189">
        <f t="shared" si="1"/>
        <v>0</v>
      </c>
      <c r="AH27" s="376"/>
      <c r="AI27" s="194"/>
      <c r="AJ27" s="148">
        <v>0.01</v>
      </c>
      <c r="AK27" s="118">
        <f t="shared" si="2"/>
        <v>8.77</v>
      </c>
      <c r="AL27" s="119" t="s">
        <v>84</v>
      </c>
      <c r="AM27" s="165"/>
      <c r="AN27" s="120">
        <v>0</v>
      </c>
      <c r="AO27" s="121">
        <v>0</v>
      </c>
      <c r="AP27" s="41">
        <f t="shared" si="22"/>
        <v>0</v>
      </c>
      <c r="AR27" s="121">
        <f t="shared" si="28"/>
        <v>0</v>
      </c>
      <c r="AS27" s="120">
        <f t="shared" si="29"/>
        <v>0</v>
      </c>
      <c r="AT27" s="121">
        <f t="shared" si="3"/>
        <v>0</v>
      </c>
      <c r="AU27" s="41">
        <f t="shared" si="23"/>
        <v>0</v>
      </c>
      <c r="AW27" s="121">
        <f t="shared" si="30"/>
        <v>0</v>
      </c>
      <c r="AX27" s="120">
        <f t="shared" si="31"/>
        <v>0</v>
      </c>
      <c r="AY27" s="121">
        <f t="shared" si="32"/>
        <v>0</v>
      </c>
      <c r="AZ27" s="41">
        <f t="shared" si="24"/>
        <v>0</v>
      </c>
      <c r="BB27" s="121">
        <f t="shared" si="33"/>
        <v>0</v>
      </c>
      <c r="BC27" s="120">
        <f t="shared" si="34"/>
        <v>0</v>
      </c>
      <c r="BD27" s="121">
        <f t="shared" si="35"/>
        <v>0</v>
      </c>
      <c r="BE27" s="41">
        <f t="shared" si="25"/>
        <v>0</v>
      </c>
      <c r="BG27" s="121">
        <f t="shared" si="36"/>
        <v>0</v>
      </c>
      <c r="BH27" s="120">
        <f t="shared" si="37"/>
        <v>0</v>
      </c>
      <c r="BI27" s="121">
        <f t="shared" si="38"/>
        <v>0</v>
      </c>
      <c r="BJ27" s="41">
        <f t="shared" si="26"/>
        <v>0</v>
      </c>
      <c r="BL27" s="45">
        <f t="shared" si="27"/>
        <v>0</v>
      </c>
    </row>
    <row r="28" spans="1:73" ht="16.5" customHeight="1" x14ac:dyDescent="0.25">
      <c r="A28" s="168" t="s">
        <v>167</v>
      </c>
      <c r="B28" s="187"/>
      <c r="D28" s="193" t="str">
        <f>IF(AL28="Summer", (AM28)&amp;" days,"&amp;" Summer", ((AN28*100)&amp;"%"&amp;" time, "&amp;AO28&amp;" months, "&amp;AL28))</f>
        <v>0 days, Summer</v>
      </c>
      <c r="E28" s="193"/>
      <c r="H28" s="191"/>
      <c r="I28" s="188"/>
      <c r="J28" s="320">
        <f t="shared" ref="J28" si="88">IF($AK$13="No", IF(AP28=0,0,($AJ28/$AK28*AP28)), ($AJ28*(1+$AK$4)/$AK28*AP28))</f>
        <v>0</v>
      </c>
      <c r="L28" s="336">
        <v>0</v>
      </c>
      <c r="N28" s="320">
        <f t="shared" ref="N28" si="89">IF($AK$13="No",IF(AU28=0,0,($AJ28*(1+$AK$4)/$AK28*AU28)),($AJ28*(1+$AK$4)^2/$AK28*AU28))</f>
        <v>0</v>
      </c>
      <c r="O28" s="320"/>
      <c r="P28" s="336">
        <v>0</v>
      </c>
      <c r="R28" s="320">
        <f t="shared" ref="R28" si="90">IF($AK$13="No",IF(AZ28=0,0,($AJ28*(1+$AK$4)^2/$AK28*AZ28)),($AJ28*(1+$AK$4)^3/$AK28*AZ28))</f>
        <v>0</v>
      </c>
      <c r="S28" s="320"/>
      <c r="T28" s="336">
        <v>0</v>
      </c>
      <c r="V28" s="320">
        <f t="shared" si="20"/>
        <v>0</v>
      </c>
      <c r="W28" s="320"/>
      <c r="X28" s="336">
        <v>0</v>
      </c>
      <c r="Z28" s="320">
        <f t="shared" ref="Z28" si="91">IF($AK$13="No", IF(BJ28=0,0,($AJ28*(1+$AK$4)^4/$AK28*BJ28)), ($AJ28*(1+$AK$4)^5/$AK28*BJ28))</f>
        <v>0</v>
      </c>
      <c r="AA28" s="320"/>
      <c r="AB28" s="336">
        <v>0</v>
      </c>
      <c r="AD28" s="320">
        <f t="shared" si="0"/>
        <v>0</v>
      </c>
      <c r="AE28" s="170"/>
      <c r="AF28" s="189">
        <f t="shared" si="1"/>
        <v>0</v>
      </c>
      <c r="AI28" s="194"/>
      <c r="AJ28" s="148">
        <v>0.01</v>
      </c>
      <c r="AK28" s="118">
        <f t="shared" si="2"/>
        <v>8.77</v>
      </c>
      <c r="AL28" s="119" t="s">
        <v>85</v>
      </c>
      <c r="AM28" s="165">
        <v>0</v>
      </c>
      <c r="AN28" s="120">
        <v>0</v>
      </c>
      <c r="AO28" s="121">
        <v>0</v>
      </c>
      <c r="AP28" s="41">
        <f t="shared" si="22"/>
        <v>0</v>
      </c>
      <c r="AR28" s="121">
        <f t="shared" ref="AR28" si="92">IF($AK$10=1,0,AM28)</f>
        <v>0</v>
      </c>
      <c r="AS28" s="120">
        <f t="shared" ref="AS28" si="93">IF($AK$10=1,0,AN28)</f>
        <v>0</v>
      </c>
      <c r="AT28" s="121">
        <f t="shared" ref="AT28" si="94">IF($AK$10=1,0,AO28)</f>
        <v>0</v>
      </c>
      <c r="AU28" s="41">
        <f t="shared" ref="AU28" si="95">IF($AL28="Summer",(AR28/$AO$9*AK28),AS28*AT28)</f>
        <v>0</v>
      </c>
      <c r="AW28" s="121">
        <f t="shared" ref="AW28" si="96">IF($AK$10=2,0,AR28)</f>
        <v>0</v>
      </c>
      <c r="AX28" s="120">
        <f t="shared" ref="AX28" si="97">IF($AK$10=2,0,AS28)</f>
        <v>0</v>
      </c>
      <c r="AY28" s="121">
        <f t="shared" ref="AY28" si="98">IF($AK$10=2,0,AT28)</f>
        <v>0</v>
      </c>
      <c r="AZ28" s="41">
        <f t="shared" ref="AZ28" si="99">IF($AL28="Summer",(AW28/$AO$9*AK28),AX28*AY28)</f>
        <v>0</v>
      </c>
      <c r="BB28" s="121">
        <f t="shared" ref="BB28" si="100">IF($AK$10=3,0,AW28)</f>
        <v>0</v>
      </c>
      <c r="BC28" s="120">
        <f t="shared" ref="BC28" si="101">IF($AK$10=3,0,AX28)</f>
        <v>0</v>
      </c>
      <c r="BD28" s="121">
        <f t="shared" ref="BD28" si="102">IF($AK$10=3,0,AY28)</f>
        <v>0</v>
      </c>
      <c r="BE28" s="41">
        <f t="shared" ref="BE28" si="103">IF($AL28="Summer",(BB28/$AO$9*AK28),BC28*BD28)</f>
        <v>0</v>
      </c>
      <c r="BG28" s="121">
        <f t="shared" ref="BG28" si="104">IF($AK$10=4,0,BB28)</f>
        <v>0</v>
      </c>
      <c r="BH28" s="120">
        <f t="shared" ref="BH28" si="105">IF($AK$10=4,0,BC28)</f>
        <v>0</v>
      </c>
      <c r="BI28" s="121">
        <f t="shared" ref="BI28" si="106">IF($AK$10=4,0,BD28)</f>
        <v>0</v>
      </c>
      <c r="BJ28" s="41">
        <f t="shared" ref="BJ28" si="107">IF($AL28="Summer",(BG28/$AO$9*AK28),BH28*BI28)</f>
        <v>0</v>
      </c>
      <c r="BL28" s="45">
        <f t="shared" si="27"/>
        <v>0</v>
      </c>
    </row>
    <row r="29" spans="1:73" s="156" customFormat="1" ht="16.5" customHeight="1" x14ac:dyDescent="0.25">
      <c r="A29" s="195" t="s">
        <v>167</v>
      </c>
      <c r="B29" s="187"/>
      <c r="C29" s="167" t="s">
        <v>88</v>
      </c>
      <c r="D29" s="167"/>
      <c r="E29" s="197"/>
      <c r="F29" s="198"/>
      <c r="G29" s="198"/>
      <c r="H29" s="199"/>
      <c r="I29" s="200"/>
      <c r="J29" s="337">
        <f t="shared" si="17"/>
        <v>0</v>
      </c>
      <c r="K29" s="338"/>
      <c r="L29" s="336"/>
      <c r="M29" s="338"/>
      <c r="N29" s="338">
        <f t="shared" si="18"/>
        <v>0</v>
      </c>
      <c r="O29" s="338"/>
      <c r="P29" s="336"/>
      <c r="Q29" s="339"/>
      <c r="R29" s="338">
        <f t="shared" si="19"/>
        <v>0</v>
      </c>
      <c r="S29" s="338"/>
      <c r="T29" s="336"/>
      <c r="U29" s="339"/>
      <c r="V29" s="320">
        <f t="shared" si="20"/>
        <v>0</v>
      </c>
      <c r="W29" s="338"/>
      <c r="X29" s="336"/>
      <c r="Y29" s="339"/>
      <c r="Z29" s="338">
        <f t="shared" si="21"/>
        <v>0</v>
      </c>
      <c r="AA29" s="338"/>
      <c r="AB29" s="336"/>
      <c r="AC29" s="339"/>
      <c r="AD29" s="338">
        <f t="shared" si="0"/>
        <v>0</v>
      </c>
      <c r="AE29" s="202"/>
      <c r="AF29" s="204">
        <f t="shared" si="1"/>
        <v>0</v>
      </c>
      <c r="AI29" s="194"/>
      <c r="AJ29" s="150">
        <v>0.01</v>
      </c>
      <c r="AK29" s="151">
        <f t="shared" si="2"/>
        <v>8.77</v>
      </c>
      <c r="AL29" s="152"/>
      <c r="AM29" s="166"/>
      <c r="AN29" s="153">
        <v>0</v>
      </c>
      <c r="AO29" s="154">
        <v>0</v>
      </c>
      <c r="AP29" s="155">
        <f t="shared" ref="AP29" si="108">IF($AL29="Summer",(AM29/$AO$9*AK29),AN29*AO29)</f>
        <v>0</v>
      </c>
      <c r="AR29" s="154">
        <f t="shared" ref="AR29:AR30" si="109">IF($AK$10=1,0,AM29)</f>
        <v>0</v>
      </c>
      <c r="AS29" s="153">
        <f t="shared" si="29"/>
        <v>0</v>
      </c>
      <c r="AT29" s="154">
        <f t="shared" si="3"/>
        <v>0</v>
      </c>
      <c r="AU29" s="155">
        <f t="shared" si="23"/>
        <v>0</v>
      </c>
      <c r="AW29" s="154">
        <f t="shared" ref="AW29:AW30" si="110">IF($AK$10=2,0,AR29)</f>
        <v>0</v>
      </c>
      <c r="AX29" s="153">
        <f t="shared" si="31"/>
        <v>0</v>
      </c>
      <c r="AY29" s="154">
        <f t="shared" si="32"/>
        <v>0</v>
      </c>
      <c r="AZ29" s="155">
        <f t="shared" si="24"/>
        <v>0</v>
      </c>
      <c r="BB29" s="154">
        <f t="shared" ref="BB29:BB30" si="111">IF($AK$10=3,0,AW29)</f>
        <v>0</v>
      </c>
      <c r="BC29" s="153">
        <f t="shared" si="34"/>
        <v>0</v>
      </c>
      <c r="BD29" s="154">
        <f t="shared" si="35"/>
        <v>0</v>
      </c>
      <c r="BE29" s="155">
        <f t="shared" si="25"/>
        <v>0</v>
      </c>
      <c r="BG29" s="154">
        <f t="shared" ref="BG29:BG30" si="112">IF($AK$10=4,0,BB29)</f>
        <v>0</v>
      </c>
      <c r="BH29" s="153">
        <f t="shared" si="37"/>
        <v>0</v>
      </c>
      <c r="BI29" s="154">
        <f t="shared" si="38"/>
        <v>0</v>
      </c>
      <c r="BJ29" s="155">
        <f t="shared" si="26"/>
        <v>0</v>
      </c>
      <c r="BK29" s="157"/>
      <c r="BL29" s="157">
        <f t="shared" si="27"/>
        <v>0</v>
      </c>
      <c r="BM29" s="206"/>
      <c r="BN29" s="206"/>
      <c r="BO29" s="206"/>
      <c r="BP29" s="206"/>
      <c r="BQ29" s="206"/>
      <c r="BR29" s="206"/>
      <c r="BS29" s="206"/>
      <c r="BT29" s="206"/>
      <c r="BU29" s="206"/>
    </row>
    <row r="30" spans="1:73" ht="16.5" customHeight="1" x14ac:dyDescent="0.25">
      <c r="A30" s="168" t="s">
        <v>167</v>
      </c>
      <c r="B30" s="187"/>
      <c r="D30" s="193" t="str">
        <f>IF(AL30="Summer", (AM30)&amp;" days,"&amp;" Summer", ((AN30*100)&amp;"%"&amp;" time, "&amp;AO30&amp;" months, "&amp;AL30))</f>
        <v>0% time, 0 months, AY</v>
      </c>
      <c r="H30" s="191"/>
      <c r="I30" s="188"/>
      <c r="J30" s="320">
        <f t="shared" ref="J30" si="113">IF($AK$13="No", IF(AP30=0,0,($AJ30/$AK30*AP30)), ($AJ30*(1+$AK$4)/$AK30*AP30))</f>
        <v>0</v>
      </c>
      <c r="L30" s="336">
        <v>0</v>
      </c>
      <c r="N30" s="320">
        <f t="shared" ref="N30" si="114">IF($AK$13="No",IF(AU30=0,0,($AJ30*(1+$AK$4)/$AK30*AU30)),($AJ30*(1+$AK$4)^2/$AK30*AU30))</f>
        <v>0</v>
      </c>
      <c r="O30" s="320"/>
      <c r="P30" s="336">
        <v>0</v>
      </c>
      <c r="R30" s="320">
        <f t="shared" ref="R30" si="115">IF($AK$13="No",IF(AZ30=0,0,($AJ30*(1+$AK$4)^2/$AK30*AZ30)),($AJ30*(1+$AK$4)^3/$AK30*AZ30))</f>
        <v>0</v>
      </c>
      <c r="S30" s="320"/>
      <c r="T30" s="336">
        <v>0</v>
      </c>
      <c r="V30" s="320">
        <f t="shared" si="20"/>
        <v>0</v>
      </c>
      <c r="W30" s="320"/>
      <c r="X30" s="336">
        <v>0</v>
      </c>
      <c r="Z30" s="320">
        <f t="shared" ref="Z30" si="116">IF($AK$13="No", IF(BJ30=0,0,($AJ30*(1+$AK$4)^4/$AK30*BJ30)), ($AJ30*(1+$AK$4)^5/$AK30*BJ30))</f>
        <v>0</v>
      </c>
      <c r="AA30" s="320"/>
      <c r="AB30" s="336">
        <v>0</v>
      </c>
      <c r="AD30" s="320">
        <f t="shared" si="0"/>
        <v>0</v>
      </c>
      <c r="AE30" s="170"/>
      <c r="AF30" s="189">
        <f t="shared" si="1"/>
        <v>0</v>
      </c>
      <c r="AH30" s="376"/>
      <c r="AI30" s="194"/>
      <c r="AJ30" s="148">
        <v>0.01</v>
      </c>
      <c r="AK30" s="118">
        <f t="shared" si="2"/>
        <v>8.77</v>
      </c>
      <c r="AL30" s="119" t="s">
        <v>84</v>
      </c>
      <c r="AM30" s="165"/>
      <c r="AN30" s="120">
        <v>0</v>
      </c>
      <c r="AO30" s="121">
        <v>0</v>
      </c>
      <c r="AP30" s="41">
        <f t="shared" si="22"/>
        <v>0</v>
      </c>
      <c r="AR30" s="121">
        <f t="shared" si="109"/>
        <v>0</v>
      </c>
      <c r="AS30" s="120">
        <f t="shared" ref="AS30" si="117">IF($AK$10=1,0,AN30)</f>
        <v>0</v>
      </c>
      <c r="AT30" s="121">
        <f t="shared" ref="AT30" si="118">IF($AK$10=1,0,AO30)</f>
        <v>0</v>
      </c>
      <c r="AU30" s="41">
        <f t="shared" ref="AU30" si="119">IF($AL30="Summer",(AR30/$AO$9*AK30),AS30*AT30)</f>
        <v>0</v>
      </c>
      <c r="AW30" s="121">
        <f t="shared" si="110"/>
        <v>0</v>
      </c>
      <c r="AX30" s="120">
        <f t="shared" ref="AX30" si="120">IF($AK$10=2,0,AS30)</f>
        <v>0</v>
      </c>
      <c r="AY30" s="121">
        <f t="shared" ref="AY30" si="121">IF($AK$10=2,0,AT30)</f>
        <v>0</v>
      </c>
      <c r="AZ30" s="41">
        <f t="shared" ref="AZ30" si="122">IF($AL30="Summer",(AW30/$AO$9*AK30),AX30*AY30)</f>
        <v>0</v>
      </c>
      <c r="BB30" s="121">
        <f t="shared" si="111"/>
        <v>0</v>
      </c>
      <c r="BC30" s="120">
        <f t="shared" ref="BC30" si="123">IF($AK$10=3,0,AX30)</f>
        <v>0</v>
      </c>
      <c r="BD30" s="121">
        <f t="shared" ref="BD30" si="124">IF($AK$10=3,0,AY30)</f>
        <v>0</v>
      </c>
      <c r="BE30" s="41">
        <f t="shared" ref="BE30" si="125">IF($AL30="Summer",(BB30/$AO$9*AK30),BC30*BD30)</f>
        <v>0</v>
      </c>
      <c r="BG30" s="121">
        <f t="shared" si="112"/>
        <v>0</v>
      </c>
      <c r="BH30" s="120">
        <f t="shared" ref="BH30" si="126">IF($AK$10=4,0,BC30)</f>
        <v>0</v>
      </c>
      <c r="BI30" s="121">
        <f t="shared" ref="BI30" si="127">IF($AK$10=4,0,BD30)</f>
        <v>0</v>
      </c>
      <c r="BJ30" s="41">
        <f t="shared" ref="BJ30" si="128">IF($AL30="Summer",(BG30/$AO$9*AK30),BH30*BI30)</f>
        <v>0</v>
      </c>
      <c r="BL30" s="45">
        <f t="shared" si="27"/>
        <v>0</v>
      </c>
    </row>
    <row r="31" spans="1:73" ht="16.5" customHeight="1" x14ac:dyDescent="0.25">
      <c r="A31" s="168" t="s">
        <v>167</v>
      </c>
      <c r="B31" s="187"/>
      <c r="D31" s="193" t="str">
        <f>IF(AL31="Summer", (AM31)&amp;" days,"&amp;" Summer", ((AN31*100)&amp;"%"&amp;" time, "&amp;AO31&amp;" months, "&amp;AL31))</f>
        <v>0 days, Summer</v>
      </c>
      <c r="E31" s="193"/>
      <c r="H31" s="191"/>
      <c r="I31" s="188"/>
      <c r="J31" s="320">
        <f t="shared" si="17"/>
        <v>0</v>
      </c>
      <c r="L31" s="336">
        <v>0</v>
      </c>
      <c r="N31" s="320">
        <f t="shared" si="18"/>
        <v>0</v>
      </c>
      <c r="O31" s="320"/>
      <c r="P31" s="336">
        <v>0</v>
      </c>
      <c r="R31" s="320">
        <f t="shared" si="19"/>
        <v>0</v>
      </c>
      <c r="S31" s="320"/>
      <c r="T31" s="336">
        <v>0</v>
      </c>
      <c r="V31" s="320">
        <f t="shared" si="20"/>
        <v>0</v>
      </c>
      <c r="W31" s="320"/>
      <c r="X31" s="336">
        <v>0</v>
      </c>
      <c r="Z31" s="320">
        <f t="shared" si="21"/>
        <v>0</v>
      </c>
      <c r="AA31" s="320"/>
      <c r="AB31" s="336">
        <v>0</v>
      </c>
      <c r="AD31" s="320">
        <f t="shared" si="0"/>
        <v>0</v>
      </c>
      <c r="AE31" s="170"/>
      <c r="AF31" s="189">
        <f t="shared" si="1"/>
        <v>0</v>
      </c>
      <c r="AI31" s="194"/>
      <c r="AJ31" s="148">
        <v>0.01</v>
      </c>
      <c r="AK31" s="118">
        <f t="shared" si="2"/>
        <v>8.77</v>
      </c>
      <c r="AL31" s="119" t="s">
        <v>85</v>
      </c>
      <c r="AM31" s="165">
        <v>0</v>
      </c>
      <c r="AN31" s="120">
        <v>0</v>
      </c>
      <c r="AO31" s="121">
        <v>0</v>
      </c>
      <c r="AP31" s="41">
        <f t="shared" si="22"/>
        <v>0</v>
      </c>
      <c r="AR31" s="121">
        <f t="shared" si="28"/>
        <v>0</v>
      </c>
      <c r="AS31" s="120">
        <f t="shared" si="29"/>
        <v>0</v>
      </c>
      <c r="AT31" s="121">
        <f t="shared" si="3"/>
        <v>0</v>
      </c>
      <c r="AU31" s="41">
        <f t="shared" si="23"/>
        <v>0</v>
      </c>
      <c r="AW31" s="121">
        <f t="shared" si="30"/>
        <v>0</v>
      </c>
      <c r="AX31" s="120">
        <f t="shared" si="31"/>
        <v>0</v>
      </c>
      <c r="AY31" s="121">
        <f t="shared" si="32"/>
        <v>0</v>
      </c>
      <c r="AZ31" s="41">
        <f t="shared" si="24"/>
        <v>0</v>
      </c>
      <c r="BB31" s="121">
        <f t="shared" si="33"/>
        <v>0</v>
      </c>
      <c r="BC31" s="120">
        <f t="shared" si="34"/>
        <v>0</v>
      </c>
      <c r="BD31" s="121">
        <f t="shared" si="35"/>
        <v>0</v>
      </c>
      <c r="BE31" s="41">
        <f t="shared" si="25"/>
        <v>0</v>
      </c>
      <c r="BG31" s="121">
        <f t="shared" si="36"/>
        <v>0</v>
      </c>
      <c r="BH31" s="120">
        <f t="shared" si="37"/>
        <v>0</v>
      </c>
      <c r="BI31" s="121">
        <f t="shared" si="38"/>
        <v>0</v>
      </c>
      <c r="BJ31" s="41">
        <f t="shared" si="26"/>
        <v>0</v>
      </c>
      <c r="BL31" s="45">
        <f t="shared" si="27"/>
        <v>0</v>
      </c>
    </row>
    <row r="32" spans="1:73" s="156" customFormat="1" ht="16.5" customHeight="1" x14ac:dyDescent="0.25">
      <c r="A32" s="195" t="s">
        <v>169</v>
      </c>
      <c r="B32" s="187"/>
      <c r="C32" s="167" t="s">
        <v>89</v>
      </c>
      <c r="D32" s="167"/>
      <c r="E32" s="197"/>
      <c r="F32" s="198"/>
      <c r="G32" s="198"/>
      <c r="H32" s="199"/>
      <c r="I32" s="200"/>
      <c r="J32" s="337">
        <f t="shared" si="17"/>
        <v>0</v>
      </c>
      <c r="K32" s="338"/>
      <c r="L32" s="336"/>
      <c r="M32" s="338"/>
      <c r="N32" s="338">
        <f t="shared" si="18"/>
        <v>0</v>
      </c>
      <c r="O32" s="338"/>
      <c r="P32" s="336"/>
      <c r="Q32" s="339"/>
      <c r="R32" s="338">
        <f t="shared" si="19"/>
        <v>0</v>
      </c>
      <c r="S32" s="338"/>
      <c r="T32" s="336"/>
      <c r="U32" s="339"/>
      <c r="V32" s="320">
        <f t="shared" si="20"/>
        <v>0</v>
      </c>
      <c r="W32" s="338"/>
      <c r="X32" s="336"/>
      <c r="Y32" s="339"/>
      <c r="Z32" s="338">
        <f t="shared" si="21"/>
        <v>0</v>
      </c>
      <c r="AA32" s="338"/>
      <c r="AB32" s="336"/>
      <c r="AC32" s="339"/>
      <c r="AD32" s="338">
        <f t="shared" si="0"/>
        <v>0</v>
      </c>
      <c r="AE32" s="202"/>
      <c r="AF32" s="204">
        <f t="shared" si="1"/>
        <v>0</v>
      </c>
      <c r="AI32" s="194"/>
      <c r="AJ32" s="150">
        <v>0.01</v>
      </c>
      <c r="AK32" s="151">
        <f t="shared" si="2"/>
        <v>12</v>
      </c>
      <c r="AL32" s="152"/>
      <c r="AM32" s="166"/>
      <c r="AN32" s="153">
        <v>0</v>
      </c>
      <c r="AO32" s="154">
        <v>0</v>
      </c>
      <c r="AP32" s="155">
        <f t="shared" ref="AP32" si="129">IF($AL32="Summer",(AM32/$AO$9*AK32),AN32*AO32)</f>
        <v>0</v>
      </c>
      <c r="AR32" s="154">
        <f t="shared" ref="AR32" si="130">IF($AK$10=1,0,AM32)</f>
        <v>0</v>
      </c>
      <c r="AS32" s="153">
        <f t="shared" si="29"/>
        <v>0</v>
      </c>
      <c r="AT32" s="154">
        <f t="shared" si="3"/>
        <v>0</v>
      </c>
      <c r="AU32" s="155">
        <f t="shared" si="23"/>
        <v>0</v>
      </c>
      <c r="AW32" s="154">
        <f t="shared" ref="AW32" si="131">IF($AK$10=2,0,AR32)</f>
        <v>0</v>
      </c>
      <c r="AX32" s="153">
        <f t="shared" si="31"/>
        <v>0</v>
      </c>
      <c r="AY32" s="154">
        <f t="shared" si="32"/>
        <v>0</v>
      </c>
      <c r="AZ32" s="155">
        <f t="shared" si="24"/>
        <v>0</v>
      </c>
      <c r="BB32" s="154">
        <f t="shared" ref="BB32" si="132">IF($AK$10=3,0,AW32)</f>
        <v>0</v>
      </c>
      <c r="BC32" s="153">
        <f t="shared" si="34"/>
        <v>0</v>
      </c>
      <c r="BD32" s="154">
        <f t="shared" si="35"/>
        <v>0</v>
      </c>
      <c r="BE32" s="155">
        <f t="shared" si="25"/>
        <v>0</v>
      </c>
      <c r="BG32" s="154">
        <f t="shared" ref="BG32" si="133">IF($AK$10=4,0,BB32)</f>
        <v>0</v>
      </c>
      <c r="BH32" s="153">
        <f t="shared" si="37"/>
        <v>0</v>
      </c>
      <c r="BI32" s="154">
        <f t="shared" si="38"/>
        <v>0</v>
      </c>
      <c r="BJ32" s="155">
        <f t="shared" si="26"/>
        <v>0</v>
      </c>
      <c r="BK32" s="157"/>
      <c r="BL32" s="157">
        <f t="shared" si="27"/>
        <v>0</v>
      </c>
      <c r="BM32" s="206"/>
      <c r="BN32" s="206"/>
      <c r="BO32" s="206"/>
      <c r="BP32" s="206"/>
      <c r="BQ32" s="206"/>
      <c r="BR32" s="206"/>
      <c r="BS32" s="206"/>
      <c r="BT32" s="206"/>
      <c r="BU32" s="206"/>
    </row>
    <row r="33" spans="1:73" ht="16.5" customHeight="1" x14ac:dyDescent="0.25">
      <c r="A33" s="168" t="s">
        <v>169</v>
      </c>
      <c r="B33" s="187"/>
      <c r="D33" s="193" t="str">
        <f>IF(AL33="Summer", (AM33)&amp;" days,"&amp;" Summer", ((AN33*100)&amp;"%"&amp;" time, "&amp;AO33&amp;" months, "&amp;AL33))</f>
        <v>0% time, 0 months, CY</v>
      </c>
      <c r="E33" s="193"/>
      <c r="H33" s="191"/>
      <c r="I33" s="188"/>
      <c r="J33" s="320">
        <f t="shared" si="17"/>
        <v>0</v>
      </c>
      <c r="L33" s="336">
        <v>0</v>
      </c>
      <c r="N33" s="320">
        <f t="shared" si="18"/>
        <v>0</v>
      </c>
      <c r="O33" s="320"/>
      <c r="P33" s="336">
        <v>0</v>
      </c>
      <c r="R33" s="320">
        <f t="shared" si="19"/>
        <v>0</v>
      </c>
      <c r="S33" s="320"/>
      <c r="T33" s="336">
        <v>0</v>
      </c>
      <c r="V33" s="320">
        <f t="shared" si="20"/>
        <v>0</v>
      </c>
      <c r="W33" s="320"/>
      <c r="X33" s="336">
        <v>0</v>
      </c>
      <c r="Z33" s="320">
        <f t="shared" si="21"/>
        <v>0</v>
      </c>
      <c r="AA33" s="320"/>
      <c r="AB33" s="336">
        <v>0</v>
      </c>
      <c r="AD33" s="320">
        <f t="shared" si="0"/>
        <v>0</v>
      </c>
      <c r="AE33" s="170"/>
      <c r="AF33" s="189">
        <f t="shared" si="1"/>
        <v>0</v>
      </c>
      <c r="AH33" s="387"/>
      <c r="AI33" s="194"/>
      <c r="AJ33" s="148">
        <v>0</v>
      </c>
      <c r="AK33" s="118">
        <f t="shared" si="2"/>
        <v>12</v>
      </c>
      <c r="AL33" s="119" t="s">
        <v>83</v>
      </c>
      <c r="AM33" s="165"/>
      <c r="AN33" s="120">
        <v>0</v>
      </c>
      <c r="AO33" s="121">
        <v>0</v>
      </c>
      <c r="AP33" s="41">
        <f t="shared" si="22"/>
        <v>0</v>
      </c>
      <c r="AR33" s="121">
        <f t="shared" si="28"/>
        <v>0</v>
      </c>
      <c r="AS33" s="120">
        <f t="shared" si="29"/>
        <v>0</v>
      </c>
      <c r="AT33" s="121">
        <f t="shared" si="3"/>
        <v>0</v>
      </c>
      <c r="AU33" s="41">
        <f t="shared" si="23"/>
        <v>0</v>
      </c>
      <c r="AW33" s="121">
        <f t="shared" si="30"/>
        <v>0</v>
      </c>
      <c r="AX33" s="120">
        <f t="shared" si="31"/>
        <v>0</v>
      </c>
      <c r="AY33" s="121">
        <f t="shared" si="32"/>
        <v>0</v>
      </c>
      <c r="AZ33" s="41">
        <f t="shared" si="24"/>
        <v>0</v>
      </c>
      <c r="BB33" s="121">
        <f t="shared" si="33"/>
        <v>0</v>
      </c>
      <c r="BC33" s="120">
        <f t="shared" si="34"/>
        <v>0</v>
      </c>
      <c r="BD33" s="121">
        <f t="shared" si="35"/>
        <v>0</v>
      </c>
      <c r="BE33" s="41">
        <f t="shared" si="25"/>
        <v>0</v>
      </c>
      <c r="BG33" s="121">
        <f t="shared" si="36"/>
        <v>0</v>
      </c>
      <c r="BH33" s="120">
        <f t="shared" si="37"/>
        <v>0</v>
      </c>
      <c r="BI33" s="121">
        <f t="shared" si="38"/>
        <v>0</v>
      </c>
      <c r="BJ33" s="41">
        <f t="shared" si="26"/>
        <v>0</v>
      </c>
      <c r="BL33" s="45">
        <f t="shared" si="27"/>
        <v>0</v>
      </c>
    </row>
    <row r="34" spans="1:73" s="156" customFormat="1" ht="16.5" customHeight="1" x14ac:dyDescent="0.25">
      <c r="A34" s="195" t="s">
        <v>169</v>
      </c>
      <c r="B34" s="187"/>
      <c r="C34" s="167" t="s">
        <v>89</v>
      </c>
      <c r="D34" s="167"/>
      <c r="E34" s="197"/>
      <c r="F34" s="198"/>
      <c r="G34" s="198"/>
      <c r="H34" s="199"/>
      <c r="I34" s="200"/>
      <c r="J34" s="337">
        <f t="shared" si="17"/>
        <v>0</v>
      </c>
      <c r="K34" s="338"/>
      <c r="L34" s="336"/>
      <c r="M34" s="338"/>
      <c r="N34" s="338">
        <f t="shared" si="18"/>
        <v>0</v>
      </c>
      <c r="O34" s="338"/>
      <c r="P34" s="336"/>
      <c r="Q34" s="339"/>
      <c r="R34" s="338">
        <f t="shared" si="19"/>
        <v>0</v>
      </c>
      <c r="S34" s="338"/>
      <c r="T34" s="336"/>
      <c r="U34" s="339"/>
      <c r="V34" s="320">
        <f t="shared" si="20"/>
        <v>0</v>
      </c>
      <c r="W34" s="338"/>
      <c r="X34" s="336"/>
      <c r="Y34" s="339"/>
      <c r="Z34" s="338">
        <f t="shared" si="21"/>
        <v>0</v>
      </c>
      <c r="AA34" s="338"/>
      <c r="AB34" s="336"/>
      <c r="AC34" s="339"/>
      <c r="AD34" s="338">
        <f t="shared" si="0"/>
        <v>0</v>
      </c>
      <c r="AE34" s="202"/>
      <c r="AF34" s="204">
        <f t="shared" si="1"/>
        <v>0</v>
      </c>
      <c r="AI34" s="194"/>
      <c r="AJ34" s="150">
        <v>0.01</v>
      </c>
      <c r="AK34" s="151">
        <f t="shared" si="2"/>
        <v>12</v>
      </c>
      <c r="AL34" s="152"/>
      <c r="AM34" s="166"/>
      <c r="AN34" s="153">
        <v>0</v>
      </c>
      <c r="AO34" s="154">
        <v>0</v>
      </c>
      <c r="AP34" s="155">
        <f t="shared" ref="AP34" si="134">IF($AL34="Summer",(AM34/$AO$9*AK34),AN34*AO34)</f>
        <v>0</v>
      </c>
      <c r="AR34" s="154">
        <f t="shared" ref="AR34" si="135">IF($AK$10=1,0,AM34)</f>
        <v>0</v>
      </c>
      <c r="AS34" s="153">
        <f t="shared" si="29"/>
        <v>0</v>
      </c>
      <c r="AT34" s="154">
        <f t="shared" si="3"/>
        <v>0</v>
      </c>
      <c r="AU34" s="155">
        <f t="shared" si="23"/>
        <v>0</v>
      </c>
      <c r="AW34" s="154">
        <f t="shared" ref="AW34" si="136">IF($AK$10=2,0,AR34)</f>
        <v>0</v>
      </c>
      <c r="AX34" s="153">
        <f t="shared" si="31"/>
        <v>0</v>
      </c>
      <c r="AY34" s="154">
        <f t="shared" si="32"/>
        <v>0</v>
      </c>
      <c r="AZ34" s="155">
        <f t="shared" si="24"/>
        <v>0</v>
      </c>
      <c r="BB34" s="154">
        <f t="shared" ref="BB34" si="137">IF($AK$10=3,0,AW34)</f>
        <v>0</v>
      </c>
      <c r="BC34" s="153">
        <f t="shared" si="34"/>
        <v>0</v>
      </c>
      <c r="BD34" s="154">
        <f t="shared" si="35"/>
        <v>0</v>
      </c>
      <c r="BE34" s="155">
        <f t="shared" si="25"/>
        <v>0</v>
      </c>
      <c r="BG34" s="154">
        <f t="shared" ref="BG34" si="138">IF($AK$10=4,0,BB34)</f>
        <v>0</v>
      </c>
      <c r="BH34" s="153">
        <f t="shared" si="37"/>
        <v>0</v>
      </c>
      <c r="BI34" s="154">
        <f t="shared" si="38"/>
        <v>0</v>
      </c>
      <c r="BJ34" s="155">
        <f t="shared" si="26"/>
        <v>0</v>
      </c>
      <c r="BK34" s="157"/>
      <c r="BL34" s="157">
        <f t="shared" si="27"/>
        <v>0</v>
      </c>
      <c r="BM34" s="206"/>
      <c r="BN34" s="206"/>
      <c r="BO34" s="206"/>
      <c r="BP34" s="206"/>
      <c r="BQ34" s="206"/>
      <c r="BR34" s="206"/>
      <c r="BS34" s="206"/>
      <c r="BT34" s="206"/>
      <c r="BU34" s="206"/>
    </row>
    <row r="35" spans="1:73" ht="16.5" customHeight="1" x14ac:dyDescent="0.25">
      <c r="A35" s="168" t="s">
        <v>169</v>
      </c>
      <c r="B35" s="187"/>
      <c r="D35" s="193" t="str">
        <f>IF(AL35="Summer", (AM35)&amp;" days,"&amp;" Summer", ((AN35*100)&amp;"%"&amp;" time, "&amp;AO35&amp;" months, "&amp;AL35))</f>
        <v>0% time, 0 months, CY</v>
      </c>
      <c r="E35" s="193"/>
      <c r="H35" s="191"/>
      <c r="I35" s="188"/>
      <c r="J35" s="320">
        <f t="shared" si="17"/>
        <v>0</v>
      </c>
      <c r="L35" s="336">
        <v>0</v>
      </c>
      <c r="N35" s="320">
        <f t="shared" si="18"/>
        <v>0</v>
      </c>
      <c r="O35" s="320"/>
      <c r="P35" s="336">
        <v>0</v>
      </c>
      <c r="R35" s="320">
        <f t="shared" si="19"/>
        <v>0</v>
      </c>
      <c r="S35" s="320"/>
      <c r="T35" s="336">
        <v>0</v>
      </c>
      <c r="V35" s="320">
        <f t="shared" si="20"/>
        <v>0</v>
      </c>
      <c r="W35" s="320"/>
      <c r="X35" s="336">
        <v>0</v>
      </c>
      <c r="Z35" s="320">
        <f t="shared" si="21"/>
        <v>0</v>
      </c>
      <c r="AA35" s="320"/>
      <c r="AB35" s="336">
        <v>0</v>
      </c>
      <c r="AD35" s="320">
        <f t="shared" si="0"/>
        <v>0</v>
      </c>
      <c r="AE35" s="170"/>
      <c r="AF35" s="189">
        <f t="shared" si="1"/>
        <v>0</v>
      </c>
      <c r="AH35" s="376"/>
      <c r="AI35" s="194"/>
      <c r="AJ35" s="148">
        <v>0.01</v>
      </c>
      <c r="AK35" s="118">
        <f t="shared" si="2"/>
        <v>12</v>
      </c>
      <c r="AL35" s="119" t="s">
        <v>83</v>
      </c>
      <c r="AM35" s="165"/>
      <c r="AN35" s="120">
        <v>0</v>
      </c>
      <c r="AO35" s="121">
        <v>0</v>
      </c>
      <c r="AP35" s="41">
        <f t="shared" si="22"/>
        <v>0</v>
      </c>
      <c r="AR35" s="121">
        <f t="shared" si="28"/>
        <v>0</v>
      </c>
      <c r="AS35" s="120">
        <f t="shared" si="29"/>
        <v>0</v>
      </c>
      <c r="AT35" s="121">
        <f t="shared" si="3"/>
        <v>0</v>
      </c>
      <c r="AU35" s="41">
        <f t="shared" si="23"/>
        <v>0</v>
      </c>
      <c r="AW35" s="121">
        <f t="shared" si="30"/>
        <v>0</v>
      </c>
      <c r="AX35" s="120">
        <f t="shared" si="31"/>
        <v>0</v>
      </c>
      <c r="AY35" s="121">
        <f t="shared" si="32"/>
        <v>0</v>
      </c>
      <c r="AZ35" s="41">
        <f t="shared" si="24"/>
        <v>0</v>
      </c>
      <c r="BB35" s="121">
        <f t="shared" si="33"/>
        <v>0</v>
      </c>
      <c r="BC35" s="120">
        <f t="shared" si="34"/>
        <v>0</v>
      </c>
      <c r="BD35" s="121">
        <f t="shared" si="35"/>
        <v>0</v>
      </c>
      <c r="BE35" s="41">
        <f t="shared" si="25"/>
        <v>0</v>
      </c>
      <c r="BG35" s="121">
        <f t="shared" si="36"/>
        <v>0</v>
      </c>
      <c r="BH35" s="120">
        <f t="shared" si="37"/>
        <v>0</v>
      </c>
      <c r="BI35" s="121">
        <f t="shared" si="38"/>
        <v>0</v>
      </c>
      <c r="BJ35" s="41">
        <f t="shared" si="26"/>
        <v>0</v>
      </c>
      <c r="BL35" s="45">
        <f t="shared" si="27"/>
        <v>0</v>
      </c>
    </row>
    <row r="36" spans="1:73" s="156" customFormat="1" ht="16.5" customHeight="1" x14ac:dyDescent="0.25">
      <c r="A36" s="195" t="s">
        <v>169</v>
      </c>
      <c r="B36" s="187"/>
      <c r="C36" s="167" t="s">
        <v>89</v>
      </c>
      <c r="D36" s="167"/>
      <c r="E36" s="197"/>
      <c r="F36" s="198"/>
      <c r="G36" s="198"/>
      <c r="H36" s="199"/>
      <c r="I36" s="200"/>
      <c r="J36" s="337">
        <f t="shared" si="17"/>
        <v>0</v>
      </c>
      <c r="K36" s="338"/>
      <c r="L36" s="336"/>
      <c r="M36" s="338"/>
      <c r="N36" s="338">
        <f t="shared" si="18"/>
        <v>0</v>
      </c>
      <c r="O36" s="338"/>
      <c r="P36" s="336"/>
      <c r="Q36" s="339"/>
      <c r="R36" s="338">
        <f t="shared" si="19"/>
        <v>0</v>
      </c>
      <c r="S36" s="338"/>
      <c r="T36" s="336"/>
      <c r="U36" s="339"/>
      <c r="V36" s="320">
        <f t="shared" si="20"/>
        <v>0</v>
      </c>
      <c r="W36" s="338"/>
      <c r="X36" s="336"/>
      <c r="Y36" s="339"/>
      <c r="Z36" s="338">
        <f t="shared" si="21"/>
        <v>0</v>
      </c>
      <c r="AA36" s="338"/>
      <c r="AB36" s="336"/>
      <c r="AC36" s="339"/>
      <c r="AD36" s="338">
        <f t="shared" si="0"/>
        <v>0</v>
      </c>
      <c r="AE36" s="202"/>
      <c r="AF36" s="204">
        <f t="shared" si="1"/>
        <v>0</v>
      </c>
      <c r="AI36" s="194"/>
      <c r="AJ36" s="150">
        <v>0.01</v>
      </c>
      <c r="AK36" s="151">
        <f t="shared" si="2"/>
        <v>12</v>
      </c>
      <c r="AL36" s="152"/>
      <c r="AM36" s="166"/>
      <c r="AN36" s="153">
        <v>0</v>
      </c>
      <c r="AO36" s="154">
        <v>0</v>
      </c>
      <c r="AP36" s="155">
        <f t="shared" ref="AP36" si="139">IF($AL36="Summer",(AM36/$AO$9*AK36),AN36*AO36)</f>
        <v>0</v>
      </c>
      <c r="AR36" s="154">
        <f t="shared" ref="AR36" si="140">IF($AK$10=1,0,AM36)</f>
        <v>0</v>
      </c>
      <c r="AS36" s="153">
        <f t="shared" si="29"/>
        <v>0</v>
      </c>
      <c r="AT36" s="154">
        <f t="shared" si="3"/>
        <v>0</v>
      </c>
      <c r="AU36" s="155">
        <f t="shared" si="23"/>
        <v>0</v>
      </c>
      <c r="AW36" s="154">
        <f t="shared" ref="AW36" si="141">IF($AK$10=2,0,AR36)</f>
        <v>0</v>
      </c>
      <c r="AX36" s="153">
        <f t="shared" si="31"/>
        <v>0</v>
      </c>
      <c r="AY36" s="154">
        <f t="shared" si="32"/>
        <v>0</v>
      </c>
      <c r="AZ36" s="155">
        <f t="shared" si="24"/>
        <v>0</v>
      </c>
      <c r="BB36" s="154">
        <f t="shared" ref="BB36" si="142">IF($AK$10=3,0,AW36)</f>
        <v>0</v>
      </c>
      <c r="BC36" s="153">
        <f t="shared" si="34"/>
        <v>0</v>
      </c>
      <c r="BD36" s="154">
        <f t="shared" si="35"/>
        <v>0</v>
      </c>
      <c r="BE36" s="155">
        <f t="shared" si="25"/>
        <v>0</v>
      </c>
      <c r="BG36" s="154">
        <f t="shared" ref="BG36" si="143">IF($AK$10=4,0,BB36)</f>
        <v>0</v>
      </c>
      <c r="BH36" s="153">
        <f t="shared" si="37"/>
        <v>0</v>
      </c>
      <c r="BI36" s="154">
        <f t="shared" si="38"/>
        <v>0</v>
      </c>
      <c r="BJ36" s="155">
        <f t="shared" si="26"/>
        <v>0</v>
      </c>
      <c r="BK36" s="157"/>
      <c r="BL36" s="157">
        <f t="shared" si="27"/>
        <v>0</v>
      </c>
      <c r="BM36" s="206"/>
      <c r="BN36" s="206"/>
      <c r="BO36" s="206"/>
      <c r="BP36" s="206"/>
      <c r="BQ36" s="206"/>
      <c r="BR36" s="206"/>
      <c r="BS36" s="206"/>
      <c r="BT36" s="206"/>
      <c r="BU36" s="206"/>
    </row>
    <row r="37" spans="1:73" ht="16.5" customHeight="1" x14ac:dyDescent="0.25">
      <c r="A37" s="168" t="s">
        <v>169</v>
      </c>
      <c r="B37" s="187"/>
      <c r="D37" s="193" t="str">
        <f>IF(AL37="Summer", (AM37)&amp;" days,"&amp;" Summer", ((AN37*100)&amp;"%"&amp;" time, "&amp;AO37&amp;" months, "&amp;AL37))</f>
        <v>0% time, 0 months, CY</v>
      </c>
      <c r="E37" s="193"/>
      <c r="H37" s="191"/>
      <c r="I37" s="188"/>
      <c r="J37" s="320">
        <f t="shared" si="17"/>
        <v>0</v>
      </c>
      <c r="L37" s="336">
        <v>0</v>
      </c>
      <c r="N37" s="320">
        <f t="shared" si="18"/>
        <v>0</v>
      </c>
      <c r="O37" s="320"/>
      <c r="P37" s="336">
        <v>0</v>
      </c>
      <c r="R37" s="320">
        <f t="shared" si="19"/>
        <v>0</v>
      </c>
      <c r="S37" s="320"/>
      <c r="T37" s="336">
        <v>0</v>
      </c>
      <c r="V37" s="320">
        <f t="shared" si="20"/>
        <v>0</v>
      </c>
      <c r="W37" s="320"/>
      <c r="X37" s="336">
        <v>0</v>
      </c>
      <c r="Z37" s="320">
        <f t="shared" si="21"/>
        <v>0</v>
      </c>
      <c r="AA37" s="320"/>
      <c r="AB37" s="336">
        <v>0</v>
      </c>
      <c r="AD37" s="320">
        <f t="shared" si="0"/>
        <v>0</v>
      </c>
      <c r="AE37" s="170"/>
      <c r="AF37" s="189">
        <f t="shared" si="1"/>
        <v>0</v>
      </c>
      <c r="AH37" s="376"/>
      <c r="AI37" s="194"/>
      <c r="AJ37" s="148">
        <v>0.01</v>
      </c>
      <c r="AK37" s="118">
        <f t="shared" si="2"/>
        <v>12</v>
      </c>
      <c r="AL37" s="119" t="s">
        <v>83</v>
      </c>
      <c r="AM37" s="165"/>
      <c r="AN37" s="120">
        <v>0</v>
      </c>
      <c r="AO37" s="121">
        <v>0</v>
      </c>
      <c r="AP37" s="41">
        <f t="shared" si="22"/>
        <v>0</v>
      </c>
      <c r="AR37" s="121">
        <f t="shared" si="28"/>
        <v>0</v>
      </c>
      <c r="AS37" s="120">
        <f t="shared" si="29"/>
        <v>0</v>
      </c>
      <c r="AT37" s="121">
        <f t="shared" si="3"/>
        <v>0</v>
      </c>
      <c r="AU37" s="41">
        <f t="shared" si="23"/>
        <v>0</v>
      </c>
      <c r="AW37" s="121">
        <f t="shared" si="30"/>
        <v>0</v>
      </c>
      <c r="AX37" s="120">
        <f t="shared" si="31"/>
        <v>0</v>
      </c>
      <c r="AY37" s="121">
        <f t="shared" si="32"/>
        <v>0</v>
      </c>
      <c r="AZ37" s="41">
        <f t="shared" si="24"/>
        <v>0</v>
      </c>
      <c r="BB37" s="121">
        <f t="shared" si="33"/>
        <v>0</v>
      </c>
      <c r="BC37" s="120">
        <f t="shared" si="34"/>
        <v>0</v>
      </c>
      <c r="BD37" s="121">
        <f t="shared" si="35"/>
        <v>0</v>
      </c>
      <c r="BE37" s="41">
        <f t="shared" si="25"/>
        <v>0</v>
      </c>
      <c r="BG37" s="121">
        <f t="shared" si="36"/>
        <v>0</v>
      </c>
      <c r="BH37" s="120">
        <f t="shared" si="37"/>
        <v>0</v>
      </c>
      <c r="BI37" s="121">
        <f t="shared" si="38"/>
        <v>0</v>
      </c>
      <c r="BJ37" s="41">
        <f t="shared" si="26"/>
        <v>0</v>
      </c>
      <c r="BL37" s="45">
        <f t="shared" si="27"/>
        <v>0</v>
      </c>
    </row>
    <row r="38" spans="1:73" s="156" customFormat="1" ht="16.5" customHeight="1" x14ac:dyDescent="0.25">
      <c r="A38" s="195" t="s">
        <v>171</v>
      </c>
      <c r="B38" s="187"/>
      <c r="C38" s="167" t="s">
        <v>90</v>
      </c>
      <c r="D38" s="167"/>
      <c r="E38" s="197"/>
      <c r="F38" s="198"/>
      <c r="G38" s="198"/>
      <c r="H38" s="199"/>
      <c r="I38" s="200"/>
      <c r="J38" s="337">
        <f t="shared" si="17"/>
        <v>0</v>
      </c>
      <c r="K38" s="338"/>
      <c r="L38" s="336"/>
      <c r="M38" s="338"/>
      <c r="N38" s="338">
        <f t="shared" si="18"/>
        <v>0</v>
      </c>
      <c r="O38" s="338"/>
      <c r="P38" s="336"/>
      <c r="Q38" s="339"/>
      <c r="R38" s="338">
        <f t="shared" si="19"/>
        <v>0</v>
      </c>
      <c r="S38" s="338"/>
      <c r="T38" s="336"/>
      <c r="U38" s="339"/>
      <c r="V38" s="320">
        <f t="shared" si="20"/>
        <v>0</v>
      </c>
      <c r="W38" s="338"/>
      <c r="X38" s="336"/>
      <c r="Y38" s="339"/>
      <c r="Z38" s="338">
        <f t="shared" si="21"/>
        <v>0</v>
      </c>
      <c r="AA38" s="338"/>
      <c r="AB38" s="336"/>
      <c r="AC38" s="339"/>
      <c r="AD38" s="338">
        <f t="shared" si="0"/>
        <v>0</v>
      </c>
      <c r="AE38" s="202"/>
      <c r="AF38" s="204">
        <f t="shared" si="1"/>
        <v>0</v>
      </c>
      <c r="AI38" s="194"/>
      <c r="AJ38" s="150">
        <v>0.01</v>
      </c>
      <c r="AK38" s="151">
        <f t="shared" si="2"/>
        <v>12</v>
      </c>
      <c r="AL38" s="152"/>
      <c r="AM38" s="166"/>
      <c r="AN38" s="153">
        <v>0</v>
      </c>
      <c r="AO38" s="154">
        <v>0</v>
      </c>
      <c r="AP38" s="155">
        <f t="shared" ref="AP38" si="144">IF($AL38="Summer",(AM38/$AO$9*AK38),AN38*AO38)</f>
        <v>0</v>
      </c>
      <c r="AR38" s="154">
        <f t="shared" ref="AR38" si="145">IF($AK$10=1,0,AM38)</f>
        <v>0</v>
      </c>
      <c r="AS38" s="153">
        <f t="shared" si="29"/>
        <v>0</v>
      </c>
      <c r="AT38" s="154">
        <f t="shared" si="3"/>
        <v>0</v>
      </c>
      <c r="AU38" s="155">
        <f t="shared" si="23"/>
        <v>0</v>
      </c>
      <c r="AW38" s="154">
        <f t="shared" ref="AW38" si="146">IF($AK$10=2,0,AR38)</f>
        <v>0</v>
      </c>
      <c r="AX38" s="153">
        <f t="shared" si="31"/>
        <v>0</v>
      </c>
      <c r="AY38" s="154">
        <f t="shared" si="32"/>
        <v>0</v>
      </c>
      <c r="AZ38" s="155">
        <f t="shared" si="24"/>
        <v>0</v>
      </c>
      <c r="BB38" s="154">
        <f t="shared" ref="BB38" si="147">IF($AK$10=3,0,AW38)</f>
        <v>0</v>
      </c>
      <c r="BC38" s="153">
        <f t="shared" si="34"/>
        <v>0</v>
      </c>
      <c r="BD38" s="154">
        <f t="shared" si="35"/>
        <v>0</v>
      </c>
      <c r="BE38" s="155">
        <f t="shared" si="25"/>
        <v>0</v>
      </c>
      <c r="BG38" s="154">
        <f t="shared" ref="BG38" si="148">IF($AK$10=4,0,BB38)</f>
        <v>0</v>
      </c>
      <c r="BH38" s="153">
        <f t="shared" si="37"/>
        <v>0</v>
      </c>
      <c r="BI38" s="154">
        <f t="shared" si="38"/>
        <v>0</v>
      </c>
      <c r="BJ38" s="155">
        <f t="shared" si="26"/>
        <v>0</v>
      </c>
      <c r="BK38" s="157"/>
      <c r="BL38" s="157">
        <f t="shared" si="27"/>
        <v>0</v>
      </c>
      <c r="BM38" s="206"/>
      <c r="BN38" s="206"/>
      <c r="BO38" s="206"/>
      <c r="BP38" s="206"/>
      <c r="BQ38" s="206"/>
      <c r="BR38" s="206"/>
      <c r="BS38" s="206"/>
      <c r="BT38" s="206"/>
      <c r="BU38" s="206"/>
    </row>
    <row r="39" spans="1:73" ht="16.5" customHeight="1" x14ac:dyDescent="0.25">
      <c r="A39" s="168" t="s">
        <v>171</v>
      </c>
      <c r="B39" s="187"/>
      <c r="D39" s="193" t="str">
        <f>IF(AL39="Summer", (AM39)&amp;" days,"&amp;" Summer", ((AN39*100)&amp;"%"&amp;" time, "&amp;AO39&amp;" months, "&amp;AL39))</f>
        <v>0% time, 0 months, CY</v>
      </c>
      <c r="E39" s="193"/>
      <c r="H39" s="191"/>
      <c r="I39" s="188"/>
      <c r="J39" s="320">
        <f t="shared" si="17"/>
        <v>0</v>
      </c>
      <c r="L39" s="336">
        <v>0</v>
      </c>
      <c r="N39" s="320">
        <f t="shared" si="18"/>
        <v>0</v>
      </c>
      <c r="O39" s="320"/>
      <c r="P39" s="336">
        <v>0</v>
      </c>
      <c r="R39" s="320">
        <f t="shared" si="19"/>
        <v>0</v>
      </c>
      <c r="S39" s="320"/>
      <c r="T39" s="336">
        <v>0</v>
      </c>
      <c r="V39" s="320">
        <f t="shared" si="20"/>
        <v>0</v>
      </c>
      <c r="W39" s="320"/>
      <c r="X39" s="336">
        <v>0</v>
      </c>
      <c r="Z39" s="320">
        <f t="shared" si="21"/>
        <v>0</v>
      </c>
      <c r="AA39" s="320"/>
      <c r="AB39" s="336">
        <v>0</v>
      </c>
      <c r="AD39" s="320">
        <f t="shared" si="0"/>
        <v>0</v>
      </c>
      <c r="AE39" s="170"/>
      <c r="AF39" s="189">
        <f t="shared" si="1"/>
        <v>0</v>
      </c>
      <c r="AH39" s="376"/>
      <c r="AI39" s="194"/>
      <c r="AJ39" s="148">
        <v>0.01</v>
      </c>
      <c r="AK39" s="118">
        <f t="shared" si="2"/>
        <v>12</v>
      </c>
      <c r="AL39" s="119" t="s">
        <v>83</v>
      </c>
      <c r="AM39" s="165"/>
      <c r="AN39" s="120">
        <v>0</v>
      </c>
      <c r="AO39" s="121">
        <v>0</v>
      </c>
      <c r="AP39" s="41">
        <f t="shared" si="22"/>
        <v>0</v>
      </c>
      <c r="AR39" s="121">
        <f t="shared" si="28"/>
        <v>0</v>
      </c>
      <c r="AS39" s="120">
        <f t="shared" si="29"/>
        <v>0</v>
      </c>
      <c r="AT39" s="121">
        <f t="shared" si="3"/>
        <v>0</v>
      </c>
      <c r="AU39" s="41">
        <f t="shared" si="23"/>
        <v>0</v>
      </c>
      <c r="AW39" s="121">
        <f t="shared" si="30"/>
        <v>0</v>
      </c>
      <c r="AX39" s="120">
        <f t="shared" si="31"/>
        <v>0</v>
      </c>
      <c r="AY39" s="121">
        <f t="shared" si="32"/>
        <v>0</v>
      </c>
      <c r="AZ39" s="41">
        <f t="shared" si="24"/>
        <v>0</v>
      </c>
      <c r="BB39" s="121">
        <f t="shared" si="33"/>
        <v>0</v>
      </c>
      <c r="BC39" s="120">
        <f t="shared" si="34"/>
        <v>0</v>
      </c>
      <c r="BD39" s="121">
        <f t="shared" si="35"/>
        <v>0</v>
      </c>
      <c r="BE39" s="41">
        <f t="shared" si="25"/>
        <v>0</v>
      </c>
      <c r="BG39" s="121">
        <f t="shared" si="36"/>
        <v>0</v>
      </c>
      <c r="BH39" s="120">
        <f t="shared" si="37"/>
        <v>0</v>
      </c>
      <c r="BI39" s="121">
        <f t="shared" si="38"/>
        <v>0</v>
      </c>
      <c r="BJ39" s="41">
        <f t="shared" si="26"/>
        <v>0</v>
      </c>
      <c r="BL39" s="45">
        <f t="shared" si="27"/>
        <v>0</v>
      </c>
    </row>
    <row r="40" spans="1:73" s="156" customFormat="1" ht="16.5" customHeight="1" x14ac:dyDescent="0.25">
      <c r="A40" s="195" t="s">
        <v>171</v>
      </c>
      <c r="B40" s="187"/>
      <c r="C40" s="167" t="s">
        <v>90</v>
      </c>
      <c r="D40" s="167"/>
      <c r="E40" s="197"/>
      <c r="F40" s="198"/>
      <c r="G40" s="198"/>
      <c r="H40" s="199"/>
      <c r="I40" s="200"/>
      <c r="J40" s="337">
        <f t="shared" si="17"/>
        <v>0</v>
      </c>
      <c r="K40" s="338"/>
      <c r="L40" s="336"/>
      <c r="M40" s="338"/>
      <c r="N40" s="338">
        <f t="shared" si="18"/>
        <v>0</v>
      </c>
      <c r="O40" s="338"/>
      <c r="P40" s="336"/>
      <c r="Q40" s="339"/>
      <c r="R40" s="338">
        <f t="shared" si="19"/>
        <v>0</v>
      </c>
      <c r="S40" s="338"/>
      <c r="T40" s="336"/>
      <c r="U40" s="339"/>
      <c r="V40" s="320">
        <f t="shared" si="20"/>
        <v>0</v>
      </c>
      <c r="W40" s="338"/>
      <c r="X40" s="336"/>
      <c r="Y40" s="339"/>
      <c r="Z40" s="338">
        <f t="shared" si="21"/>
        <v>0</v>
      </c>
      <c r="AA40" s="338"/>
      <c r="AB40" s="336"/>
      <c r="AC40" s="339"/>
      <c r="AD40" s="338">
        <f t="shared" si="0"/>
        <v>0</v>
      </c>
      <c r="AE40" s="202"/>
      <c r="AF40" s="204">
        <f t="shared" si="1"/>
        <v>0</v>
      </c>
      <c r="AI40" s="194"/>
      <c r="AJ40" s="150">
        <v>0.01</v>
      </c>
      <c r="AK40" s="151">
        <f t="shared" si="2"/>
        <v>12</v>
      </c>
      <c r="AL40" s="152"/>
      <c r="AM40" s="166"/>
      <c r="AN40" s="153">
        <v>0</v>
      </c>
      <c r="AO40" s="154">
        <v>0</v>
      </c>
      <c r="AP40" s="155">
        <f t="shared" ref="AP40" si="149">IF($AL40="Summer",(AM40/$AO$9*AK40),AN40*AO40)</f>
        <v>0</v>
      </c>
      <c r="AR40" s="154">
        <f t="shared" ref="AR40" si="150">IF($AK$10=1,0,AM40)</f>
        <v>0</v>
      </c>
      <c r="AS40" s="153">
        <f t="shared" si="29"/>
        <v>0</v>
      </c>
      <c r="AT40" s="154">
        <f t="shared" si="3"/>
        <v>0</v>
      </c>
      <c r="AU40" s="155">
        <f t="shared" si="23"/>
        <v>0</v>
      </c>
      <c r="AW40" s="154">
        <f t="shared" ref="AW40" si="151">IF($AK$10=2,0,AR40)</f>
        <v>0</v>
      </c>
      <c r="AX40" s="153">
        <f t="shared" si="31"/>
        <v>0</v>
      </c>
      <c r="AY40" s="154">
        <f t="shared" si="32"/>
        <v>0</v>
      </c>
      <c r="AZ40" s="155">
        <f t="shared" si="24"/>
        <v>0</v>
      </c>
      <c r="BB40" s="154">
        <f t="shared" ref="BB40" si="152">IF($AK$10=3,0,AW40)</f>
        <v>0</v>
      </c>
      <c r="BC40" s="153">
        <f t="shared" si="34"/>
        <v>0</v>
      </c>
      <c r="BD40" s="154">
        <f t="shared" si="35"/>
        <v>0</v>
      </c>
      <c r="BE40" s="155">
        <f t="shared" si="25"/>
        <v>0</v>
      </c>
      <c r="BG40" s="154">
        <f t="shared" ref="BG40" si="153">IF($AK$10=4,0,BB40)</f>
        <v>0</v>
      </c>
      <c r="BH40" s="153">
        <f t="shared" si="37"/>
        <v>0</v>
      </c>
      <c r="BI40" s="154">
        <f t="shared" si="38"/>
        <v>0</v>
      </c>
      <c r="BJ40" s="155">
        <f t="shared" si="26"/>
        <v>0</v>
      </c>
      <c r="BK40" s="157"/>
      <c r="BL40" s="157">
        <f t="shared" si="27"/>
        <v>0</v>
      </c>
      <c r="BM40" s="206"/>
      <c r="BN40" s="206"/>
      <c r="BO40" s="206"/>
      <c r="BP40" s="206"/>
      <c r="BQ40" s="206"/>
      <c r="BR40" s="206"/>
      <c r="BS40" s="206"/>
      <c r="BT40" s="206"/>
      <c r="BU40" s="206"/>
    </row>
    <row r="41" spans="1:73" ht="16.5" customHeight="1" x14ac:dyDescent="0.25">
      <c r="A41" s="168" t="s">
        <v>171</v>
      </c>
      <c r="B41" s="187"/>
      <c r="D41" s="193" t="str">
        <f>IF(AL41="Summer", (AM41)&amp;" days,"&amp;" Summer", ((AN41*100)&amp;"%"&amp;" time, "&amp;AO41&amp;" months, "&amp;AL41))</f>
        <v>0% time, 0 months, CY</v>
      </c>
      <c r="E41" s="193"/>
      <c r="H41" s="191"/>
      <c r="I41" s="188"/>
      <c r="J41" s="320">
        <f t="shared" si="17"/>
        <v>0</v>
      </c>
      <c r="L41" s="336">
        <v>0</v>
      </c>
      <c r="N41" s="320">
        <f t="shared" si="18"/>
        <v>0</v>
      </c>
      <c r="O41" s="320"/>
      <c r="P41" s="336">
        <v>0</v>
      </c>
      <c r="R41" s="320">
        <f t="shared" si="19"/>
        <v>0</v>
      </c>
      <c r="S41" s="320"/>
      <c r="T41" s="336">
        <v>0</v>
      </c>
      <c r="V41" s="320">
        <f t="shared" si="20"/>
        <v>0</v>
      </c>
      <c r="W41" s="320"/>
      <c r="X41" s="336">
        <v>0</v>
      </c>
      <c r="Z41" s="320">
        <f t="shared" si="21"/>
        <v>0</v>
      </c>
      <c r="AA41" s="320"/>
      <c r="AB41" s="336">
        <v>0</v>
      </c>
      <c r="AD41" s="320">
        <f t="shared" si="0"/>
        <v>0</v>
      </c>
      <c r="AE41" s="170"/>
      <c r="AF41" s="189">
        <f t="shared" si="1"/>
        <v>0</v>
      </c>
      <c r="AH41" s="376"/>
      <c r="AI41" s="194"/>
      <c r="AJ41" s="148">
        <v>0.01</v>
      </c>
      <c r="AK41" s="118">
        <f t="shared" si="2"/>
        <v>12</v>
      </c>
      <c r="AL41" s="119" t="s">
        <v>83</v>
      </c>
      <c r="AM41" s="165"/>
      <c r="AN41" s="120">
        <v>0</v>
      </c>
      <c r="AO41" s="121">
        <v>0</v>
      </c>
      <c r="AP41" s="41">
        <f t="shared" si="22"/>
        <v>0</v>
      </c>
      <c r="AR41" s="121">
        <f t="shared" si="28"/>
        <v>0</v>
      </c>
      <c r="AS41" s="120">
        <f t="shared" si="29"/>
        <v>0</v>
      </c>
      <c r="AT41" s="121">
        <f t="shared" si="3"/>
        <v>0</v>
      </c>
      <c r="AU41" s="41">
        <f t="shared" si="23"/>
        <v>0</v>
      </c>
      <c r="AW41" s="121">
        <f t="shared" si="30"/>
        <v>0</v>
      </c>
      <c r="AX41" s="120">
        <f t="shared" si="31"/>
        <v>0</v>
      </c>
      <c r="AY41" s="121">
        <f t="shared" si="32"/>
        <v>0</v>
      </c>
      <c r="AZ41" s="41">
        <f t="shared" si="24"/>
        <v>0</v>
      </c>
      <c r="BB41" s="121">
        <f t="shared" si="33"/>
        <v>0</v>
      </c>
      <c r="BC41" s="120">
        <f t="shared" si="34"/>
        <v>0</v>
      </c>
      <c r="BD41" s="121">
        <f t="shared" si="35"/>
        <v>0</v>
      </c>
      <c r="BE41" s="41">
        <f t="shared" si="25"/>
        <v>0</v>
      </c>
      <c r="BG41" s="121">
        <f t="shared" si="36"/>
        <v>0</v>
      </c>
      <c r="BH41" s="120">
        <f t="shared" si="37"/>
        <v>0</v>
      </c>
      <c r="BI41" s="121">
        <f t="shared" si="38"/>
        <v>0</v>
      </c>
      <c r="BJ41" s="41">
        <f t="shared" si="26"/>
        <v>0</v>
      </c>
      <c r="BL41" s="45">
        <f t="shared" si="27"/>
        <v>0</v>
      </c>
    </row>
    <row r="42" spans="1:73" s="156" customFormat="1" ht="16.5" customHeight="1" x14ac:dyDescent="0.25">
      <c r="A42" s="195" t="s">
        <v>171</v>
      </c>
      <c r="B42" s="187"/>
      <c r="C42" s="167" t="s">
        <v>90</v>
      </c>
      <c r="D42" s="167"/>
      <c r="E42" s="197"/>
      <c r="F42" s="198"/>
      <c r="G42" s="198"/>
      <c r="H42" s="199"/>
      <c r="I42" s="200"/>
      <c r="J42" s="337">
        <f t="shared" si="17"/>
        <v>0</v>
      </c>
      <c r="K42" s="338"/>
      <c r="L42" s="336"/>
      <c r="M42" s="338"/>
      <c r="N42" s="338">
        <f t="shared" si="18"/>
        <v>0</v>
      </c>
      <c r="O42" s="338"/>
      <c r="P42" s="336"/>
      <c r="Q42" s="339"/>
      <c r="R42" s="338">
        <f t="shared" si="19"/>
        <v>0</v>
      </c>
      <c r="S42" s="338"/>
      <c r="T42" s="336"/>
      <c r="U42" s="339"/>
      <c r="V42" s="320">
        <f t="shared" si="20"/>
        <v>0</v>
      </c>
      <c r="W42" s="338"/>
      <c r="X42" s="336"/>
      <c r="Y42" s="339"/>
      <c r="Z42" s="338">
        <f t="shared" si="21"/>
        <v>0</v>
      </c>
      <c r="AA42" s="338"/>
      <c r="AB42" s="336"/>
      <c r="AC42" s="339"/>
      <c r="AD42" s="338">
        <f t="shared" si="0"/>
        <v>0</v>
      </c>
      <c r="AE42" s="202"/>
      <c r="AF42" s="204">
        <f t="shared" si="1"/>
        <v>0</v>
      </c>
      <c r="AI42" s="194"/>
      <c r="AJ42" s="150">
        <v>0.01</v>
      </c>
      <c r="AK42" s="151">
        <f t="shared" si="2"/>
        <v>12</v>
      </c>
      <c r="AL42" s="152"/>
      <c r="AM42" s="166"/>
      <c r="AN42" s="153">
        <v>0</v>
      </c>
      <c r="AO42" s="154">
        <v>0</v>
      </c>
      <c r="AP42" s="155">
        <f t="shared" ref="AP42" si="154">IF($AL42="Summer",(AM42/$AO$9*AK42),AN42*AO42)</f>
        <v>0</v>
      </c>
      <c r="AR42" s="154">
        <f t="shared" ref="AR42" si="155">IF($AK$10=1,0,AM42)</f>
        <v>0</v>
      </c>
      <c r="AS42" s="153">
        <f t="shared" si="29"/>
        <v>0</v>
      </c>
      <c r="AT42" s="154">
        <f t="shared" si="3"/>
        <v>0</v>
      </c>
      <c r="AU42" s="155">
        <f t="shared" si="23"/>
        <v>0</v>
      </c>
      <c r="AW42" s="154">
        <f t="shared" ref="AW42" si="156">IF($AK$10=2,0,AR42)</f>
        <v>0</v>
      </c>
      <c r="AX42" s="153">
        <f t="shared" si="31"/>
        <v>0</v>
      </c>
      <c r="AY42" s="154">
        <f t="shared" si="32"/>
        <v>0</v>
      </c>
      <c r="AZ42" s="155">
        <f t="shared" si="24"/>
        <v>0</v>
      </c>
      <c r="BB42" s="154">
        <f t="shared" ref="BB42" si="157">IF($AK$10=3,0,AW42)</f>
        <v>0</v>
      </c>
      <c r="BC42" s="153">
        <f t="shared" si="34"/>
        <v>0</v>
      </c>
      <c r="BD42" s="154">
        <f t="shared" si="35"/>
        <v>0</v>
      </c>
      <c r="BE42" s="155">
        <f t="shared" si="25"/>
        <v>0</v>
      </c>
      <c r="BG42" s="154">
        <f t="shared" ref="BG42" si="158">IF($AK$10=4,0,BB42)</f>
        <v>0</v>
      </c>
      <c r="BH42" s="153">
        <f t="shared" si="37"/>
        <v>0</v>
      </c>
      <c r="BI42" s="154">
        <f t="shared" si="38"/>
        <v>0</v>
      </c>
      <c r="BJ42" s="155">
        <f t="shared" si="26"/>
        <v>0</v>
      </c>
      <c r="BK42" s="157"/>
      <c r="BL42" s="157">
        <f t="shared" si="27"/>
        <v>0</v>
      </c>
      <c r="BM42" s="206"/>
      <c r="BN42" s="206"/>
      <c r="BO42" s="206"/>
      <c r="BP42" s="206"/>
      <c r="BQ42" s="206"/>
      <c r="BR42" s="206"/>
      <c r="BS42" s="206"/>
      <c r="BT42" s="206"/>
      <c r="BU42" s="206"/>
    </row>
    <row r="43" spans="1:73" ht="16.5" customHeight="1" x14ac:dyDescent="0.25">
      <c r="A43" s="168" t="s">
        <v>171</v>
      </c>
      <c r="B43" s="187"/>
      <c r="D43" s="193" t="str">
        <f>IF(AL43="Summer", (AM43)&amp;" days,"&amp;" Summer", ((AN43*100)&amp;"%"&amp;" time, "&amp;AO43&amp;" months, "&amp;AL43))</f>
        <v>0% time, 0 months, CY</v>
      </c>
      <c r="E43" s="193"/>
      <c r="H43" s="191"/>
      <c r="I43" s="188"/>
      <c r="J43" s="320">
        <f t="shared" si="17"/>
        <v>0</v>
      </c>
      <c r="L43" s="336">
        <v>0</v>
      </c>
      <c r="N43" s="320">
        <f t="shared" si="18"/>
        <v>0</v>
      </c>
      <c r="O43" s="320"/>
      <c r="P43" s="336">
        <v>0</v>
      </c>
      <c r="R43" s="320">
        <f t="shared" si="19"/>
        <v>0</v>
      </c>
      <c r="S43" s="320"/>
      <c r="T43" s="336">
        <v>0</v>
      </c>
      <c r="V43" s="320">
        <f t="shared" si="20"/>
        <v>0</v>
      </c>
      <c r="W43" s="320"/>
      <c r="X43" s="336">
        <v>0</v>
      </c>
      <c r="Z43" s="320">
        <f t="shared" si="21"/>
        <v>0</v>
      </c>
      <c r="AA43" s="320"/>
      <c r="AB43" s="336">
        <v>0</v>
      </c>
      <c r="AD43" s="320">
        <f t="shared" si="0"/>
        <v>0</v>
      </c>
      <c r="AE43" s="170"/>
      <c r="AF43" s="189">
        <f t="shared" si="1"/>
        <v>0</v>
      </c>
      <c r="AH43" s="376"/>
      <c r="AI43" s="194"/>
      <c r="AJ43" s="148">
        <v>0.01</v>
      </c>
      <c r="AK43" s="118">
        <f t="shared" si="2"/>
        <v>12</v>
      </c>
      <c r="AL43" s="119" t="s">
        <v>83</v>
      </c>
      <c r="AM43" s="165"/>
      <c r="AN43" s="120">
        <v>0</v>
      </c>
      <c r="AO43" s="121">
        <v>0</v>
      </c>
      <c r="AP43" s="41">
        <f t="shared" si="22"/>
        <v>0</v>
      </c>
      <c r="AR43" s="121">
        <f t="shared" si="28"/>
        <v>0</v>
      </c>
      <c r="AS43" s="120">
        <f t="shared" si="29"/>
        <v>0</v>
      </c>
      <c r="AT43" s="121">
        <f t="shared" si="3"/>
        <v>0</v>
      </c>
      <c r="AU43" s="41">
        <f t="shared" si="23"/>
        <v>0</v>
      </c>
      <c r="AW43" s="121">
        <f t="shared" si="30"/>
        <v>0</v>
      </c>
      <c r="AX43" s="120">
        <f t="shared" si="31"/>
        <v>0</v>
      </c>
      <c r="AY43" s="121">
        <f t="shared" si="32"/>
        <v>0</v>
      </c>
      <c r="AZ43" s="41">
        <f t="shared" si="24"/>
        <v>0</v>
      </c>
      <c r="BB43" s="121">
        <f t="shared" si="33"/>
        <v>0</v>
      </c>
      <c r="BC43" s="120">
        <f t="shared" si="34"/>
        <v>0</v>
      </c>
      <c r="BD43" s="121">
        <f t="shared" si="35"/>
        <v>0</v>
      </c>
      <c r="BE43" s="41">
        <f t="shared" si="25"/>
        <v>0</v>
      </c>
      <c r="BG43" s="121">
        <f t="shared" si="36"/>
        <v>0</v>
      </c>
      <c r="BH43" s="120">
        <f t="shared" si="37"/>
        <v>0</v>
      </c>
      <c r="BI43" s="121">
        <f t="shared" si="38"/>
        <v>0</v>
      </c>
      <c r="BJ43" s="41">
        <f t="shared" si="26"/>
        <v>0</v>
      </c>
      <c r="BL43" s="45">
        <f t="shared" si="27"/>
        <v>0</v>
      </c>
    </row>
    <row r="44" spans="1:73" s="156" customFormat="1" ht="16.5" customHeight="1" x14ac:dyDescent="0.25">
      <c r="A44" s="195" t="s">
        <v>253</v>
      </c>
      <c r="B44" s="187"/>
      <c r="C44" s="167" t="s">
        <v>91</v>
      </c>
      <c r="D44" s="167"/>
      <c r="E44" s="197"/>
      <c r="F44" s="198"/>
      <c r="G44" s="198"/>
      <c r="H44" s="199"/>
      <c r="I44" s="200"/>
      <c r="J44" s="337">
        <f t="shared" si="17"/>
        <v>0</v>
      </c>
      <c r="K44" s="338"/>
      <c r="L44" s="336"/>
      <c r="M44" s="338"/>
      <c r="N44" s="338">
        <f>IF($AK$13="No",IF(AU44=0,0,($AJ44*(1+$AK$4)/$AK44*AU44)),($AJ44*(1+$AK$4)^2/$AK44*AU44))</f>
        <v>0</v>
      </c>
      <c r="O44" s="338"/>
      <c r="P44" s="336"/>
      <c r="Q44" s="339"/>
      <c r="R44" s="338">
        <f t="shared" si="19"/>
        <v>0</v>
      </c>
      <c r="S44" s="338"/>
      <c r="T44" s="336"/>
      <c r="U44" s="339"/>
      <c r="V44" s="320">
        <f t="shared" si="20"/>
        <v>0</v>
      </c>
      <c r="W44" s="338"/>
      <c r="X44" s="336"/>
      <c r="Y44" s="339"/>
      <c r="Z44" s="338">
        <f t="shared" si="21"/>
        <v>0</v>
      </c>
      <c r="AA44" s="338"/>
      <c r="AB44" s="336"/>
      <c r="AC44" s="339"/>
      <c r="AD44" s="338">
        <f t="shared" si="0"/>
        <v>0</v>
      </c>
      <c r="AE44" s="202"/>
      <c r="AF44" s="204">
        <f t="shared" si="1"/>
        <v>0</v>
      </c>
      <c r="AI44" s="194"/>
      <c r="AJ44" s="150">
        <v>0.01</v>
      </c>
      <c r="AK44" s="151">
        <f t="shared" si="2"/>
        <v>12</v>
      </c>
      <c r="AL44" s="152"/>
      <c r="AM44" s="166"/>
      <c r="AN44" s="153">
        <v>0</v>
      </c>
      <c r="AO44" s="154">
        <v>0</v>
      </c>
      <c r="AP44" s="155">
        <f t="shared" ref="AP44" si="159">IF($AL44="Summer",(AM44/$AO$9*AK44),AN44*AO44)</f>
        <v>0</v>
      </c>
      <c r="AR44" s="154">
        <f t="shared" ref="AR44" si="160">IF($AK$10=1,0,AM44)</f>
        <v>0</v>
      </c>
      <c r="AS44" s="153">
        <f t="shared" si="29"/>
        <v>0</v>
      </c>
      <c r="AT44" s="154">
        <f t="shared" si="3"/>
        <v>0</v>
      </c>
      <c r="AU44" s="155">
        <f t="shared" si="23"/>
        <v>0</v>
      </c>
      <c r="AW44" s="154">
        <f t="shared" ref="AW44" si="161">IF($AK$10=2,0,AR44)</f>
        <v>0</v>
      </c>
      <c r="AX44" s="153">
        <f t="shared" si="31"/>
        <v>0</v>
      </c>
      <c r="AY44" s="154">
        <f t="shared" si="32"/>
        <v>0</v>
      </c>
      <c r="AZ44" s="155">
        <f t="shared" si="24"/>
        <v>0</v>
      </c>
      <c r="BB44" s="154">
        <f t="shared" ref="BB44" si="162">IF($AK$10=3,0,AW44)</f>
        <v>0</v>
      </c>
      <c r="BC44" s="153">
        <f t="shared" si="34"/>
        <v>0</v>
      </c>
      <c r="BD44" s="154">
        <f t="shared" si="35"/>
        <v>0</v>
      </c>
      <c r="BE44" s="155">
        <f t="shared" si="25"/>
        <v>0</v>
      </c>
      <c r="BG44" s="154">
        <f t="shared" ref="BG44" si="163">IF($AK$10=4,0,BB44)</f>
        <v>0</v>
      </c>
      <c r="BH44" s="153">
        <f t="shared" si="37"/>
        <v>0</v>
      </c>
      <c r="BI44" s="154">
        <f t="shared" si="38"/>
        <v>0</v>
      </c>
      <c r="BJ44" s="155">
        <f t="shared" si="26"/>
        <v>0</v>
      </c>
      <c r="BK44" s="157"/>
      <c r="BL44" s="157">
        <f t="shared" si="27"/>
        <v>0</v>
      </c>
      <c r="BM44" s="206"/>
      <c r="BN44" s="206"/>
      <c r="BO44" s="206"/>
      <c r="BP44" s="206"/>
      <c r="BQ44" s="206"/>
      <c r="BR44" s="206"/>
      <c r="BS44" s="206"/>
      <c r="BT44" s="206"/>
      <c r="BU44" s="206"/>
    </row>
    <row r="45" spans="1:73" ht="16.5" customHeight="1" x14ac:dyDescent="0.25">
      <c r="A45" s="168" t="s">
        <v>253</v>
      </c>
      <c r="B45" s="187"/>
      <c r="D45" s="193" t="str">
        <f>IF(AL45="Summer", (AM45)&amp;" days,"&amp;" Summer", ((AN45*100)&amp;"%"&amp;" time, "&amp;AO45&amp;" months, "&amp;AL45))</f>
        <v>0% time, 0 months, CY</v>
      </c>
      <c r="E45" s="193"/>
      <c r="H45" s="191"/>
      <c r="I45" s="188"/>
      <c r="J45" s="320">
        <f t="shared" si="17"/>
        <v>0</v>
      </c>
      <c r="L45" s="336">
        <v>0</v>
      </c>
      <c r="N45" s="320">
        <f t="shared" si="18"/>
        <v>0</v>
      </c>
      <c r="O45" s="320"/>
      <c r="P45" s="336">
        <v>0</v>
      </c>
      <c r="R45" s="320">
        <f t="shared" si="19"/>
        <v>0</v>
      </c>
      <c r="S45" s="320"/>
      <c r="T45" s="336">
        <v>0</v>
      </c>
      <c r="V45" s="320">
        <f t="shared" si="20"/>
        <v>0</v>
      </c>
      <c r="W45" s="320"/>
      <c r="X45" s="336">
        <v>0</v>
      </c>
      <c r="Z45" s="320">
        <f t="shared" si="21"/>
        <v>0</v>
      </c>
      <c r="AA45" s="320"/>
      <c r="AB45" s="336">
        <v>0</v>
      </c>
      <c r="AD45" s="320">
        <f t="shared" si="0"/>
        <v>0</v>
      </c>
      <c r="AE45" s="170"/>
      <c r="AF45" s="189">
        <f t="shared" si="1"/>
        <v>0</v>
      </c>
      <c r="AH45" s="376"/>
      <c r="AI45" s="194"/>
      <c r="AJ45" s="148">
        <v>0.01</v>
      </c>
      <c r="AK45" s="118">
        <f t="shared" si="2"/>
        <v>12</v>
      </c>
      <c r="AL45" s="119" t="s">
        <v>83</v>
      </c>
      <c r="AM45" s="165"/>
      <c r="AN45" s="120">
        <v>0</v>
      </c>
      <c r="AO45" s="121">
        <v>0</v>
      </c>
      <c r="AP45" s="41">
        <f t="shared" si="22"/>
        <v>0</v>
      </c>
      <c r="AR45" s="121">
        <f t="shared" si="28"/>
        <v>0</v>
      </c>
      <c r="AS45" s="120">
        <f t="shared" si="29"/>
        <v>0</v>
      </c>
      <c r="AT45" s="121">
        <f t="shared" si="3"/>
        <v>0</v>
      </c>
      <c r="AU45" s="41">
        <f t="shared" si="23"/>
        <v>0</v>
      </c>
      <c r="AW45" s="121">
        <f t="shared" si="30"/>
        <v>0</v>
      </c>
      <c r="AX45" s="120">
        <f t="shared" si="31"/>
        <v>0</v>
      </c>
      <c r="AY45" s="121">
        <f t="shared" si="32"/>
        <v>0</v>
      </c>
      <c r="AZ45" s="41">
        <f t="shared" si="24"/>
        <v>0</v>
      </c>
      <c r="BB45" s="121">
        <f t="shared" si="33"/>
        <v>0</v>
      </c>
      <c r="BC45" s="120">
        <f t="shared" si="34"/>
        <v>0</v>
      </c>
      <c r="BD45" s="121">
        <f t="shared" si="35"/>
        <v>0</v>
      </c>
      <c r="BE45" s="41">
        <f t="shared" si="25"/>
        <v>0</v>
      </c>
      <c r="BG45" s="121">
        <f t="shared" si="36"/>
        <v>0</v>
      </c>
      <c r="BH45" s="120">
        <f t="shared" si="37"/>
        <v>0</v>
      </c>
      <c r="BI45" s="121">
        <f t="shared" si="38"/>
        <v>0</v>
      </c>
      <c r="BJ45" s="41">
        <f t="shared" si="26"/>
        <v>0</v>
      </c>
      <c r="BL45" s="45">
        <f t="shared" si="27"/>
        <v>0</v>
      </c>
    </row>
    <row r="46" spans="1:73" s="156" customFormat="1" ht="16.5" customHeight="1" x14ac:dyDescent="0.25">
      <c r="A46" s="195" t="s">
        <v>253</v>
      </c>
      <c r="B46" s="187"/>
      <c r="C46" s="167" t="s">
        <v>91</v>
      </c>
      <c r="D46" s="167"/>
      <c r="E46" s="197"/>
      <c r="F46" s="198"/>
      <c r="G46" s="198"/>
      <c r="H46" s="199"/>
      <c r="I46" s="200"/>
      <c r="J46" s="337">
        <f t="shared" si="17"/>
        <v>0</v>
      </c>
      <c r="K46" s="338"/>
      <c r="L46" s="336"/>
      <c r="M46" s="338"/>
      <c r="N46" s="338">
        <f t="shared" si="18"/>
        <v>0</v>
      </c>
      <c r="O46" s="338"/>
      <c r="P46" s="336"/>
      <c r="Q46" s="339"/>
      <c r="R46" s="338">
        <f t="shared" si="19"/>
        <v>0</v>
      </c>
      <c r="S46" s="338"/>
      <c r="T46" s="336"/>
      <c r="U46" s="339"/>
      <c r="V46" s="320">
        <f t="shared" si="20"/>
        <v>0</v>
      </c>
      <c r="W46" s="338"/>
      <c r="X46" s="336"/>
      <c r="Y46" s="339"/>
      <c r="Z46" s="338">
        <f t="shared" si="21"/>
        <v>0</v>
      </c>
      <c r="AA46" s="338"/>
      <c r="AB46" s="336"/>
      <c r="AC46" s="339"/>
      <c r="AD46" s="338">
        <f t="shared" si="0"/>
        <v>0</v>
      </c>
      <c r="AE46" s="202"/>
      <c r="AF46" s="204">
        <f t="shared" si="1"/>
        <v>0</v>
      </c>
      <c r="AI46" s="194"/>
      <c r="AJ46" s="150">
        <v>0.01</v>
      </c>
      <c r="AK46" s="151">
        <f t="shared" si="2"/>
        <v>12</v>
      </c>
      <c r="AL46" s="152"/>
      <c r="AM46" s="166"/>
      <c r="AN46" s="153">
        <v>0</v>
      </c>
      <c r="AO46" s="154">
        <v>0</v>
      </c>
      <c r="AP46" s="155">
        <f t="shared" ref="AP46" si="164">IF($AL46="Summer",(AM46/$AO$9*AK46),AN46*AO46)</f>
        <v>0</v>
      </c>
      <c r="AR46" s="154">
        <f t="shared" ref="AR46" si="165">IF($AK$10=1,0,AM46)</f>
        <v>0</v>
      </c>
      <c r="AS46" s="153">
        <f t="shared" si="29"/>
        <v>0</v>
      </c>
      <c r="AT46" s="154">
        <f t="shared" si="3"/>
        <v>0</v>
      </c>
      <c r="AU46" s="155">
        <f t="shared" si="23"/>
        <v>0</v>
      </c>
      <c r="AW46" s="154">
        <f t="shared" ref="AW46" si="166">IF($AK$10=2,0,AR46)</f>
        <v>0</v>
      </c>
      <c r="AX46" s="153">
        <f t="shared" si="31"/>
        <v>0</v>
      </c>
      <c r="AY46" s="154">
        <f t="shared" si="32"/>
        <v>0</v>
      </c>
      <c r="AZ46" s="155">
        <f t="shared" si="24"/>
        <v>0</v>
      </c>
      <c r="BB46" s="154">
        <f t="shared" ref="BB46" si="167">IF($AK$10=3,0,AW46)</f>
        <v>0</v>
      </c>
      <c r="BC46" s="153">
        <f t="shared" si="34"/>
        <v>0</v>
      </c>
      <c r="BD46" s="154">
        <f t="shared" si="35"/>
        <v>0</v>
      </c>
      <c r="BE46" s="155">
        <f t="shared" si="25"/>
        <v>0</v>
      </c>
      <c r="BG46" s="154">
        <f t="shared" ref="BG46" si="168">IF($AK$10=4,0,BB46)</f>
        <v>0</v>
      </c>
      <c r="BH46" s="153">
        <f t="shared" si="37"/>
        <v>0</v>
      </c>
      <c r="BI46" s="154">
        <f t="shared" si="38"/>
        <v>0</v>
      </c>
      <c r="BJ46" s="155">
        <f t="shared" si="26"/>
        <v>0</v>
      </c>
      <c r="BK46" s="157"/>
      <c r="BL46" s="157">
        <f t="shared" si="27"/>
        <v>0</v>
      </c>
      <c r="BM46" s="206"/>
      <c r="BN46" s="206"/>
      <c r="BO46" s="206"/>
      <c r="BP46" s="206"/>
      <c r="BQ46" s="206"/>
      <c r="BR46" s="206"/>
      <c r="BS46" s="206"/>
      <c r="BT46" s="206"/>
      <c r="BU46" s="206"/>
    </row>
    <row r="47" spans="1:73" ht="16.5" customHeight="1" x14ac:dyDescent="0.25">
      <c r="A47" s="168" t="s">
        <v>253</v>
      </c>
      <c r="B47" s="187"/>
      <c r="D47" s="193" t="str">
        <f>IF(AL47="Summer", (AM47)&amp;" days,"&amp;" Summer", ((AN47*100)&amp;"%"&amp;" time, "&amp;AO47&amp;" months, "&amp;AL47))</f>
        <v>0% time, 0 months, CY</v>
      </c>
      <c r="E47" s="193"/>
      <c r="H47" s="191"/>
      <c r="I47" s="188"/>
      <c r="J47" s="320">
        <f t="shared" si="17"/>
        <v>0</v>
      </c>
      <c r="L47" s="336">
        <v>0</v>
      </c>
      <c r="N47" s="320">
        <f t="shared" si="18"/>
        <v>0</v>
      </c>
      <c r="O47" s="320"/>
      <c r="P47" s="336">
        <v>0</v>
      </c>
      <c r="R47" s="320">
        <f t="shared" si="19"/>
        <v>0</v>
      </c>
      <c r="S47" s="320"/>
      <c r="T47" s="336">
        <v>0</v>
      </c>
      <c r="V47" s="320">
        <f t="shared" si="20"/>
        <v>0</v>
      </c>
      <c r="W47" s="320"/>
      <c r="X47" s="336">
        <v>0</v>
      </c>
      <c r="Z47" s="320">
        <f t="shared" si="21"/>
        <v>0</v>
      </c>
      <c r="AA47" s="320"/>
      <c r="AB47" s="336">
        <v>0</v>
      </c>
      <c r="AD47" s="320">
        <f t="shared" si="0"/>
        <v>0</v>
      </c>
      <c r="AE47" s="170"/>
      <c r="AF47" s="189">
        <f t="shared" si="1"/>
        <v>0</v>
      </c>
      <c r="AH47" s="81"/>
      <c r="AI47" s="194"/>
      <c r="AJ47" s="148">
        <v>0.01</v>
      </c>
      <c r="AK47" s="118">
        <f t="shared" si="2"/>
        <v>12</v>
      </c>
      <c r="AL47" s="119" t="s">
        <v>83</v>
      </c>
      <c r="AM47" s="165"/>
      <c r="AN47" s="120">
        <v>0</v>
      </c>
      <c r="AO47" s="121">
        <v>0</v>
      </c>
      <c r="AP47" s="41">
        <f t="shared" si="22"/>
        <v>0</v>
      </c>
      <c r="AR47" s="121">
        <f t="shared" si="28"/>
        <v>0</v>
      </c>
      <c r="AS47" s="120">
        <f t="shared" si="29"/>
        <v>0</v>
      </c>
      <c r="AT47" s="121">
        <f t="shared" si="3"/>
        <v>0</v>
      </c>
      <c r="AU47" s="41">
        <f t="shared" si="23"/>
        <v>0</v>
      </c>
      <c r="AW47" s="121">
        <f t="shared" si="30"/>
        <v>0</v>
      </c>
      <c r="AX47" s="120">
        <f t="shared" si="31"/>
        <v>0</v>
      </c>
      <c r="AY47" s="121">
        <f t="shared" si="32"/>
        <v>0</v>
      </c>
      <c r="AZ47" s="41">
        <f t="shared" si="24"/>
        <v>0</v>
      </c>
      <c r="BB47" s="121">
        <f t="shared" si="33"/>
        <v>0</v>
      </c>
      <c r="BC47" s="120">
        <f t="shared" si="34"/>
        <v>0</v>
      </c>
      <c r="BD47" s="121">
        <f t="shared" si="35"/>
        <v>0</v>
      </c>
      <c r="BE47" s="41">
        <f t="shared" si="25"/>
        <v>0</v>
      </c>
      <c r="BG47" s="121">
        <f t="shared" si="36"/>
        <v>0</v>
      </c>
      <c r="BH47" s="120">
        <f t="shared" si="37"/>
        <v>0</v>
      </c>
      <c r="BI47" s="121">
        <f t="shared" si="38"/>
        <v>0</v>
      </c>
      <c r="BJ47" s="41">
        <f t="shared" si="26"/>
        <v>0</v>
      </c>
      <c r="BL47" s="45">
        <f t="shared" si="27"/>
        <v>0</v>
      </c>
    </row>
    <row r="48" spans="1:73" ht="16.5" customHeight="1" x14ac:dyDescent="0.25">
      <c r="A48" s="195" t="s">
        <v>190</v>
      </c>
      <c r="B48" s="187"/>
      <c r="C48" s="167" t="s">
        <v>52</v>
      </c>
      <c r="H48" s="191"/>
      <c r="I48" s="188"/>
      <c r="J48" s="337">
        <f t="shared" si="17"/>
        <v>0</v>
      </c>
      <c r="K48" s="338"/>
      <c r="L48" s="336"/>
      <c r="M48" s="338"/>
      <c r="N48" s="338">
        <f t="shared" si="18"/>
        <v>0</v>
      </c>
      <c r="O48" s="338"/>
      <c r="P48" s="336"/>
      <c r="Q48" s="339"/>
      <c r="R48" s="338">
        <f t="shared" si="19"/>
        <v>0</v>
      </c>
      <c r="S48" s="338"/>
      <c r="T48" s="336"/>
      <c r="U48" s="339"/>
      <c r="V48" s="320">
        <f t="shared" si="20"/>
        <v>0</v>
      </c>
      <c r="W48" s="338"/>
      <c r="X48" s="336"/>
      <c r="Y48" s="339"/>
      <c r="Z48" s="338">
        <f t="shared" si="21"/>
        <v>0</v>
      </c>
      <c r="AA48" s="338"/>
      <c r="AB48" s="336"/>
      <c r="AC48" s="339"/>
      <c r="AD48" s="338">
        <f t="shared" si="0"/>
        <v>0</v>
      </c>
      <c r="AE48" s="202"/>
      <c r="AF48" s="204">
        <f t="shared" si="1"/>
        <v>0</v>
      </c>
      <c r="AG48" s="156"/>
      <c r="AH48" s="156"/>
      <c r="AI48" s="194"/>
      <c r="AJ48" s="150">
        <v>0.01</v>
      </c>
      <c r="AK48" s="151">
        <f t="shared" si="2"/>
        <v>9</v>
      </c>
      <c r="AL48" s="152"/>
      <c r="AM48" s="166"/>
      <c r="AN48" s="153">
        <v>0</v>
      </c>
      <c r="AO48" s="154">
        <v>0</v>
      </c>
      <c r="AP48" s="155">
        <f t="shared" ref="AP48" si="169">IF($AL48="Summer",(AM48/$AO$9*AK48),AN48*AO48)</f>
        <v>0</v>
      </c>
      <c r="AQ48" s="156"/>
      <c r="AR48" s="154">
        <f t="shared" ref="AR48" si="170">IF($AK$10=1,0,AM48)</f>
        <v>0</v>
      </c>
      <c r="AS48" s="153">
        <f t="shared" si="29"/>
        <v>0</v>
      </c>
      <c r="AT48" s="154">
        <f t="shared" si="3"/>
        <v>0</v>
      </c>
      <c r="AU48" s="155">
        <f t="shared" si="23"/>
        <v>0</v>
      </c>
      <c r="AV48" s="156"/>
      <c r="AW48" s="154">
        <f t="shared" ref="AW48" si="171">IF($AK$10=2,0,AR48)</f>
        <v>0</v>
      </c>
      <c r="AX48" s="153">
        <f t="shared" si="31"/>
        <v>0</v>
      </c>
      <c r="AY48" s="154">
        <f t="shared" si="32"/>
        <v>0</v>
      </c>
      <c r="AZ48" s="155">
        <f t="shared" si="24"/>
        <v>0</v>
      </c>
      <c r="BA48" s="156"/>
      <c r="BB48" s="154">
        <f t="shared" ref="BB48" si="172">IF($AK$10=3,0,AW48)</f>
        <v>0</v>
      </c>
      <c r="BC48" s="153">
        <f t="shared" si="34"/>
        <v>0</v>
      </c>
      <c r="BD48" s="154">
        <f t="shared" si="35"/>
        <v>0</v>
      </c>
      <c r="BE48" s="155">
        <f t="shared" si="25"/>
        <v>0</v>
      </c>
      <c r="BF48" s="156"/>
      <c r="BG48" s="154">
        <f t="shared" ref="BG48" si="173">IF($AK$10=4,0,BB48)</f>
        <v>0</v>
      </c>
      <c r="BH48" s="153">
        <f t="shared" si="37"/>
        <v>0</v>
      </c>
      <c r="BI48" s="154">
        <f t="shared" si="38"/>
        <v>0</v>
      </c>
      <c r="BJ48" s="155">
        <f t="shared" si="26"/>
        <v>0</v>
      </c>
      <c r="BK48" s="157"/>
      <c r="BL48" s="157">
        <f t="shared" si="27"/>
        <v>0</v>
      </c>
    </row>
    <row r="49" spans="1:64" ht="16.5" customHeight="1" x14ac:dyDescent="0.25">
      <c r="A49" s="168" t="s">
        <v>190</v>
      </c>
      <c r="B49" s="187"/>
      <c r="D49" s="193" t="str">
        <f>((AN49*100)&amp;"%"&amp;" time, "&amp;AO49&amp;" months, "&amp;AL49)</f>
        <v>47.5% time, 9.23 months, AY</v>
      </c>
      <c r="E49" s="193"/>
      <c r="H49" s="191"/>
      <c r="I49" s="188"/>
      <c r="J49" s="320">
        <f>IF($AK$13="No", IF(AP49=0,0,($AJ49/$AK49*AP49)), ($AJ49*(1+$AK$4)/$AK49*AP49))</f>
        <v>0</v>
      </c>
      <c r="L49" s="336">
        <v>0</v>
      </c>
      <c r="N49" s="320">
        <f>IF($AK$13="No",IF(AU49=0,0,(($AJ49)*(1+$AK$4)/$AK49*AU49)),(($AJ49)*(1+$AK$4)^2/$AK49*AU49))</f>
        <v>0</v>
      </c>
      <c r="O49" s="320"/>
      <c r="P49" s="336">
        <v>0</v>
      </c>
      <c r="R49" s="320">
        <f>IF($AK$13="No",IF(AZ49=0,0,(($AJ49)*(1+$AK$4)^2/$AK49*AZ49)),(($AJ49)*(1+$AK$4)^3/$AK49*AZ49))</f>
        <v>0</v>
      </c>
      <c r="S49" s="320"/>
      <c r="T49" s="336">
        <v>0</v>
      </c>
      <c r="V49" s="320">
        <f t="shared" si="20"/>
        <v>0</v>
      </c>
      <c r="W49" s="320"/>
      <c r="X49" s="336">
        <v>0</v>
      </c>
      <c r="Z49" s="320">
        <f>IF($AK$13="No", IF(BJ49=0,0,(($AJ49)*(1+$AK$4)^4/$AK49*BJ49)), (($AJ49)*(1+$AK$4)^5/$AK49*BJ49))</f>
        <v>0</v>
      </c>
      <c r="AA49" s="320"/>
      <c r="AB49" s="336">
        <v>0</v>
      </c>
      <c r="AD49" s="320">
        <f t="shared" si="0"/>
        <v>0</v>
      </c>
      <c r="AE49" s="170"/>
      <c r="AF49" s="189">
        <f t="shared" si="1"/>
        <v>0</v>
      </c>
      <c r="AI49" s="207"/>
      <c r="AJ49" s="148">
        <v>0.01</v>
      </c>
      <c r="AK49" s="118">
        <v>12</v>
      </c>
      <c r="AL49" s="119" t="s">
        <v>84</v>
      </c>
      <c r="AM49" s="163"/>
      <c r="AN49" s="120">
        <v>0.47499999999999998</v>
      </c>
      <c r="AO49" s="121">
        <v>9.23</v>
      </c>
      <c r="AP49" s="41">
        <f>AN49*AO49</f>
        <v>4.3840000000000003</v>
      </c>
      <c r="AR49" s="164"/>
      <c r="AS49" s="120">
        <f>AN49</f>
        <v>0.47499999999999998</v>
      </c>
      <c r="AT49" s="121">
        <f t="shared" si="3"/>
        <v>0</v>
      </c>
      <c r="AU49" s="41">
        <f>AS49*AT49</f>
        <v>0</v>
      </c>
      <c r="AX49" s="120">
        <f t="shared" si="31"/>
        <v>0.47499999999999998</v>
      </c>
      <c r="AY49" s="121">
        <f t="shared" si="32"/>
        <v>0</v>
      </c>
      <c r="AZ49" s="41">
        <f>AX49*AY49</f>
        <v>0</v>
      </c>
      <c r="BC49" s="120">
        <f t="shared" si="34"/>
        <v>0.47499999999999998</v>
      </c>
      <c r="BD49" s="121">
        <f t="shared" si="35"/>
        <v>0</v>
      </c>
      <c r="BE49" s="41">
        <f>BC49*BD49</f>
        <v>0</v>
      </c>
      <c r="BH49" s="120">
        <f t="shared" si="37"/>
        <v>0.47499999999999998</v>
      </c>
      <c r="BI49" s="121">
        <f t="shared" si="38"/>
        <v>0</v>
      </c>
      <c r="BJ49" s="41">
        <f>BH49*BI49</f>
        <v>0</v>
      </c>
      <c r="BL49" s="45">
        <f>BJ49+BE49+AZ49+AU49+AP49</f>
        <v>4.38</v>
      </c>
    </row>
    <row r="50" spans="1:64" ht="16.5" customHeight="1" x14ac:dyDescent="0.25">
      <c r="A50" s="168" t="s">
        <v>191</v>
      </c>
      <c r="B50" s="187"/>
      <c r="D50" s="193" t="str">
        <f>((AN50*100)&amp;"%"&amp;" time, "&amp;AO50&amp;" months, "&amp;AL50)</f>
        <v>47.5% time, 2.77 months, Summer</v>
      </c>
      <c r="E50" s="193"/>
      <c r="H50" s="191"/>
      <c r="I50" s="188"/>
      <c r="J50" s="320">
        <f>IF($AK$13="No", IF(AP50=0,0,($AJ50/$AK50*AP50)), ($AJ50*(1+$AK$4)/$AK50*AP50))</f>
        <v>0</v>
      </c>
      <c r="L50" s="336">
        <v>0</v>
      </c>
      <c r="N50" s="320">
        <f>IF($AK$13="No",IF(AU50=0,0,(($AJ50)*(1+$AK$4)/$AK50*AU50)),(($AJ50)*(1+$AK$4)^2/$AK50*AU50))</f>
        <v>0</v>
      </c>
      <c r="O50" s="320"/>
      <c r="P50" s="336">
        <v>0</v>
      </c>
      <c r="R50" s="320">
        <f>IF($AK$13="No",IF(AZ50=0,0,(($AJ50)*(1+$AK$4)^2/$AK50*AZ50)),(($AJ50)*(1+$AK$4)^3/$AK50*AZ50))</f>
        <v>0</v>
      </c>
      <c r="S50" s="320"/>
      <c r="T50" s="336">
        <v>0</v>
      </c>
      <c r="V50" s="320">
        <f t="shared" si="20"/>
        <v>0</v>
      </c>
      <c r="W50" s="320"/>
      <c r="X50" s="336">
        <v>0</v>
      </c>
      <c r="Z50" s="320">
        <f>IF($AK$13="No", IF(BJ50=0,0,(($AJ50)*(1+$AK$4)^4/$AK50*BJ50)), (($AJ50)*(1+$AK$4)^5/$AK50*BJ50))</f>
        <v>0</v>
      </c>
      <c r="AA50" s="320"/>
      <c r="AB50" s="336">
        <v>0</v>
      </c>
      <c r="AD50" s="320">
        <f t="shared" si="0"/>
        <v>0</v>
      </c>
      <c r="AE50" s="170"/>
      <c r="AF50" s="189">
        <f t="shared" si="1"/>
        <v>0</v>
      </c>
      <c r="AI50" s="207"/>
      <c r="AJ50" s="148">
        <v>0.01</v>
      </c>
      <c r="AK50" s="118">
        <v>12</v>
      </c>
      <c r="AL50" s="119" t="s">
        <v>85</v>
      </c>
      <c r="AM50" s="163"/>
      <c r="AN50" s="120">
        <v>0.47499999999999998</v>
      </c>
      <c r="AO50" s="121">
        <v>2.77</v>
      </c>
      <c r="AP50" s="41">
        <f>AN50*AO50</f>
        <v>1.3160000000000001</v>
      </c>
      <c r="AR50" s="164"/>
      <c r="AS50" s="120">
        <f>AN50</f>
        <v>0.47499999999999998</v>
      </c>
      <c r="AT50" s="121">
        <f t="shared" si="3"/>
        <v>0</v>
      </c>
      <c r="AU50" s="41">
        <f t="shared" ref="AU50:AU59" si="174">AS50*AT50</f>
        <v>0</v>
      </c>
      <c r="AX50" s="120">
        <f t="shared" si="31"/>
        <v>0.47499999999999998</v>
      </c>
      <c r="AY50" s="121">
        <f t="shared" si="32"/>
        <v>0</v>
      </c>
      <c r="AZ50" s="41">
        <f t="shared" ref="AZ50:AZ59" si="175">AX50*AY50</f>
        <v>0</v>
      </c>
      <c r="BC50" s="120">
        <f t="shared" si="34"/>
        <v>0.47499999999999998</v>
      </c>
      <c r="BD50" s="121">
        <f t="shared" si="35"/>
        <v>0</v>
      </c>
      <c r="BE50" s="41">
        <f t="shared" ref="BE50:BE59" si="176">BC50*BD50</f>
        <v>0</v>
      </c>
      <c r="BH50" s="120">
        <f t="shared" si="37"/>
        <v>0.47499999999999998</v>
      </c>
      <c r="BI50" s="121">
        <f t="shared" si="38"/>
        <v>0</v>
      </c>
      <c r="BJ50" s="41">
        <f t="shared" ref="BJ50:BJ59" si="177">BH50*BI50</f>
        <v>0</v>
      </c>
      <c r="BL50" s="45">
        <f>BJ50+BE50+AZ50+AU50+AP50</f>
        <v>1.32</v>
      </c>
    </row>
    <row r="51" spans="1:64" x14ac:dyDescent="0.25">
      <c r="A51" s="195"/>
      <c r="C51" s="167" t="s">
        <v>52</v>
      </c>
      <c r="H51" s="191"/>
      <c r="I51" s="188"/>
      <c r="L51" s="336"/>
      <c r="O51" s="320"/>
      <c r="P51" s="336"/>
      <c r="R51" s="320"/>
      <c r="S51" s="320"/>
      <c r="T51" s="336"/>
      <c r="V51" s="320"/>
      <c r="W51" s="320"/>
      <c r="X51" s="336"/>
      <c r="Z51" s="320"/>
      <c r="AA51" s="320"/>
      <c r="AB51" s="336"/>
      <c r="AF51" s="190"/>
      <c r="AI51" s="207"/>
      <c r="AJ51" s="148"/>
      <c r="AK51" s="151"/>
      <c r="AL51" s="119"/>
      <c r="AM51" s="163"/>
      <c r="AN51" s="120"/>
      <c r="AO51" s="121"/>
      <c r="AR51" s="164"/>
      <c r="AS51" s="120"/>
      <c r="AT51" s="121"/>
      <c r="AX51" s="120"/>
      <c r="AY51" s="121"/>
      <c r="BC51" s="120"/>
      <c r="BD51" s="121"/>
      <c r="BH51" s="120"/>
      <c r="BI51" s="121"/>
      <c r="BL51" s="45"/>
    </row>
    <row r="52" spans="1:64" ht="16.5" customHeight="1" x14ac:dyDescent="0.25">
      <c r="A52" s="168" t="s">
        <v>190</v>
      </c>
      <c r="B52" s="187"/>
      <c r="D52" s="193" t="str">
        <f>((AN52*100)&amp;"%"&amp;" time, "&amp;AO52&amp;" months, "&amp;AL52)</f>
        <v>47.5% time, 9.23 months, AY</v>
      </c>
      <c r="E52" s="193"/>
      <c r="H52" s="191"/>
      <c r="I52" s="188"/>
      <c r="J52" s="320">
        <f>IF($AK$13="No", IF(AP52=0,0,($AJ52/$AK52*AP52)), ($AJ52*(1+$AK$4)/$AK52*AP52))</f>
        <v>0</v>
      </c>
      <c r="L52" s="336">
        <v>0</v>
      </c>
      <c r="N52" s="320">
        <f>IF($AK$13="No",IF(AU52=0,0,(($AJ52)*(1+$AK$4)/$AK52*AU52)),(($AJ52)*(1+$AK$4)^2/$AK52*AU52))</f>
        <v>0</v>
      </c>
      <c r="O52" s="320"/>
      <c r="P52" s="336">
        <v>0</v>
      </c>
      <c r="R52" s="320">
        <f>IF($AK$13="No",IF(AZ52=0,0,(($AJ52)*(1+$AK$4)^2/$AK52*AZ52)),(($AJ52)*(1+$AK$4)^3/$AK52*AZ52))</f>
        <v>0</v>
      </c>
      <c r="S52" s="320"/>
      <c r="T52" s="336">
        <v>0</v>
      </c>
      <c r="V52" s="320">
        <f>IF($AK$13="No",IF(BE52=0,0,(($AJ52)*(1+$AK$4)^3/$AK52*BE52)),(($AJ52)*(1+$AK$4)^4/$AK52*BE52))</f>
        <v>0</v>
      </c>
      <c r="W52" s="320"/>
      <c r="X52" s="336">
        <v>0</v>
      </c>
      <c r="Z52" s="320">
        <f>IF($AK$13="No", IF(BJ52=0,0,(($AJ52)*(1+$AK$4)^4/$AK52*BJ52)), (($AJ52)*(1+$AK$4)^5/$AK52*BJ52))</f>
        <v>0</v>
      </c>
      <c r="AA52" s="320"/>
      <c r="AB52" s="336">
        <v>0</v>
      </c>
      <c r="AD52" s="320">
        <f>J52+N52+R52+V52+Z52</f>
        <v>0</v>
      </c>
      <c r="AE52" s="170"/>
      <c r="AF52" s="189">
        <f>L52+P52+T52+X52+AB52</f>
        <v>0</v>
      </c>
      <c r="AI52" s="207"/>
      <c r="AJ52" s="148">
        <v>0</v>
      </c>
      <c r="AK52" s="118">
        <v>12</v>
      </c>
      <c r="AL52" s="119" t="s">
        <v>84</v>
      </c>
      <c r="AM52" s="163"/>
      <c r="AN52" s="120">
        <v>0.47499999999999998</v>
      </c>
      <c r="AO52" s="121">
        <v>9.23</v>
      </c>
      <c r="AP52" s="41">
        <f t="shared" ref="AP52:AP59" si="178">AN52*AO52</f>
        <v>4.3840000000000003</v>
      </c>
      <c r="AR52" s="164"/>
      <c r="AS52" s="120">
        <f>AN52</f>
        <v>0.47499999999999998</v>
      </c>
      <c r="AT52" s="121">
        <f>IF($AK$10=1,0,AO52)</f>
        <v>0</v>
      </c>
      <c r="AU52" s="41">
        <f t="shared" si="174"/>
        <v>0</v>
      </c>
      <c r="AX52" s="120">
        <f>IF($AK$10=2,0,AS52)</f>
        <v>0.47499999999999998</v>
      </c>
      <c r="AY52" s="121">
        <f>IF($AK$10=2,0,AT52)</f>
        <v>0</v>
      </c>
      <c r="AZ52" s="41">
        <f t="shared" si="175"/>
        <v>0</v>
      </c>
      <c r="BC52" s="120">
        <f>IF($AK$10=3,0,AX52)</f>
        <v>0.47499999999999998</v>
      </c>
      <c r="BD52" s="121">
        <f>IF($AK$10=3,0,AY52)</f>
        <v>0</v>
      </c>
      <c r="BE52" s="41">
        <f t="shared" si="176"/>
        <v>0</v>
      </c>
      <c r="BH52" s="120">
        <f>IF($AK$10=4,0,BC52)</f>
        <v>0.47499999999999998</v>
      </c>
      <c r="BI52" s="121">
        <f>IF($AK$10=4,0,BD52)</f>
        <v>0</v>
      </c>
      <c r="BJ52" s="41">
        <f t="shared" si="177"/>
        <v>0</v>
      </c>
      <c r="BL52" s="45">
        <f>BJ52+BE52+AZ52+AU52+AP52</f>
        <v>4.38</v>
      </c>
    </row>
    <row r="53" spans="1:64" ht="16.5" customHeight="1" x14ac:dyDescent="0.25">
      <c r="A53" s="168" t="s">
        <v>191</v>
      </c>
      <c r="B53" s="187"/>
      <c r="D53" s="193" t="str">
        <f>((AN53*100)&amp;"%"&amp;" time, "&amp;AO53&amp;" months, "&amp;AL53)</f>
        <v>47.5% time, 2.77 months, Summer</v>
      </c>
      <c r="E53" s="193"/>
      <c r="H53" s="191"/>
      <c r="I53" s="188"/>
      <c r="J53" s="320">
        <f>IF($AK$13="No", IF(AP53=0,0,($AJ53/$AK53*AP53)), ($AJ53*(1+$AK$4)/$AK53*AP53))</f>
        <v>0</v>
      </c>
      <c r="L53" s="336">
        <v>0</v>
      </c>
      <c r="N53" s="320">
        <f>IF($AK$13="No",IF(AU53=0,0,(($AJ53)*(1+$AK$4)/$AK53*AU53)),(($AJ53)*(1+$AK$4)^2/$AK53*AU53))</f>
        <v>0</v>
      </c>
      <c r="O53" s="320"/>
      <c r="P53" s="336">
        <v>0</v>
      </c>
      <c r="R53" s="320">
        <f>IF($AK$13="No",IF(AZ53=0,0,(($AJ53)*(1+$AK$4)^2/$AK53*AZ53)),(($AJ53)*(1+$AK$4)^3/$AK53*AZ53))</f>
        <v>0</v>
      </c>
      <c r="S53" s="320"/>
      <c r="T53" s="336">
        <v>0</v>
      </c>
      <c r="V53" s="320">
        <f>IF($AK$13="No",IF(BE53=0,0,(($AJ53)*(1+$AK$4)^3/$AK53*BE53)),(($AJ53)*(1+$AK$4)^4/$AK53*BE53))</f>
        <v>0</v>
      </c>
      <c r="W53" s="320"/>
      <c r="X53" s="336">
        <v>0</v>
      </c>
      <c r="Z53" s="320">
        <f>IF($AK$13="No", IF(BJ53=0,0,(($AJ53)*(1+$AK$4)^4/$AK53*BJ53)), (($AJ53)*(1+$AK$4)^5/$AK53*BJ53))</f>
        <v>0</v>
      </c>
      <c r="AA53" s="320"/>
      <c r="AB53" s="336">
        <v>0</v>
      </c>
      <c r="AD53" s="320">
        <f>J53+N53+R53+V53+Z53</f>
        <v>0</v>
      </c>
      <c r="AE53" s="170"/>
      <c r="AF53" s="189">
        <f>L53+P53+T53+X53+AB53</f>
        <v>0</v>
      </c>
      <c r="AI53" s="207"/>
      <c r="AJ53" s="148">
        <v>0</v>
      </c>
      <c r="AK53" s="118">
        <v>12</v>
      </c>
      <c r="AL53" s="119" t="s">
        <v>85</v>
      </c>
      <c r="AM53" s="163"/>
      <c r="AN53" s="120">
        <v>0.47499999999999998</v>
      </c>
      <c r="AO53" s="121">
        <v>2.77</v>
      </c>
      <c r="AP53" s="41">
        <f t="shared" si="178"/>
        <v>1.3160000000000001</v>
      </c>
      <c r="AR53" s="164"/>
      <c r="AS53" s="120">
        <f>AN53</f>
        <v>0.47499999999999998</v>
      </c>
      <c r="AT53" s="121">
        <f>IF($AK$10=1,0,AO53)</f>
        <v>0</v>
      </c>
      <c r="AU53" s="41">
        <f t="shared" si="174"/>
        <v>0</v>
      </c>
      <c r="AX53" s="120">
        <f>IF($AK$10=2,0,AS53)</f>
        <v>0.47499999999999998</v>
      </c>
      <c r="AY53" s="121">
        <f>IF($AK$10=2,0,AT53)</f>
        <v>0</v>
      </c>
      <c r="AZ53" s="41">
        <f t="shared" si="175"/>
        <v>0</v>
      </c>
      <c r="BC53" s="120">
        <f>IF($AK$10=3,0,AX53)</f>
        <v>0.47499999999999998</v>
      </c>
      <c r="BD53" s="121">
        <f>IF($AK$10=3,0,AY53)</f>
        <v>0</v>
      </c>
      <c r="BE53" s="41">
        <f t="shared" si="176"/>
        <v>0</v>
      </c>
      <c r="BH53" s="120">
        <f>IF($AK$10=4,0,BC53)</f>
        <v>0.47499999999999998</v>
      </c>
      <c r="BI53" s="121">
        <f>IF($AK$10=4,0,BD53)</f>
        <v>0</v>
      </c>
      <c r="BJ53" s="41">
        <f t="shared" si="177"/>
        <v>0</v>
      </c>
      <c r="BL53" s="45">
        <f>BJ53+BE53+AZ53+AU53+AP53</f>
        <v>1.32</v>
      </c>
    </row>
    <row r="54" spans="1:64" ht="16.5" customHeight="1" x14ac:dyDescent="0.25">
      <c r="A54" s="195"/>
      <c r="B54" s="187"/>
      <c r="C54" s="167" t="s">
        <v>52</v>
      </c>
      <c r="H54" s="191"/>
      <c r="I54" s="188"/>
      <c r="L54" s="336"/>
      <c r="O54" s="320"/>
      <c r="P54" s="336"/>
      <c r="R54" s="320"/>
      <c r="S54" s="320"/>
      <c r="T54" s="336"/>
      <c r="V54" s="320"/>
      <c r="W54" s="320"/>
      <c r="X54" s="336"/>
      <c r="Z54" s="320"/>
      <c r="AA54" s="320"/>
      <c r="AB54" s="336"/>
      <c r="AE54" s="170"/>
      <c r="AF54" s="189"/>
      <c r="AI54" s="207"/>
      <c r="AJ54" s="148"/>
      <c r="AK54" s="151"/>
      <c r="AL54" s="119"/>
      <c r="AM54" s="163"/>
      <c r="AN54" s="120"/>
      <c r="AO54" s="121"/>
      <c r="AR54" s="164"/>
      <c r="AS54" s="120"/>
      <c r="AT54" s="121"/>
      <c r="AX54" s="120"/>
      <c r="AY54" s="121"/>
      <c r="BC54" s="120"/>
      <c r="BD54" s="121"/>
      <c r="BH54" s="120"/>
      <c r="BI54" s="121"/>
    </row>
    <row r="55" spans="1:64" ht="16.5" customHeight="1" x14ac:dyDescent="0.25">
      <c r="A55" s="168" t="s">
        <v>190</v>
      </c>
      <c r="B55" s="187"/>
      <c r="D55" s="193" t="str">
        <f>((AN55*100)&amp;"%"&amp;" time, "&amp;AO55&amp;" months, "&amp;AL55)</f>
        <v>47.5% time, 9.23 months, AY</v>
      </c>
      <c r="E55" s="193"/>
      <c r="H55" s="191"/>
      <c r="I55" s="188"/>
      <c r="J55" s="320">
        <f>IF($AK$13="No", IF(AP55=0,0,($AJ55/$AK55*AP55)), ($AJ55*(1+$AK$4)/$AK55*AP55))</f>
        <v>0</v>
      </c>
      <c r="L55" s="336">
        <v>0</v>
      </c>
      <c r="N55" s="320">
        <f>IF($AK$13="No",IF(AU55=0,0,(($AJ55)*(1+$AK$4)/$AK55*AU55)),(($AJ55)*(1+$AK$4)^2/$AK55*AU55))</f>
        <v>0</v>
      </c>
      <c r="O55" s="320"/>
      <c r="P55" s="336">
        <v>0</v>
      </c>
      <c r="R55" s="320">
        <f>IF($AK$13="No",IF(AZ55=0,0,(($AJ55)*(1+$AK$4)^2/$AK55*AZ55)),(($AJ55)*(1+$AK$4)^3/$AK55*AZ55))</f>
        <v>0</v>
      </c>
      <c r="S55" s="320"/>
      <c r="T55" s="336">
        <v>0</v>
      </c>
      <c r="V55" s="320">
        <f>IF($AK$13="No",IF(BE55=0,0,(($AJ55)*(1+$AK$4)^3/$AK55*BE55)),(($AJ55)*(1+$AK$4)^4/$AK55*BE55))</f>
        <v>0</v>
      </c>
      <c r="W55" s="320"/>
      <c r="X55" s="336">
        <v>0</v>
      </c>
      <c r="Z55" s="320">
        <f>IF($AK$13="No", IF(BJ55=0,0,(($AJ55)*(1+$AK$4)^4/$AK55*BJ55)), (($AJ55)*(1+$AK$4)^5/$AK55*BJ55))</f>
        <v>0</v>
      </c>
      <c r="AA55" s="320"/>
      <c r="AB55" s="336">
        <v>0</v>
      </c>
      <c r="AD55" s="320">
        <f>J55+N55+R55+V55+Z55</f>
        <v>0</v>
      </c>
      <c r="AE55" s="170"/>
      <c r="AF55" s="189">
        <f>L55+P55+T55+X55+AB55</f>
        <v>0</v>
      </c>
      <c r="AI55" s="207"/>
      <c r="AJ55" s="148">
        <v>0.01</v>
      </c>
      <c r="AK55" s="118">
        <v>12</v>
      </c>
      <c r="AL55" s="119" t="s">
        <v>84</v>
      </c>
      <c r="AM55" s="163"/>
      <c r="AN55" s="120">
        <v>0.47499999999999998</v>
      </c>
      <c r="AO55" s="121">
        <v>9.23</v>
      </c>
      <c r="AP55" s="41">
        <f t="shared" si="178"/>
        <v>4.3840000000000003</v>
      </c>
      <c r="AR55" s="164"/>
      <c r="AS55" s="120">
        <f>AN55</f>
        <v>0.47499999999999998</v>
      </c>
      <c r="AT55" s="121">
        <f>IF($AK$10=1,0,AO55)</f>
        <v>0</v>
      </c>
      <c r="AU55" s="41">
        <f t="shared" si="174"/>
        <v>0</v>
      </c>
      <c r="AX55" s="120">
        <f>IF($AK$10=2,0,AS55)</f>
        <v>0.47499999999999998</v>
      </c>
      <c r="AY55" s="121">
        <f>IF($AK$10=2,0,AT55)</f>
        <v>0</v>
      </c>
      <c r="AZ55" s="41">
        <f t="shared" si="175"/>
        <v>0</v>
      </c>
      <c r="BC55" s="120">
        <f>IF($AK$10=3,0,AX55)</f>
        <v>0.47499999999999998</v>
      </c>
      <c r="BD55" s="121">
        <f>IF($AK$10=3,0,AY55)</f>
        <v>0</v>
      </c>
      <c r="BE55" s="41">
        <f t="shared" si="176"/>
        <v>0</v>
      </c>
      <c r="BH55" s="120">
        <f>IF($AK$10=4,0,BC55)</f>
        <v>0.47499999999999998</v>
      </c>
      <c r="BI55" s="121">
        <f>IF($AK$10=4,0,BD55)</f>
        <v>0</v>
      </c>
      <c r="BJ55" s="41">
        <f t="shared" si="177"/>
        <v>0</v>
      </c>
      <c r="BL55" s="45">
        <f>BJ55+BE55+AZ55+AU55+AP55</f>
        <v>4.38</v>
      </c>
    </row>
    <row r="56" spans="1:64" ht="16.5" customHeight="1" x14ac:dyDescent="0.25">
      <c r="A56" s="168" t="s">
        <v>191</v>
      </c>
      <c r="B56" s="187"/>
      <c r="D56" s="193" t="str">
        <f>((AN56*100)&amp;"%"&amp;" time, "&amp;AO56&amp;" months, "&amp;AL56)</f>
        <v>47.5% time, 2.77 months, Summer</v>
      </c>
      <c r="E56" s="193"/>
      <c r="H56" s="191"/>
      <c r="I56" s="188"/>
      <c r="J56" s="320">
        <f>IF($AK$13="No", IF(AP56=0,0,($AJ56/$AK56*AP56)), ($AJ56*(1+$AK$4)/$AK56*AP56))</f>
        <v>0</v>
      </c>
      <c r="L56" s="336">
        <v>0</v>
      </c>
      <c r="N56" s="320">
        <f>IF($AK$13="No",IF(AU56=0,0,(($AJ56)*(1+$AK$4)/$AK56*AU56)),(($AJ56)*(1+$AK$4)^2/$AK56*AU56))</f>
        <v>0</v>
      </c>
      <c r="O56" s="320"/>
      <c r="P56" s="336">
        <v>0</v>
      </c>
      <c r="R56" s="320">
        <f>IF($AK$13="No",IF(AZ56=0,0,(($AJ56)*(1+$AK$4)^2/$AK56*AZ56)),(($AJ56)*(1+$AK$4)^3/$AK56*AZ56))</f>
        <v>0</v>
      </c>
      <c r="S56" s="320"/>
      <c r="T56" s="336">
        <v>0</v>
      </c>
      <c r="V56" s="320">
        <f>IF($AK$13="No",IF(BE56=0,0,(($AJ56)*(1+$AK$4)^3/$AK56*BE56)),(($AJ56)*(1+$AK$4)^4/$AK56*BE56))</f>
        <v>0</v>
      </c>
      <c r="W56" s="320"/>
      <c r="X56" s="336">
        <v>0</v>
      </c>
      <c r="Z56" s="320">
        <f>IF($AK$13="No", IF(BJ56=0,0,(($AJ56)*(1+$AK$4)^4/$AK56*BJ56)), (($AJ56)*(1+$AK$4)^5/$AK56*BJ56))</f>
        <v>0</v>
      </c>
      <c r="AA56" s="320"/>
      <c r="AB56" s="336">
        <v>0</v>
      </c>
      <c r="AD56" s="320">
        <f>J56+N56+R56+V56+Z56</f>
        <v>0</v>
      </c>
      <c r="AE56" s="170"/>
      <c r="AF56" s="189">
        <f>L56+P56+T56+X56+AB56</f>
        <v>0</v>
      </c>
      <c r="AI56" s="207"/>
      <c r="AJ56" s="148">
        <v>0.01</v>
      </c>
      <c r="AK56" s="118">
        <v>12</v>
      </c>
      <c r="AL56" s="119" t="s">
        <v>85</v>
      </c>
      <c r="AM56" s="163"/>
      <c r="AN56" s="120">
        <v>0.47499999999999998</v>
      </c>
      <c r="AO56" s="121">
        <v>2.77</v>
      </c>
      <c r="AP56" s="41">
        <f t="shared" si="178"/>
        <v>1.3160000000000001</v>
      </c>
      <c r="AR56" s="164"/>
      <c r="AS56" s="120">
        <f>AN56</f>
        <v>0.47499999999999998</v>
      </c>
      <c r="AT56" s="121">
        <f>IF($AK$10=1,0,AO56)</f>
        <v>0</v>
      </c>
      <c r="AU56" s="41">
        <f t="shared" si="174"/>
        <v>0</v>
      </c>
      <c r="AX56" s="120">
        <f>IF($AK$10=2,0,AS56)</f>
        <v>0.47499999999999998</v>
      </c>
      <c r="AY56" s="121">
        <f>IF($AK$10=2,0,AT56)</f>
        <v>0</v>
      </c>
      <c r="AZ56" s="41">
        <f t="shared" si="175"/>
        <v>0</v>
      </c>
      <c r="BC56" s="120">
        <f>IF($AK$10=3,0,AX56)</f>
        <v>0.47499999999999998</v>
      </c>
      <c r="BD56" s="121">
        <f>IF($AK$10=3,0,AY56)</f>
        <v>0</v>
      </c>
      <c r="BE56" s="41">
        <f t="shared" si="176"/>
        <v>0</v>
      </c>
      <c r="BH56" s="120">
        <f>IF($AK$10=4,0,BC56)</f>
        <v>0.47499999999999998</v>
      </c>
      <c r="BI56" s="121">
        <f>IF($AK$10=4,0,BD56)</f>
        <v>0</v>
      </c>
      <c r="BJ56" s="41">
        <f t="shared" si="177"/>
        <v>0</v>
      </c>
      <c r="BL56" s="45">
        <f>BJ56+BE56+AZ56+AU56+AP56</f>
        <v>1.32</v>
      </c>
    </row>
    <row r="57" spans="1:64" x14ac:dyDescent="0.25">
      <c r="A57" s="195"/>
      <c r="C57" s="167" t="s">
        <v>52</v>
      </c>
      <c r="H57" s="191"/>
      <c r="I57" s="188"/>
      <c r="L57" s="336"/>
      <c r="O57" s="320"/>
      <c r="P57" s="336"/>
      <c r="R57" s="320"/>
      <c r="S57" s="320"/>
      <c r="T57" s="336"/>
      <c r="V57" s="320"/>
      <c r="W57" s="320"/>
      <c r="X57" s="336"/>
      <c r="Z57" s="320"/>
      <c r="AA57" s="320"/>
      <c r="AB57" s="336"/>
      <c r="AF57" s="190"/>
      <c r="AI57" s="207"/>
      <c r="AJ57" s="148"/>
      <c r="AK57" s="151"/>
      <c r="AL57" s="119"/>
      <c r="AM57" s="163"/>
      <c r="AN57" s="120"/>
      <c r="AO57" s="121"/>
      <c r="AP57" s="41">
        <f t="shared" si="178"/>
        <v>0</v>
      </c>
      <c r="AR57" s="164"/>
      <c r="AS57" s="120"/>
      <c r="AT57" s="121"/>
      <c r="AX57" s="120"/>
      <c r="AY57" s="121"/>
      <c r="BC57" s="120"/>
      <c r="BD57" s="121"/>
      <c r="BH57" s="120"/>
      <c r="BI57" s="121"/>
      <c r="BL57" s="45"/>
    </row>
    <row r="58" spans="1:64" ht="16.5" customHeight="1" x14ac:dyDescent="0.25">
      <c r="A58" s="168" t="s">
        <v>190</v>
      </c>
      <c r="B58" s="187"/>
      <c r="D58" s="193" t="str">
        <f>((AN58*100)&amp;"%"&amp;" time, "&amp;AO58&amp;" months, "&amp;AL58)</f>
        <v>47.5% time, 9.23 months, AY</v>
      </c>
      <c r="E58" s="193"/>
      <c r="H58" s="191"/>
      <c r="I58" s="188"/>
      <c r="J58" s="320">
        <f>IF($AK$13="No", IF(AP58=0,0,($AJ58/$AK58*AP58)), ($AJ58*(1+$AK$4)/$AK58*AP58))</f>
        <v>0</v>
      </c>
      <c r="L58" s="336">
        <v>0</v>
      </c>
      <c r="N58" s="320">
        <f>IF($AK$13="No",IF(AU58=0,0,(($AJ58)*(1+$AK$4)/$AK58*AU58)),(($AJ58)*(1+$AK$4)^2/$AK58*AU58))</f>
        <v>0</v>
      </c>
      <c r="O58" s="320"/>
      <c r="P58" s="336">
        <v>0</v>
      </c>
      <c r="R58" s="320">
        <f>IF($AK$13="No",IF(AZ58=0,0,(($AJ58)*(1+$AK$4)^2/$AK58*AZ58)),(($AJ58)*(1+$AK$4)^3/$AK58*AZ58))</f>
        <v>0</v>
      </c>
      <c r="S58" s="320"/>
      <c r="T58" s="336">
        <v>0</v>
      </c>
      <c r="V58" s="320">
        <f>IF($AK$13="No",IF(BE58=0,0,(($AJ58)*(1+$AK$4)^3/$AK58*BE58)),(($AJ58)*(1+$AK$4)^4/$AK58*BE58))</f>
        <v>0</v>
      </c>
      <c r="W58" s="320"/>
      <c r="X58" s="336">
        <v>0</v>
      </c>
      <c r="Z58" s="320">
        <f>IF($AK$13="No", IF(BJ58=0,0,(($AJ58)*(1+$AK$4)^4/$AK58*BJ58)), (($AJ58)*(1+$AK$4)^5/$AK58*BJ58))</f>
        <v>0</v>
      </c>
      <c r="AA58" s="320"/>
      <c r="AB58" s="336">
        <v>0</v>
      </c>
      <c r="AD58" s="320">
        <f>J58+N58+R58+V58+Z58</f>
        <v>0</v>
      </c>
      <c r="AE58" s="170"/>
      <c r="AF58" s="189">
        <f>L58+P58+T58+X58+AB58</f>
        <v>0</v>
      </c>
      <c r="AI58" s="207"/>
      <c r="AJ58" s="148">
        <v>0.01</v>
      </c>
      <c r="AK58" s="118">
        <v>12</v>
      </c>
      <c r="AL58" s="119" t="s">
        <v>84</v>
      </c>
      <c r="AM58" s="163"/>
      <c r="AN58" s="120">
        <v>0.47499999999999998</v>
      </c>
      <c r="AO58" s="121">
        <v>9.23</v>
      </c>
      <c r="AP58" s="41">
        <f t="shared" si="178"/>
        <v>4.3840000000000003</v>
      </c>
      <c r="AR58" s="164"/>
      <c r="AS58" s="120">
        <f>AN58</f>
        <v>0.47499999999999998</v>
      </c>
      <c r="AT58" s="121">
        <f>IF($AK$10=1,0,AO58)</f>
        <v>0</v>
      </c>
      <c r="AU58" s="41">
        <f t="shared" si="174"/>
        <v>0</v>
      </c>
      <c r="AX58" s="120">
        <f>IF($AK$10=2,0,AS58)</f>
        <v>0.47499999999999998</v>
      </c>
      <c r="AY58" s="121">
        <f>IF($AK$10=2,0,AT58)</f>
        <v>0</v>
      </c>
      <c r="AZ58" s="41">
        <f t="shared" si="175"/>
        <v>0</v>
      </c>
      <c r="BC58" s="120">
        <f>IF($AK$10=3,0,AX58)</f>
        <v>0.47499999999999998</v>
      </c>
      <c r="BD58" s="121">
        <f>IF($AK$10=3,0,AY58)</f>
        <v>0</v>
      </c>
      <c r="BE58" s="41">
        <f t="shared" si="176"/>
        <v>0</v>
      </c>
      <c r="BH58" s="120">
        <f>IF($AK$10=4,0,BC58)</f>
        <v>0.47499999999999998</v>
      </c>
      <c r="BI58" s="121">
        <f>IF($AK$10=4,0,BD58)</f>
        <v>0</v>
      </c>
      <c r="BJ58" s="41">
        <f t="shared" si="177"/>
        <v>0</v>
      </c>
      <c r="BL58" s="45">
        <f>BJ58+BE58+AZ58+AU58+AP58</f>
        <v>4.38</v>
      </c>
    </row>
    <row r="59" spans="1:64" ht="16.5" customHeight="1" x14ac:dyDescent="0.25">
      <c r="A59" s="168" t="s">
        <v>191</v>
      </c>
      <c r="B59" s="187"/>
      <c r="D59" s="193" t="str">
        <f>((AN59*100)&amp;"%"&amp;" time, "&amp;AO59&amp;" months, "&amp;"Summer")</f>
        <v>47.5% time, 2.77 months, Summer</v>
      </c>
      <c r="E59" s="193"/>
      <c r="H59" s="191"/>
      <c r="I59" s="188"/>
      <c r="J59" s="320">
        <f>IF($AK$13="No", IF(AP59=0,0,($AJ59/$AK59*AP59)), ($AJ59*(1+$AK$4)/$AK59*AP59))</f>
        <v>0</v>
      </c>
      <c r="L59" s="336">
        <v>0</v>
      </c>
      <c r="N59" s="320">
        <f>IF($AK$13="No",IF(AU59=0,0,(($AJ59)*(1+$AK$4)/$AK59*AU59)),(($AJ59)*(1+$AK$4)^2/$AK59*AU59))</f>
        <v>0</v>
      </c>
      <c r="O59" s="320"/>
      <c r="P59" s="336">
        <v>0</v>
      </c>
      <c r="R59" s="320">
        <f>IF($AK$13="No",IF(AZ59=0,0,(($AJ59)*(1+$AK$4)^2/$AK59*AZ59)),(($AJ59)*(1+$AK$4)^3/$AK59*AZ59))</f>
        <v>0</v>
      </c>
      <c r="S59" s="320"/>
      <c r="T59" s="336">
        <v>0</v>
      </c>
      <c r="V59" s="320">
        <f>IF($AK$13="No",IF(BE59=0,0,(($AJ59)*(1+$AK$4)^3/$AK59*BE59)),(($AJ59)*(1+$AK$4)^4/$AK59*BE59))</f>
        <v>0</v>
      </c>
      <c r="W59" s="320"/>
      <c r="X59" s="336">
        <v>0</v>
      </c>
      <c r="Z59" s="320">
        <f>IF($AK$13="No", IF(BJ59=0,0,(($AJ59)*(1+$AK$4)^4/$AK59*BJ59)), (($AJ59)*(1+$AK$4)^5/$AK59*BJ59))</f>
        <v>0</v>
      </c>
      <c r="AA59" s="320"/>
      <c r="AB59" s="336">
        <v>0</v>
      </c>
      <c r="AD59" s="320">
        <f>J59+N59+R59+V59+Z59</f>
        <v>0</v>
      </c>
      <c r="AE59" s="170"/>
      <c r="AF59" s="189">
        <f>L59+P59+T59+X59+AB59</f>
        <v>0</v>
      </c>
      <c r="AH59" s="81"/>
      <c r="AI59" s="207"/>
      <c r="AJ59" s="148">
        <v>0.01</v>
      </c>
      <c r="AK59" s="118">
        <v>12</v>
      </c>
      <c r="AL59" s="119" t="s">
        <v>85</v>
      </c>
      <c r="AM59" s="163"/>
      <c r="AN59" s="120">
        <v>0.47499999999999998</v>
      </c>
      <c r="AO59" s="121">
        <v>2.77</v>
      </c>
      <c r="AP59" s="41">
        <f t="shared" si="178"/>
        <v>1.3160000000000001</v>
      </c>
      <c r="AR59" s="164"/>
      <c r="AS59" s="120">
        <f>AN59</f>
        <v>0.47499999999999998</v>
      </c>
      <c r="AT59" s="121">
        <f>IF($AK$10=1,0,AO59)</f>
        <v>0</v>
      </c>
      <c r="AU59" s="41">
        <f t="shared" si="174"/>
        <v>0</v>
      </c>
      <c r="AX59" s="120">
        <f>IF($AK$10=2,0,AS59)</f>
        <v>0.47499999999999998</v>
      </c>
      <c r="AY59" s="121">
        <f>IF($AK$10=2,0,AT59)</f>
        <v>0</v>
      </c>
      <c r="AZ59" s="41">
        <f t="shared" si="175"/>
        <v>0</v>
      </c>
      <c r="BC59" s="120">
        <f>IF($AK$10=3,0,AX59)</f>
        <v>0.47499999999999998</v>
      </c>
      <c r="BD59" s="121">
        <f>IF($AK$10=3,0,AY59)</f>
        <v>0</v>
      </c>
      <c r="BE59" s="41">
        <f t="shared" si="176"/>
        <v>0</v>
      </c>
      <c r="BH59" s="120">
        <f>IF($AK$10=4,0,BC59)</f>
        <v>0.47499999999999998</v>
      </c>
      <c r="BI59" s="121">
        <f>IF($AK$10=4,0,BD59)</f>
        <v>0</v>
      </c>
      <c r="BJ59" s="41">
        <f t="shared" si="177"/>
        <v>0</v>
      </c>
      <c r="BL59" s="45">
        <f>BJ59+BE59+AZ59+AU59+AP59</f>
        <v>1.32</v>
      </c>
    </row>
    <row r="60" spans="1:64" ht="16.5" customHeight="1" x14ac:dyDescent="0.25">
      <c r="A60" s="168"/>
      <c r="B60" s="187"/>
      <c r="C60" s="167" t="s">
        <v>53</v>
      </c>
      <c r="D60" s="193"/>
      <c r="H60" s="191"/>
      <c r="I60" s="188"/>
      <c r="L60" s="336"/>
      <c r="P60" s="336"/>
      <c r="R60" s="320"/>
      <c r="T60" s="336"/>
      <c r="V60" s="320"/>
      <c r="X60" s="336"/>
      <c r="Z60" s="320"/>
      <c r="AB60" s="336"/>
      <c r="AE60" s="170"/>
      <c r="AF60" s="189"/>
      <c r="AI60" s="207"/>
      <c r="AJ60" s="117" t="s">
        <v>188</v>
      </c>
      <c r="AK60" s="118"/>
      <c r="AL60" s="119"/>
      <c r="AM60" s="163"/>
      <c r="AN60" s="158" t="s">
        <v>189</v>
      </c>
      <c r="AO60" s="121"/>
      <c r="AR60" s="164"/>
      <c r="AS60" s="120"/>
      <c r="AT60" s="121"/>
      <c r="AX60" s="120"/>
      <c r="AY60" s="121"/>
      <c r="BC60" s="120"/>
      <c r="BD60" s="121"/>
      <c r="BH60" s="120"/>
      <c r="BI60" s="121"/>
    </row>
    <row r="61" spans="1:64" ht="17.25" customHeight="1" x14ac:dyDescent="0.25">
      <c r="A61" s="168" t="s">
        <v>181</v>
      </c>
      <c r="B61" s="187"/>
      <c r="D61" s="193" t="str">
        <f>("$"&amp;(AJ61)&amp;"/"&amp;"hour, "&amp;AN61&amp;" hours, " &amp;AL61)</f>
        <v>$0.01/hour, 0 hours, AY</v>
      </c>
      <c r="E61" s="193"/>
      <c r="H61" s="191"/>
      <c r="I61" s="188"/>
      <c r="J61" s="320">
        <f>IF($AK$13="No", AP61, (AP61)*(1+$AK$4))</f>
        <v>0</v>
      </c>
      <c r="L61" s="336">
        <v>0</v>
      </c>
      <c r="N61" s="320">
        <f>IF($AK$13="No",AU61*(1+$AK$4), AU61*(1+$AK$4)^2)</f>
        <v>0</v>
      </c>
      <c r="P61" s="336">
        <v>0</v>
      </c>
      <c r="R61" s="320">
        <f>IF($AK$13="No",AZ61*(1+$AK$4)^2,AZ61*(1+$AK$4)^3)</f>
        <v>0</v>
      </c>
      <c r="T61" s="336">
        <v>0</v>
      </c>
      <c r="V61" s="320">
        <f>IF($AK$13="No",BE61*(1+$AK$4)^3,(BE61*(1+$AK$4)^4))</f>
        <v>0</v>
      </c>
      <c r="X61" s="336">
        <v>0</v>
      </c>
      <c r="Z61" s="320">
        <f>IF($AK$13="No", BJ61*(1+$AK$4)^4, BJ61*(1+$AK$4)^5)</f>
        <v>0</v>
      </c>
      <c r="AB61" s="336">
        <v>0</v>
      </c>
      <c r="AD61" s="320">
        <f>J61+N61+R61+V61+Z61</f>
        <v>0</v>
      </c>
      <c r="AE61" s="170"/>
      <c r="AF61" s="189">
        <f>L61+P61+T61+X61+AB61</f>
        <v>0</v>
      </c>
      <c r="AI61" s="207"/>
      <c r="AJ61" s="148">
        <v>0.01</v>
      </c>
      <c r="AK61" s="118"/>
      <c r="AL61" s="119" t="s">
        <v>84</v>
      </c>
      <c r="AM61" s="163"/>
      <c r="AN61" s="149">
        <v>0</v>
      </c>
      <c r="AO61" s="121"/>
      <c r="AP61" s="41">
        <f>AJ61*AN61</f>
        <v>0</v>
      </c>
      <c r="AR61" s="164"/>
      <c r="AS61" s="149">
        <f>IF($AK$10=1,0,AN61)</f>
        <v>0</v>
      </c>
      <c r="AT61" s="121"/>
      <c r="AU61" s="41">
        <f>AJ61*AS61</f>
        <v>0</v>
      </c>
      <c r="AX61" s="149">
        <f>IF($AK$10=2,0,AS61)</f>
        <v>0</v>
      </c>
      <c r="AY61" s="121"/>
      <c r="AZ61" s="41">
        <f>AJ61*AX61</f>
        <v>0</v>
      </c>
      <c r="BC61" s="149">
        <f>IF($AK$10=3,0,AX61)</f>
        <v>0</v>
      </c>
      <c r="BD61" s="121"/>
      <c r="BE61" s="41">
        <f>AJ61*BC61</f>
        <v>0</v>
      </c>
      <c r="BH61" s="149">
        <f>IF($AK$10=4,0,BC61)</f>
        <v>0</v>
      </c>
      <c r="BI61" s="121"/>
      <c r="BJ61" s="41">
        <f>AJ61*BH61</f>
        <v>0</v>
      </c>
      <c r="BL61" s="45">
        <f>BJ61+BE61+AZ61+AU61+AP61</f>
        <v>0</v>
      </c>
    </row>
    <row r="62" spans="1:64" ht="17.25" customHeight="1" x14ac:dyDescent="0.25">
      <c r="A62" s="168" t="s">
        <v>180</v>
      </c>
      <c r="B62" s="187"/>
      <c r="D62" s="193" t="str">
        <f>("$"&amp;(AJ62)&amp;"/"&amp;"hour, "&amp;AN62&amp;" hours, " &amp;AL62)</f>
        <v>$0.01/hour, 0 hours, Summer</v>
      </c>
      <c r="E62" s="193"/>
      <c r="H62" s="191"/>
      <c r="I62" s="188"/>
      <c r="J62" s="320">
        <f>IF($AK$13="No", AP62, (AP62)*(1+$AK$4))</f>
        <v>0</v>
      </c>
      <c r="L62" s="336">
        <v>0</v>
      </c>
      <c r="N62" s="320">
        <f>IF($AK$13="No",AU62*(1+$AK$4), AU62*(1+$AK$4)^2)</f>
        <v>0</v>
      </c>
      <c r="P62" s="336">
        <v>0</v>
      </c>
      <c r="R62" s="320">
        <f>IF($AK$13="No",AZ62*(1+$AK$4)^2,AZ62*(1+$AK$4)^3)</f>
        <v>0</v>
      </c>
      <c r="T62" s="336">
        <v>0</v>
      </c>
      <c r="V62" s="320">
        <f>IF($AK$13="No",BE62*(1+$AK$4)^3,(BE62*(1+$AK$4)^4))</f>
        <v>0</v>
      </c>
      <c r="X62" s="336">
        <v>0</v>
      </c>
      <c r="Z62" s="320">
        <f>IF($AK$13="No", BJ62*(1+$AK$4)^4, BJ62*(1+$AK$4)^5)</f>
        <v>0</v>
      </c>
      <c r="AB62" s="336">
        <v>0</v>
      </c>
      <c r="AD62" s="320">
        <f>J62+N62+R62+V62+Z62</f>
        <v>0</v>
      </c>
      <c r="AE62" s="170"/>
      <c r="AF62" s="189">
        <f>L62+P62+T62+X62+AB62</f>
        <v>0</v>
      </c>
      <c r="AI62" s="207"/>
      <c r="AJ62" s="148">
        <v>0.01</v>
      </c>
      <c r="AK62" s="118"/>
      <c r="AL62" s="119" t="s">
        <v>85</v>
      </c>
      <c r="AM62" s="163"/>
      <c r="AN62" s="149">
        <v>0</v>
      </c>
      <c r="AO62" s="121"/>
      <c r="AP62" s="41">
        <f>AJ62*AN62</f>
        <v>0</v>
      </c>
      <c r="AR62" s="164"/>
      <c r="AS62" s="149">
        <f>IF($AK$10=1,0,AN62)</f>
        <v>0</v>
      </c>
      <c r="AT62" s="121"/>
      <c r="AU62" s="41">
        <f>AJ62*AS62</f>
        <v>0</v>
      </c>
      <c r="AX62" s="149">
        <f>IF($AK$10=2,0,AS62)</f>
        <v>0</v>
      </c>
      <c r="AY62" s="121"/>
      <c r="AZ62" s="41">
        <f>AJ62*AX62</f>
        <v>0</v>
      </c>
      <c r="BC62" s="149">
        <f>IF($AK$10=3,0,AX62)</f>
        <v>0</v>
      </c>
      <c r="BD62" s="121"/>
      <c r="BE62" s="41">
        <f>AJ62*BC62</f>
        <v>0</v>
      </c>
      <c r="BH62" s="149">
        <f>IF($AK$10=4,0,BC62)</f>
        <v>0</v>
      </c>
      <c r="BI62" s="121"/>
      <c r="BJ62" s="41">
        <f>AJ62*BH62</f>
        <v>0</v>
      </c>
      <c r="BL62" s="45">
        <f>BJ62+BE62+AZ62+AU62+AP62</f>
        <v>0</v>
      </c>
    </row>
    <row r="63" spans="1:64" ht="17.25" customHeight="1" x14ac:dyDescent="0.25">
      <c r="A63" s="168"/>
      <c r="B63" s="187"/>
      <c r="C63" s="167" t="s">
        <v>53</v>
      </c>
      <c r="H63" s="191"/>
      <c r="I63" s="188"/>
      <c r="L63" s="336"/>
      <c r="P63" s="336"/>
      <c r="R63" s="320"/>
      <c r="T63" s="336"/>
      <c r="V63" s="320"/>
      <c r="X63" s="336"/>
      <c r="Z63" s="320"/>
      <c r="AB63" s="336"/>
      <c r="AE63" s="170"/>
      <c r="AF63" s="189"/>
      <c r="AI63" s="207"/>
      <c r="AJ63" s="148"/>
      <c r="AK63" s="118"/>
      <c r="AL63" s="119"/>
      <c r="AM63" s="163"/>
      <c r="AN63" s="149"/>
      <c r="AO63" s="121"/>
      <c r="AR63" s="164"/>
      <c r="AS63" s="149"/>
      <c r="AT63" s="121"/>
      <c r="AX63" s="149"/>
      <c r="AY63" s="121"/>
      <c r="BC63" s="149"/>
      <c r="BD63" s="121"/>
      <c r="BH63" s="149"/>
      <c r="BI63" s="121"/>
    </row>
    <row r="64" spans="1:64" ht="17.25" customHeight="1" x14ac:dyDescent="0.25">
      <c r="A64" s="168" t="s">
        <v>181</v>
      </c>
      <c r="B64" s="187"/>
      <c r="D64" s="193" t="str">
        <f>("$"&amp;(AJ64)&amp;"/"&amp;"hour, "&amp;AN64&amp;" hours, " &amp;AL64)</f>
        <v>$0.01/hour, 0 hours, AY</v>
      </c>
      <c r="E64" s="193"/>
      <c r="H64" s="191"/>
      <c r="I64" s="188"/>
      <c r="J64" s="320">
        <f>IF($AK$13="No", AP64, (AP64)*(1+$AK$4))</f>
        <v>0</v>
      </c>
      <c r="L64" s="336">
        <v>0</v>
      </c>
      <c r="N64" s="320">
        <f>IF($AK$13="No",AU64*(1+$AK$4), AU64*(1+$AK$4)^2)</f>
        <v>0</v>
      </c>
      <c r="P64" s="336">
        <v>0</v>
      </c>
      <c r="R64" s="320">
        <f t="shared" ref="R64:R67" si="179">IF($AK$13="No",AZ64*(1+$AK$4)^2,AZ64*(1+$AK$4)^3)</f>
        <v>0</v>
      </c>
      <c r="T64" s="336">
        <v>0</v>
      </c>
      <c r="V64" s="320">
        <f t="shared" ref="V64:V67" si="180">IF($AK$13="No",BE64*(1+$AK$4)^3,(BE64*(1+$AK$4)^4))</f>
        <v>0</v>
      </c>
      <c r="X64" s="336">
        <v>0</v>
      </c>
      <c r="Z64" s="320">
        <f t="shared" ref="Z64:Z67" si="181">IF($AK$13="No", BJ64*(1+$AK$4)^4, BJ64*(1+$AK$4)^5)</f>
        <v>0</v>
      </c>
      <c r="AB64" s="336">
        <v>0</v>
      </c>
      <c r="AD64" s="320">
        <f>J64+N64+R64+V64+Z64</f>
        <v>0</v>
      </c>
      <c r="AE64" s="170"/>
      <c r="AF64" s="189">
        <f>L64+P64+T64+X64+AB64</f>
        <v>0</v>
      </c>
      <c r="AI64" s="207"/>
      <c r="AJ64" s="148">
        <v>0.01</v>
      </c>
      <c r="AK64" s="118"/>
      <c r="AL64" s="119" t="s">
        <v>84</v>
      </c>
      <c r="AM64" s="163"/>
      <c r="AN64" s="149">
        <v>0</v>
      </c>
      <c r="AO64" s="121"/>
      <c r="AP64" s="41">
        <f t="shared" ref="AP64:AP68" si="182">AJ64*AN64</f>
        <v>0</v>
      </c>
      <c r="AR64" s="164"/>
      <c r="AS64" s="149">
        <f>IF($AK$10=1,0,AN64)</f>
        <v>0</v>
      </c>
      <c r="AT64" s="121"/>
      <c r="AU64" s="41">
        <f t="shared" ref="AU64:AU68" si="183">AJ64*AS64</f>
        <v>0</v>
      </c>
      <c r="AX64" s="149">
        <f>IF($AK$10=2,0,AS64)</f>
        <v>0</v>
      </c>
      <c r="AY64" s="121"/>
      <c r="AZ64" s="41">
        <f t="shared" ref="AZ64:AZ68" si="184">AJ64*AX64</f>
        <v>0</v>
      </c>
      <c r="BC64" s="149">
        <f>IF($AK$10=3,0,AX64)</f>
        <v>0</v>
      </c>
      <c r="BD64" s="121"/>
      <c r="BE64" s="41">
        <f t="shared" ref="BE64:BE68" si="185">AJ64*BC64</f>
        <v>0</v>
      </c>
      <c r="BH64" s="149">
        <f>IF($AK$10=4,0,BC64)</f>
        <v>0</v>
      </c>
      <c r="BI64" s="121"/>
      <c r="BJ64" s="41">
        <f t="shared" ref="BJ64:BJ68" si="186">AJ64*BH64</f>
        <v>0</v>
      </c>
      <c r="BL64" s="45">
        <f>BJ64+BE64+AZ64+AU64+AP64</f>
        <v>0</v>
      </c>
    </row>
    <row r="65" spans="1:64" ht="17.25" customHeight="1" x14ac:dyDescent="0.25">
      <c r="A65" s="168" t="s">
        <v>180</v>
      </c>
      <c r="B65" s="187"/>
      <c r="D65" s="193" t="str">
        <f>("$"&amp;(AJ65)&amp;"/"&amp;"hour, "&amp;AN65&amp;" hours, " &amp;AL65)</f>
        <v>$0.01/hour, 0 hours, Summer</v>
      </c>
      <c r="E65" s="193"/>
      <c r="H65" s="191"/>
      <c r="I65" s="188"/>
      <c r="J65" s="320">
        <f>IF($AK$13="No", AP65, (AP65)*(1+$AK$4))</f>
        <v>0</v>
      </c>
      <c r="L65" s="336">
        <v>0</v>
      </c>
      <c r="N65" s="320">
        <f>IF($AK$13="No",AU65*(1+$AK$4), AU65*(1+$AK$4)^2)</f>
        <v>0</v>
      </c>
      <c r="P65" s="336">
        <v>0</v>
      </c>
      <c r="R65" s="320">
        <f t="shared" ref="R65" si="187">IF($AK$13="No",AZ65*(1+$AK$4)^2,AZ65*(1+$AK$4)^3)</f>
        <v>0</v>
      </c>
      <c r="T65" s="336">
        <v>0</v>
      </c>
      <c r="V65" s="320">
        <f t="shared" ref="V65" si="188">IF($AK$13="No",BE65*(1+$AK$4)^3,(BE65*(1+$AK$4)^4))</f>
        <v>0</v>
      </c>
      <c r="X65" s="336">
        <v>0</v>
      </c>
      <c r="Z65" s="320">
        <f t="shared" ref="Z65" si="189">IF($AK$13="No", BJ65*(1+$AK$4)^4, BJ65*(1+$AK$4)^5)</f>
        <v>0</v>
      </c>
      <c r="AB65" s="336">
        <v>0</v>
      </c>
      <c r="AD65" s="320">
        <f>J65+N65+R65+V65+Z65</f>
        <v>0</v>
      </c>
      <c r="AE65" s="170"/>
      <c r="AF65" s="189">
        <f>L65+P65+T65+X65+AB65</f>
        <v>0</v>
      </c>
      <c r="AI65" s="207"/>
      <c r="AJ65" s="148">
        <v>0.01</v>
      </c>
      <c r="AK65" s="118"/>
      <c r="AL65" s="119" t="s">
        <v>85</v>
      </c>
      <c r="AM65" s="163"/>
      <c r="AN65" s="149">
        <v>0</v>
      </c>
      <c r="AO65" s="121"/>
      <c r="AP65" s="41">
        <f t="shared" si="182"/>
        <v>0</v>
      </c>
      <c r="AR65" s="164"/>
      <c r="AS65" s="149">
        <f>IF($AK$10=1,0,AN65)</f>
        <v>0</v>
      </c>
      <c r="AT65" s="121"/>
      <c r="AU65" s="41">
        <f t="shared" si="183"/>
        <v>0</v>
      </c>
      <c r="AX65" s="149">
        <f>IF($AK$10=2,0,AS65)</f>
        <v>0</v>
      </c>
      <c r="AY65" s="121"/>
      <c r="AZ65" s="41">
        <f t="shared" si="184"/>
        <v>0</v>
      </c>
      <c r="BC65" s="149">
        <f>IF($AK$10=3,0,AX65)</f>
        <v>0</v>
      </c>
      <c r="BD65" s="121"/>
      <c r="BE65" s="41">
        <f t="shared" si="185"/>
        <v>0</v>
      </c>
      <c r="BH65" s="149">
        <f>IF($AK$10=4,0,BC65)</f>
        <v>0</v>
      </c>
      <c r="BI65" s="121"/>
      <c r="BJ65" s="41">
        <f t="shared" si="186"/>
        <v>0</v>
      </c>
      <c r="BL65" s="45">
        <f>BJ65+BE65+AZ65+AU65+AP65</f>
        <v>0</v>
      </c>
    </row>
    <row r="66" spans="1:64" ht="17.25" customHeight="1" x14ac:dyDescent="0.25">
      <c r="A66" s="168"/>
      <c r="B66" s="187"/>
      <c r="C66" s="167" t="s">
        <v>53</v>
      </c>
      <c r="H66" s="191"/>
      <c r="I66" s="188"/>
      <c r="L66" s="336"/>
      <c r="P66" s="336"/>
      <c r="R66" s="320"/>
      <c r="T66" s="336"/>
      <c r="V66" s="320"/>
      <c r="X66" s="336"/>
      <c r="Z66" s="320"/>
      <c r="AB66" s="336"/>
      <c r="AE66" s="170"/>
      <c r="AF66" s="189"/>
      <c r="AI66" s="207"/>
      <c r="AJ66" s="148"/>
      <c r="AK66" s="118"/>
      <c r="AL66" s="119"/>
      <c r="AM66" s="163"/>
      <c r="AN66" s="149"/>
      <c r="AO66" s="121"/>
      <c r="AR66" s="164"/>
      <c r="AS66" s="149"/>
      <c r="AT66" s="121"/>
      <c r="AX66" s="149"/>
      <c r="AY66" s="121"/>
      <c r="BC66" s="149"/>
      <c r="BD66" s="121"/>
      <c r="BH66" s="149"/>
      <c r="BI66" s="121"/>
    </row>
    <row r="67" spans="1:64" ht="17.25" customHeight="1" x14ac:dyDescent="0.25">
      <c r="A67" s="168" t="s">
        <v>181</v>
      </c>
      <c r="B67" s="187"/>
      <c r="D67" s="193" t="str">
        <f>("$"&amp;(AJ67)&amp;"/"&amp;"hour, "&amp;AN67&amp;" hours, " &amp;AL67)</f>
        <v>$0.01/hour, 0 hours, AY</v>
      </c>
      <c r="E67" s="193"/>
      <c r="H67" s="191"/>
      <c r="I67" s="188"/>
      <c r="J67" s="320">
        <f>IF($AK$13="No", AP67, (AP67)*(1+$AK$4))</f>
        <v>0</v>
      </c>
      <c r="L67" s="336">
        <v>0</v>
      </c>
      <c r="N67" s="320">
        <f>IF($AK$13="No",AU67*(1+$AK$4), AU67*(1+$AK$4)^2)</f>
        <v>0</v>
      </c>
      <c r="P67" s="336">
        <v>0</v>
      </c>
      <c r="R67" s="320">
        <f t="shared" si="179"/>
        <v>0</v>
      </c>
      <c r="T67" s="336">
        <v>0</v>
      </c>
      <c r="V67" s="320">
        <f t="shared" si="180"/>
        <v>0</v>
      </c>
      <c r="X67" s="336">
        <v>0</v>
      </c>
      <c r="Z67" s="320">
        <f t="shared" si="181"/>
        <v>0</v>
      </c>
      <c r="AB67" s="336">
        <v>0</v>
      </c>
      <c r="AD67" s="320">
        <f>J67+N67+R67+V67+Z67</f>
        <v>0</v>
      </c>
      <c r="AE67" s="170"/>
      <c r="AF67" s="189">
        <f>L67+P67+T67+X67+AB67</f>
        <v>0</v>
      </c>
      <c r="AI67" s="207"/>
      <c r="AJ67" s="148">
        <v>0.01</v>
      </c>
      <c r="AK67" s="118"/>
      <c r="AL67" s="119" t="s">
        <v>84</v>
      </c>
      <c r="AM67" s="163"/>
      <c r="AN67" s="149">
        <v>0</v>
      </c>
      <c r="AO67" s="121"/>
      <c r="AP67" s="41">
        <f t="shared" si="182"/>
        <v>0</v>
      </c>
      <c r="AR67" s="164"/>
      <c r="AS67" s="149">
        <f>IF($AK$10=1,0,AN67)</f>
        <v>0</v>
      </c>
      <c r="AT67" s="121"/>
      <c r="AU67" s="41">
        <f t="shared" si="183"/>
        <v>0</v>
      </c>
      <c r="AX67" s="149">
        <f>IF($AK$10=2,0,AS67)</f>
        <v>0</v>
      </c>
      <c r="AY67" s="121"/>
      <c r="AZ67" s="41">
        <f t="shared" si="184"/>
        <v>0</v>
      </c>
      <c r="BC67" s="149">
        <f>IF($AK$10=3,0,AX67)</f>
        <v>0</v>
      </c>
      <c r="BD67" s="121"/>
      <c r="BE67" s="41">
        <f t="shared" si="185"/>
        <v>0</v>
      </c>
      <c r="BH67" s="149">
        <f>IF($AK$10=4,0,BC67)</f>
        <v>0</v>
      </c>
      <c r="BI67" s="121"/>
      <c r="BJ67" s="41">
        <f t="shared" si="186"/>
        <v>0</v>
      </c>
      <c r="BL67" s="45">
        <f>BJ67+BE67+AZ67+AU67+AP67</f>
        <v>0</v>
      </c>
    </row>
    <row r="68" spans="1:64" ht="17.25" customHeight="1" x14ac:dyDescent="0.25">
      <c r="A68" s="168" t="s">
        <v>180</v>
      </c>
      <c r="B68" s="187"/>
      <c r="D68" s="193" t="str">
        <f>("$"&amp;(AJ68)&amp;"/"&amp;"hour, "&amp;AN68&amp;" hours, " &amp;AL68)</f>
        <v>$0.01/hour, 0 hours, Summer</v>
      </c>
      <c r="E68" s="193"/>
      <c r="H68" s="191"/>
      <c r="I68" s="188"/>
      <c r="J68" s="320">
        <f>IF($AK$13="No", AP68, (AP68)*(1+$AK$4))</f>
        <v>0</v>
      </c>
      <c r="L68" s="336">
        <v>0</v>
      </c>
      <c r="N68" s="320">
        <f>IF($AK$13="No",AU68*(1+$AK$4), AU68*(1+$AK$4)^2)</f>
        <v>0</v>
      </c>
      <c r="P68" s="336">
        <v>0</v>
      </c>
      <c r="R68" s="320">
        <f t="shared" ref="R68" si="190">IF($AK$13="No",AZ68*(1+$AK$4)^2,AZ68*(1+$AK$4)^3)</f>
        <v>0</v>
      </c>
      <c r="T68" s="336">
        <v>0</v>
      </c>
      <c r="V68" s="320">
        <f t="shared" ref="V68" si="191">IF($AK$13="No",BE68*(1+$AK$4)^3,(BE68*(1+$AK$4)^4))</f>
        <v>0</v>
      </c>
      <c r="X68" s="336">
        <v>0</v>
      </c>
      <c r="Z68" s="320">
        <f t="shared" ref="Z68" si="192">IF($AK$13="No", BJ68*(1+$AK$4)^4, BJ68*(1+$AK$4)^5)</f>
        <v>0</v>
      </c>
      <c r="AB68" s="336">
        <v>0</v>
      </c>
      <c r="AD68" s="320">
        <f>J68+N68+R68+V68+Z68</f>
        <v>0</v>
      </c>
      <c r="AE68" s="170"/>
      <c r="AF68" s="189">
        <f>L68+P68+T68+X68+AB68</f>
        <v>0</v>
      </c>
      <c r="AJ68" s="148">
        <v>0.01</v>
      </c>
      <c r="AK68" s="118"/>
      <c r="AL68" s="119" t="s">
        <v>85</v>
      </c>
      <c r="AM68" s="163"/>
      <c r="AN68" s="149">
        <v>0</v>
      </c>
      <c r="AO68" s="121"/>
      <c r="AP68" s="41">
        <f t="shared" si="182"/>
        <v>0</v>
      </c>
      <c r="AR68" s="164"/>
      <c r="AS68" s="149">
        <f>IF($AK$10=1,0,AN68)</f>
        <v>0</v>
      </c>
      <c r="AT68" s="121"/>
      <c r="AU68" s="41">
        <f t="shared" si="183"/>
        <v>0</v>
      </c>
      <c r="AX68" s="149">
        <f>IF($AK$10=2,0,AS68)</f>
        <v>0</v>
      </c>
      <c r="AY68" s="121"/>
      <c r="AZ68" s="41">
        <f t="shared" si="184"/>
        <v>0</v>
      </c>
      <c r="BC68" s="149">
        <f>IF($AK$10=3,0,AX68)</f>
        <v>0</v>
      </c>
      <c r="BD68" s="121"/>
      <c r="BE68" s="41">
        <f t="shared" si="185"/>
        <v>0</v>
      </c>
      <c r="BH68" s="149">
        <f>IF($AK$10=4,0,BC68)</f>
        <v>0</v>
      </c>
      <c r="BI68" s="121"/>
      <c r="BJ68" s="41">
        <f t="shared" si="186"/>
        <v>0</v>
      </c>
      <c r="BL68" s="45">
        <f>BJ68+BE68+AZ68+AU68+AP68</f>
        <v>0</v>
      </c>
    </row>
    <row r="69" spans="1:64" ht="9" customHeight="1" x14ac:dyDescent="0.25">
      <c r="A69" s="168"/>
      <c r="I69" s="188"/>
      <c r="J69" s="340"/>
      <c r="L69" s="341"/>
      <c r="N69" s="340"/>
      <c r="P69" s="341"/>
      <c r="R69" s="342"/>
      <c r="T69" s="343"/>
      <c r="V69" s="342"/>
      <c r="X69" s="343"/>
      <c r="Z69" s="342"/>
      <c r="AB69" s="343"/>
      <c r="AD69" s="340"/>
      <c r="AF69" s="212"/>
      <c r="AN69" s="213"/>
      <c r="AS69" s="213"/>
      <c r="AX69" s="213"/>
      <c r="BC69" s="213"/>
      <c r="BH69" s="213"/>
    </row>
    <row r="70" spans="1:64" x14ac:dyDescent="0.25">
      <c r="A70" s="168"/>
      <c r="C70" s="167" t="s">
        <v>4</v>
      </c>
      <c r="I70" s="188"/>
      <c r="J70" s="320">
        <f>SUM(J18:J69)</f>
        <v>0</v>
      </c>
      <c r="L70" s="336">
        <f>SUM(L18:L68)</f>
        <v>0</v>
      </c>
      <c r="N70" s="320">
        <f>SUM(N18:N68)</f>
        <v>0</v>
      </c>
      <c r="P70" s="336">
        <f>SUM(P18:P68)</f>
        <v>0</v>
      </c>
      <c r="R70" s="320">
        <f>SUM(R18:R68)</f>
        <v>0</v>
      </c>
      <c r="T70" s="336">
        <f>SUM(T18:T68)</f>
        <v>0</v>
      </c>
      <c r="V70" s="320">
        <f>SUM(V18:V68)</f>
        <v>0</v>
      </c>
      <c r="X70" s="336">
        <f>SUM(X18:X68)</f>
        <v>0</v>
      </c>
      <c r="Z70" s="320">
        <f>SUM(Z18:Z68)</f>
        <v>0</v>
      </c>
      <c r="AB70" s="336">
        <f>SUM(AB18:AB68)</f>
        <v>0</v>
      </c>
      <c r="AD70" s="320">
        <f>J70+N70+R70+V70+Z70</f>
        <v>0</v>
      </c>
      <c r="AE70" s="170"/>
      <c r="AF70" s="189">
        <f>L70+P70+T70+X70+AB70</f>
        <v>0</v>
      </c>
      <c r="AJ70" s="214" t="s">
        <v>131</v>
      </c>
      <c r="AK70" s="214">
        <f>AD286</f>
        <v>0</v>
      </c>
      <c r="AN70" s="213"/>
      <c r="AS70" s="213"/>
      <c r="AX70" s="213"/>
      <c r="BC70" s="213"/>
      <c r="BH70" s="213"/>
    </row>
    <row r="71" spans="1:64" x14ac:dyDescent="0.25">
      <c r="H71" s="186"/>
      <c r="I71" s="188"/>
      <c r="L71" s="336"/>
      <c r="P71" s="336"/>
      <c r="T71" s="344"/>
      <c r="X71" s="344"/>
      <c r="AB71" s="344"/>
      <c r="AF71" s="190"/>
      <c r="AJ71" s="214" t="s">
        <v>212</v>
      </c>
      <c r="AK71" s="214">
        <f>AD274</f>
        <v>0</v>
      </c>
      <c r="AN71" s="213"/>
      <c r="AS71" s="213"/>
      <c r="AX71" s="213"/>
      <c r="BC71" s="213"/>
      <c r="BH71" s="213"/>
    </row>
    <row r="72" spans="1:64" x14ac:dyDescent="0.25">
      <c r="B72" s="187" t="s">
        <v>5</v>
      </c>
      <c r="C72" s="187" t="s">
        <v>6</v>
      </c>
      <c r="H72" s="215" t="s">
        <v>31</v>
      </c>
      <c r="I72" s="188"/>
      <c r="L72" s="336"/>
      <c r="P72" s="336"/>
      <c r="T72" s="344"/>
      <c r="X72" s="344"/>
      <c r="AB72" s="344"/>
      <c r="AF72" s="190"/>
      <c r="AN72" s="213"/>
      <c r="AS72" s="213"/>
      <c r="AX72" s="213"/>
      <c r="BC72" s="213"/>
      <c r="BH72" s="213"/>
    </row>
    <row r="73" spans="1:64" x14ac:dyDescent="0.25">
      <c r="A73" s="168" t="str">
        <f>A18</f>
        <v>Faculty, Academic Year</v>
      </c>
      <c r="B73" s="187"/>
      <c r="C73" s="167" t="str">
        <f>C17</f>
        <v xml:space="preserve">PI: </v>
      </c>
      <c r="H73" s="216">
        <f t="shared" ref="H73:H104" si="193">VLOOKUP(A73,$D$319:$F$333,3, FALSE)</f>
        <v>0.25</v>
      </c>
      <c r="I73" s="188"/>
      <c r="J73" s="320">
        <f>IF($AK$12="Yes",$H73*J18*(1+$AK$5),$H73*J18)</f>
        <v>0</v>
      </c>
      <c r="K73" s="321"/>
      <c r="L73" s="336">
        <v>0</v>
      </c>
      <c r="M73" s="321"/>
      <c r="N73" s="320">
        <f>IF($AK$12="Yes",$H73*N18*(1+$AK$5)^2,$H73*N18*(1+$AK$5))</f>
        <v>0</v>
      </c>
      <c r="P73" s="336">
        <v>0</v>
      </c>
      <c r="R73" s="320">
        <f>IF($AK$12="Yes",$H73*R18*(1+$AK$5)^3,$H73*R18*(1+$AK$5)^2)</f>
        <v>0</v>
      </c>
      <c r="T73" s="336">
        <v>0</v>
      </c>
      <c r="V73" s="320">
        <f>IF($AK$12="Yes",$H73*V18*(1+$AK$5)^4,$H73*V18*(1+$AK$5)^3)</f>
        <v>0</v>
      </c>
      <c r="X73" s="336">
        <v>0</v>
      </c>
      <c r="Z73" s="320">
        <f>IF($AK$12="Yes",$H73*Z18*(1+$AK$5)^5,$H73*Z18*(1+$AK$5)^4)</f>
        <v>0</v>
      </c>
      <c r="AB73" s="336">
        <v>0</v>
      </c>
      <c r="AD73" s="320">
        <f t="shared" ref="AD73:AD104" si="194">J73+N73+R73+V73+Z73</f>
        <v>0</v>
      </c>
      <c r="AE73" s="170"/>
      <c r="AF73" s="189">
        <f t="shared" ref="AF73:AF104" si="195">L73+P73+T73+X73+AB73</f>
        <v>0</v>
      </c>
      <c r="AN73" s="213"/>
      <c r="AS73" s="213"/>
      <c r="AX73" s="213"/>
      <c r="BC73" s="213"/>
      <c r="BH73" s="213"/>
    </row>
    <row r="74" spans="1:64" x14ac:dyDescent="0.25">
      <c r="A74" s="168" t="str">
        <f>A19</f>
        <v>Faculty, Academic Year</v>
      </c>
      <c r="B74" s="187"/>
      <c r="D74" s="167" t="s">
        <v>85</v>
      </c>
      <c r="H74" s="216">
        <f t="shared" si="193"/>
        <v>0.25</v>
      </c>
      <c r="I74" s="188"/>
      <c r="J74" s="320">
        <f>IF($AK$12="Yes",$H74*J19*(1+$AK$5),$H74*J19)</f>
        <v>0</v>
      </c>
      <c r="K74" s="321"/>
      <c r="L74" s="336">
        <v>0</v>
      </c>
      <c r="M74" s="321"/>
      <c r="N74" s="320">
        <f>IF($AK$12="Yes",$H74*N19*(1+$AK$5)^2,$H74*N19*(1+$AK$5))</f>
        <v>0</v>
      </c>
      <c r="P74" s="336">
        <v>0</v>
      </c>
      <c r="R74" s="320">
        <f>IF($AK$12="Yes",$H74*R19*(1+$AK$5)^3,$H74*R19*(1+$AK$5)^2)</f>
        <v>0</v>
      </c>
      <c r="T74" s="336">
        <v>0</v>
      </c>
      <c r="V74" s="320">
        <f>IF($AK$12="Yes",$H74*V19*(1+$AK$5)^4,$H74*V19*(1+$AK$5)^3)</f>
        <v>0</v>
      </c>
      <c r="X74" s="336">
        <v>0</v>
      </c>
      <c r="Z74" s="320">
        <f>IF($AK$12="Yes",$H74*Z19*(1+$AK$5)^5,$H74*Z19*(1+$AK$5)^4)</f>
        <v>0</v>
      </c>
      <c r="AB74" s="336">
        <v>0</v>
      </c>
      <c r="AD74" s="320">
        <f t="shared" si="194"/>
        <v>0</v>
      </c>
      <c r="AE74" s="170"/>
      <c r="AF74" s="189">
        <f t="shared" si="195"/>
        <v>0</v>
      </c>
      <c r="AN74" s="213"/>
      <c r="AS74" s="213"/>
      <c r="AX74" s="213"/>
      <c r="BC74" s="213"/>
      <c r="BH74" s="213"/>
    </row>
    <row r="75" spans="1:64" x14ac:dyDescent="0.25">
      <c r="A75" s="168" t="str">
        <f>A21</f>
        <v>Faculty, Academic Year</v>
      </c>
      <c r="B75" s="187"/>
      <c r="C75" s="167" t="str">
        <f>C20</f>
        <v xml:space="preserve">Co-PI: </v>
      </c>
      <c r="H75" s="216">
        <f t="shared" si="193"/>
        <v>0.25</v>
      </c>
      <c r="I75" s="188"/>
      <c r="J75" s="320">
        <f>IF($AK$12="Yes",$H75*J21*(1+$AK$5),$H75*J21)</f>
        <v>0</v>
      </c>
      <c r="K75" s="321"/>
      <c r="L75" s="336">
        <v>0</v>
      </c>
      <c r="M75" s="321"/>
      <c r="N75" s="320">
        <f>IF($AK$12="Yes",$H75*N21*(1+$AK$5)^2,$H75*N21*(1+$AK$5))</f>
        <v>0</v>
      </c>
      <c r="O75" s="320"/>
      <c r="P75" s="336">
        <v>0</v>
      </c>
      <c r="Q75" s="320"/>
      <c r="R75" s="320">
        <f>IF($AK$12="Yes",$H75*R21*(1+$AK$5)^3,$H75*R21*(1+$AK$5)^2)</f>
        <v>0</v>
      </c>
      <c r="S75" s="320"/>
      <c r="T75" s="336">
        <v>0</v>
      </c>
      <c r="U75" s="320"/>
      <c r="V75" s="320">
        <f>IF($AK$12="Yes",$H75*V21*(1+$AK$5)^4,$H75*V21*(1+$AK$5)^3)</f>
        <v>0</v>
      </c>
      <c r="W75" s="320"/>
      <c r="X75" s="336">
        <v>0</v>
      </c>
      <c r="Y75" s="320"/>
      <c r="Z75" s="320">
        <f>IF($AK$12="Yes",$H75*Z21*(1+$AK$5)^5,$H75*Z21*(1+$AK$5)^4)</f>
        <v>0</v>
      </c>
      <c r="AB75" s="336">
        <v>0</v>
      </c>
      <c r="AD75" s="320">
        <f t="shared" si="194"/>
        <v>0</v>
      </c>
      <c r="AE75" s="170"/>
      <c r="AF75" s="189">
        <f t="shared" si="195"/>
        <v>0</v>
      </c>
      <c r="AN75" s="213"/>
      <c r="AS75" s="213"/>
      <c r="AX75" s="213"/>
      <c r="BC75" s="213"/>
      <c r="BH75" s="213"/>
    </row>
    <row r="76" spans="1:64" x14ac:dyDescent="0.25">
      <c r="A76" s="168" t="str">
        <f>A22</f>
        <v>Faculty, Academic Year</v>
      </c>
      <c r="B76" s="187"/>
      <c r="D76" s="167" t="s">
        <v>85</v>
      </c>
      <c r="H76" s="216">
        <f t="shared" si="193"/>
        <v>0.25</v>
      </c>
      <c r="I76" s="188"/>
      <c r="J76" s="320">
        <f>IF($AK$12="Yes",$H76*J22*(1+$AK$5),$H76*J22)</f>
        <v>0</v>
      </c>
      <c r="L76" s="336">
        <v>0</v>
      </c>
      <c r="N76" s="320">
        <f>IF($AK$12="Yes",$H76*N22*(1+$AK$5)^2,$H76*N22*(1+$AK$5))</f>
        <v>0</v>
      </c>
      <c r="O76" s="320"/>
      <c r="P76" s="336">
        <v>0</v>
      </c>
      <c r="Q76" s="320"/>
      <c r="R76" s="320">
        <f>IF($AK$12="Yes",$H76*R22*(1+$AK$5)^3,$H76*R22*(1+$AK$5)^2)</f>
        <v>0</v>
      </c>
      <c r="S76" s="320"/>
      <c r="T76" s="336">
        <v>0</v>
      </c>
      <c r="U76" s="320"/>
      <c r="V76" s="320">
        <f>IF($AK$12="Yes",$H76*V22*(1+$AK$5)^4,$H76*V22*(1+$AK$5)^3)</f>
        <v>0</v>
      </c>
      <c r="W76" s="320"/>
      <c r="X76" s="336">
        <v>0</v>
      </c>
      <c r="Y76" s="320"/>
      <c r="Z76" s="320">
        <f>IF($AK$12="Yes",$H76*Z22*(1+$AK$5)^5,$H76*Z22*(1+$AK$5)^4)</f>
        <v>0</v>
      </c>
      <c r="AB76" s="336">
        <v>0</v>
      </c>
      <c r="AD76" s="320">
        <f t="shared" si="194"/>
        <v>0</v>
      </c>
      <c r="AE76" s="170"/>
      <c r="AF76" s="189">
        <f t="shared" si="195"/>
        <v>0</v>
      </c>
      <c r="AN76" s="213"/>
      <c r="AS76" s="213"/>
      <c r="AX76" s="213"/>
      <c r="BC76" s="213"/>
      <c r="BH76" s="213"/>
    </row>
    <row r="77" spans="1:64" x14ac:dyDescent="0.25">
      <c r="A77" s="168" t="str">
        <f>A24</f>
        <v>Faculty, Academic Year</v>
      </c>
      <c r="B77" s="187"/>
      <c r="C77" s="167" t="str">
        <f>C23</f>
        <v xml:space="preserve">Co-PI: </v>
      </c>
      <c r="H77" s="216">
        <f t="shared" si="193"/>
        <v>0.25</v>
      </c>
      <c r="I77" s="188"/>
      <c r="J77" s="320">
        <f>IF($AK$12="Yes",$H77*J24*(1+$AK$5),$H77*J24)</f>
        <v>0</v>
      </c>
      <c r="L77" s="336">
        <v>0</v>
      </c>
      <c r="N77" s="320">
        <f>IF($AK$12="Yes",$H77*N24*(1+$AK$5)^2,$H77*N24*(1+$AK$5))</f>
        <v>0</v>
      </c>
      <c r="O77" s="320"/>
      <c r="P77" s="336">
        <v>0</v>
      </c>
      <c r="Q77" s="320"/>
      <c r="R77" s="320">
        <f>IF($AK$12="Yes",$H77*R24*(1+$AK$5)^3,$H77*R24*(1+$AK$5)^2)</f>
        <v>0</v>
      </c>
      <c r="S77" s="320"/>
      <c r="T77" s="336">
        <v>0</v>
      </c>
      <c r="U77" s="320"/>
      <c r="V77" s="320">
        <f>IF($AK$12="Yes",$H77*V24*(1+$AK$5)^4,$H77*V24*(1+$AK$5)^3)</f>
        <v>0</v>
      </c>
      <c r="W77" s="320"/>
      <c r="X77" s="336">
        <v>0</v>
      </c>
      <c r="Y77" s="320"/>
      <c r="Z77" s="320">
        <f>IF($AK$12="Yes",$H77*Z24*(1+$AK$5)^5,$H77*Z24*(1+$AK$5)^4)</f>
        <v>0</v>
      </c>
      <c r="AB77" s="336">
        <v>0</v>
      </c>
      <c r="AD77" s="320">
        <f t="shared" si="194"/>
        <v>0</v>
      </c>
      <c r="AE77" s="170"/>
      <c r="AF77" s="189">
        <f t="shared" si="195"/>
        <v>0</v>
      </c>
      <c r="AN77" s="213"/>
      <c r="AS77" s="213"/>
      <c r="AX77" s="213"/>
      <c r="BC77" s="213"/>
      <c r="BH77" s="213"/>
    </row>
    <row r="78" spans="1:64" x14ac:dyDescent="0.25">
      <c r="A78" s="168" t="str">
        <f>A25</f>
        <v>Faculty, Academic Year</v>
      </c>
      <c r="B78" s="187"/>
      <c r="D78" s="167" t="s">
        <v>85</v>
      </c>
      <c r="H78" s="216">
        <f t="shared" si="193"/>
        <v>0.25</v>
      </c>
      <c r="I78" s="188"/>
      <c r="J78" s="320">
        <f>IF($AK$12="Yes",$H78*J25*(1+$AK$5),$H78*J25)</f>
        <v>0</v>
      </c>
      <c r="L78" s="336">
        <v>0</v>
      </c>
      <c r="N78" s="320">
        <f>IF($AK$12="Yes",$H78*N25*(1+$AK$5)^2,$H78*N25*(1+$AK$5))</f>
        <v>0</v>
      </c>
      <c r="O78" s="320"/>
      <c r="P78" s="336">
        <v>0</v>
      </c>
      <c r="Q78" s="320"/>
      <c r="R78" s="320">
        <f>IF($AK$12="Yes",$H78*R25*(1+$AK$5)^3,$H78*R25*(1+$AK$5)^2)</f>
        <v>0</v>
      </c>
      <c r="S78" s="320"/>
      <c r="T78" s="336">
        <v>0</v>
      </c>
      <c r="U78" s="320"/>
      <c r="V78" s="320">
        <f>IF($AK$12="Yes",$H78*V25*(1+$AK$5)^4,$H78*V25*(1+$AK$5)^3)</f>
        <v>0</v>
      </c>
      <c r="W78" s="320"/>
      <c r="X78" s="336">
        <v>0</v>
      </c>
      <c r="Y78" s="320"/>
      <c r="Z78" s="320">
        <f>IF($AK$12="Yes",$H78*Z25*(1+$AK$5)^5,$H78*Z25*(1+$AK$5)^4)</f>
        <v>0</v>
      </c>
      <c r="AB78" s="336">
        <v>0</v>
      </c>
      <c r="AD78" s="320">
        <f t="shared" si="194"/>
        <v>0</v>
      </c>
      <c r="AE78" s="170"/>
      <c r="AF78" s="189">
        <f t="shared" si="195"/>
        <v>0</v>
      </c>
      <c r="AN78" s="213"/>
      <c r="AS78" s="213"/>
      <c r="AX78" s="213"/>
      <c r="BC78" s="213"/>
      <c r="BH78" s="213"/>
    </row>
    <row r="79" spans="1:64" x14ac:dyDescent="0.25">
      <c r="A79" s="168" t="str">
        <f>A27</f>
        <v>Faculty, Academic Year</v>
      </c>
      <c r="B79" s="187"/>
      <c r="C79" s="167" t="str">
        <f>C26</f>
        <v xml:space="preserve">Co-PI: </v>
      </c>
      <c r="H79" s="216">
        <f t="shared" si="193"/>
        <v>0.25</v>
      </c>
      <c r="I79" s="188"/>
      <c r="J79" s="320">
        <f>IF($AK$12="Yes",$H79*J27*(1+$AK$5),$H79*J27)</f>
        <v>0</v>
      </c>
      <c r="L79" s="336">
        <v>0</v>
      </c>
      <c r="N79" s="320">
        <f>IF($AK$12="Yes",$H79*N27*(1+$AK$5)^2,$H79*N27*(1+$AK$5))</f>
        <v>0</v>
      </c>
      <c r="O79" s="320"/>
      <c r="P79" s="336">
        <v>0</v>
      </c>
      <c r="Q79" s="320"/>
      <c r="R79" s="320">
        <f>IF($AK$12="Yes",$H79*R27*(1+$AK$5)^3,$H79*R27*(1+$AK$5)^2)</f>
        <v>0</v>
      </c>
      <c r="S79" s="320"/>
      <c r="T79" s="336">
        <v>0</v>
      </c>
      <c r="U79" s="320"/>
      <c r="V79" s="320">
        <f>IF($AK$12="Yes",$H79*V27*(1+$AK$5)^4,$H79*V27*(1+$AK$5)^3)</f>
        <v>0</v>
      </c>
      <c r="W79" s="320"/>
      <c r="X79" s="336">
        <v>0</v>
      </c>
      <c r="Y79" s="320"/>
      <c r="Z79" s="320">
        <f>IF($AK$12="Yes",$H79*Z27*(1+$AK$5)^5,$H79*Z27*(1+$AK$5)^4)</f>
        <v>0</v>
      </c>
      <c r="AB79" s="336">
        <v>0</v>
      </c>
      <c r="AD79" s="320">
        <f t="shared" si="194"/>
        <v>0</v>
      </c>
      <c r="AE79" s="170"/>
      <c r="AF79" s="189">
        <f t="shared" si="195"/>
        <v>0</v>
      </c>
      <c r="AN79" s="213"/>
      <c r="AS79" s="213"/>
      <c r="AX79" s="213"/>
      <c r="BC79" s="213"/>
      <c r="BH79" s="213"/>
    </row>
    <row r="80" spans="1:64" x14ac:dyDescent="0.25">
      <c r="A80" s="168" t="str">
        <f>A28</f>
        <v>Faculty, Academic Year</v>
      </c>
      <c r="B80" s="187"/>
      <c r="D80" s="167" t="s">
        <v>85</v>
      </c>
      <c r="H80" s="216">
        <f t="shared" si="193"/>
        <v>0.25</v>
      </c>
      <c r="I80" s="188"/>
      <c r="J80" s="320">
        <f>IF($AK$12="Yes",$H80*J28*(1+$AK$5),$H80*J28)</f>
        <v>0</v>
      </c>
      <c r="L80" s="336">
        <v>0</v>
      </c>
      <c r="N80" s="320">
        <f>IF($AK$12="Yes",$H80*N28*(1+$AK$5)^2,$H80*N28*(1+$AK$5))</f>
        <v>0</v>
      </c>
      <c r="O80" s="320"/>
      <c r="P80" s="336">
        <v>0</v>
      </c>
      <c r="Q80" s="320"/>
      <c r="R80" s="320">
        <f>IF($AK$12="Yes",$H80*R28*(1+$AK$5)^3,$H80*R28*(1+$AK$5)^2)</f>
        <v>0</v>
      </c>
      <c r="S80" s="320"/>
      <c r="T80" s="336">
        <v>0</v>
      </c>
      <c r="U80" s="320"/>
      <c r="V80" s="320">
        <f>IF($AK$12="Yes",$H80*V28*(1+$AK$5)^4,$H80*V28*(1+$AK$5)^3)</f>
        <v>0</v>
      </c>
      <c r="W80" s="320"/>
      <c r="X80" s="336">
        <v>0</v>
      </c>
      <c r="Y80" s="320"/>
      <c r="Z80" s="320">
        <f>IF($AK$12="Yes",$H80*Z28*(1+$AK$5)^5,$H80*Z28*(1+$AK$5)^4)</f>
        <v>0</v>
      </c>
      <c r="AB80" s="336">
        <v>0</v>
      </c>
      <c r="AD80" s="320">
        <f t="shared" si="194"/>
        <v>0</v>
      </c>
      <c r="AE80" s="170"/>
      <c r="AF80" s="189">
        <f t="shared" si="195"/>
        <v>0</v>
      </c>
      <c r="AN80" s="213"/>
      <c r="AS80" s="213"/>
      <c r="AX80" s="213"/>
      <c r="BC80" s="213"/>
      <c r="BH80" s="213"/>
    </row>
    <row r="81" spans="1:60" x14ac:dyDescent="0.25">
      <c r="A81" s="168" t="str">
        <f>A30</f>
        <v>Faculty, Academic Year</v>
      </c>
      <c r="B81" s="187"/>
      <c r="C81" s="167" t="str">
        <f>C29</f>
        <v xml:space="preserve">Co-PI: </v>
      </c>
      <c r="H81" s="216">
        <f t="shared" si="193"/>
        <v>0.25</v>
      </c>
      <c r="I81" s="188"/>
      <c r="J81" s="320">
        <f>IF($AK$12="Yes",$H81*J30*(1+$AK$5),$H81*J30)</f>
        <v>0</v>
      </c>
      <c r="L81" s="336">
        <v>0</v>
      </c>
      <c r="N81" s="320">
        <f>IF($AK$12="Yes",$H81*N30*(1+$AK$5)^2,$H81*N30*(1+$AK$5))</f>
        <v>0</v>
      </c>
      <c r="O81" s="320"/>
      <c r="P81" s="336">
        <v>0</v>
      </c>
      <c r="Q81" s="320"/>
      <c r="R81" s="320">
        <f>IF($AK$12="Yes",$H81*R30*(1+$AK$5)^3,$H81*R30*(1+$AK$5)^2)</f>
        <v>0</v>
      </c>
      <c r="S81" s="320"/>
      <c r="T81" s="336">
        <v>0</v>
      </c>
      <c r="U81" s="320"/>
      <c r="V81" s="320">
        <f>IF($AK$12="Yes",$H81*V30*(1+$AK$5)^4,$H81*V30*(1+$AK$5)^3)</f>
        <v>0</v>
      </c>
      <c r="W81" s="320"/>
      <c r="X81" s="336">
        <v>0</v>
      </c>
      <c r="Y81" s="320"/>
      <c r="Z81" s="320">
        <f>IF($AK$12="Yes",$H81*Z30*(1+$AK$5)^5,$H81*Z30*(1+$AK$5)^4)</f>
        <v>0</v>
      </c>
      <c r="AB81" s="336">
        <v>0</v>
      </c>
      <c r="AD81" s="320">
        <f t="shared" si="194"/>
        <v>0</v>
      </c>
      <c r="AE81" s="170"/>
      <c r="AF81" s="189">
        <f t="shared" si="195"/>
        <v>0</v>
      </c>
      <c r="AN81" s="213"/>
      <c r="AS81" s="213"/>
      <c r="AX81" s="213"/>
      <c r="BC81" s="213"/>
      <c r="BH81" s="213"/>
    </row>
    <row r="82" spans="1:60" x14ac:dyDescent="0.25">
      <c r="A82" s="168" t="str">
        <f>A31</f>
        <v>Faculty, Academic Year</v>
      </c>
      <c r="B82" s="187"/>
      <c r="D82" s="167" t="s">
        <v>85</v>
      </c>
      <c r="H82" s="216">
        <f t="shared" si="193"/>
        <v>0.25</v>
      </c>
      <c r="I82" s="188"/>
      <c r="J82" s="320">
        <f>IF($AK$12="Yes",$H82*J31*(1+$AK$5),$H82*J374)</f>
        <v>0</v>
      </c>
      <c r="L82" s="336">
        <v>0</v>
      </c>
      <c r="N82" s="320">
        <f>IF($AK$12="Yes",$H82*N31*(1+$AK$5)^2,$H82*N31*(1+$AK$5))</f>
        <v>0</v>
      </c>
      <c r="O82" s="320"/>
      <c r="P82" s="336">
        <v>0</v>
      </c>
      <c r="Q82" s="320"/>
      <c r="R82" s="320">
        <f>IF($AK$12="Yes",$H82*R31*(1+$AK$5)^3,$H82*R31*(1+$AK$5)^2)</f>
        <v>0</v>
      </c>
      <c r="S82" s="320"/>
      <c r="T82" s="336">
        <v>0</v>
      </c>
      <c r="U82" s="320"/>
      <c r="V82" s="320">
        <f>IF($AK$12="Yes",$H82*V31*(1+$AK$5)^4,$H82*V31*(1+$AK$5)^3)</f>
        <v>0</v>
      </c>
      <c r="W82" s="320"/>
      <c r="X82" s="336">
        <v>0</v>
      </c>
      <c r="Y82" s="320"/>
      <c r="Z82" s="320">
        <f>IF($AK$12="Yes",$H82*Z31*(1+$AK$5)^5,$H82*Z31*(1+$AK$5)^4)</f>
        <v>0</v>
      </c>
      <c r="AB82" s="336">
        <v>0</v>
      </c>
      <c r="AD82" s="320">
        <f t="shared" si="194"/>
        <v>0</v>
      </c>
      <c r="AE82" s="170"/>
      <c r="AF82" s="189">
        <f t="shared" si="195"/>
        <v>0</v>
      </c>
      <c r="AN82" s="213"/>
      <c r="AS82" s="213"/>
      <c r="AX82" s="213"/>
      <c r="BC82" s="213"/>
      <c r="BH82" s="213"/>
    </row>
    <row r="83" spans="1:60" x14ac:dyDescent="0.25">
      <c r="A83" s="168" t="str">
        <f>A33</f>
        <v>Research Associate LOA</v>
      </c>
      <c r="B83" s="187"/>
      <c r="C83" s="167" t="str">
        <f>C32</f>
        <v>Research Associate:</v>
      </c>
      <c r="H83" s="216">
        <f t="shared" si="193"/>
        <v>0.315</v>
      </c>
      <c r="I83" s="188"/>
      <c r="J83" s="320">
        <f>IF($AK$12="Yes",$H83*J33*(1+$AK$5),$H83*J33)</f>
        <v>0</v>
      </c>
      <c r="K83" s="321"/>
      <c r="L83" s="336">
        <v>0</v>
      </c>
      <c r="M83" s="321"/>
      <c r="N83" s="320">
        <f>IF($AK$12="Yes",$H83*N33*(1+$AK$5)^2,$H83*N33*(1+$AK$5))</f>
        <v>0</v>
      </c>
      <c r="P83" s="336">
        <v>0</v>
      </c>
      <c r="R83" s="320">
        <f>IF($AK$12="Yes",$H83*R33*(1+$AK$5)^3,$H83*R33*(1+$AK$5)^2)</f>
        <v>0</v>
      </c>
      <c r="T83" s="336">
        <v>0</v>
      </c>
      <c r="V83" s="320">
        <f>IF($AK$12="Yes",$H83*V33*(1+$AK$5)^4,$H83*V33*(1+$AK$5)^3)</f>
        <v>0</v>
      </c>
      <c r="X83" s="336">
        <v>0</v>
      </c>
      <c r="Z83" s="320">
        <f>IF($AK$12="Yes",$H83*Z33*(1+$AK$5)^5,$H83*Z33*(1+$AK$5)^4)</f>
        <v>0</v>
      </c>
      <c r="AB83" s="336">
        <v>0</v>
      </c>
      <c r="AD83" s="320">
        <f t="shared" si="194"/>
        <v>0</v>
      </c>
      <c r="AE83" s="170"/>
      <c r="AF83" s="189">
        <f t="shared" si="195"/>
        <v>0</v>
      </c>
      <c r="AN83" s="213"/>
      <c r="AS83" s="213"/>
      <c r="AX83" s="213"/>
      <c r="BC83" s="213"/>
      <c r="BH83" s="213"/>
    </row>
    <row r="84" spans="1:60" x14ac:dyDescent="0.25">
      <c r="A84" s="168" t="str">
        <f>A35</f>
        <v>Research Associate LOA</v>
      </c>
      <c r="B84" s="187"/>
      <c r="C84" s="167" t="str">
        <f>C34</f>
        <v>Research Associate:</v>
      </c>
      <c r="H84" s="216">
        <f t="shared" si="193"/>
        <v>0.315</v>
      </c>
      <c r="I84" s="188"/>
      <c r="J84" s="320">
        <f>IF($AK$12="Yes",$H84*J35*(1+$AK$5),$H84*J35)</f>
        <v>0</v>
      </c>
      <c r="K84" s="321"/>
      <c r="L84" s="336">
        <v>0</v>
      </c>
      <c r="M84" s="321"/>
      <c r="N84" s="320">
        <f>IF($AK$12="Yes",$H84*N35*(1+$AK$5)^2,$H84*N35*(1+$AK$5))</f>
        <v>0</v>
      </c>
      <c r="P84" s="336">
        <v>0</v>
      </c>
      <c r="R84" s="320">
        <f>IF($AK$12="Yes",$H84*R35*(1+$AK$5)^3,$H84*R35*(1+$AK$5)^2)</f>
        <v>0</v>
      </c>
      <c r="T84" s="336">
        <v>0</v>
      </c>
      <c r="V84" s="320">
        <f>IF($AK$12="Yes",$H84*V35*(1+$AK$5)^4,$H84*V35*(1+$AK$5)^3)</f>
        <v>0</v>
      </c>
      <c r="X84" s="336">
        <v>0</v>
      </c>
      <c r="Z84" s="320">
        <f>IF($AK$12="Yes",$H84*Z35*(1+$AK$5)^5,$H84*Z35*(1+$AK$5)^4)</f>
        <v>0</v>
      </c>
      <c r="AB84" s="336">
        <v>0</v>
      </c>
      <c r="AD84" s="320">
        <f t="shared" si="194"/>
        <v>0</v>
      </c>
      <c r="AE84" s="170"/>
      <c r="AF84" s="189">
        <f t="shared" si="195"/>
        <v>0</v>
      </c>
      <c r="AN84" s="213"/>
      <c r="AS84" s="213"/>
      <c r="AX84" s="213"/>
      <c r="BC84" s="213"/>
      <c r="BH84" s="213"/>
    </row>
    <row r="85" spans="1:60" x14ac:dyDescent="0.25">
      <c r="A85" s="168" t="str">
        <f>A37</f>
        <v>Research Associate LOA</v>
      </c>
      <c r="B85" s="187"/>
      <c r="C85" s="167" t="str">
        <f>C36</f>
        <v>Research Associate:</v>
      </c>
      <c r="H85" s="216">
        <f t="shared" si="193"/>
        <v>0.315</v>
      </c>
      <c r="I85" s="188"/>
      <c r="J85" s="320">
        <f>IF($AK$12="Yes",$H85*J37*(1+$AK$5),$H85*J37)</f>
        <v>0</v>
      </c>
      <c r="K85" s="321"/>
      <c r="L85" s="336">
        <v>0</v>
      </c>
      <c r="M85" s="321"/>
      <c r="N85" s="320">
        <f>IF($AK$12="Yes",$H85*N37*(1+$AK$5)^2,$H85*N37*(1+$AK$5))</f>
        <v>0</v>
      </c>
      <c r="P85" s="336">
        <v>0</v>
      </c>
      <c r="R85" s="320">
        <f>IF($AK$12="Yes",$H85*R37*(1+$AK$5)^3,$H85*R37*(1+$AK$5)^2)</f>
        <v>0</v>
      </c>
      <c r="T85" s="336">
        <v>0</v>
      </c>
      <c r="V85" s="320">
        <f>IF($AK$12="Yes",$H85*V37*(1+$AK$5)^4,$H85*V37*(1+$AK$5)^3)</f>
        <v>0</v>
      </c>
      <c r="X85" s="336">
        <v>0</v>
      </c>
      <c r="Z85" s="320">
        <f>IF($AK$12="Yes",$H85*Z37*(1+$AK$5)^5,$H85*Z37*(1+$AK$5)^4)</f>
        <v>0</v>
      </c>
      <c r="AB85" s="336">
        <v>0</v>
      </c>
      <c r="AD85" s="320">
        <f t="shared" si="194"/>
        <v>0</v>
      </c>
      <c r="AE85" s="170"/>
      <c r="AF85" s="189">
        <f t="shared" si="195"/>
        <v>0</v>
      </c>
      <c r="AN85" s="213"/>
      <c r="AS85" s="213"/>
      <c r="AX85" s="213"/>
      <c r="BC85" s="213"/>
      <c r="BH85" s="213"/>
    </row>
    <row r="86" spans="1:60" x14ac:dyDescent="0.25">
      <c r="A86" s="168" t="str">
        <f>A39</f>
        <v>Senior Personnel LOA</v>
      </c>
      <c r="B86" s="187"/>
      <c r="C86" s="167" t="str">
        <f>C38</f>
        <v>Senior Personnel:</v>
      </c>
      <c r="H86" s="216">
        <f t="shared" si="193"/>
        <v>0.315</v>
      </c>
      <c r="I86" s="188"/>
      <c r="J86" s="320">
        <f>IF($AK$12="Yes",$H86*J39*(1+$AK$5),$H86*J39)</f>
        <v>0</v>
      </c>
      <c r="K86" s="321"/>
      <c r="L86" s="336">
        <v>0</v>
      </c>
      <c r="M86" s="321"/>
      <c r="N86" s="320">
        <f>IF($AK$12="Yes",$H86*N39*(1+$AK$5)^2,$H86*N39*(1+$AK$5))</f>
        <v>0</v>
      </c>
      <c r="P86" s="336">
        <v>0</v>
      </c>
      <c r="R86" s="320">
        <f>IF($AK$12="Yes",$H86*R39*(1+$AK$5)^3,$H86*R39*(1+$AK$5)^2)</f>
        <v>0</v>
      </c>
      <c r="T86" s="336">
        <v>0</v>
      </c>
      <c r="V86" s="320">
        <f>IF($AK$12="Yes",$H86*V39*(1+$AK$5)^4,$H86*V39*(1+$AK$5)^3)</f>
        <v>0</v>
      </c>
      <c r="X86" s="336">
        <v>0</v>
      </c>
      <c r="Z86" s="320">
        <f>IF($AK$12="Yes",$H86*Z39*(1+$AK$5)^5,$H86*Z39*(1+$AK$5)^4)</f>
        <v>0</v>
      </c>
      <c r="AB86" s="336">
        <v>0</v>
      </c>
      <c r="AD86" s="320">
        <f t="shared" si="194"/>
        <v>0</v>
      </c>
      <c r="AE86" s="170"/>
      <c r="AF86" s="189">
        <f t="shared" si="195"/>
        <v>0</v>
      </c>
      <c r="AN86" s="213"/>
      <c r="AS86" s="213"/>
      <c r="AX86" s="213"/>
      <c r="BC86" s="213"/>
      <c r="BH86" s="213"/>
    </row>
    <row r="87" spans="1:60" x14ac:dyDescent="0.25">
      <c r="A87" s="168" t="str">
        <f>A41</f>
        <v>Senior Personnel LOA</v>
      </c>
      <c r="B87" s="187"/>
      <c r="C87" s="167" t="str">
        <f>C40</f>
        <v>Senior Personnel:</v>
      </c>
      <c r="H87" s="216">
        <f t="shared" si="193"/>
        <v>0.315</v>
      </c>
      <c r="I87" s="188"/>
      <c r="J87" s="320">
        <f>IF($AK$12="Yes",$H87*J41*(1+$AK$5),$H87*J41)</f>
        <v>0</v>
      </c>
      <c r="K87" s="321"/>
      <c r="L87" s="336">
        <v>0</v>
      </c>
      <c r="M87" s="321"/>
      <c r="N87" s="320">
        <f>IF($AK$12="Yes",$H87*N41*(1+$AK$5)^2,$H87*N41*(1+$AK$5))</f>
        <v>0</v>
      </c>
      <c r="P87" s="336">
        <v>0</v>
      </c>
      <c r="R87" s="320">
        <f>IF($AK$12="Yes",$H87*R41*(1+$AK$5)^3,$H87*R41*(1+$AK$5)^2)</f>
        <v>0</v>
      </c>
      <c r="T87" s="336">
        <v>0</v>
      </c>
      <c r="V87" s="320">
        <f>IF($AK$12="Yes",$H87*V41*(1+$AK$5)^4,$H87*V41*(1+$AK$5)^3)</f>
        <v>0</v>
      </c>
      <c r="X87" s="336">
        <v>0</v>
      </c>
      <c r="Z87" s="320">
        <f>IF($AK$12="Yes",$H87*Z41*(1+$AK$5)^5,$H87*Z41*(1+$AK$5)^4)</f>
        <v>0</v>
      </c>
      <c r="AB87" s="336">
        <v>0</v>
      </c>
      <c r="AD87" s="320">
        <f t="shared" si="194"/>
        <v>0</v>
      </c>
      <c r="AE87" s="170"/>
      <c r="AF87" s="189">
        <f t="shared" si="195"/>
        <v>0</v>
      </c>
      <c r="AN87" s="213"/>
      <c r="AS87" s="213"/>
      <c r="AX87" s="213"/>
      <c r="BC87" s="213"/>
      <c r="BH87" s="213"/>
    </row>
    <row r="88" spans="1:60" x14ac:dyDescent="0.25">
      <c r="A88" s="168" t="str">
        <f>A43</f>
        <v>Senior Personnel LOA</v>
      </c>
      <c r="C88" s="167" t="str">
        <f>C42</f>
        <v>Senior Personnel:</v>
      </c>
      <c r="H88" s="216">
        <f t="shared" si="193"/>
        <v>0.315</v>
      </c>
      <c r="I88" s="188"/>
      <c r="J88" s="320">
        <f>IF($AK$12="Yes",$H88*J43*(1+$AK$5),$H88*J43)</f>
        <v>0</v>
      </c>
      <c r="K88" s="321"/>
      <c r="L88" s="336">
        <v>0</v>
      </c>
      <c r="M88" s="321"/>
      <c r="N88" s="320">
        <f>IF($AK$12="Yes",$H88*N43*(1+$AK$5)^2,$H88*N43*(1+$AK$5))</f>
        <v>0</v>
      </c>
      <c r="P88" s="336">
        <v>0</v>
      </c>
      <c r="R88" s="320">
        <f>IF($AK$12="Yes",$H88*R43*(1+$AK$5)^3,$H88*R43*(1+$AK$5)^2)</f>
        <v>0</v>
      </c>
      <c r="T88" s="336">
        <v>0</v>
      </c>
      <c r="V88" s="320">
        <f>IF($AK$12="Yes",$H88*V43*(1+$AK$5)^4,$H88*V43*(1+$AK$5)^3)</f>
        <v>0</v>
      </c>
      <c r="X88" s="336">
        <v>0</v>
      </c>
      <c r="Z88" s="320">
        <f>IF($AK$12="Yes",$H88*Z43*(1+$AK$5)^5,$H88*Z43*(1+$AK$5)^4)</f>
        <v>0</v>
      </c>
      <c r="AB88" s="336">
        <v>0</v>
      </c>
      <c r="AD88" s="320">
        <f t="shared" si="194"/>
        <v>0</v>
      </c>
      <c r="AE88" s="170"/>
      <c r="AF88" s="189">
        <f t="shared" si="195"/>
        <v>0</v>
      </c>
      <c r="AN88" s="213"/>
      <c r="AS88" s="213"/>
      <c r="AX88" s="213"/>
      <c r="BC88" s="213"/>
      <c r="BH88" s="213"/>
    </row>
    <row r="89" spans="1:60" x14ac:dyDescent="0.25">
      <c r="A89" s="168" t="str">
        <f>A45</f>
        <v>Classified Staff</v>
      </c>
      <c r="B89" s="187"/>
      <c r="C89" s="167" t="str">
        <f>C44</f>
        <v>Administrative Assistant:</v>
      </c>
      <c r="H89" s="216">
        <f t="shared" si="193"/>
        <v>0.28899999999999998</v>
      </c>
      <c r="I89" s="188"/>
      <c r="J89" s="320">
        <f>IF($AK$12="Yes",$H89*J45*(1+$AK$5),$H89*J45)</f>
        <v>0</v>
      </c>
      <c r="K89" s="321"/>
      <c r="L89" s="336">
        <v>0</v>
      </c>
      <c r="M89" s="321"/>
      <c r="N89" s="320">
        <f>IF($AK$12="Yes",$H89*N45*(1+$AK$5)^2,$H89*N45*(1+$AK$5))</f>
        <v>0</v>
      </c>
      <c r="P89" s="336">
        <v>0</v>
      </c>
      <c r="R89" s="320">
        <f>IF($AK$12="Yes",$H89*R45*(1+$AK$5)^3,$H89*R45*(1+$AK$5)^2)</f>
        <v>0</v>
      </c>
      <c r="T89" s="336">
        <v>0</v>
      </c>
      <c r="V89" s="320">
        <f>IF($AK$12="Yes",$H89*V45*(1+$AK$5)^4,$H89*V45*(1+$AK$5)^3)</f>
        <v>0</v>
      </c>
      <c r="X89" s="336">
        <v>0</v>
      </c>
      <c r="Z89" s="320">
        <f>IF($AK$12="Yes",$H89*Z45*(1+$AK$5)^5,$H89*Z45*(1+$AK$5)^4)</f>
        <v>0</v>
      </c>
      <c r="AB89" s="336">
        <v>0</v>
      </c>
      <c r="AD89" s="320">
        <f t="shared" si="194"/>
        <v>0</v>
      </c>
      <c r="AE89" s="170"/>
      <c r="AF89" s="189">
        <f t="shared" si="195"/>
        <v>0</v>
      </c>
      <c r="AN89" s="213"/>
      <c r="AS89" s="213"/>
      <c r="AX89" s="213"/>
      <c r="BC89" s="213"/>
      <c r="BH89" s="213"/>
    </row>
    <row r="90" spans="1:60" x14ac:dyDescent="0.25">
      <c r="A90" s="168" t="str">
        <f>A47</f>
        <v>Classified Staff</v>
      </c>
      <c r="B90" s="187"/>
      <c r="C90" s="167" t="str">
        <f>C46</f>
        <v>Administrative Assistant:</v>
      </c>
      <c r="H90" s="216">
        <f t="shared" si="193"/>
        <v>0.28899999999999998</v>
      </c>
      <c r="I90" s="188"/>
      <c r="J90" s="320">
        <f>IF($AK$12="Yes",$H90*J47*(1+$AK$5),$H90*J47)</f>
        <v>0</v>
      </c>
      <c r="K90" s="321"/>
      <c r="L90" s="336">
        <v>0</v>
      </c>
      <c r="M90" s="321"/>
      <c r="N90" s="320">
        <f>IF($AK$12="Yes",$H90*N47*(1+$AK$5)^2,$H90*N47*(1+$AK$5))</f>
        <v>0</v>
      </c>
      <c r="P90" s="336">
        <v>0</v>
      </c>
      <c r="R90" s="320">
        <f>IF($AK$12="Yes",$H90*R47*(1+$AK$5)^3,$H90*R47*(1+$AK$5)^2)</f>
        <v>0</v>
      </c>
      <c r="T90" s="336">
        <v>0</v>
      </c>
      <c r="V90" s="320">
        <f>IF($AK$12="Yes",$H90*V47*(1+$AK$5)^4,$H90*V47*(1+$AK$5)^3)</f>
        <v>0</v>
      </c>
      <c r="X90" s="336">
        <v>0</v>
      </c>
      <c r="Z90" s="320">
        <f>IF($AK$12="Yes",$H90*Z47*(1+$AK$5)^5,$H90*Z47*(1+$AK$5)^4)</f>
        <v>0</v>
      </c>
      <c r="AB90" s="336">
        <v>0</v>
      </c>
      <c r="AD90" s="320">
        <f t="shared" si="194"/>
        <v>0</v>
      </c>
      <c r="AE90" s="170"/>
      <c r="AF90" s="189">
        <f t="shared" si="195"/>
        <v>0</v>
      </c>
      <c r="AN90" s="213"/>
      <c r="AS90" s="213"/>
      <c r="AX90" s="213"/>
      <c r="BC90" s="213"/>
      <c r="BH90" s="213"/>
    </row>
    <row r="91" spans="1:60" x14ac:dyDescent="0.25">
      <c r="A91" s="168" t="str">
        <f>A49</f>
        <v>GRA AY</v>
      </c>
      <c r="C91" s="167" t="str">
        <f>C48</f>
        <v>Graduate Research Assistant</v>
      </c>
      <c r="H91" s="216">
        <f t="shared" si="193"/>
        <v>2.9000000000000001E-2</v>
      </c>
      <c r="I91" s="188"/>
      <c r="J91" s="320">
        <f>IF($AK$12="Yes",$H91*SUM(J49)*(1+$AK$5), $H91*SUM(J49))</f>
        <v>0</v>
      </c>
      <c r="L91" s="336">
        <v>0</v>
      </c>
      <c r="N91" s="320">
        <f>IF($AK$12="Yes",$H91*N49*(1+$AK$5)^2,$H91*N49*(1+$AK$5))</f>
        <v>0</v>
      </c>
      <c r="O91" s="320"/>
      <c r="P91" s="336">
        <v>0</v>
      </c>
      <c r="Q91" s="320"/>
      <c r="R91" s="320">
        <f>IF($AK$12="Yes",$H91*SUM(R49)*(1+$AK$5), $H91*SUM(R49))</f>
        <v>0</v>
      </c>
      <c r="S91" s="320"/>
      <c r="T91" s="336">
        <v>0</v>
      </c>
      <c r="U91" s="320"/>
      <c r="V91" s="320">
        <f>IF($AK$12="Yes",$H91*SUM(V49)*(1+$AK$5), $H91*SUM(V49))</f>
        <v>0</v>
      </c>
      <c r="W91" s="320"/>
      <c r="X91" s="336">
        <v>0</v>
      </c>
      <c r="Y91" s="320"/>
      <c r="Z91" s="320">
        <f>IF($AK$12="Yes",$H91*SUM(Z49)*(1+$AK$5), $H91*SUM(Z49))</f>
        <v>0</v>
      </c>
      <c r="AA91" s="320"/>
      <c r="AB91" s="336">
        <v>0</v>
      </c>
      <c r="AC91" s="320"/>
      <c r="AD91" s="320">
        <f t="shared" si="194"/>
        <v>0</v>
      </c>
      <c r="AE91" s="170"/>
      <c r="AF91" s="189">
        <f t="shared" si="195"/>
        <v>0</v>
      </c>
      <c r="AN91" s="213"/>
      <c r="AS91" s="213"/>
      <c r="AX91" s="213"/>
      <c r="BC91" s="213"/>
      <c r="BH91" s="213"/>
    </row>
    <row r="92" spans="1:60" x14ac:dyDescent="0.25">
      <c r="A92" s="168" t="str">
        <f>A50</f>
        <v>GRA Summer</v>
      </c>
      <c r="D92" s="167" t="s">
        <v>85</v>
      </c>
      <c r="H92" s="216">
        <f t="shared" si="193"/>
        <v>0.109</v>
      </c>
      <c r="I92" s="188"/>
      <c r="J92" s="320">
        <f>IF($AK$12="Yes",$H92*SUM(J50)*(1+$AK$5), $H92*SUM(J50))</f>
        <v>0</v>
      </c>
      <c r="L92" s="336">
        <v>0</v>
      </c>
      <c r="N92" s="320">
        <f>IF($AK$12="Yes",$H92*N50*(1+$AK$5)^2,$H92*N50*(1+$AK$5))</f>
        <v>0</v>
      </c>
      <c r="O92" s="320"/>
      <c r="P92" s="336">
        <v>0</v>
      </c>
      <c r="Q92" s="320"/>
      <c r="R92" s="320">
        <f>IF($AK$12="Yes",$H92*SUM(R50)*(1+$AK$5), $H92*SUM(R50))</f>
        <v>0</v>
      </c>
      <c r="S92" s="320"/>
      <c r="T92" s="336">
        <v>0</v>
      </c>
      <c r="U92" s="320"/>
      <c r="V92" s="320">
        <f>IF($AK$12="Yes",$H92*SUM(V50)*(1+$AK$5), $H92*SUM(V50))</f>
        <v>0</v>
      </c>
      <c r="W92" s="320"/>
      <c r="X92" s="336">
        <v>0</v>
      </c>
      <c r="Y92" s="320"/>
      <c r="Z92" s="320">
        <f>IF($AK$12="Yes",$H92*SUM(Z50)*(1+$AK$5), $H92*SUM(Z50))</f>
        <v>0</v>
      </c>
      <c r="AA92" s="320"/>
      <c r="AB92" s="336">
        <v>0</v>
      </c>
      <c r="AC92" s="320"/>
      <c r="AD92" s="320">
        <f t="shared" si="194"/>
        <v>0</v>
      </c>
      <c r="AE92" s="170"/>
      <c r="AF92" s="189">
        <f t="shared" si="195"/>
        <v>0</v>
      </c>
      <c r="AN92" s="213"/>
      <c r="AS92" s="213"/>
      <c r="AX92" s="213"/>
      <c r="BC92" s="213"/>
      <c r="BH92" s="213"/>
    </row>
    <row r="93" spans="1:60" x14ac:dyDescent="0.25">
      <c r="A93" s="168" t="str">
        <f>A52</f>
        <v>GRA AY</v>
      </c>
      <c r="C93" s="167" t="str">
        <f>C51</f>
        <v>Graduate Research Assistant</v>
      </c>
      <c r="H93" s="216">
        <f t="shared" si="193"/>
        <v>2.9000000000000001E-2</v>
      </c>
      <c r="I93" s="188"/>
      <c r="J93" s="320">
        <f>IF($AK$12="Yes",$H93*SUM(J52)*(1+$AK$5), $H93*SUM(J52))</f>
        <v>0</v>
      </c>
      <c r="L93" s="336">
        <v>0</v>
      </c>
      <c r="N93" s="320">
        <f>IF($AK$12="Yes",$H93*N52*(1+$AK$5)^2,$H93*N52*(1+$AK$5))</f>
        <v>0</v>
      </c>
      <c r="O93" s="320"/>
      <c r="P93" s="336">
        <v>0</v>
      </c>
      <c r="Q93" s="320"/>
      <c r="R93" s="320">
        <f>IF($AK$12="Yes",$H93*SUM(R52)*(1+$AK$5), $H93*SUM(R52))</f>
        <v>0</v>
      </c>
      <c r="S93" s="320"/>
      <c r="T93" s="336">
        <v>0</v>
      </c>
      <c r="U93" s="320"/>
      <c r="V93" s="320">
        <f>IF($AK$12="Yes",$H93*SUM(V52)*(1+$AK$5), $H93*SUM(V52))</f>
        <v>0</v>
      </c>
      <c r="W93" s="320"/>
      <c r="X93" s="336">
        <v>0</v>
      </c>
      <c r="Y93" s="320"/>
      <c r="Z93" s="320">
        <f>IF($AK$12="Yes",$H93*SUM(Z52)*(1+$AK$5), $H93*SUM(Z52))</f>
        <v>0</v>
      </c>
      <c r="AA93" s="320"/>
      <c r="AB93" s="336">
        <v>0</v>
      </c>
      <c r="AC93" s="320"/>
      <c r="AD93" s="320">
        <f t="shared" si="194"/>
        <v>0</v>
      </c>
      <c r="AE93" s="170"/>
      <c r="AF93" s="189">
        <f t="shared" si="195"/>
        <v>0</v>
      </c>
      <c r="AN93" s="213"/>
      <c r="AS93" s="213"/>
      <c r="AX93" s="213"/>
      <c r="BC93" s="213"/>
      <c r="BH93" s="213"/>
    </row>
    <row r="94" spans="1:60" x14ac:dyDescent="0.25">
      <c r="A94" s="168" t="str">
        <f>A53</f>
        <v>GRA Summer</v>
      </c>
      <c r="D94" s="167" t="s">
        <v>85</v>
      </c>
      <c r="H94" s="216">
        <f t="shared" si="193"/>
        <v>0.109</v>
      </c>
      <c r="I94" s="188"/>
      <c r="J94" s="320">
        <f>IF($AK$12="Yes",$H94*SUM(J53)*(1+$AK$5), $H94*SUM(J53))</f>
        <v>0</v>
      </c>
      <c r="L94" s="336">
        <v>0</v>
      </c>
      <c r="N94" s="320">
        <f>IF($AK$12="Yes",$H94*N53*(1+$AK$5)^2,$H94*N53*(1+$AK$5))</f>
        <v>0</v>
      </c>
      <c r="O94" s="320"/>
      <c r="P94" s="336">
        <v>0</v>
      </c>
      <c r="Q94" s="320"/>
      <c r="R94" s="320">
        <f>IF($AK$12="Yes",$H94*SUM(R53)*(1+$AK$5), $H94*SUM(R53))</f>
        <v>0</v>
      </c>
      <c r="S94" s="320"/>
      <c r="T94" s="336">
        <v>0</v>
      </c>
      <c r="U94" s="320"/>
      <c r="V94" s="320">
        <f>IF($AK$12="Yes",$H94*SUM(V53)*(1+$AK$5), $H94*SUM(V53))</f>
        <v>0</v>
      </c>
      <c r="W94" s="320"/>
      <c r="X94" s="336">
        <v>0</v>
      </c>
      <c r="Y94" s="320"/>
      <c r="Z94" s="320">
        <f>IF($AK$12="Yes",$H94*SUM(Z53)*(1+$AK$5), $H94*SUM(Z53))</f>
        <v>0</v>
      </c>
      <c r="AA94" s="320"/>
      <c r="AB94" s="336">
        <v>0</v>
      </c>
      <c r="AC94" s="320"/>
      <c r="AD94" s="320">
        <f t="shared" si="194"/>
        <v>0</v>
      </c>
      <c r="AE94" s="170"/>
      <c r="AF94" s="189">
        <f t="shared" si="195"/>
        <v>0</v>
      </c>
      <c r="AN94" s="213"/>
      <c r="AS94" s="213"/>
      <c r="AX94" s="213"/>
      <c r="BC94" s="213"/>
      <c r="BH94" s="213"/>
    </row>
    <row r="95" spans="1:60" x14ac:dyDescent="0.25">
      <c r="A95" s="168" t="str">
        <f>A55</f>
        <v>GRA AY</v>
      </c>
      <c r="C95" s="167" t="str">
        <f>C54</f>
        <v>Graduate Research Assistant</v>
      </c>
      <c r="H95" s="216">
        <f t="shared" si="193"/>
        <v>2.9000000000000001E-2</v>
      </c>
      <c r="I95" s="188"/>
      <c r="J95" s="320">
        <f>IF($AK$12="Yes",$H95*SUM(J55)*(1+$AK$5), $H95*SUM(J55))</f>
        <v>0</v>
      </c>
      <c r="L95" s="336">
        <v>0</v>
      </c>
      <c r="N95" s="320">
        <f>IF($AK$12="Yes",$H95*N55*(1+$AK$5)^2,$H95*N55*(1+$AK$5))</f>
        <v>0</v>
      </c>
      <c r="O95" s="320"/>
      <c r="P95" s="336">
        <v>0</v>
      </c>
      <c r="Q95" s="320"/>
      <c r="R95" s="320">
        <f>IF($AK$12="Yes",$H95*SUM(R55)*(1+$AK$5), $H95*SUM(R55))</f>
        <v>0</v>
      </c>
      <c r="S95" s="320"/>
      <c r="T95" s="336">
        <v>0</v>
      </c>
      <c r="U95" s="320"/>
      <c r="V95" s="320">
        <f>IF($AK$12="Yes",$H95*SUM(V55)*(1+$AK$5), $H95*SUM(V55))</f>
        <v>0</v>
      </c>
      <c r="W95" s="320"/>
      <c r="X95" s="336">
        <v>0</v>
      </c>
      <c r="Y95" s="320"/>
      <c r="Z95" s="320">
        <f>IF($AK$12="Yes",$H95*SUM(Z55)*(1+$AK$5), $H95*SUM(Z55))</f>
        <v>0</v>
      </c>
      <c r="AA95" s="320"/>
      <c r="AB95" s="336">
        <v>0</v>
      </c>
      <c r="AC95" s="320"/>
      <c r="AD95" s="320">
        <f t="shared" si="194"/>
        <v>0</v>
      </c>
      <c r="AE95" s="170"/>
      <c r="AF95" s="189">
        <f t="shared" si="195"/>
        <v>0</v>
      </c>
      <c r="AN95" s="213"/>
      <c r="AS95" s="213"/>
      <c r="AX95" s="213"/>
      <c r="BC95" s="213"/>
      <c r="BH95" s="213"/>
    </row>
    <row r="96" spans="1:60" x14ac:dyDescent="0.25">
      <c r="A96" s="168" t="str">
        <f>A56</f>
        <v>GRA Summer</v>
      </c>
      <c r="D96" s="167" t="s">
        <v>85</v>
      </c>
      <c r="H96" s="216">
        <f t="shared" si="193"/>
        <v>0.109</v>
      </c>
      <c r="I96" s="188"/>
      <c r="J96" s="320">
        <f>IF($AK$12="Yes",$H96*SUM(J56)*(1+$AK$5), $H96*SUM(J56))</f>
        <v>0</v>
      </c>
      <c r="L96" s="336">
        <v>0</v>
      </c>
      <c r="N96" s="320">
        <f>IF($AK$12="Yes",$H96*N56*(1+$AK$5)^2,$H96*N56*(1+$AK$5))</f>
        <v>0</v>
      </c>
      <c r="O96" s="320"/>
      <c r="P96" s="336">
        <v>0</v>
      </c>
      <c r="Q96" s="320"/>
      <c r="R96" s="320">
        <f>IF($AK$12="Yes",$H96*SUM(R56)*(1+$AK$5), $H96*SUM(R56))</f>
        <v>0</v>
      </c>
      <c r="S96" s="320"/>
      <c r="T96" s="336">
        <v>0</v>
      </c>
      <c r="U96" s="320"/>
      <c r="V96" s="320">
        <f>IF($AK$12="Yes",$H96*SUM(V56)*(1+$AK$5), $H96*SUM(V56))</f>
        <v>0</v>
      </c>
      <c r="W96" s="320"/>
      <c r="X96" s="336">
        <v>0</v>
      </c>
      <c r="Y96" s="320"/>
      <c r="Z96" s="320">
        <f>IF($AK$12="Yes",$H96*SUM(Z56)*(1+$AK$5), $H96*SUM(Z56))</f>
        <v>0</v>
      </c>
      <c r="AA96" s="320"/>
      <c r="AB96" s="336">
        <v>0</v>
      </c>
      <c r="AC96" s="320"/>
      <c r="AD96" s="320">
        <f t="shared" si="194"/>
        <v>0</v>
      </c>
      <c r="AE96" s="170"/>
      <c r="AF96" s="189">
        <f t="shared" si="195"/>
        <v>0</v>
      </c>
      <c r="AN96" s="213"/>
      <c r="AS96" s="213"/>
      <c r="AX96" s="213"/>
      <c r="BC96" s="213"/>
      <c r="BH96" s="213"/>
    </row>
    <row r="97" spans="1:60" x14ac:dyDescent="0.25">
      <c r="A97" s="168" t="str">
        <f>A58</f>
        <v>GRA AY</v>
      </c>
      <c r="C97" s="167" t="str">
        <f>C57</f>
        <v>Graduate Research Assistant</v>
      </c>
      <c r="H97" s="216">
        <f t="shared" si="193"/>
        <v>2.9000000000000001E-2</v>
      </c>
      <c r="I97" s="188"/>
      <c r="J97" s="320">
        <f>IF($AK$12="Yes",$H97*SUM(J58)*(1+$AK$5), $H97*SUM(J58))</f>
        <v>0</v>
      </c>
      <c r="L97" s="336">
        <v>0</v>
      </c>
      <c r="N97" s="320">
        <f>IF($AK$12="Yes",$H97*N58*(1+$AK$5)^2,$H97*N58*(1+$AK$5))</f>
        <v>0</v>
      </c>
      <c r="O97" s="320"/>
      <c r="P97" s="336">
        <v>0</v>
      </c>
      <c r="Q97" s="320"/>
      <c r="R97" s="320">
        <f>IF($AK$12="Yes",$H97*SUM(R58)*(1+$AK$5), $H97*SUM(R58))</f>
        <v>0</v>
      </c>
      <c r="S97" s="320"/>
      <c r="T97" s="336">
        <v>0</v>
      </c>
      <c r="U97" s="320"/>
      <c r="V97" s="320">
        <f>IF($AK$12="Yes",$H97*SUM(V58)*(1+$AK$5), $H97*SUM(V58))</f>
        <v>0</v>
      </c>
      <c r="W97" s="320"/>
      <c r="X97" s="336">
        <v>0</v>
      </c>
      <c r="Y97" s="320"/>
      <c r="Z97" s="320">
        <f>IF($AK$12="Yes",$H97*SUM(Z58)*(1+$AK$5), $H97*SUM(Z58))</f>
        <v>0</v>
      </c>
      <c r="AA97" s="320"/>
      <c r="AB97" s="336">
        <v>0</v>
      </c>
      <c r="AC97" s="320"/>
      <c r="AD97" s="320">
        <f t="shared" si="194"/>
        <v>0</v>
      </c>
      <c r="AE97" s="170"/>
      <c r="AF97" s="189">
        <f t="shared" si="195"/>
        <v>0</v>
      </c>
      <c r="AN97" s="213"/>
      <c r="AS97" s="213"/>
      <c r="AX97" s="213"/>
      <c r="BC97" s="213"/>
      <c r="BH97" s="213"/>
    </row>
    <row r="98" spans="1:60" x14ac:dyDescent="0.25">
      <c r="A98" s="168" t="str">
        <f>A59</f>
        <v>GRA Summer</v>
      </c>
      <c r="D98" s="167" t="s">
        <v>85</v>
      </c>
      <c r="H98" s="216">
        <f t="shared" si="193"/>
        <v>0.109</v>
      </c>
      <c r="I98" s="188"/>
      <c r="J98" s="320">
        <f>IF($AK$12="Yes",$H98*SUM(J59)*(1+$AK$5), $H98*SUM(J59))</f>
        <v>0</v>
      </c>
      <c r="L98" s="336">
        <v>0</v>
      </c>
      <c r="N98" s="320">
        <f>IF($AK$12="Yes",$H98*N59*(1+$AK$5)^2,$H98*N59*(1+$AK$5))</f>
        <v>0</v>
      </c>
      <c r="O98" s="320"/>
      <c r="P98" s="336">
        <v>0</v>
      </c>
      <c r="Q98" s="320"/>
      <c r="R98" s="320">
        <f>IF($AK$12="Yes",$H98*SUM(R59)*(1+$AK$5), $H98*SUM(R59))</f>
        <v>0</v>
      </c>
      <c r="S98" s="320"/>
      <c r="T98" s="336">
        <v>0</v>
      </c>
      <c r="U98" s="320"/>
      <c r="V98" s="320">
        <f>IF($AK$12="Yes",$H98*SUM(V59)*(1+$AK$5), $H98*SUM(V59))</f>
        <v>0</v>
      </c>
      <c r="W98" s="320"/>
      <c r="X98" s="336">
        <v>0</v>
      </c>
      <c r="Y98" s="320"/>
      <c r="Z98" s="320">
        <f>IF($AK$12="Yes",$H98*SUM(Z59)*(1+$AK$5), $H98*SUM(Z59))</f>
        <v>0</v>
      </c>
      <c r="AA98" s="320"/>
      <c r="AB98" s="336">
        <v>0</v>
      </c>
      <c r="AC98" s="320"/>
      <c r="AD98" s="320">
        <f t="shared" si="194"/>
        <v>0</v>
      </c>
      <c r="AE98" s="170"/>
      <c r="AF98" s="189">
        <f t="shared" si="195"/>
        <v>0</v>
      </c>
      <c r="AN98" s="213"/>
      <c r="AS98" s="213"/>
      <c r="AX98" s="213"/>
      <c r="BC98" s="213"/>
      <c r="BH98" s="213"/>
    </row>
    <row r="99" spans="1:60" x14ac:dyDescent="0.25">
      <c r="A99" s="168" t="str">
        <f>A61</f>
        <v>Hourly Student AY</v>
      </c>
      <c r="C99" s="167" t="str">
        <f>C60</f>
        <v>Undergraduate Research Assistant</v>
      </c>
      <c r="H99" s="216">
        <f t="shared" si="193"/>
        <v>2.9000000000000001E-2</v>
      </c>
      <c r="I99" s="188"/>
      <c r="J99" s="320">
        <f>IF($AK$12="Yes",$H99*SUM(J61)*(1+$AK$5), $H99*SUM(J61))</f>
        <v>0</v>
      </c>
      <c r="L99" s="336">
        <v>0</v>
      </c>
      <c r="N99" s="320">
        <f>IF($AK$12="Yes",$H99*N61*(1+$AK$5)^2,$H99*N61*(1+$AK$5))</f>
        <v>0</v>
      </c>
      <c r="O99" s="320"/>
      <c r="P99" s="336">
        <v>0</v>
      </c>
      <c r="Q99" s="320"/>
      <c r="R99" s="320">
        <f>IF($AK$12="Yes",$H99*SUM(R61)*(1+$AK$5), $H99*SUM(R61))</f>
        <v>0</v>
      </c>
      <c r="S99" s="320"/>
      <c r="T99" s="336">
        <v>0</v>
      </c>
      <c r="U99" s="320"/>
      <c r="V99" s="320">
        <f>IF($AK$12="Yes",$H99*SUM(V61)*(1+$AK$5), $H99*SUM(V61))</f>
        <v>0</v>
      </c>
      <c r="W99" s="320"/>
      <c r="X99" s="336">
        <v>0</v>
      </c>
      <c r="Y99" s="320"/>
      <c r="Z99" s="320">
        <f>IF($AK$12="Yes",$H99*SUM(Z61)*(1+$AK$5), $H99*SUM(Z61))</f>
        <v>0</v>
      </c>
      <c r="AA99" s="320"/>
      <c r="AB99" s="336">
        <v>0</v>
      </c>
      <c r="AC99" s="320"/>
      <c r="AD99" s="320">
        <f t="shared" si="194"/>
        <v>0</v>
      </c>
      <c r="AE99" s="170"/>
      <c r="AF99" s="189">
        <f t="shared" si="195"/>
        <v>0</v>
      </c>
      <c r="AN99" s="213"/>
      <c r="AS99" s="213"/>
      <c r="AX99" s="213"/>
      <c r="BC99" s="213"/>
      <c r="BH99" s="213"/>
    </row>
    <row r="100" spans="1:60" x14ac:dyDescent="0.25">
      <c r="A100" s="168" t="str">
        <f>A62</f>
        <v>Hourly Student Summer</v>
      </c>
      <c r="D100" s="167" t="s">
        <v>85</v>
      </c>
      <c r="H100" s="216">
        <f t="shared" si="193"/>
        <v>0.109</v>
      </c>
      <c r="I100" s="188"/>
      <c r="J100" s="320">
        <f>IF($AK$12="Yes",$H100*SUM(J62)*(1+$AK$5), $H100*SUM(J62))</f>
        <v>0</v>
      </c>
      <c r="L100" s="336">
        <v>0</v>
      </c>
      <c r="N100" s="320">
        <f>IF($AK$12="Yes",$H100*N62*(1+$AK$5)^2,$H100*N62*(1+$AK$5))</f>
        <v>0</v>
      </c>
      <c r="O100" s="320"/>
      <c r="P100" s="336">
        <v>0</v>
      </c>
      <c r="Q100" s="320"/>
      <c r="R100" s="320">
        <f>IF($AK$12="Yes",$H100*SUM(R62)*(1+$AK$5), $H100*SUM(R62))</f>
        <v>0</v>
      </c>
      <c r="S100" s="320"/>
      <c r="T100" s="336">
        <v>0</v>
      </c>
      <c r="U100" s="320"/>
      <c r="V100" s="320">
        <f>IF($AK$12="Yes",$H100*SUM(V62)*(1+$AK$5), $H100*SUM(V62))</f>
        <v>0</v>
      </c>
      <c r="W100" s="320"/>
      <c r="X100" s="336">
        <v>0</v>
      </c>
      <c r="Y100" s="320"/>
      <c r="Z100" s="320">
        <f>IF($AK$12="Yes",$H100*SUM(Z62)*(1+$AK$5), $H100*SUM(Z62))</f>
        <v>0</v>
      </c>
      <c r="AA100" s="320"/>
      <c r="AB100" s="336">
        <v>0</v>
      </c>
      <c r="AC100" s="320"/>
      <c r="AD100" s="320">
        <f t="shared" si="194"/>
        <v>0</v>
      </c>
      <c r="AE100" s="170"/>
      <c r="AF100" s="189">
        <f t="shared" si="195"/>
        <v>0</v>
      </c>
      <c r="AN100" s="213"/>
      <c r="AS100" s="213"/>
      <c r="AX100" s="213"/>
      <c r="BC100" s="213"/>
      <c r="BH100" s="213"/>
    </row>
    <row r="101" spans="1:60" x14ac:dyDescent="0.25">
      <c r="A101" s="168" t="str">
        <f>A64</f>
        <v>Hourly Student AY</v>
      </c>
      <c r="C101" s="167" t="str">
        <f>C63</f>
        <v>Undergraduate Research Assistant</v>
      </c>
      <c r="H101" s="216">
        <f t="shared" si="193"/>
        <v>2.9000000000000001E-2</v>
      </c>
      <c r="I101" s="188"/>
      <c r="J101" s="320">
        <f>IF($AK$12="Yes",$H101*SUM(J64)*(1+$AK$5), $H101*SUM(J64))</f>
        <v>0</v>
      </c>
      <c r="L101" s="336">
        <v>0</v>
      </c>
      <c r="N101" s="320">
        <f>IF($AK$12="Yes",$H101*N64*(1+$AK$5)^2,$H101*N64*(1+$AK$5))</f>
        <v>0</v>
      </c>
      <c r="O101" s="320"/>
      <c r="P101" s="336">
        <v>0</v>
      </c>
      <c r="Q101" s="320"/>
      <c r="R101" s="320">
        <f>IF($AK$12="Yes",$H101*SUM(R64)*(1+$AK$5), $H101*SUM(R64))</f>
        <v>0</v>
      </c>
      <c r="S101" s="320"/>
      <c r="T101" s="336">
        <v>0</v>
      </c>
      <c r="U101" s="320"/>
      <c r="V101" s="320">
        <f>IF($AK$12="Yes",$H101*SUM(V64)*(1+$AK$5), $H101*SUM(V64))</f>
        <v>0</v>
      </c>
      <c r="W101" s="320"/>
      <c r="X101" s="336">
        <v>0</v>
      </c>
      <c r="Y101" s="320"/>
      <c r="Z101" s="320">
        <f>IF($AK$12="Yes",$H101*SUM(Z64)*(1+$AK$5), $H101*SUM(Z64))</f>
        <v>0</v>
      </c>
      <c r="AA101" s="320"/>
      <c r="AB101" s="336">
        <v>0</v>
      </c>
      <c r="AC101" s="320"/>
      <c r="AD101" s="320">
        <f t="shared" si="194"/>
        <v>0</v>
      </c>
      <c r="AE101" s="170"/>
      <c r="AF101" s="189">
        <f t="shared" si="195"/>
        <v>0</v>
      </c>
      <c r="AN101" s="213"/>
      <c r="AS101" s="213"/>
      <c r="AX101" s="213"/>
      <c r="BC101" s="213"/>
      <c r="BH101" s="213"/>
    </row>
    <row r="102" spans="1:60" x14ac:dyDescent="0.25">
      <c r="A102" s="168" t="str">
        <f>A65</f>
        <v>Hourly Student Summer</v>
      </c>
      <c r="D102" s="167" t="s">
        <v>85</v>
      </c>
      <c r="H102" s="216">
        <f t="shared" si="193"/>
        <v>0.109</v>
      </c>
      <c r="I102" s="188"/>
      <c r="J102" s="320">
        <f>IF($AK$12="Yes",$H102*SUM(J65)*(1+$AK$5), $H102*SUM(J65))</f>
        <v>0</v>
      </c>
      <c r="L102" s="336">
        <v>0</v>
      </c>
      <c r="N102" s="320">
        <f>IF($AK$12="Yes",$H102*N65*(1+$AK$5)^2,$H102*N65*(1+$AK$5))</f>
        <v>0</v>
      </c>
      <c r="O102" s="320"/>
      <c r="P102" s="336">
        <v>0</v>
      </c>
      <c r="Q102" s="320"/>
      <c r="R102" s="320">
        <f>IF($AK$12="Yes",$H102*SUM(R65)*(1+$AK$5), $H102*SUM(R65))</f>
        <v>0</v>
      </c>
      <c r="S102" s="320"/>
      <c r="T102" s="336">
        <v>0</v>
      </c>
      <c r="U102" s="320"/>
      <c r="V102" s="320">
        <f>IF($AK$12="Yes",$H102*SUM(V65)*(1+$AK$5), $H102*SUM(V65))</f>
        <v>0</v>
      </c>
      <c r="W102" s="320"/>
      <c r="X102" s="336">
        <v>0</v>
      </c>
      <c r="Y102" s="320"/>
      <c r="Z102" s="320">
        <f>IF($AK$12="Yes",$H102*SUM(Z65)*(1+$AK$5), $H102*SUM(Z65))</f>
        <v>0</v>
      </c>
      <c r="AA102" s="320"/>
      <c r="AB102" s="336">
        <v>0</v>
      </c>
      <c r="AC102" s="320"/>
      <c r="AD102" s="320">
        <f t="shared" si="194"/>
        <v>0</v>
      </c>
      <c r="AE102" s="170"/>
      <c r="AF102" s="189">
        <f t="shared" si="195"/>
        <v>0</v>
      </c>
      <c r="AN102" s="213"/>
      <c r="AS102" s="213"/>
      <c r="AX102" s="213"/>
      <c r="BC102" s="213"/>
      <c r="BH102" s="213"/>
    </row>
    <row r="103" spans="1:60" x14ac:dyDescent="0.25">
      <c r="A103" s="168" t="str">
        <f>A67</f>
        <v>Hourly Student AY</v>
      </c>
      <c r="B103" s="187"/>
      <c r="C103" s="167" t="str">
        <f>C66</f>
        <v>Undergraduate Research Assistant</v>
      </c>
      <c r="H103" s="216">
        <f t="shared" si="193"/>
        <v>2.9000000000000001E-2</v>
      </c>
      <c r="I103" s="188"/>
      <c r="J103" s="320">
        <f>IF($AK$12="Yes",$H103*SUM(J67)*(1+$AK$5), $H103*SUM(J67))</f>
        <v>0</v>
      </c>
      <c r="K103" s="321"/>
      <c r="L103" s="336">
        <v>0</v>
      </c>
      <c r="M103" s="321"/>
      <c r="N103" s="320">
        <f>IF($AK$12="Yes",$H103*N67*(1+$AK$5)^2,$H103*N67*(1+$AK$5))</f>
        <v>0</v>
      </c>
      <c r="P103" s="336">
        <v>0</v>
      </c>
      <c r="R103" s="320">
        <f>IF($AK$12="Yes",$H103*SUM(R67)*(1+$AK$5)^3, $H103*SUM(R67)*(1+$AK$5)^2)</f>
        <v>0</v>
      </c>
      <c r="T103" s="336">
        <v>0</v>
      </c>
      <c r="V103" s="320">
        <f>IF($AK$12="Yes",$H$103*SUM(V67)*(1+$AK$5)^4, $H103*SUM(V67)*(1+$AK$5)^3)</f>
        <v>0</v>
      </c>
      <c r="X103" s="336">
        <v>0</v>
      </c>
      <c r="Z103" s="320">
        <f>IF($AK$12="Yes",$H103*SUM(Z67)*(1+$AK$5)^5, $H103*SUM(Z67)*(1+$AK$5)^4)</f>
        <v>0</v>
      </c>
      <c r="AB103" s="336">
        <v>0</v>
      </c>
      <c r="AD103" s="320">
        <f t="shared" si="194"/>
        <v>0</v>
      </c>
      <c r="AE103" s="170"/>
      <c r="AF103" s="189">
        <f t="shared" si="195"/>
        <v>0</v>
      </c>
      <c r="AN103" s="213"/>
      <c r="AS103" s="213"/>
      <c r="AX103" s="213"/>
      <c r="BC103" s="213"/>
      <c r="BH103" s="213"/>
    </row>
    <row r="104" spans="1:60" x14ac:dyDescent="0.25">
      <c r="A104" s="168" t="str">
        <f>A68</f>
        <v>Hourly Student Summer</v>
      </c>
      <c r="B104" s="187"/>
      <c r="D104" s="167" t="s">
        <v>85</v>
      </c>
      <c r="H104" s="216">
        <f t="shared" si="193"/>
        <v>0.109</v>
      </c>
      <c r="I104" s="188"/>
      <c r="J104" s="320">
        <f>IF($AK$12="Yes",$H104*SUM(J68)*(1+$AK$5), $H104*SUM(J68))</f>
        <v>0</v>
      </c>
      <c r="K104" s="321"/>
      <c r="L104" s="336">
        <v>0</v>
      </c>
      <c r="M104" s="321"/>
      <c r="N104" s="320">
        <f>IF($AK$12="Yes",$H104*N68*(1+$AK$5)^2,$H104*N68*(1+$AK$5))</f>
        <v>0</v>
      </c>
      <c r="P104" s="336">
        <v>0</v>
      </c>
      <c r="R104" s="320">
        <f>IF($AK$12="Yes",$H104*SUM(R68)*(1+$AK$5)^3, $H104*SUM(R68)*(1+$AK$5)^2)</f>
        <v>0</v>
      </c>
      <c r="T104" s="336">
        <v>0</v>
      </c>
      <c r="V104" s="320">
        <f>IF($AK$12="Yes",$H$104*SUM(V68)*(1+$AK$5)^4, $H104*SUM(V68)*(1+$AK$5)^3)</f>
        <v>0</v>
      </c>
      <c r="X104" s="336">
        <v>0</v>
      </c>
      <c r="Z104" s="320">
        <f>IF($AK$12="Yes",$H104*SUM(Z68)*(1+$AK$5)^5, $H104*SUM(Z68)*(1+$AK$5)^4)</f>
        <v>0</v>
      </c>
      <c r="AB104" s="336">
        <v>0</v>
      </c>
      <c r="AD104" s="320">
        <f t="shared" si="194"/>
        <v>0</v>
      </c>
      <c r="AE104" s="170"/>
      <c r="AF104" s="189">
        <f t="shared" si="195"/>
        <v>0</v>
      </c>
      <c r="AN104" s="213"/>
      <c r="AS104" s="213"/>
      <c r="AX104" s="213"/>
      <c r="BC104" s="213"/>
      <c r="BH104" s="213"/>
    </row>
    <row r="105" spans="1:60" ht="9" customHeight="1" x14ac:dyDescent="0.25">
      <c r="I105" s="188"/>
      <c r="J105" s="340"/>
      <c r="L105" s="341"/>
      <c r="N105" s="340"/>
      <c r="P105" s="341"/>
      <c r="R105" s="342"/>
      <c r="T105" s="343"/>
      <c r="V105" s="342"/>
      <c r="X105" s="343"/>
      <c r="Z105" s="342"/>
      <c r="AB105" s="343"/>
      <c r="AD105" s="340"/>
      <c r="AF105" s="212"/>
      <c r="AN105" s="213"/>
      <c r="AS105" s="213"/>
      <c r="AX105" s="213"/>
      <c r="BC105" s="213"/>
      <c r="BH105" s="213"/>
    </row>
    <row r="106" spans="1:60" x14ac:dyDescent="0.25">
      <c r="C106" s="167" t="s">
        <v>7</v>
      </c>
      <c r="J106" s="320">
        <f>SUM(J73:J104)</f>
        <v>0</v>
      </c>
      <c r="L106" s="336">
        <f>SUM(L73:L104)</f>
        <v>0</v>
      </c>
      <c r="N106" s="320">
        <f>SUM(N73:N104)</f>
        <v>0</v>
      </c>
      <c r="P106" s="336">
        <f>SUM(P73:P104)</f>
        <v>0</v>
      </c>
      <c r="R106" s="320">
        <f>SUM(R73:R104)</f>
        <v>0</v>
      </c>
      <c r="T106" s="336">
        <f>SUM(T73:T104)</f>
        <v>0</v>
      </c>
      <c r="V106" s="320">
        <f>SUM(V73:V104)</f>
        <v>0</v>
      </c>
      <c r="X106" s="336">
        <f>SUM(X73:X104)</f>
        <v>0</v>
      </c>
      <c r="Z106" s="320">
        <f>SUM(Z73:Z104)</f>
        <v>0</v>
      </c>
      <c r="AB106" s="336">
        <f>SUM(AB73:AB104)</f>
        <v>0</v>
      </c>
      <c r="AD106" s="320">
        <f>J106+N106+R106+V106+Z106</f>
        <v>0</v>
      </c>
      <c r="AE106" s="170"/>
      <c r="AF106" s="189">
        <f>L106+P106+T106+X106+AB106</f>
        <v>0</v>
      </c>
      <c r="AN106" s="213"/>
      <c r="AS106" s="213"/>
      <c r="AX106" s="213"/>
      <c r="BC106" s="213"/>
      <c r="BH106" s="213"/>
    </row>
    <row r="107" spans="1:60" x14ac:dyDescent="0.25">
      <c r="L107" s="336"/>
      <c r="P107" s="336"/>
      <c r="R107" s="320"/>
      <c r="T107" s="336"/>
      <c r="V107" s="320"/>
      <c r="X107" s="336"/>
      <c r="Z107" s="320"/>
      <c r="AB107" s="336"/>
      <c r="AE107" s="170"/>
      <c r="AF107" s="189"/>
      <c r="AN107" s="213"/>
      <c r="AS107" s="213"/>
      <c r="AX107" s="213"/>
      <c r="BC107" s="213"/>
      <c r="BH107" s="213"/>
    </row>
    <row r="108" spans="1:60" x14ac:dyDescent="0.25">
      <c r="B108" s="187" t="s">
        <v>19</v>
      </c>
      <c r="C108" s="187" t="s">
        <v>158</v>
      </c>
      <c r="H108" s="215" t="s">
        <v>31</v>
      </c>
      <c r="I108" s="188"/>
      <c r="L108" s="336"/>
      <c r="P108" s="336"/>
      <c r="T108" s="344"/>
      <c r="X108" s="344"/>
      <c r="AB108" s="344"/>
      <c r="AE108" s="170"/>
      <c r="AF108" s="189"/>
      <c r="AN108" s="213"/>
      <c r="AS108" s="213"/>
      <c r="AX108" s="213"/>
      <c r="BC108" s="213"/>
      <c r="BH108" s="213"/>
    </row>
    <row r="109" spans="1:60" x14ac:dyDescent="0.25">
      <c r="A109" s="168" t="str">
        <f>A18</f>
        <v>Faculty, Academic Year</v>
      </c>
      <c r="B109" s="187"/>
      <c r="C109" s="167" t="str">
        <f>C17</f>
        <v xml:space="preserve">PI: </v>
      </c>
      <c r="H109" s="217">
        <f>VLOOKUP(A109, $D$319:$H$333, 4, FALSE)</f>
        <v>1080</v>
      </c>
      <c r="I109" s="188"/>
      <c r="J109" s="320">
        <f>IF($AI18=$D$390, "Manual", IF($AK$11="Yes", IF($A109="Faculty, Academic Year",IF($AL$18="AY",$H109*AP18*(1+$AK$8),0),($H109*AP18*(1+$AK$8))), IF($A109="Faculty, Academic Year",IF($AL$18="AY",$H109*AP18,0),($H109*AP18))))</f>
        <v>0</v>
      </c>
      <c r="L109" s="336">
        <v>0</v>
      </c>
      <c r="M109" s="321"/>
      <c r="N109" s="320">
        <f>IF(AI18="Yes", "Manual", IF($AK$11="Yes", IF($A109="Faculty, Academic Year",IF($AL$18="AY",$H109*AU18*(1+$AK$8)^2,0),($H109*AU18*(1+$AK$8)^2)), IF($A109="Faculty, Academic Year",IF($AL$18="AY",$H109*AU18*(1+$AK$8),0),($H109*AU18*(1+$AK$8)))))</f>
        <v>0</v>
      </c>
      <c r="O109" s="320"/>
      <c r="P109" s="336">
        <v>0</v>
      </c>
      <c r="R109" s="320">
        <f>IF(AI18="Yes", "Manual", IF($AK$11="Yes", IF($A109="Faculty, Academic Year",IF($AL$18="AY",$H109*AZ18*(1+$AK$8)^3,0),($H109*AZ18*(1+$AK$8)^3)), IF($A109="Faculty, Academic Year",IF($AL$18="AY",$H109*AZ18*(1+$AK$8)^2,0),($H109*AZ18*(1+$AK$8)^2))))</f>
        <v>0</v>
      </c>
      <c r="S109" s="320"/>
      <c r="T109" s="336">
        <v>0</v>
      </c>
      <c r="V109" s="320">
        <f>IF(AI18="Yes", "Manual", IF($AK$11="Yes", IF($A109="Faculty, Academic Year",IF($AL$18="AY",$H109*BE18*(1+$AK$8)^4,0),($H109*BE18*(1+$AK$8)^4)), IF($A109="Faculty, Academic Year",IF($AL$18="AY",$H109*BE18*(1+$AK$8)^3,0),($H109*BE18*(1+$AK$8)^3))))</f>
        <v>0</v>
      </c>
      <c r="W109" s="320"/>
      <c r="X109" s="336">
        <v>0</v>
      </c>
      <c r="Y109" s="320"/>
      <c r="Z109" s="320">
        <f>IF(AI18="Yes", "Manual", IF($AK$11="Yes", IF($A109="Faculty, Academic Year",IF($AL$18="AY",$H109*BJ18*(1+$AK$8)^5,0),($H109*BJ18*(1+$AK$8)^5)), IF($A109="Faculty, Academic Year",IF($AL$18="AY",$H109*BJ18*(1+$AK$8)^4,0),($H109*BJ18*(1+$AK$8)^4))))</f>
        <v>0</v>
      </c>
      <c r="AA109" s="320"/>
      <c r="AB109" s="336">
        <v>0</v>
      </c>
      <c r="AD109" s="320">
        <f t="shared" ref="AD109:AD132" si="196">J109+N109+R109+V109+Z109</f>
        <v>0</v>
      </c>
      <c r="AE109" s="170"/>
      <c r="AF109" s="189">
        <f t="shared" ref="AF109:AF133" si="197">L109+P109+T109+X109+AB109</f>
        <v>0</v>
      </c>
      <c r="AN109" s="213"/>
      <c r="AS109" s="213"/>
      <c r="AX109" s="213"/>
      <c r="BC109" s="213"/>
      <c r="BH109" s="213"/>
    </row>
    <row r="110" spans="1:60" x14ac:dyDescent="0.25">
      <c r="A110" s="168" t="str">
        <f>A19</f>
        <v>Faculty, Academic Year</v>
      </c>
      <c r="B110" s="187"/>
      <c r="D110" s="167" t="s">
        <v>85</v>
      </c>
      <c r="H110" s="217">
        <f t="shared" ref="H110:H133" si="198">VLOOKUP(A110, $D$319:$H$333, 4, FALSE)</f>
        <v>1080</v>
      </c>
      <c r="I110" s="188"/>
      <c r="J110" s="320">
        <f>IF($AI19=$D$390, "Manual", IF($AK$11="Yes", IF($A110="Faculty, Academic Year",IF($AL$19="AY",$H110*AP19*(1+$AK$8),0),($H110*AP19*(1+$AK$8))), IF($A110="Faculty, Academic Year",IF($AL$19="AY",$H110*AP19,0),($H110*AP19))))</f>
        <v>0</v>
      </c>
      <c r="L110" s="336">
        <v>0</v>
      </c>
      <c r="M110" s="321"/>
      <c r="N110" s="320">
        <f>IF(AI19="Yes", "Manual", IF($AK$11="Yes", IF($A110="Faculty, Academic Year",IF($AL$19="AY",$H110*AU19*(1+$AK$8)^2,0),($H110*AU19*(1+$AK$8)^2)), IF($A110="Faculty, Academic Year",IF($AL$19="AY",$H110*AU19*(1+$AK$8),0),($H110*AU19*(1+$AK$8)))))</f>
        <v>0</v>
      </c>
      <c r="O110" s="320"/>
      <c r="P110" s="336">
        <v>0</v>
      </c>
      <c r="R110" s="320">
        <f>IF(AI19="Yes", "Manual", IF($AK$11="Yes", IF($A110="Faculty, Academic Year",IF($AL$19="AY",$H110*AZ19*(1+$AK$8)^3,0),($H110*AZ19*(1+$AK$8)^3)), IF($A110="Faculty, Academic Year",IF($AL$19="AY",$H110*AZ19*(1+$AK$8)^2,0),($H110*AZ19*(1+$AK$8)^2))))</f>
        <v>0</v>
      </c>
      <c r="S110" s="320"/>
      <c r="T110" s="336">
        <v>0</v>
      </c>
      <c r="V110" s="320">
        <f>IF(AI19="Yes", "Manual", IF($AK$11="Yes", IF($A110="Faculty, Academic Year",IF($AL$19="AY",$H110*BE19*(1+$AK$8)^4,0),($H110*BE19*(1+$AK$8)^4)), IF($A110="Faculty, Academic Year",IF($AL$19="AY",$H110*BE19*(1+$AK$8)^3,0),($H110*BE19*(1+$AK$8)^3))))</f>
        <v>0</v>
      </c>
      <c r="W110" s="320"/>
      <c r="X110" s="336">
        <v>0</v>
      </c>
      <c r="Y110" s="320"/>
      <c r="Z110" s="320">
        <f>IF(AI19="Yes", "Manual", IF($AK$11="Yes", IF($A110="Faculty, Academic Year",IF($AL$19="AY",$H110*BJ19*(1+$AK$8)^5,0),($H110*BJ19*(1+$AK$8)^5)), IF($A110="Faculty, Academic Year",IF($AL$19="AY",$H110*BJ19*(1+$AK$8)^4,0),($H110*BJ19*(1+$AK$8)^4))))</f>
        <v>0</v>
      </c>
      <c r="AA110" s="320"/>
      <c r="AB110" s="336">
        <v>0</v>
      </c>
      <c r="AD110" s="320">
        <f t="shared" si="196"/>
        <v>0</v>
      </c>
      <c r="AE110" s="170"/>
      <c r="AF110" s="189">
        <f t="shared" si="197"/>
        <v>0</v>
      </c>
      <c r="AN110" s="213"/>
      <c r="AS110" s="213"/>
      <c r="AX110" s="213"/>
      <c r="BC110" s="213"/>
      <c r="BH110" s="213"/>
    </row>
    <row r="111" spans="1:60" x14ac:dyDescent="0.25">
      <c r="A111" s="168" t="str">
        <f>A21</f>
        <v>Faculty, Academic Year</v>
      </c>
      <c r="B111" s="187"/>
      <c r="C111" s="167" t="str">
        <f>C20</f>
        <v xml:space="preserve">Co-PI: </v>
      </c>
      <c r="H111" s="217">
        <f t="shared" si="198"/>
        <v>1080</v>
      </c>
      <c r="I111" s="188"/>
      <c r="J111" s="320">
        <f>IF($AI21=$D$390, "Manual", IF($AK$11="Yes", IF($A111="Faculty, Academic Year",IF($AL$21="AY",$H111*AP21*(1+$AK$8),0),($H111*AP21*(1+$AK$8))), IF($A111="Faculty, Academic Year",IF($AL$21="AY",$H111*AP21,0),($H111*AP21))))</f>
        <v>0</v>
      </c>
      <c r="L111" s="336">
        <v>0</v>
      </c>
      <c r="M111" s="321"/>
      <c r="N111" s="320">
        <f>IF(AI21="Yes", "Manual", IF($AK$11="Yes", IF($A111="Faculty, Academic Year",IF($AL$21="AY",$H111*AU21*(1+$AK$8)^2,0),($H111*AU21*(1+$AK$8)^2)), IF($A111="Faculty, Academic Year",IF($AL$21="AY",$H111*AU21*(1+$AK$8),0),($H111*AU21*(1+$AK$8)))))</f>
        <v>0</v>
      </c>
      <c r="O111" s="320"/>
      <c r="P111" s="336">
        <v>0</v>
      </c>
      <c r="R111" s="320">
        <f>IF(AI21="Yes", "Manual", IF($AK$11="Yes", IF($A111="Faculty, Academic Year",IF($AL$21="AY",$H111*AZ21*(1+$AK$8)^3,0),($H111*AZ21*(1+$AK$8)^3)), IF($A111="Faculty, Academic Year",IF($AL$21="AY",$H111*AZ21*(1+$AK$8)^2,0),($H111*AZ21*(1+$AK$8)^2))))</f>
        <v>0</v>
      </c>
      <c r="S111" s="320"/>
      <c r="T111" s="336">
        <v>0</v>
      </c>
      <c r="V111" s="320">
        <f>IF(AI21="Yes", "Manual", IF($AK$11="Yes", IF($A111="Faculty, Academic Year",IF($AL$21="AY",$H111*BE21*(1+$AK$8)^4,0),($H111*BE21*(1+$AK$8)^4)), IF($A111="Faculty, Academic Year",IF($AL$21="AY",$H111*BE21*(1+$AK$8)^3,0),($H111*BE21*(1+$AK$8)^3))))</f>
        <v>0</v>
      </c>
      <c r="W111" s="320"/>
      <c r="X111" s="336">
        <v>0</v>
      </c>
      <c r="Y111" s="320"/>
      <c r="Z111" s="320">
        <f>IF(AI21="Yes", "Manual", IF($AK$11="Yes", IF($A111="Faculty, Academic Year",IF($AL$21="AY",$H111*BJ21*(1+$AK$8)^5,0),($H111*BJ21*(1+$AK$8)^5)), IF($A111="Faculty, Academic Year",IF($AL$21="AY",$H111*BJ21*(1+$AK$8)^4,0),($H111*BJ21*(1+$AK$8)^4))))</f>
        <v>0</v>
      </c>
      <c r="AA111" s="320"/>
      <c r="AB111" s="336">
        <v>0</v>
      </c>
      <c r="AD111" s="320">
        <f t="shared" si="196"/>
        <v>0</v>
      </c>
      <c r="AE111" s="170"/>
      <c r="AF111" s="189">
        <f t="shared" si="197"/>
        <v>0</v>
      </c>
      <c r="AN111" s="213"/>
      <c r="AS111" s="213"/>
      <c r="AX111" s="213"/>
      <c r="BC111" s="213"/>
      <c r="BH111" s="213"/>
    </row>
    <row r="112" spans="1:60" x14ac:dyDescent="0.25">
      <c r="A112" s="168" t="str">
        <f>A22</f>
        <v>Faculty, Academic Year</v>
      </c>
      <c r="B112" s="187"/>
      <c r="D112" s="167" t="s">
        <v>85</v>
      </c>
      <c r="H112" s="217">
        <f t="shared" si="198"/>
        <v>1080</v>
      </c>
      <c r="I112" s="188"/>
      <c r="J112" s="320">
        <f>IF($AI22=$D$390, "Manual", IF($AK$11="Yes", IF($A112="Faculty, Academic Year",IF($AL$22="AY",$H112*AP22*(1+$AK$8),0),($H112*AP22*(1+$AK$8))), IF($A112="Faculty, Academic Year",IF($AL$22="AY",$H112*AP22,0),($H112*AP22))))</f>
        <v>0</v>
      </c>
      <c r="L112" s="336">
        <v>0</v>
      </c>
      <c r="N112" s="320">
        <f>IF(AI22="Yes", "Manual", IF($AK$11="Yes", IF($A112="Faculty, Academic Year",IF($AL$22="AY",$H112*AU22*(1+$AK$8)^2,0),($H112*AU22*(1+$AK$8)^2)), IF($A112="Faculty, Academic Year",IF($AL$22="AY",$H112*AU22*(1+$AK$8),0),($H112*AU22*(1+$AK$8)))))</f>
        <v>0</v>
      </c>
      <c r="O112" s="320"/>
      <c r="P112" s="336">
        <v>0</v>
      </c>
      <c r="Q112" s="320"/>
      <c r="R112" s="320">
        <f>IF(AI22="Yes", "Manual", IF($AK$11="Yes", IF($A112="Faculty, Academic Year",IF($AL$22="AY",$H112*AZ21*(1+$AK$8)^3,0),($H112*AZ22*(1+$AK$8)^3)), IF($A112="Faculty, Academic Year",IF($AL$22="AY",$H112*AZ22*(1+$AK$8)^2,0),($H112*AZ22*(1+$AK$8)^2))))</f>
        <v>0</v>
      </c>
      <c r="S112" s="320"/>
      <c r="T112" s="336">
        <v>0</v>
      </c>
      <c r="U112" s="320"/>
      <c r="V112" s="320">
        <f>IF(AI22="Yes", "Manual", IF($AK$11="Yes", IF($A112="Faculty, Academic Year",IF($AL$22="AY",$H112*BE22*(1+$AK$8)^4,0),($H112*BE22*(1+$AK$8)^4)), IF($A112="Faculty, Academic Year",IF($AL$22="AY",$H112*BE22*(1+$AK$8)^3,0),($H112*BE22*(1+$AK$8)^3))))</f>
        <v>0</v>
      </c>
      <c r="W112" s="320"/>
      <c r="X112" s="336">
        <v>0</v>
      </c>
      <c r="Y112" s="320"/>
      <c r="Z112" s="320">
        <f>IF(AI22="Yes", "Manual", IF($AK$11="Yes", IF($A112="Faculty, Academic Year",IF($AL$22="AY",$H112*BJ22*(1+$AK$8)^5,0),($H112*BJ22*(1+$AK$8)^5)), IF($A112="Faculty, Academic Year",IF($AL$22="AY",$H112*BJ22*(1+$AK$8)^4,0),($H112*BJ22*(1+$AK$8)^4))))</f>
        <v>0</v>
      </c>
      <c r="AA112" s="320"/>
      <c r="AB112" s="336">
        <v>0</v>
      </c>
      <c r="AD112" s="320">
        <f t="shared" si="196"/>
        <v>0</v>
      </c>
      <c r="AE112" s="170"/>
      <c r="AF112" s="189">
        <f t="shared" si="197"/>
        <v>0</v>
      </c>
      <c r="AN112" s="213"/>
      <c r="AS112" s="213"/>
      <c r="AX112" s="213"/>
      <c r="BC112" s="213"/>
      <c r="BH112" s="213"/>
    </row>
    <row r="113" spans="1:60" x14ac:dyDescent="0.25">
      <c r="A113" s="168" t="str">
        <f>A24</f>
        <v>Faculty, Academic Year</v>
      </c>
      <c r="B113" s="187"/>
      <c r="C113" s="167" t="str">
        <f>C23</f>
        <v xml:space="preserve">Co-PI: </v>
      </c>
      <c r="H113" s="217">
        <f t="shared" si="198"/>
        <v>1080</v>
      </c>
      <c r="I113" s="188"/>
      <c r="J113" s="320">
        <f>IF($AI24=$D$390, "Manual", IF($AK$11="Yes", IF($A113="Faculty, Academic Year",IF($AL$24="AY",$H113*AP24*(1+$AK$8),0),($H113*AP24*(1+$AK$8))), IF($A113="Faculty, Academic Year",IF($AL$24="AY",$H113*AP24,0),($H113*AP24))))</f>
        <v>0</v>
      </c>
      <c r="L113" s="336">
        <v>0</v>
      </c>
      <c r="N113" s="320">
        <f>IF(AI24="Yes", "Manual", IF($AK$11="Yes", IF($A113="Faculty, Academic Year",IF($AL$24="AY",$H113*AU24*(1+$AK$8)^2,0),($H113*AU24*(1+$AK$8)^2)), IF($A113="Faculty, Academic Year",IF($AL$24="AY",$H113*AU24*(1+$AK$8),0),($H113*AU24*(1+$AK$8)))))</f>
        <v>0</v>
      </c>
      <c r="O113" s="320"/>
      <c r="P113" s="336">
        <v>0</v>
      </c>
      <c r="Q113" s="320"/>
      <c r="R113" s="320">
        <f>IF(AI24="Yes", "Manual", IF($AK$11="Yes", IF($A113="Faculty, Academic Year",IF($AL$24="AY",$H113*AZ24*(1+$AK$8)^3,0),($H113*AZ24*(1+$AK$8)^3)), IF($A113="Faculty, Academic Year",IF($AL$24="AY",$H113*AZ24*(1+$AK$8)^2,0),($H113*AZ24*(1+$AK$8)^2))))</f>
        <v>0</v>
      </c>
      <c r="S113" s="320"/>
      <c r="T113" s="336">
        <v>0</v>
      </c>
      <c r="U113" s="320"/>
      <c r="V113" s="320">
        <f>IF(AI24="Yes", "Manual", IF($AK$11="Yes", IF($A113="Faculty, Academic Year",IF($AL$24="AY",$H113*BE24*(1+$AK$8)^4,0),($H113*BE24*(1+$AK$8)^4)), IF($A113="Faculty, Academic Year",IF($AL$24="AY",$H113*BE24*(1+$AK$8)^3,0),($H113*BE24*(1+$AK$8)^3))))</f>
        <v>0</v>
      </c>
      <c r="W113" s="320"/>
      <c r="X113" s="336">
        <v>0</v>
      </c>
      <c r="Y113" s="320"/>
      <c r="Z113" s="320">
        <f>IF(AI24="Yes", "Manual", IF($AK$11="Yes", IF($A113="Faculty, Academic Year",IF($AL$24="AY",$H113*BJ24*(1+$AK$8)^5,0),($H113*BJ24*(1+$AK$8)^5)), IF($A113="Faculty, Academic Year",IF($AL$24="AY",$H113*BJ24*(1+$AK$8)^4,0),($H113*BJ24*(1+$AK$8)^4))))</f>
        <v>0</v>
      </c>
      <c r="AA113" s="320"/>
      <c r="AB113" s="336">
        <v>0</v>
      </c>
      <c r="AD113" s="320">
        <f t="shared" si="196"/>
        <v>0</v>
      </c>
      <c r="AE113" s="170"/>
      <c r="AF113" s="189">
        <f t="shared" si="197"/>
        <v>0</v>
      </c>
      <c r="AN113" s="213"/>
      <c r="AS113" s="213"/>
      <c r="AX113" s="213"/>
      <c r="BC113" s="213"/>
      <c r="BH113" s="213"/>
    </row>
    <row r="114" spans="1:60" x14ac:dyDescent="0.25">
      <c r="A114" s="168" t="str">
        <f t="shared" ref="A114" si="199">A25</f>
        <v>Faculty, Academic Year</v>
      </c>
      <c r="B114" s="187"/>
      <c r="D114" s="167" t="s">
        <v>85</v>
      </c>
      <c r="H114" s="217">
        <f t="shared" si="198"/>
        <v>1080</v>
      </c>
      <c r="I114" s="188"/>
      <c r="J114" s="320">
        <f>IF($AI25=$D$390, "Manual", IF($AK$11="Yes", IF($A114="Faculty, Academic Year",IF($AL$25="AY",$H114*AP25*(1+$AK$8),0),($H114*AP25*(1+$AK$8))), IF($A114="Faculty, Academic Year",IF($AL$25="AY",$H114*AP25,0),($H114*AP25))))</f>
        <v>0</v>
      </c>
      <c r="L114" s="336">
        <v>0</v>
      </c>
      <c r="N114" s="320">
        <f>IF(AI25="Yes", "Manual", IF($AK$11="Yes", IF($A114="Faculty, Academic Year",IF($AL$25="AY",$H114*AU25*(1+$AK$8)^2,0),($H114*AU25*(1+$AK$8)^2)), IF($A114="Faculty, Academic Year",IF($AL$25="AY",$H114*AU25*(1+$AK$8),0),($H114*AU25*(1+$AK$8)))))</f>
        <v>0</v>
      </c>
      <c r="O114" s="320"/>
      <c r="P114" s="336">
        <v>0</v>
      </c>
      <c r="Q114" s="320"/>
      <c r="R114" s="320">
        <f>IF(AI25="Yes", "Manual", IF($AK$11="Yes", IF($A114="Faculty, Academic Year",IF($AL$25="AY",$H114*AZ25*(1+$AK$8)^3,0),($H114*AZ25*(1+$AK$8)^3)), IF($A114="Faculty, Academic Year",IF($AL$25="AY",$H114*AZ25*(1+$AK$8)^2,0),($H114*AZ25*(1+$AK$8)^2))))</f>
        <v>0</v>
      </c>
      <c r="S114" s="320"/>
      <c r="T114" s="336">
        <v>0</v>
      </c>
      <c r="U114" s="320"/>
      <c r="V114" s="320">
        <f>IF(AI25="Yes", "Manual", IF($AK$11="Yes", IF($A114="Faculty, Academic Year",IF($AL$25="AY",$H114*BE25*(1+$AK$8)^4,0),($H114*BE25*(1+$AK$8)^4)), IF($A114="Faculty, Academic Year",IF($AL$25="AY",$H114*BE25*(1+$AK$8)^3,0),($H114*BE25*(1+$AK$8)^3))))</f>
        <v>0</v>
      </c>
      <c r="W114" s="320"/>
      <c r="X114" s="336">
        <v>0</v>
      </c>
      <c r="Y114" s="320"/>
      <c r="Z114" s="320">
        <f>IF(AI25="Yes", "Manual", IF($AK$11="Yes", IF($A114="Faculty, Academic Year",IF($AL$25="AY",$H114*BJ25*(1+$AK$8)^5,0),($H114*BJ25*(1+$AK$8)^5)), IF($A114="Faculty, Academic Year",IF($AL$25="AY",$H114*BJ25*(1+$AK$8)^4,0),($H114*BJ25*(1+$AK$8)^4))))</f>
        <v>0</v>
      </c>
      <c r="AA114" s="320"/>
      <c r="AB114" s="336">
        <v>0</v>
      </c>
      <c r="AD114" s="320">
        <f t="shared" si="196"/>
        <v>0</v>
      </c>
      <c r="AE114" s="170"/>
      <c r="AF114" s="189">
        <f t="shared" si="197"/>
        <v>0</v>
      </c>
      <c r="AN114" s="213"/>
      <c r="AS114" s="213"/>
      <c r="AX114" s="213"/>
      <c r="BC114" s="213"/>
      <c r="BH114" s="213"/>
    </row>
    <row r="115" spans="1:60" x14ac:dyDescent="0.25">
      <c r="A115" s="168" t="str">
        <f>A27</f>
        <v>Faculty, Academic Year</v>
      </c>
      <c r="B115" s="187"/>
      <c r="C115" s="167" t="str">
        <f>C26</f>
        <v xml:space="preserve">Co-PI: </v>
      </c>
      <c r="H115" s="217">
        <f t="shared" si="198"/>
        <v>1080</v>
      </c>
      <c r="I115" s="188"/>
      <c r="J115" s="320">
        <f>IF($AI27=$D$390, "Manual", IF($AK$11="Yes", IF($A115="Faculty, Academic Year",IF($AL$27="AY",$H115*AP27*(1+$AK$8),0),($H115*AP27*(1+$AK$8))), IF($A115="Faculty, Academic Year",IF($AL$27="AY",$H115*AP27,0),($H115*AP27))))</f>
        <v>0</v>
      </c>
      <c r="L115" s="336">
        <v>0</v>
      </c>
      <c r="N115" s="320">
        <f>IF(AI27="Yes", "Manual", IF($AK$11="Yes", IF($A115="Faculty, Academic Year",IF($AL$27="AY",$H115*AU27*(1+$AK$8)^2,0),($H115*AU27*(1+$AK$8)^2)), IF($A115="Faculty, Academic Year",IF($AL$27="AY",$H115*AU27*(1+$AK$8),0),($H115*AU27*(1+$AK$8)))))</f>
        <v>0</v>
      </c>
      <c r="O115" s="320"/>
      <c r="P115" s="336">
        <v>0</v>
      </c>
      <c r="Q115" s="320"/>
      <c r="R115" s="320">
        <f>IF(AI27="Yes", "Manual", IF($AK$11="Yes", IF($A115="Faculty, Academic Year",IF($AL$27="AY",$H115*AZ27*(1+$AK$8)^3,0),($H115*AZ27*(1+$AK$8)^3)), IF($A115="Faculty, Academic Year",IF($AL$27="AY",$H115*AZ27*(1+$AK$8)^2,0),($H115*AZ27*(1+$AK$8)^2))))</f>
        <v>0</v>
      </c>
      <c r="S115" s="320"/>
      <c r="T115" s="336">
        <v>0</v>
      </c>
      <c r="U115" s="320"/>
      <c r="V115" s="320">
        <f>IF(AI27="Yes", "Manual", IF($AK$11="Yes", IF($A115="Faculty, Academic Year",IF($AL$27="AY",$H115*BE27*(1+$AK$8)^4,0),($H115*BE27*(1+$AK$8)^4)), IF($A115="Faculty, Academic Year",IF($AL$27="AY",$H115*BE27*(1+$AK$8)^3,0),($H115*BE27*(1+$AK$8)^3))))</f>
        <v>0</v>
      </c>
      <c r="W115" s="320"/>
      <c r="X115" s="336">
        <v>0</v>
      </c>
      <c r="Y115" s="320"/>
      <c r="Z115" s="320">
        <f>IF(AI27="Yes", "Manual", IF($AK$11="Yes", IF($A115="Faculty, Academic Year",IF($AL$27="AY",$H115*BJ27*(1+$AK$8)^5,0),($H115*BJ27*(1+$AK$8)^5)), IF($A115="Faculty, Academic Year",IF($AL$27="AY",$H115*BJ27*(1+$AK$8)^4,0),($H115*BJ27*(1+$AK$8)^4))))</f>
        <v>0</v>
      </c>
      <c r="AA115" s="320"/>
      <c r="AB115" s="336">
        <v>0</v>
      </c>
      <c r="AD115" s="320">
        <f t="shared" si="196"/>
        <v>0</v>
      </c>
      <c r="AE115" s="170"/>
      <c r="AF115" s="189">
        <f t="shared" si="197"/>
        <v>0</v>
      </c>
      <c r="AN115" s="213"/>
      <c r="AS115" s="213"/>
      <c r="AX115" s="213"/>
      <c r="BC115" s="213"/>
      <c r="BH115" s="213"/>
    </row>
    <row r="116" spans="1:60" x14ac:dyDescent="0.25">
      <c r="A116" s="168" t="str">
        <f>A28</f>
        <v>Faculty, Academic Year</v>
      </c>
      <c r="B116" s="187"/>
      <c r="D116" s="167" t="s">
        <v>85</v>
      </c>
      <c r="H116" s="217">
        <f t="shared" si="198"/>
        <v>1080</v>
      </c>
      <c r="I116" s="188"/>
      <c r="J116" s="320">
        <f>IF($AI28=$D$390, "Manual", IF($AK$11="Yes", IF($A116="Faculty, Academic Year",IF($AL$28="AY",$H116*AP28*(1+$AK$8),0),($H116*AP28*(1+$AK$8))), IF($A116="Faculty, Academic Year",IF($AL$28="AY",$H116*AP28,0),($H116*AP28))))</f>
        <v>0</v>
      </c>
      <c r="L116" s="336">
        <v>0</v>
      </c>
      <c r="N116" s="320">
        <f>IF(AI28="Yes", "Manual", IF($AK$11="Yes", IF($A116="Faculty, Academic Year",IF($AL$28="AY",$H116*AU28*(1+$AK$8)^2,0),($H116*AU28*(1+$AK$8)^2)), IF($A116="Faculty, Academic Year",IF($AL$28="AY",$H116*AU28*(1+$AK$8),0),($H116*AU28*(1+$AK$8)))))</f>
        <v>0</v>
      </c>
      <c r="O116" s="320"/>
      <c r="P116" s="336">
        <v>0</v>
      </c>
      <c r="Q116" s="320"/>
      <c r="R116" s="320">
        <f>IF(AI28="Yes", "Manual", IF($AK$11="Yes", IF($A116="Faculty, Academic Year",IF($AL$28="AY",$H116*AZ28*(1+$AK$8)^3,0),($H116*AZ28*(1+$AK$8)^3)), IF($A116="Faculty, Academic Year",IF($AL$28="AY",$H116*AZ28*(1+$AK$8)^2,0),($H116*AZ28*(1+$AK$8)^2))))</f>
        <v>0</v>
      </c>
      <c r="S116" s="320"/>
      <c r="T116" s="336">
        <v>0</v>
      </c>
      <c r="U116" s="320"/>
      <c r="V116" s="320">
        <f>IF(AI28="Yes", "Manual", IF($AK$11="Yes", IF($A116="Faculty, Academic Year",IF($AL$28="AY",$H116*BE28*(1+$AK$8)^4,0),($H116*BE25*(1+$AK$8)^4)), IF($A116="Faculty, Academic Year",IF($AL$28="AY",$H116*BE28*(1+$AK$8)^3,0),($H116*BE28*(1+$AK$8)^3))))</f>
        <v>0</v>
      </c>
      <c r="W116" s="320"/>
      <c r="X116" s="336">
        <v>0</v>
      </c>
      <c r="Y116" s="320"/>
      <c r="Z116" s="320">
        <f>IF(AI28="Yes", "Manual", IF($AK$11="Yes", IF($A116="Faculty, Academic Year",IF($AL$28="AY",$H116*BJ28*(1+$AK$8)^5,0),($H116*BJ28*(1+$AK$8)^5)), IF($A116="Faculty, Academic Year",IF($AL$28="AY",$H116*BJ28*(1+$AK$8)^4,0),($H116*BJ28*(1+$AK$8)^4))))</f>
        <v>0</v>
      </c>
      <c r="AA116" s="320"/>
      <c r="AB116" s="336">
        <v>0</v>
      </c>
      <c r="AD116" s="320">
        <f t="shared" si="196"/>
        <v>0</v>
      </c>
      <c r="AE116" s="170"/>
      <c r="AF116" s="189">
        <f t="shared" si="197"/>
        <v>0</v>
      </c>
      <c r="AN116" s="213"/>
      <c r="AS116" s="213"/>
      <c r="AX116" s="213"/>
      <c r="BC116" s="213"/>
      <c r="BH116" s="213"/>
    </row>
    <row r="117" spans="1:60" x14ac:dyDescent="0.25">
      <c r="A117" s="168" t="str">
        <f>A30</f>
        <v>Faculty, Academic Year</v>
      </c>
      <c r="B117" s="187"/>
      <c r="C117" s="167" t="str">
        <f>C29</f>
        <v xml:space="preserve">Co-PI: </v>
      </c>
      <c r="H117" s="217">
        <f t="shared" si="198"/>
        <v>1080</v>
      </c>
      <c r="I117" s="188"/>
      <c r="J117" s="320">
        <f>IF($AI30=$D$390, "Manual", IF($AK$11="Yes", IF($A117="Faculty, Academic Year",IF($AL$30="AY",$H117*AP30*(1+$AK$8),0),($H117*AP30*(1+$AK$8))), IF($A117="Faculty, Academic Year",IF($AL$30="AY",$H117*AP30,0),($H117*AP30))))</f>
        <v>0</v>
      </c>
      <c r="L117" s="336">
        <v>0</v>
      </c>
      <c r="N117" s="320">
        <f>IF(AI30="Yes", "Manual", IF($AK$11="Yes", IF($A117="Faculty, Academic Year",IF($AL$30="AY",$H117*AU30*(1+$AK$8)^2,0),($H117*AU30*(1+$AK$8)^2)), IF($A117="Faculty, Academic Year",IF($AL$30="AY",$H117*AU30*(1+$AK$8),0),($H117*AU30*(1+$AK$8)))))</f>
        <v>0</v>
      </c>
      <c r="O117" s="320"/>
      <c r="P117" s="336">
        <v>0</v>
      </c>
      <c r="Q117" s="320"/>
      <c r="R117" s="320">
        <f>IF(AI30="Yes", "Manual", IF($AK$11="Yes", IF($A117="Faculty, Academic Year",IF($AL$30="AY",$H117*AZ30*(1+$AK$8)^3,0),($H117*AZ30*(1+$AK$8)^3)), IF($A117="Faculty, Academic Year",IF($AL$30="AY",$H117*AZ30*(1+$AK$8)^2,0),($H117*AZ30*(1+$AK$8)^2))))</f>
        <v>0</v>
      </c>
      <c r="S117" s="320"/>
      <c r="T117" s="336">
        <v>0</v>
      </c>
      <c r="U117" s="320"/>
      <c r="V117" s="320">
        <f>IF(AI30="Yes", "Manual", IF($AK$11="Yes", IF($A117="Faculty, Academic Year",IF($AL$30="AY",$H117*BE30*(1+$AK$8)^4,0),($H117*BE30*(1+$AK$8)^4)), IF($A117="Faculty, Academic Year",IF($AL$30="AY",$H117*BE30*(1+$AK$8)^3,0),($H117*BE30*(1+$AK$8)^3))))</f>
        <v>0</v>
      </c>
      <c r="W117" s="320"/>
      <c r="X117" s="336">
        <v>0</v>
      </c>
      <c r="Y117" s="320"/>
      <c r="Z117" s="320">
        <f>IF(AI30="Yes", "Manual", IF($AK$11="Yes", IF($A117="Faculty, Academic Year",IF($AL$30="AY",$H117*BJ30*(1+$AK$8)^5,0),($H117*BJ30*(1+$AK$8)^5)), IF($A117="Faculty, Academic Year",IF($AL$30="AY",$H117*BJ30*(1+$AK$8)^4,0),($H117*BJ30*(1+$AK$8)^4))))</f>
        <v>0</v>
      </c>
      <c r="AA117" s="320"/>
      <c r="AB117" s="336">
        <v>0</v>
      </c>
      <c r="AD117" s="320">
        <f t="shared" si="196"/>
        <v>0</v>
      </c>
      <c r="AE117" s="170"/>
      <c r="AF117" s="189">
        <f t="shared" si="197"/>
        <v>0</v>
      </c>
      <c r="AN117" s="213"/>
      <c r="AS117" s="213"/>
      <c r="AX117" s="213"/>
      <c r="BC117" s="213"/>
      <c r="BH117" s="213"/>
    </row>
    <row r="118" spans="1:60" x14ac:dyDescent="0.25">
      <c r="A118" s="168" t="str">
        <f>A31</f>
        <v>Faculty, Academic Year</v>
      </c>
      <c r="B118" s="187"/>
      <c r="D118" s="167" t="s">
        <v>85</v>
      </c>
      <c r="H118" s="217">
        <f t="shared" si="198"/>
        <v>1080</v>
      </c>
      <c r="I118" s="188"/>
      <c r="J118" s="320">
        <f>IF($AI31=$D$390, "Manual", IF($AK$11="Yes", IF($A118="Faculty, Academic Year",IF($AL$31="AY",$H118*AP31*(1+$AK$8),0),($H118*AP31*(1+$AK$8))), IF($A118="Faculty, Academic Year",IF($AL$31="AY",$H118*AP31,0),($H118*AP31))))</f>
        <v>0</v>
      </c>
      <c r="L118" s="336">
        <v>0</v>
      </c>
      <c r="N118" s="320">
        <f>IF(AI31="Yes", "Manual", IF($AK$11="Yes", IF($A118="Faculty, Academic Year",IF($AL$31="AY",$H118*AU31*(1+$AK$8)^2,0),($H118*AU31*(1+$AK$8)^2)), IF($A118="Faculty, Academic Year",IF($AL$31="AY",$H118*AU31*(1+$AK$8),0),($H118*AU31*(1+$AK$8)))))</f>
        <v>0</v>
      </c>
      <c r="O118" s="320"/>
      <c r="P118" s="336">
        <v>0</v>
      </c>
      <c r="Q118" s="320"/>
      <c r="R118" s="320">
        <f>IF(AI31="Yes", "Manual", IF($AK$11="Yes", IF($A118="Faculty, Academic Year",IF($AL$31="AY",$H118*AZ31*(1+$AK$8)^3,0),($H118*AZ31*(1+$AK$8)^3)), IF($A118="Faculty, Academic Year",IF($AL$31="AY",$H118*AZ31*(1+$AK$8)^2,0),($H118*AZ31*(1+$AK$8)^2))))</f>
        <v>0</v>
      </c>
      <c r="S118" s="320"/>
      <c r="T118" s="336">
        <v>0</v>
      </c>
      <c r="U118" s="320"/>
      <c r="V118" s="320">
        <f>IF(AI31="Yes", "Manual", IF($AK$11="Yes", IF($A118="Faculty, Academic Year",IF($AL$31="AY",$H118*BE31*(1+$AK$8)^4,0),($H118*BE31*(1+$AK$8)^4)), IF($A118="Faculty, Academic Year",IF($AL$31="AY",$H118*BE31*(1+$AK$8)^3,0),($H118*BE31*(1+$AK$8)^3))))</f>
        <v>0</v>
      </c>
      <c r="W118" s="320"/>
      <c r="X118" s="336">
        <v>0</v>
      </c>
      <c r="Y118" s="320"/>
      <c r="Z118" s="320">
        <f>IF(AI31="Yes", "Manual", IF($AK$11="Yes", IF($A118="Faculty, Academic Year",IF($AL$31="AY",$H118*BJ31*(1+$AK$8)^5,0),($H118*BJ31*(1+$AK$8)^5)), IF($A118="Faculty, Academic Year",IF($AL$31="AY",$H118*BJ31*(1+$AK$8)^4,0),($H118*BJ31*(1+$AK$8)^4))))</f>
        <v>0</v>
      </c>
      <c r="AA118" s="320"/>
      <c r="AB118" s="336">
        <v>0</v>
      </c>
      <c r="AD118" s="320">
        <f t="shared" si="196"/>
        <v>0</v>
      </c>
      <c r="AE118" s="170"/>
      <c r="AF118" s="189">
        <f t="shared" si="197"/>
        <v>0</v>
      </c>
      <c r="AN118" s="213"/>
      <c r="AS118" s="213"/>
      <c r="AX118" s="213"/>
      <c r="BC118" s="213"/>
      <c r="BH118" s="213"/>
    </row>
    <row r="119" spans="1:60" x14ac:dyDescent="0.25">
      <c r="A119" s="168" t="str">
        <f>A33</f>
        <v>Research Associate LOA</v>
      </c>
      <c r="B119" s="187"/>
      <c r="C119" s="167" t="str">
        <f>C32</f>
        <v>Research Associate:</v>
      </c>
      <c r="H119" s="217">
        <f t="shared" si="198"/>
        <v>1080</v>
      </c>
      <c r="I119" s="188"/>
      <c r="J119" s="320">
        <f>IF($AI33=$D$390, "Manual", IF($AK$11="Yes", IF($A119="Faculty, Academic Year",IF($AL$33="AY",$H119*AP33*(1+$AK$8),0),($H119*AP33*(1+$AK$8))), IF($A119="Faculty, Academic Year",IF($AL$33="AY",$H119*AP33,0),($H119*AP33))))</f>
        <v>0</v>
      </c>
      <c r="L119" s="336">
        <v>0</v>
      </c>
      <c r="M119" s="321"/>
      <c r="N119" s="320">
        <f>IF(AI33="Yes", "Manual", IF($AK$11="Yes", IF($A119="Faculty, Academic Year",IF($AL$33="AY",$H119*AU33*(1+$AK$8)^2,0),($H119*AU33*(1+$AK$8)^2)), IF($A119="Faculty, Academic Year",IF($AL$33="AY",$H119*AU33*(1+$AK$8),0),($H119*AU33*(1+$AK$8)))))</f>
        <v>0</v>
      </c>
      <c r="O119" s="320"/>
      <c r="P119" s="336">
        <v>0</v>
      </c>
      <c r="R119" s="320">
        <f>IF(AI33="Yes", "Manual", IF($AK$11="Yes", IF($A119="Faculty, Academic Year",IF($AL$33="AY",$H119*AZ33*(1+$AK$8)^3,0),($H119*AZ33*(1+$AK$8)^3)), IF($A119="Faculty, Academic Year",IF($AL$33="AY",$H119*AZ33*(1+$AK$8)^2,0),($H119*AZ33*(1+$AK$8)^2))))</f>
        <v>0</v>
      </c>
      <c r="S119" s="320"/>
      <c r="T119" s="336">
        <v>0</v>
      </c>
      <c r="V119" s="320">
        <f>IF(AI33="Yes", "Manual", IF($AK$11="Yes", IF($A119="Faculty, Academic Year",IF($AL$33="AY",$H119*BE33*(1+$AK$8)^4,0),($H119*BE33*(1+$AK$8)^4)), IF($A119="Faculty, Academic Year",IF($AL$33="AY",$H119*BE33*(1+$AK$8)^3,0),($H119*BE33*(1+$AK$8)^3))))</f>
        <v>0</v>
      </c>
      <c r="W119" s="320"/>
      <c r="X119" s="336">
        <v>0</v>
      </c>
      <c r="Y119" s="320"/>
      <c r="Z119" s="320">
        <f>IF(AI33="Yes", "Manual", IF($AK$11="Yes", IF($A119="Faculty, Academic Year",IF($AL$33="AY",$H119*BJ33*(1+$AK$8)^5,0),($H119*BJ33*(1+$AK$8)^5)), IF($A119="Faculty, Academic Year",IF($AL$33="AY",$H119*BJ33*(1+$AK$8)^4,0),($H119*BJ33*(1+$AK$8)^4))))</f>
        <v>0</v>
      </c>
      <c r="AA119" s="320"/>
      <c r="AB119" s="336">
        <v>0</v>
      </c>
      <c r="AD119" s="320">
        <f t="shared" si="196"/>
        <v>0</v>
      </c>
      <c r="AE119" s="170"/>
      <c r="AF119" s="189">
        <f t="shared" si="197"/>
        <v>0</v>
      </c>
      <c r="AN119" s="213"/>
      <c r="AS119" s="213"/>
      <c r="AX119" s="213"/>
      <c r="BC119" s="213"/>
      <c r="BH119" s="213"/>
    </row>
    <row r="120" spans="1:60" x14ac:dyDescent="0.25">
      <c r="A120" s="168" t="str">
        <f>A35</f>
        <v>Research Associate LOA</v>
      </c>
      <c r="B120" s="187"/>
      <c r="C120" s="167" t="str">
        <f>C34</f>
        <v>Research Associate:</v>
      </c>
      <c r="H120" s="217">
        <f t="shared" si="198"/>
        <v>1080</v>
      </c>
      <c r="I120" s="188"/>
      <c r="J120" s="320">
        <f>IF($AI35=$D$390, "Manual", IF($AK$11="Yes", IF($A120="Faculty, Academic Year",IF($AL$35="AY",$H120*AP35*(1+$AK$8),0),($H120*AP35*(1+$AK$8))), IF($A120="Faculty, Academic Year",IF($AL$35="AY",$H120*AP35,0),($H120*AP35))))</f>
        <v>0</v>
      </c>
      <c r="L120" s="336">
        <v>0</v>
      </c>
      <c r="M120" s="321"/>
      <c r="N120" s="320">
        <f>IF(AI35="Yes", "Manual", IF($AK$11="Yes", IF($A120="Faculty, Academic Year",IF($AL$35="AY",$H120*AU35*(1+$AK$8)^2,0),($H120*AU35*(1+$AK$8)^2)), IF($A120="Faculty, Academic Year",IF($AL$35="AY",$H120*AU35*(1+$AK$8),0),($H120*AU35*(1+$AK$8)))))</f>
        <v>0</v>
      </c>
      <c r="O120" s="320"/>
      <c r="P120" s="336">
        <v>0</v>
      </c>
      <c r="R120" s="320">
        <f>IF(AI35="Yes", "Manual", IF($AK$11="Yes", IF($A120="Faculty, Academic Year",IF($AL$35="AY",$H120*AZ35*(1+$AK$8)^3,0),($H120*AZ35*(1+$AK$8)^3)), IF($A120="Faculty, Academic Year",IF($AL$35="AY",$H120*AZ35*(1+$AK$8)^2,0),($H120*AZ35*(1+$AK$8)^2))))</f>
        <v>0</v>
      </c>
      <c r="S120" s="320"/>
      <c r="T120" s="336">
        <v>0</v>
      </c>
      <c r="V120" s="320">
        <f>IF(AI35="Yes", "Manual", IF($AK$11="Yes", IF($A120="Faculty, Academic Year",IF($AL$35="AY",$H120*BE35*(1+$AK$8)^4,0),($H120*BE35*(1+$AK$8)^4)), IF($A120="Faculty, Academic Year",IF($AL$35="AY",$H120*BE35*(1+$AK$8)^3,0),($H120*BE35*(1+$AK$8)^3))))</f>
        <v>0</v>
      </c>
      <c r="W120" s="320"/>
      <c r="X120" s="336">
        <f>IF(AI29="Yes", 0, IF($AK$11="Yes", IF($A120="Faculty, Academic Year",IF($AL$18="AY",$H120*(X29/$AJ29*$AK29)*(1+$AK$8)^4,0),($H120*(X29/$AJ29*$AK29)*(1+$AK$8)^4)), IF($A120="Faculty, Academic Year",IF($AL$18="AY",$H120*(X29/$AJ29*$AK29)*(1+$AK$8)^3,0),($H120*(X29/$AJ29*$AK29)*(1+$AK$8)^3))))</f>
        <v>0</v>
      </c>
      <c r="Y120" s="320"/>
      <c r="Z120" s="320">
        <f>IF(AI35="Yes", "Manual", IF($AK$11="Yes", IF($A120="Faculty, Academic Year",IF($AL$35="AY",$H120*BJ35*(1+$AK$8)^5,0),($H120*BJ35*(1+$AK$8)^5)), IF($A120="Faculty, Academic Year",IF($AL$35="AY",$H120*BJ35*(1+$AK$8)^4,0),($H120*BJ35*(1+$AK$8)^4))))</f>
        <v>0</v>
      </c>
      <c r="AA120" s="320"/>
      <c r="AB120" s="336">
        <v>0</v>
      </c>
      <c r="AD120" s="320">
        <f t="shared" si="196"/>
        <v>0</v>
      </c>
      <c r="AE120" s="170"/>
      <c r="AF120" s="189">
        <f t="shared" si="197"/>
        <v>0</v>
      </c>
      <c r="AN120" s="213"/>
      <c r="AS120" s="213"/>
      <c r="AX120" s="213"/>
      <c r="BC120" s="213"/>
      <c r="BH120" s="213"/>
    </row>
    <row r="121" spans="1:60" x14ac:dyDescent="0.25">
      <c r="A121" s="168" t="str">
        <f>A37</f>
        <v>Research Associate LOA</v>
      </c>
      <c r="B121" s="187"/>
      <c r="C121" s="167" t="str">
        <f>C36</f>
        <v>Research Associate:</v>
      </c>
      <c r="H121" s="217">
        <f t="shared" si="198"/>
        <v>1080</v>
      </c>
      <c r="I121" s="188"/>
      <c r="J121" s="320">
        <f>IF($AI37=$D$390, "Manual", IF($AK$11="Yes", IF($A121="Faculty, Academic Year",IF($AL$37="AY",$H121*AP37*(1+$AK$8),0),($H121*AP37*(1+$AK$8))), IF($A121="Faculty, Academic Year",IF($AL$37="AY",$H121*AP37,0),($H121*AP37))))</f>
        <v>0</v>
      </c>
      <c r="L121" s="336">
        <v>0</v>
      </c>
      <c r="M121" s="321"/>
      <c r="N121" s="320">
        <f>IF(AI37="Yes", "Manual", IF($AK$11="Yes", IF($A121="Faculty, Academic Year",IF($AL$37="AY",$H121*AU37*(1+$AK$8)^2,0),($H121*AU37*(1+$AK$8)^2)), IF($A121="Faculty, Academic Year",IF($AL$37="AY",$H121*AU37*(1+$AK$8),0),($H121*AU37*(1+$AK$8)))))</f>
        <v>0</v>
      </c>
      <c r="O121" s="320"/>
      <c r="P121" s="336">
        <v>0</v>
      </c>
      <c r="R121" s="320">
        <f>IF(AI37="Yes", "Manual", IF($AK$11="Yes", IF($A121="Faculty, Academic Year",IF($AL$37="AY",$H121*AZ37*(1+$AK$8)^3,0),($H121*AZ37*(1+$AK$8)^3)), IF($A121="Faculty, Academic Year",IF($AL$37="AY",$H121*AZ37*(1+$AK$8)^2,0),($H121*AZ37*(1+$AK$8)^2))))</f>
        <v>0</v>
      </c>
      <c r="S121" s="320"/>
      <c r="T121" s="336">
        <v>0</v>
      </c>
      <c r="V121" s="320">
        <f>IF(AI37="Yes", "Manual", IF($AK$11="Yes", IF($A121="Faculty, Academic Year",IF($AL$37="AY",$H121*BE37*(1+$AK$8)^4,0),($H121*BE37*(1+$AK$8)^4)), IF($A121="Faculty, Academic Year",IF($AL$37="AY",$H121*BE37*(1+$AK$8)^3,0),($H121*BE37*(1+$AK$8)^3))))</f>
        <v>0</v>
      </c>
      <c r="W121" s="320"/>
      <c r="X121" s="336">
        <v>0</v>
      </c>
      <c r="Y121" s="320"/>
      <c r="Z121" s="320">
        <f>IF(AI37="Yes", "Manual", IF($AK$11="Yes", IF($A121="Faculty, Academic Year",IF($AL$37="AY",$H121*BJ37*(1+$AK$8)^5,0),($H121*BJ37*(1+$AK$8)^5)), IF($A121="Faculty, Academic Year",IF($AL$37="AY",$H121*BJ37*(1+$AK$8)^4,0),($H121*BJ37*(1+$AK$8)^4))))</f>
        <v>0</v>
      </c>
      <c r="AA121" s="320"/>
      <c r="AB121" s="336">
        <v>0</v>
      </c>
      <c r="AD121" s="320">
        <f t="shared" si="196"/>
        <v>0</v>
      </c>
      <c r="AE121" s="170"/>
      <c r="AF121" s="189">
        <f t="shared" si="197"/>
        <v>0</v>
      </c>
      <c r="AN121" s="213"/>
      <c r="AS121" s="213"/>
      <c r="AX121" s="213"/>
      <c r="BC121" s="213"/>
      <c r="BH121" s="213"/>
    </row>
    <row r="122" spans="1:60" x14ac:dyDescent="0.25">
      <c r="A122" s="168" t="str">
        <f>A39</f>
        <v>Senior Personnel LOA</v>
      </c>
      <c r="B122" s="187"/>
      <c r="C122" s="167" t="str">
        <f>C38</f>
        <v>Senior Personnel:</v>
      </c>
      <c r="H122" s="217">
        <f t="shared" si="198"/>
        <v>1080</v>
      </c>
      <c r="I122" s="188"/>
      <c r="J122" s="320">
        <f>IF($AI39=$D$390, "Manual", IF($AK$11="Yes", IF($A122="Faculty, Academic Year",IF($AL$39="AY",$H122*AP39*(1+$AK$8),0),($H122*AP39*(1+$AK$8))), IF($A122="Faculty, Academic Year",IF($AL$39="AY",$H122*AP39,0),($H122*AP39))))</f>
        <v>0</v>
      </c>
      <c r="L122" s="336">
        <v>0</v>
      </c>
      <c r="M122" s="321"/>
      <c r="N122" s="320">
        <f>IF(AI39="Yes", "Manual", IF($AK$11="Yes", IF($A122="Faculty, Academic Year",IF($AL$39="AY",$H122*AU39*(1+$AK$8)^2,0),($H122*AU39*(1+$AK$8)^2)), IF($A122="Faculty, Academic Year",IF($AL$39="AY",$H122*AU39*(1+$AK$8),0),($H122*AU39*(1+$AK$8)))))</f>
        <v>0</v>
      </c>
      <c r="O122" s="320"/>
      <c r="P122" s="336">
        <v>0</v>
      </c>
      <c r="R122" s="320">
        <f>IF(AI39="Yes", "Manual", IF($AK$11="Yes", IF($A122="Faculty, Academic Year",IF($AL$39="AY",$H122*AZ39*(1+$AK$8)^3,0),($H122*AZ39*(1+$AK$8)^3)), IF($A122="Faculty, Academic Year",IF($AL$39="AY",$H122*AZ39*(1+$AK$8)^2,0),($H122*AZ39*(1+$AK$8)^2))))</f>
        <v>0</v>
      </c>
      <c r="S122" s="320"/>
      <c r="T122" s="336">
        <v>0</v>
      </c>
      <c r="V122" s="320">
        <f>IF(AI39="Yes", "Manual", IF($AK$11="Yes", IF($A122="Faculty, Academic Year",IF($AL$39="AY",$H122*BE39*(1+$AK$8)^4,0),($H122*BE39*(1+$AK$8)^4)), IF($A122="Faculty, Academic Year",IF($AL$39="AY",$H122*BE39*(1+$AK$8)^3,0),($H122*BE39*(1+$AK$8)^3))))</f>
        <v>0</v>
      </c>
      <c r="W122" s="320"/>
      <c r="X122" s="336">
        <v>0</v>
      </c>
      <c r="Y122" s="320"/>
      <c r="Z122" s="320">
        <f>IF(AI39="Yes", "Manual", IF($AK$11="Yes", IF($A122="Faculty, Academic Year",IF($AL$39="AY",$H122*BJ39*(1+$AK$8)^5,0),($H122*BJ39*(1+$AK$8)^5)), IF($A122="Faculty, Academic Year",IF($AL$39="AY",$H122*BJ39*(1+$AK$8)^4,0),($H122*BJ39*(1+$AK$8)^4))))</f>
        <v>0</v>
      </c>
      <c r="AA122" s="320"/>
      <c r="AB122" s="336">
        <v>0</v>
      </c>
      <c r="AD122" s="320">
        <f t="shared" si="196"/>
        <v>0</v>
      </c>
      <c r="AE122" s="170"/>
      <c r="AF122" s="189">
        <f t="shared" si="197"/>
        <v>0</v>
      </c>
      <c r="AN122" s="213"/>
      <c r="AS122" s="213"/>
      <c r="AX122" s="213"/>
      <c r="BC122" s="213"/>
      <c r="BH122" s="213"/>
    </row>
    <row r="123" spans="1:60" x14ac:dyDescent="0.25">
      <c r="A123" s="168" t="str">
        <f>A41</f>
        <v>Senior Personnel LOA</v>
      </c>
      <c r="B123" s="187"/>
      <c r="C123" s="167" t="str">
        <f>C40</f>
        <v>Senior Personnel:</v>
      </c>
      <c r="H123" s="217">
        <f t="shared" si="198"/>
        <v>1080</v>
      </c>
      <c r="I123" s="188"/>
      <c r="J123" s="320">
        <f>IF($AI41=$D$390, "Manual", IF($AK$11="Yes", IF($A123="Faculty, Academic Year",IF($AL$41="AY",$H123*AP41*(1+$AK$8),0),($H123*AP41*(1+$AK$8))), IF($A123="Faculty, Academic Year",IF($AL$41="AY",$H123*AP41,0),($H123*AP41))))</f>
        <v>0</v>
      </c>
      <c r="L123" s="336">
        <v>0</v>
      </c>
      <c r="M123" s="321"/>
      <c r="N123" s="320">
        <f>IF(AI41="Yes", "Manual", IF($AK$11="Yes", IF($A123="Faculty, Academic Year",IF($AL$41="AY",$H123*AU41*(1+$AK$8)^2,0),($H123*AU41*(1+$AK$8)^2)), IF($A123="Faculty, Academic Year",IF($AL$41="AY",$H123*AU41*(1+$AK$8),0),($H123*AU41*(1+$AK$8)))))</f>
        <v>0</v>
      </c>
      <c r="O123" s="320"/>
      <c r="P123" s="336">
        <v>0</v>
      </c>
      <c r="R123" s="320">
        <f>IF(AI41="Yes", "Manual", IF($AK$11="Yes", IF($A123="Faculty, Academic Year",IF($AL$41="AY",$H123*AZ41*(1+$AK$8)^3,0),($H123*AZ41*(1+$AK$8)^3)), IF($A123="Faculty, Academic Year",IF($AL$41="AY",$H123*AZ41*(1+$AK$8)^2,0),($H123*AZ41*(1+$AK$8)^2))))</f>
        <v>0</v>
      </c>
      <c r="S123" s="320"/>
      <c r="T123" s="336">
        <v>0</v>
      </c>
      <c r="V123" s="320">
        <f>IF(AI41="Yes", "Manual", IF($AK$11="Yes", IF($A123="Faculty, Academic Year",IF($AL$41="AY",$H123*BE41*(1+$AK$8)^4,0),($H123*BE41*(1+$AK$8)^4)), IF($A123="Faculty, Academic Year",IF($AL$41="AY",$H123*BE41*(1+$AK$8)^3,0),($H123*BE41*(1+$AK$8)^3))))</f>
        <v>0</v>
      </c>
      <c r="W123" s="320"/>
      <c r="X123" s="336">
        <v>0</v>
      </c>
      <c r="Y123" s="320"/>
      <c r="Z123" s="320">
        <f>IF(AI41="Yes", "Manual", IF($AK$11="Yes", IF($A123="Faculty, Academic Year",IF($AL$41="AY",$H123*BJ41*(1+$AK$8)^5,0),($H123*BJ41*(1+$AK$8)^5)), IF($A123="Faculty, Academic Year",IF($AL$41="AY",$H123*BJ41*(1+$AK$8)^4,0),($H123*BJ41*(1+$AK$8)^4))))</f>
        <v>0</v>
      </c>
      <c r="AA123" s="320"/>
      <c r="AB123" s="336">
        <v>0</v>
      </c>
      <c r="AD123" s="320">
        <f t="shared" si="196"/>
        <v>0</v>
      </c>
      <c r="AE123" s="170"/>
      <c r="AF123" s="189">
        <f t="shared" si="197"/>
        <v>0</v>
      </c>
      <c r="AN123" s="213"/>
      <c r="AS123" s="213"/>
      <c r="AX123" s="213"/>
      <c r="BC123" s="213"/>
      <c r="BH123" s="213"/>
    </row>
    <row r="124" spans="1:60" x14ac:dyDescent="0.25">
      <c r="A124" s="168" t="str">
        <f>A43</f>
        <v>Senior Personnel LOA</v>
      </c>
      <c r="C124" s="167" t="str">
        <f>C42</f>
        <v>Senior Personnel:</v>
      </c>
      <c r="H124" s="217">
        <f t="shared" si="198"/>
        <v>1080</v>
      </c>
      <c r="I124" s="188"/>
      <c r="J124" s="320">
        <f>IF($AI43=$D$390, "Manual", IF($AK$11="Yes", IF($A124="Faculty, Academic Year",IF($AL$43="AY",$H124*AP43*(1+$AK$8),0),($H124*AP43*(1+$AK$8))), IF($A124="Faculty, Academic Year",IF($AL$43="AY",$H124*AP43,0),($H124*AP43))))</f>
        <v>0</v>
      </c>
      <c r="L124" s="336">
        <v>0</v>
      </c>
      <c r="M124" s="321"/>
      <c r="N124" s="320">
        <f>IF(AI43="Yes", "Manual", IF($AK$11="Yes", IF($A124="Faculty, Academic Year",IF($AL$43="AY",$H124*AU43*(1+$AK$8)^2,0),($H124*AU43*(1+$AK$8)^2)), IF($A124="Faculty, Academic Year",IF($AL$43="AY",$H124*AU43*(1+$AK$8),0),($H124*AU43*(1+$AK$8)))))</f>
        <v>0</v>
      </c>
      <c r="O124" s="320"/>
      <c r="P124" s="336">
        <v>0</v>
      </c>
      <c r="R124" s="320">
        <f>IF(AI43="Yes", "Manual", IF($AK$11="Yes", IF($A124="Faculty, Academic Year",IF($AL$43="AY",$H124*AZ43*(1+$AK$8)^3,0),($H124*AZ43*(1+$AK$8)^3)), IF($A124="Faculty, Academic Year",IF($AL$43="AY",$H124*AZ43*(1+$AK$8)^2,0),($H124*AZ43*(1+$AK$8)^2))))</f>
        <v>0</v>
      </c>
      <c r="S124" s="320"/>
      <c r="T124" s="336">
        <v>0</v>
      </c>
      <c r="V124" s="320">
        <f>IF(AI43="Yes", "Manual", IF($AK$11="Yes", IF($A124="Faculty, Academic Year",IF($AL$43="AY",$H124*BE43*(1+$AK$8)^4,0),($H124*BE43*(1+$AK$8)^4)), IF($A124="Faculty, Academic Year",IF($AL$43="AY",$H124*BE43*(1+$AK$8)^3,0),($H124*BE43*(1+$AK$8)^3))))</f>
        <v>0</v>
      </c>
      <c r="W124" s="320"/>
      <c r="X124" s="336">
        <v>0</v>
      </c>
      <c r="Y124" s="320"/>
      <c r="Z124" s="320">
        <f>IF(AI43="Yes", "Manual", IF($AK$11="Yes", IF($A124="Faculty, Academic Year",IF($AL$43="AY",$H124*BJ43*(1+$AK$8)^5,0),($H124*BJ43*(1+$AK$8)^5)), IF($A124="Faculty, Academic Year",IF($AL$43="AY",$H124*BJ43*(1+$AK$8)^4,0),($H124*BJ43*(1+$AK$8)^4))))</f>
        <v>0</v>
      </c>
      <c r="AA124" s="320"/>
      <c r="AB124" s="336">
        <v>0</v>
      </c>
      <c r="AD124" s="320">
        <f t="shared" si="196"/>
        <v>0</v>
      </c>
      <c r="AE124" s="170"/>
      <c r="AF124" s="189">
        <f t="shared" si="197"/>
        <v>0</v>
      </c>
      <c r="AN124" s="213"/>
      <c r="AS124" s="213"/>
      <c r="AX124" s="213"/>
      <c r="BC124" s="213"/>
      <c r="BH124" s="213"/>
    </row>
    <row r="125" spans="1:60" x14ac:dyDescent="0.25">
      <c r="A125" s="168" t="str">
        <f>A45</f>
        <v>Classified Staff</v>
      </c>
      <c r="B125" s="187"/>
      <c r="C125" s="167" t="str">
        <f>C44</f>
        <v>Administrative Assistant:</v>
      </c>
      <c r="H125" s="217">
        <f t="shared" si="198"/>
        <v>1080</v>
      </c>
      <c r="I125" s="188"/>
      <c r="J125" s="320">
        <f>IF($AI45=$D$390, "Manual", IF($AK$11="Yes", IF($A125="Faculty, Academic Year",IF($AL$45="AY",$H125*AP45*(1+$AK$8),0),($H125*AP45*(1+$AK$8))), IF($A125="Faculty, Academic Year",IF($AL$45="AY",$H125*AP45,0),($H125*AP45))))</f>
        <v>0</v>
      </c>
      <c r="L125" s="336">
        <v>0</v>
      </c>
      <c r="M125" s="321"/>
      <c r="N125" s="320">
        <f>IF(AI45="Yes", "Manual", IF($AK$11="Yes", IF($A125="Faculty, Academic Year",IF($AL$45="AY",$H125*AU45*(1+$AK$8)^2,0),($H125*AU45*(1+$AK$8)^2)), IF($A125="Faculty, Academic Year",IF($AL$45="AY",$H125*AU45*(1+$AK$8),0),($H125*AU45*(1+$AK$8)))))</f>
        <v>0</v>
      </c>
      <c r="O125" s="320"/>
      <c r="P125" s="336">
        <v>0</v>
      </c>
      <c r="R125" s="320">
        <f>IF(AI45="Yes", "Manual", IF($AK$11="Yes", IF($A125="Faculty, Academic Year",IF($AL$45="AY",$H125*AZ45*(1+$AK$8)^3,0),($H125*AZ45*(1+$AK$8)^3)), IF($A125="Faculty, Academic Year",IF($AL$45="AY",$H125*AZ45*(1+$AK$8)^2,0),($H125*AZ45*(1+$AK$8)^2))))</f>
        <v>0</v>
      </c>
      <c r="S125" s="320"/>
      <c r="T125" s="336">
        <v>0</v>
      </c>
      <c r="V125" s="320">
        <f>IF(AI45="Yes", "Manual", IF($AK$11="Yes", IF($A125="Faculty, Academic Year",IF($AL$45="AY",$H125*BE45*(1+$AK$8)^4,0),($H125*BE45*(1+$AK$8)^4)), IF($A125="Faculty, Academic Year",IF($AL$45="AY",$H125*BE45*(1+$AK$8)^3,0),($H125*BE45*(1+$AK$8)^3))))</f>
        <v>0</v>
      </c>
      <c r="W125" s="320"/>
      <c r="X125" s="336">
        <v>0</v>
      </c>
      <c r="Y125" s="320"/>
      <c r="Z125" s="320">
        <f>IF(AI45="Yes", "Manual", IF($AK$11="Yes", IF($A125="Faculty, Academic Year",IF($AL$45="AY",$H125*BJ45*(1+$AK$8)^5,0),($H125*BJ45*(1+$AK$8)^5)), IF($A125="Faculty, Academic Year",IF($AL$45="AY",$H125*BJ45*(1+$AK$8)^4,0),($H125*BJ45*(1+$AK$8)^4))))</f>
        <v>0</v>
      </c>
      <c r="AA125" s="320"/>
      <c r="AB125" s="336">
        <v>0</v>
      </c>
      <c r="AD125" s="320">
        <f t="shared" si="196"/>
        <v>0</v>
      </c>
      <c r="AE125" s="170"/>
      <c r="AF125" s="189">
        <f t="shared" si="197"/>
        <v>0</v>
      </c>
      <c r="AN125" s="213"/>
      <c r="AS125" s="213"/>
      <c r="AX125" s="213"/>
      <c r="BC125" s="213"/>
      <c r="BH125" s="213"/>
    </row>
    <row r="126" spans="1:60" x14ac:dyDescent="0.25">
      <c r="A126" s="168" t="str">
        <f>A47</f>
        <v>Classified Staff</v>
      </c>
      <c r="B126" s="187"/>
      <c r="C126" s="167" t="str">
        <f>C46</f>
        <v>Administrative Assistant:</v>
      </c>
      <c r="H126" s="217">
        <f t="shared" si="198"/>
        <v>1080</v>
      </c>
      <c r="I126" s="188"/>
      <c r="J126" s="320">
        <f>IF($AI47=$D$390, "Manual", IF($AK$11="Yes", IF($A126="Faculty, Academic Year",IF($AL$47="AY",$H126*AP47*(1+$AK$8),0),($H126*AP47*(1+$AK$8))), IF($A126="Faculty, Academic Year",IF($AL$47="AY",$H126*AP47,0),($H126*AP47))))</f>
        <v>0</v>
      </c>
      <c r="L126" s="336">
        <v>0</v>
      </c>
      <c r="M126" s="321"/>
      <c r="N126" s="320">
        <f>IF(AI47="Yes", "Manual", IF($AK$11="Yes", IF($A126="Faculty, Academic Year",IF($AL$47="AY",$H126*AU47*(1+$AK$8)^2,0),($H126*AU47*(1+$AK$8)^2)), IF($A126="Faculty, Academic Year",IF($AL$47="AY",$H126*AU47*(1+$AK$8),0),($H126*AU47*(1+$AK$8)))))</f>
        <v>0</v>
      </c>
      <c r="O126" s="320"/>
      <c r="P126" s="336">
        <v>0</v>
      </c>
      <c r="R126" s="320">
        <f>IF(AI47="Yes", "Manual", IF($AK$11="Yes", IF($A126="Faculty, Academic Year",IF($AL$47="AY",$H126*AZ47*(1+$AK$8)^3,0),($H126*AZ47*(1+$AK$8)^3)), IF($A126="Faculty, Academic Year",IF($AL$47="AY",$H126*AZ47*(1+$AK$8)^2,0),($H126*AZ47*(1+$AK$8)^2))))</f>
        <v>0</v>
      </c>
      <c r="S126" s="320"/>
      <c r="T126" s="336">
        <v>0</v>
      </c>
      <c r="V126" s="320">
        <f>IF(AI47="Yes", "Manual", IF($AK$11="Yes", IF($A126="Faculty, Academic Year",IF($AL$47="AY",$H126*BE47*(1+$AK$8)^4,0),($H126*BE47*(1+$AK$8)^4)), IF($A126="Faculty, Academic Year",IF($AL$47="AY",$H126*BE47*(1+$AK$8)^3,0),($H126*BE47*(1+$AK$8)^3))))</f>
        <v>0</v>
      </c>
      <c r="W126" s="320"/>
      <c r="X126" s="336">
        <f>IF(AI35="Yes", 0, IF($AK$11="Yes", IF($A126="Faculty, Academic Year",IF($AL$18="AY",$H126*(X35/$AJ35*$AK35)*(1+$AK$8)^4,0),($H126*(X35/$AJ35*$AK35)*(1+$AK$8)^4)), IF($A126="Faculty, Academic Year",IF($AL$18="AY",$H126*(X35/$AJ35*$AK35)*(1+$AK$8)^3,0),($H126*(X35/$AJ35*$AK35)*(1+$AK$8)^3))))</f>
        <v>0</v>
      </c>
      <c r="Y126" s="320"/>
      <c r="Z126" s="320">
        <f>IF(AI47="Yes", "Manual", IF($AK$11="Yes", IF($A126="Faculty, Academic Year",IF($AL$47="AY",$H126*BJ47*(1+$AK$8)^5,0),($H126*BJ47*(1+$AK$8)^5)), IF($A126="Faculty, Academic Year",IF($AL$47="AY",$H126*BJ47*(1+$AK$8)^4,0),($H126*BJ47*(1+$AK$8)^4))))</f>
        <v>0</v>
      </c>
      <c r="AA126" s="320"/>
      <c r="AB126" s="336">
        <v>0</v>
      </c>
      <c r="AD126" s="320">
        <f t="shared" si="196"/>
        <v>0</v>
      </c>
      <c r="AE126" s="170"/>
      <c r="AF126" s="189">
        <f t="shared" si="197"/>
        <v>0</v>
      </c>
      <c r="AN126" s="213"/>
      <c r="AS126" s="213"/>
      <c r="AX126" s="213"/>
      <c r="BC126" s="213"/>
      <c r="BH126" s="213"/>
    </row>
    <row r="127" spans="1:60" x14ac:dyDescent="0.25">
      <c r="A127" s="168" t="str">
        <f>A49</f>
        <v>GRA AY</v>
      </c>
      <c r="C127" s="167" t="str">
        <f>C48</f>
        <v>Graduate Research Assistant</v>
      </c>
      <c r="H127" s="217">
        <f t="shared" si="198"/>
        <v>0</v>
      </c>
      <c r="I127" s="188"/>
      <c r="J127" s="320">
        <v>0</v>
      </c>
      <c r="L127" s="336">
        <v>0</v>
      </c>
      <c r="M127" s="321"/>
      <c r="N127" s="320">
        <v>0</v>
      </c>
      <c r="P127" s="336">
        <v>0</v>
      </c>
      <c r="R127" s="320">
        <v>0</v>
      </c>
      <c r="T127" s="336">
        <v>0</v>
      </c>
      <c r="V127" s="320">
        <v>0</v>
      </c>
      <c r="X127" s="336">
        <v>0</v>
      </c>
      <c r="Z127" s="320">
        <v>0</v>
      </c>
      <c r="AB127" s="336">
        <v>0</v>
      </c>
      <c r="AD127" s="320">
        <f t="shared" si="196"/>
        <v>0</v>
      </c>
      <c r="AE127" s="170"/>
      <c r="AF127" s="189">
        <f t="shared" si="197"/>
        <v>0</v>
      </c>
      <c r="AN127" s="213"/>
      <c r="AS127" s="213"/>
      <c r="AX127" s="213"/>
      <c r="BC127" s="213"/>
      <c r="BH127" s="213"/>
    </row>
    <row r="128" spans="1:60" x14ac:dyDescent="0.25">
      <c r="A128" s="168" t="str">
        <f>A52</f>
        <v>GRA AY</v>
      </c>
      <c r="C128" s="167" t="str">
        <f>C51</f>
        <v>Graduate Research Assistant</v>
      </c>
      <c r="H128" s="217">
        <f t="shared" si="198"/>
        <v>0</v>
      </c>
      <c r="I128" s="188"/>
      <c r="J128" s="320">
        <v>0</v>
      </c>
      <c r="L128" s="336">
        <v>0</v>
      </c>
      <c r="M128" s="321"/>
      <c r="N128" s="320">
        <v>0</v>
      </c>
      <c r="P128" s="336">
        <v>0</v>
      </c>
      <c r="R128" s="320">
        <v>0</v>
      </c>
      <c r="T128" s="336">
        <v>0</v>
      </c>
      <c r="V128" s="320">
        <v>0</v>
      </c>
      <c r="X128" s="336">
        <v>0</v>
      </c>
      <c r="Z128" s="320">
        <v>0</v>
      </c>
      <c r="AB128" s="336">
        <v>0</v>
      </c>
      <c r="AD128" s="320">
        <f t="shared" si="196"/>
        <v>0</v>
      </c>
      <c r="AE128" s="170"/>
      <c r="AF128" s="189">
        <f t="shared" si="197"/>
        <v>0</v>
      </c>
      <c r="AN128" s="213"/>
      <c r="AS128" s="213"/>
      <c r="AX128" s="213"/>
      <c r="BC128" s="213"/>
      <c r="BH128" s="213"/>
    </row>
    <row r="129" spans="1:60" x14ac:dyDescent="0.25">
      <c r="A129" s="168" t="str">
        <f>A55</f>
        <v>GRA AY</v>
      </c>
      <c r="C129" s="167" t="str">
        <f>C54</f>
        <v>Graduate Research Assistant</v>
      </c>
      <c r="H129" s="217">
        <f t="shared" si="198"/>
        <v>0</v>
      </c>
      <c r="I129" s="188"/>
      <c r="J129" s="320">
        <v>0</v>
      </c>
      <c r="L129" s="336">
        <v>0</v>
      </c>
      <c r="M129" s="321"/>
      <c r="N129" s="320">
        <v>0</v>
      </c>
      <c r="P129" s="336">
        <v>0</v>
      </c>
      <c r="R129" s="320">
        <v>0</v>
      </c>
      <c r="T129" s="336">
        <v>0</v>
      </c>
      <c r="V129" s="320">
        <v>0</v>
      </c>
      <c r="X129" s="336">
        <v>0</v>
      </c>
      <c r="Z129" s="320">
        <v>0</v>
      </c>
      <c r="AB129" s="336">
        <v>0</v>
      </c>
      <c r="AD129" s="320">
        <f t="shared" si="196"/>
        <v>0</v>
      </c>
      <c r="AE129" s="170"/>
      <c r="AF129" s="189">
        <f t="shared" si="197"/>
        <v>0</v>
      </c>
      <c r="AN129" s="213"/>
      <c r="AS129" s="213"/>
      <c r="AX129" s="213"/>
      <c r="BC129" s="213"/>
      <c r="BH129" s="213"/>
    </row>
    <row r="130" spans="1:60" x14ac:dyDescent="0.25">
      <c r="A130" s="168" t="str">
        <f>A58</f>
        <v>GRA AY</v>
      </c>
      <c r="C130" s="167" t="str">
        <f>C57</f>
        <v>Graduate Research Assistant</v>
      </c>
      <c r="H130" s="217">
        <f t="shared" si="198"/>
        <v>0</v>
      </c>
      <c r="I130" s="188"/>
      <c r="J130" s="320">
        <v>0</v>
      </c>
      <c r="L130" s="336">
        <v>0</v>
      </c>
      <c r="M130" s="321"/>
      <c r="N130" s="320">
        <v>0</v>
      </c>
      <c r="P130" s="336">
        <v>0</v>
      </c>
      <c r="R130" s="320">
        <v>0</v>
      </c>
      <c r="T130" s="336">
        <v>0</v>
      </c>
      <c r="V130" s="320">
        <v>0</v>
      </c>
      <c r="X130" s="336">
        <v>0</v>
      </c>
      <c r="Z130" s="320">
        <v>0</v>
      </c>
      <c r="AB130" s="336">
        <v>0</v>
      </c>
      <c r="AD130" s="320">
        <f t="shared" si="196"/>
        <v>0</v>
      </c>
      <c r="AE130" s="170"/>
      <c r="AF130" s="189">
        <f t="shared" si="197"/>
        <v>0</v>
      </c>
      <c r="AN130" s="213"/>
      <c r="AS130" s="213"/>
      <c r="AX130" s="213"/>
      <c r="BC130" s="213"/>
      <c r="BH130" s="213"/>
    </row>
    <row r="131" spans="1:60" x14ac:dyDescent="0.25">
      <c r="A131" s="168" t="str">
        <f>A61</f>
        <v>Hourly Student AY</v>
      </c>
      <c r="C131" s="167" t="str">
        <f>C60</f>
        <v>Undergraduate Research Assistant</v>
      </c>
      <c r="H131" s="217">
        <f t="shared" si="198"/>
        <v>0</v>
      </c>
      <c r="I131" s="188"/>
      <c r="J131" s="320">
        <v>0</v>
      </c>
      <c r="L131" s="336">
        <v>0</v>
      </c>
      <c r="N131" s="320">
        <v>0</v>
      </c>
      <c r="O131" s="320"/>
      <c r="P131" s="336">
        <v>0</v>
      </c>
      <c r="Q131" s="320"/>
      <c r="R131" s="320">
        <v>0</v>
      </c>
      <c r="S131" s="320"/>
      <c r="T131" s="336">
        <v>0</v>
      </c>
      <c r="U131" s="320"/>
      <c r="V131" s="320">
        <v>0</v>
      </c>
      <c r="W131" s="320"/>
      <c r="X131" s="336">
        <v>0</v>
      </c>
      <c r="Y131" s="320"/>
      <c r="Z131" s="320">
        <v>0</v>
      </c>
      <c r="AA131" s="320"/>
      <c r="AB131" s="336">
        <v>0</v>
      </c>
      <c r="AC131" s="320"/>
      <c r="AD131" s="320">
        <f t="shared" si="196"/>
        <v>0</v>
      </c>
      <c r="AE131" s="170"/>
      <c r="AF131" s="189">
        <f t="shared" si="197"/>
        <v>0</v>
      </c>
      <c r="AN131" s="213"/>
      <c r="AS131" s="213"/>
      <c r="AX131" s="213"/>
      <c r="BC131" s="213"/>
      <c r="BH131" s="213"/>
    </row>
    <row r="132" spans="1:60" x14ac:dyDescent="0.25">
      <c r="A132" s="168" t="str">
        <f>A64</f>
        <v>Hourly Student AY</v>
      </c>
      <c r="C132" s="167" t="str">
        <f>C63</f>
        <v>Undergraduate Research Assistant</v>
      </c>
      <c r="H132" s="217">
        <f t="shared" si="198"/>
        <v>0</v>
      </c>
      <c r="I132" s="188"/>
      <c r="J132" s="320">
        <v>0</v>
      </c>
      <c r="L132" s="336">
        <v>0</v>
      </c>
      <c r="M132" s="321"/>
      <c r="N132" s="320">
        <v>0</v>
      </c>
      <c r="P132" s="336">
        <v>0</v>
      </c>
      <c r="R132" s="320">
        <v>0</v>
      </c>
      <c r="T132" s="336">
        <v>0</v>
      </c>
      <c r="V132" s="320">
        <v>0</v>
      </c>
      <c r="X132" s="336">
        <f>IF(AI41="Yes", 0, IF($AK$11="Yes", IF($A132="Faculty, Academic Year",IF($AL$18="AY",$H132*(X41/$AJ41*$AK41)*(1+$AK$8)^4,0),($H132*(X41/$AJ41*$AK41)*(1+$AK$8)^4)), IF($A132="Faculty, Academic Year",IF($AL$18="AY",$H132*(X41/$AJ41*$AK41)*(1+$AK$8)^3,0),($H132*(X41/$AJ41*$AK41)*(1+$AK$8)^3))))</f>
        <v>0</v>
      </c>
      <c r="Z132" s="320">
        <v>0</v>
      </c>
      <c r="AB132" s="336">
        <v>0</v>
      </c>
      <c r="AD132" s="320">
        <f t="shared" si="196"/>
        <v>0</v>
      </c>
      <c r="AE132" s="170"/>
      <c r="AF132" s="189">
        <f t="shared" si="197"/>
        <v>0</v>
      </c>
      <c r="AN132" s="213"/>
      <c r="AS132" s="213"/>
      <c r="AX132" s="213"/>
      <c r="BC132" s="213"/>
      <c r="BH132" s="213"/>
    </row>
    <row r="133" spans="1:60" x14ac:dyDescent="0.25">
      <c r="A133" s="168" t="str">
        <f>A67</f>
        <v>Hourly Student AY</v>
      </c>
      <c r="B133" s="187"/>
      <c r="C133" s="167" t="str">
        <f>C66</f>
        <v>Undergraduate Research Assistant</v>
      </c>
      <c r="H133" s="217">
        <f t="shared" si="198"/>
        <v>0</v>
      </c>
      <c r="I133" s="188"/>
      <c r="J133" s="345">
        <v>0</v>
      </c>
      <c r="L133" s="346">
        <v>0</v>
      </c>
      <c r="M133" s="321"/>
      <c r="N133" s="345">
        <v>0</v>
      </c>
      <c r="P133" s="346">
        <v>0</v>
      </c>
      <c r="R133" s="345">
        <v>0</v>
      </c>
      <c r="T133" s="346">
        <v>0</v>
      </c>
      <c r="V133" s="345">
        <v>0</v>
      </c>
      <c r="X133" s="346">
        <v>0</v>
      </c>
      <c r="Z133" s="345">
        <v>0</v>
      </c>
      <c r="AB133" s="346">
        <v>0</v>
      </c>
      <c r="AD133" s="345">
        <v>0</v>
      </c>
      <c r="AE133" s="170"/>
      <c r="AF133" s="219">
        <f t="shared" si="197"/>
        <v>0</v>
      </c>
      <c r="AN133" s="213"/>
      <c r="AS133" s="213"/>
      <c r="AX133" s="213"/>
      <c r="BC133" s="213"/>
      <c r="BH133" s="213"/>
    </row>
    <row r="134" spans="1:60" ht="9" customHeight="1" x14ac:dyDescent="0.25">
      <c r="L134" s="336"/>
      <c r="P134" s="336"/>
      <c r="R134" s="320"/>
      <c r="T134" s="336"/>
      <c r="V134" s="320"/>
      <c r="X134" s="336"/>
      <c r="Z134" s="320"/>
      <c r="AB134" s="336"/>
      <c r="AE134" s="170"/>
      <c r="AF134" s="212"/>
      <c r="AN134" s="213"/>
      <c r="AS134" s="213"/>
      <c r="AX134" s="213"/>
      <c r="BC134" s="213"/>
      <c r="BH134" s="213"/>
    </row>
    <row r="135" spans="1:60" x14ac:dyDescent="0.25">
      <c r="C135" s="167" t="s">
        <v>157</v>
      </c>
      <c r="E135" s="81"/>
      <c r="G135" s="170"/>
      <c r="I135" s="28"/>
      <c r="J135" s="320">
        <f>SUM(J109:J133)</f>
        <v>0</v>
      </c>
      <c r="L135" s="336">
        <f>SUM(L109:L133)</f>
        <v>0</v>
      </c>
      <c r="N135" s="320">
        <f>SUM(N109:N133)</f>
        <v>0</v>
      </c>
      <c r="P135" s="336">
        <f>SUM(P109:P133)</f>
        <v>0</v>
      </c>
      <c r="R135" s="320">
        <f>SUM(R109:R133)</f>
        <v>0</v>
      </c>
      <c r="T135" s="336">
        <f>SUM(T109:T133)</f>
        <v>0</v>
      </c>
      <c r="V135" s="320">
        <f>SUM(V109:V133)</f>
        <v>0</v>
      </c>
      <c r="X135" s="336">
        <f>SUM(X109:X133)</f>
        <v>0</v>
      </c>
      <c r="Z135" s="320">
        <f>SUM(Z109:Z133)</f>
        <v>0</v>
      </c>
      <c r="AB135" s="336">
        <f>SUM(AB109:AB133)</f>
        <v>0</v>
      </c>
      <c r="AD135" s="320">
        <f>J135+N135+R135+V135+Z135</f>
        <v>0</v>
      </c>
      <c r="AE135" s="170"/>
      <c r="AF135" s="189">
        <f>L135+P135+T135+X135+AB135</f>
        <v>0</v>
      </c>
      <c r="AN135" s="213"/>
      <c r="AS135" s="213"/>
      <c r="AX135" s="213"/>
      <c r="BC135" s="213"/>
      <c r="BH135" s="213"/>
    </row>
    <row r="136" spans="1:60" x14ac:dyDescent="0.25">
      <c r="E136" s="81"/>
      <c r="G136" s="170"/>
      <c r="I136" s="28"/>
      <c r="L136" s="336"/>
      <c r="P136" s="336"/>
      <c r="R136" s="320"/>
      <c r="T136" s="336"/>
      <c r="V136" s="320"/>
      <c r="X136" s="336"/>
      <c r="Z136" s="320"/>
      <c r="AB136" s="336"/>
      <c r="AE136" s="170"/>
      <c r="AF136" s="189"/>
      <c r="AN136" s="213"/>
      <c r="AS136" s="213"/>
      <c r="AX136" s="213"/>
      <c r="BC136" s="213"/>
      <c r="BH136" s="213"/>
    </row>
    <row r="137" spans="1:60" x14ac:dyDescent="0.25">
      <c r="C137" s="167" t="s">
        <v>247</v>
      </c>
      <c r="E137" s="81"/>
      <c r="G137" s="170"/>
      <c r="I137" s="28"/>
      <c r="J137" s="320">
        <f>J135+J106</f>
        <v>0</v>
      </c>
      <c r="L137" s="336">
        <f t="shared" ref="L137:AB137" si="200">L135+L106</f>
        <v>0</v>
      </c>
      <c r="N137" s="320">
        <f t="shared" si="200"/>
        <v>0</v>
      </c>
      <c r="O137" s="320"/>
      <c r="P137" s="336">
        <f t="shared" si="200"/>
        <v>0</v>
      </c>
      <c r="Q137" s="320"/>
      <c r="R137" s="320">
        <f t="shared" si="200"/>
        <v>0</v>
      </c>
      <c r="S137" s="320"/>
      <c r="T137" s="336">
        <f t="shared" si="200"/>
        <v>0</v>
      </c>
      <c r="U137" s="320"/>
      <c r="V137" s="320">
        <f t="shared" si="200"/>
        <v>0</v>
      </c>
      <c r="W137" s="320"/>
      <c r="X137" s="336">
        <f t="shared" si="200"/>
        <v>0</v>
      </c>
      <c r="Y137" s="320"/>
      <c r="Z137" s="320">
        <f t="shared" si="200"/>
        <v>0</v>
      </c>
      <c r="AA137" s="320"/>
      <c r="AB137" s="336">
        <f t="shared" si="200"/>
        <v>0</v>
      </c>
      <c r="AC137" s="320"/>
      <c r="AD137" s="320">
        <f>J137+N137+R137+V137+Z137</f>
        <v>0</v>
      </c>
      <c r="AE137" s="170"/>
      <c r="AF137" s="189">
        <f>L137+P137+T137+X137+AB137</f>
        <v>0</v>
      </c>
      <c r="AN137" s="213"/>
      <c r="AS137" s="213"/>
      <c r="AX137" s="213"/>
      <c r="BC137" s="213"/>
      <c r="BH137" s="213"/>
    </row>
    <row r="138" spans="1:60" x14ac:dyDescent="0.25">
      <c r="L138" s="336"/>
      <c r="P138" s="336"/>
      <c r="R138" s="320"/>
      <c r="T138" s="336"/>
      <c r="V138" s="320"/>
      <c r="X138" s="336"/>
      <c r="Z138" s="320"/>
      <c r="AB138" s="336"/>
      <c r="AE138" s="170"/>
      <c r="AF138" s="189"/>
      <c r="AN138" s="213"/>
      <c r="AS138" s="213"/>
      <c r="AX138" s="213"/>
      <c r="BC138" s="213"/>
      <c r="BH138" s="213"/>
    </row>
    <row r="139" spans="1:60" x14ac:dyDescent="0.25">
      <c r="C139" s="167" t="s">
        <v>159</v>
      </c>
      <c r="J139" s="320">
        <f>J106+J70+J135</f>
        <v>0</v>
      </c>
      <c r="L139" s="336">
        <f t="shared" ref="L139:AF139" si="201">L106+L70+L135</f>
        <v>0</v>
      </c>
      <c r="N139" s="320">
        <f t="shared" si="201"/>
        <v>0</v>
      </c>
      <c r="O139" s="320"/>
      <c r="P139" s="336">
        <f t="shared" si="201"/>
        <v>0</v>
      </c>
      <c r="Q139" s="320"/>
      <c r="R139" s="320">
        <f t="shared" si="201"/>
        <v>0</v>
      </c>
      <c r="S139" s="320"/>
      <c r="T139" s="336">
        <f t="shared" si="201"/>
        <v>0</v>
      </c>
      <c r="U139" s="320"/>
      <c r="V139" s="320">
        <f t="shared" si="201"/>
        <v>0</v>
      </c>
      <c r="W139" s="320"/>
      <c r="X139" s="336">
        <f t="shared" si="201"/>
        <v>0</v>
      </c>
      <c r="Y139" s="320"/>
      <c r="Z139" s="320">
        <f t="shared" si="201"/>
        <v>0</v>
      </c>
      <c r="AA139" s="320"/>
      <c r="AB139" s="336">
        <f t="shared" si="201"/>
        <v>0</v>
      </c>
      <c r="AC139" s="320"/>
      <c r="AD139" s="320">
        <f t="shared" si="201"/>
        <v>0</v>
      </c>
      <c r="AE139" s="170"/>
      <c r="AF139" s="189">
        <f t="shared" si="201"/>
        <v>0</v>
      </c>
      <c r="AN139" s="213"/>
      <c r="AS139" s="213"/>
      <c r="AX139" s="213"/>
      <c r="BC139" s="213"/>
      <c r="BH139" s="213"/>
    </row>
    <row r="140" spans="1:60" x14ac:dyDescent="0.25">
      <c r="L140" s="336"/>
      <c r="P140" s="336"/>
      <c r="R140" s="320"/>
      <c r="T140" s="344"/>
      <c r="V140" s="320"/>
      <c r="X140" s="344"/>
      <c r="Z140" s="320"/>
      <c r="AB140" s="344"/>
      <c r="AF140" s="190"/>
      <c r="AN140" s="213"/>
      <c r="AS140" s="213"/>
      <c r="AX140" s="213"/>
      <c r="BC140" s="213"/>
      <c r="BH140" s="213"/>
    </row>
    <row r="141" spans="1:60" ht="16.5" customHeight="1" x14ac:dyDescent="0.25">
      <c r="B141" s="187" t="s">
        <v>8</v>
      </c>
      <c r="C141" s="187" t="s">
        <v>66</v>
      </c>
      <c r="L141" s="336"/>
      <c r="P141" s="336"/>
      <c r="T141" s="344"/>
      <c r="X141" s="344"/>
      <c r="AB141" s="344"/>
      <c r="AF141" s="190"/>
      <c r="AN141" s="213"/>
      <c r="AS141" s="213"/>
      <c r="AX141" s="213"/>
      <c r="BC141" s="213"/>
      <c r="BH141" s="213"/>
    </row>
    <row r="142" spans="1:60" ht="16.5" customHeight="1" outlineLevel="1" x14ac:dyDescent="0.25">
      <c r="A142" s="167" t="s">
        <v>196</v>
      </c>
      <c r="B142" s="187"/>
      <c r="C142" s="167" t="s">
        <v>36</v>
      </c>
      <c r="J142" s="320">
        <v>0</v>
      </c>
      <c r="L142" s="336">
        <v>0</v>
      </c>
      <c r="N142" s="320">
        <v>0</v>
      </c>
      <c r="P142" s="336">
        <v>0</v>
      </c>
      <c r="R142" s="320">
        <v>0</v>
      </c>
      <c r="T142" s="336">
        <v>0</v>
      </c>
      <c r="V142" s="320">
        <v>0</v>
      </c>
      <c r="X142" s="336">
        <v>0</v>
      </c>
      <c r="Z142" s="320">
        <v>0</v>
      </c>
      <c r="AB142" s="336">
        <v>0</v>
      </c>
      <c r="AD142" s="320">
        <f>J142+N142+R142+V142+Z142</f>
        <v>0</v>
      </c>
      <c r="AE142" s="170"/>
      <c r="AF142" s="189">
        <f>L142+P142+T142+X142+AB142</f>
        <v>0</v>
      </c>
      <c r="AN142" s="213"/>
      <c r="AS142" s="213"/>
      <c r="AX142" s="213"/>
      <c r="BC142" s="213"/>
      <c r="BH142" s="213"/>
    </row>
    <row r="143" spans="1:60" ht="16.5" customHeight="1" outlineLevel="1" x14ac:dyDescent="0.25">
      <c r="A143" s="167" t="s">
        <v>196</v>
      </c>
      <c r="B143" s="187"/>
      <c r="C143" s="167" t="s">
        <v>37</v>
      </c>
      <c r="J143" s="320">
        <v>0</v>
      </c>
      <c r="L143" s="336">
        <v>0</v>
      </c>
      <c r="N143" s="320">
        <v>0</v>
      </c>
      <c r="P143" s="336">
        <v>0</v>
      </c>
      <c r="R143" s="320">
        <v>0</v>
      </c>
      <c r="T143" s="336">
        <v>0</v>
      </c>
      <c r="V143" s="320">
        <v>0</v>
      </c>
      <c r="X143" s="336">
        <v>0</v>
      </c>
      <c r="Z143" s="320">
        <v>0</v>
      </c>
      <c r="AB143" s="336">
        <v>0</v>
      </c>
      <c r="AD143" s="320">
        <f>J143+N143+R143+V143+Z143</f>
        <v>0</v>
      </c>
      <c r="AE143" s="170"/>
      <c r="AF143" s="189">
        <f>L143+P143+T143+X143+AB143</f>
        <v>0</v>
      </c>
      <c r="AN143" s="213"/>
      <c r="AS143" s="213"/>
      <c r="AX143" s="213"/>
      <c r="BC143" s="213"/>
      <c r="BH143" s="213"/>
    </row>
    <row r="144" spans="1:60" ht="16.5" customHeight="1" outlineLevel="1" x14ac:dyDescent="0.25">
      <c r="A144" s="167" t="s">
        <v>196</v>
      </c>
      <c r="B144" s="187"/>
      <c r="C144" s="167" t="s">
        <v>38</v>
      </c>
      <c r="J144" s="320">
        <v>0</v>
      </c>
      <c r="L144" s="336">
        <v>0</v>
      </c>
      <c r="N144" s="320">
        <v>0</v>
      </c>
      <c r="P144" s="336">
        <v>0</v>
      </c>
      <c r="R144" s="320">
        <v>0</v>
      </c>
      <c r="T144" s="336">
        <v>0</v>
      </c>
      <c r="V144" s="320">
        <v>0</v>
      </c>
      <c r="X144" s="336">
        <v>0</v>
      </c>
      <c r="Z144" s="320">
        <v>0</v>
      </c>
      <c r="AB144" s="336">
        <v>0</v>
      </c>
      <c r="AD144" s="320">
        <f>J144+N144+R144+V144+Z144</f>
        <v>0</v>
      </c>
      <c r="AE144" s="170"/>
      <c r="AF144" s="189">
        <f>L144+P144+T144+X144+AB144</f>
        <v>0</v>
      </c>
      <c r="AN144" s="213"/>
      <c r="AS144" s="213"/>
      <c r="AX144" s="213"/>
      <c r="BC144" s="213"/>
      <c r="BH144" s="213"/>
    </row>
    <row r="145" spans="1:60" ht="16.5" customHeight="1" outlineLevel="1" x14ac:dyDescent="0.25">
      <c r="A145" s="167" t="s">
        <v>196</v>
      </c>
      <c r="B145" s="187"/>
      <c r="C145" s="167" t="s">
        <v>49</v>
      </c>
      <c r="J145" s="320">
        <v>0</v>
      </c>
      <c r="L145" s="336">
        <v>0</v>
      </c>
      <c r="N145" s="320">
        <v>0</v>
      </c>
      <c r="P145" s="336">
        <v>0</v>
      </c>
      <c r="R145" s="320">
        <v>0</v>
      </c>
      <c r="T145" s="336">
        <v>0</v>
      </c>
      <c r="V145" s="320">
        <v>0</v>
      </c>
      <c r="X145" s="336">
        <v>0</v>
      </c>
      <c r="Z145" s="320">
        <v>0</v>
      </c>
      <c r="AB145" s="336">
        <v>0</v>
      </c>
      <c r="AD145" s="320">
        <f>J145+N145+R145+V145+Z145</f>
        <v>0</v>
      </c>
      <c r="AE145" s="170"/>
      <c r="AF145" s="189">
        <f>L145+P145+T145+X145+AB145</f>
        <v>0</v>
      </c>
      <c r="AN145" s="213"/>
      <c r="AS145" s="213"/>
      <c r="AX145" s="213"/>
      <c r="BC145" s="213"/>
      <c r="BH145" s="213"/>
    </row>
    <row r="146" spans="1:60" ht="9.6" customHeight="1" x14ac:dyDescent="0.25">
      <c r="J146" s="340"/>
      <c r="L146" s="341"/>
      <c r="N146" s="340"/>
      <c r="P146" s="341"/>
      <c r="R146" s="340"/>
      <c r="T146" s="341"/>
      <c r="V146" s="340"/>
      <c r="X146" s="341"/>
      <c r="Z146" s="340"/>
      <c r="AB146" s="341"/>
      <c r="AD146" s="340"/>
      <c r="AE146" s="170"/>
      <c r="AF146" s="209"/>
      <c r="AN146" s="213"/>
      <c r="AS146" s="213"/>
      <c r="AX146" s="213"/>
      <c r="BC146" s="213"/>
      <c r="BH146" s="213"/>
    </row>
    <row r="147" spans="1:60" x14ac:dyDescent="0.25">
      <c r="C147" s="167" t="s">
        <v>98</v>
      </c>
      <c r="J147" s="320">
        <f>SUM(J141:J145)</f>
        <v>0</v>
      </c>
      <c r="L147" s="336">
        <f>SUM(L141:L145)</f>
        <v>0</v>
      </c>
      <c r="N147" s="320">
        <f>SUM(N141:N145)</f>
        <v>0</v>
      </c>
      <c r="P147" s="336">
        <f>SUM(P141:P145)</f>
        <v>0</v>
      </c>
      <c r="R147" s="320">
        <f>SUM(R141:R145)</f>
        <v>0</v>
      </c>
      <c r="T147" s="336">
        <f>SUM(T141:T145)</f>
        <v>0</v>
      </c>
      <c r="V147" s="320">
        <f>SUM(V141:V145)</f>
        <v>0</v>
      </c>
      <c r="X147" s="336">
        <f>SUM(X141:X145)</f>
        <v>0</v>
      </c>
      <c r="Z147" s="320">
        <f>SUM(Z141:Z145)</f>
        <v>0</v>
      </c>
      <c r="AB147" s="336">
        <f>SUM(AB141:AB145)</f>
        <v>0</v>
      </c>
      <c r="AD147" s="320">
        <f>J147+N147+R147+V147+Z147</f>
        <v>0</v>
      </c>
      <c r="AE147" s="170"/>
      <c r="AF147" s="189">
        <f>L147+P147+T147+X147+AB147</f>
        <v>0</v>
      </c>
      <c r="AN147" s="213"/>
      <c r="AS147" s="213"/>
      <c r="AX147" s="213"/>
      <c r="BC147" s="213"/>
      <c r="BH147" s="213"/>
    </row>
    <row r="148" spans="1:60" x14ac:dyDescent="0.25">
      <c r="L148" s="336"/>
      <c r="P148" s="336"/>
      <c r="T148" s="344"/>
      <c r="X148" s="344"/>
      <c r="AB148" s="344"/>
      <c r="AF148" s="190"/>
      <c r="AN148" s="213"/>
      <c r="AS148" s="213"/>
      <c r="AX148" s="213"/>
      <c r="BC148" s="213"/>
      <c r="BH148" s="213"/>
    </row>
    <row r="149" spans="1:60" x14ac:dyDescent="0.25">
      <c r="B149" s="187" t="s">
        <v>9</v>
      </c>
      <c r="C149" s="187" t="s">
        <v>10</v>
      </c>
      <c r="L149" s="336"/>
      <c r="P149" s="336"/>
      <c r="T149" s="344"/>
      <c r="X149" s="344"/>
      <c r="AB149" s="344"/>
      <c r="AF149" s="190"/>
      <c r="AN149" s="213"/>
      <c r="AS149" s="213"/>
      <c r="AX149" s="213"/>
      <c r="BC149" s="213"/>
      <c r="BH149" s="213"/>
    </row>
    <row r="150" spans="1:60" outlineLevel="1" x14ac:dyDescent="0.25">
      <c r="A150" s="168"/>
      <c r="B150" s="187"/>
      <c r="C150" s="220"/>
      <c r="E150" s="221" t="s">
        <v>70</v>
      </c>
      <c r="F150" s="222" t="s">
        <v>68</v>
      </c>
      <c r="G150" s="222" t="s">
        <v>81</v>
      </c>
      <c r="H150" s="222" t="s">
        <v>69</v>
      </c>
      <c r="L150" s="336"/>
      <c r="P150" s="336"/>
      <c r="T150" s="344"/>
      <c r="X150" s="344"/>
      <c r="AB150" s="344"/>
      <c r="AE150" s="170"/>
      <c r="AF150" s="189"/>
      <c r="AN150" s="213"/>
      <c r="AS150" s="213"/>
      <c r="AX150" s="213"/>
      <c r="BC150" s="213"/>
      <c r="BH150" s="213"/>
    </row>
    <row r="151" spans="1:60" outlineLevel="1" x14ac:dyDescent="0.25">
      <c r="A151" s="168"/>
      <c r="B151" s="187"/>
      <c r="C151" s="223" t="s">
        <v>71</v>
      </c>
      <c r="E151" s="173"/>
      <c r="F151" s="175"/>
      <c r="G151" s="175"/>
      <c r="H151" s="175"/>
      <c r="L151" s="336"/>
      <c r="P151" s="336"/>
      <c r="T151" s="344"/>
      <c r="X151" s="344"/>
      <c r="AB151" s="344"/>
      <c r="AF151" s="190"/>
      <c r="AN151" s="213"/>
      <c r="AS151" s="213"/>
      <c r="AX151" s="213"/>
      <c r="BC151" s="213"/>
      <c r="BH151" s="213"/>
    </row>
    <row r="152" spans="1:60" hidden="1" outlineLevel="1" x14ac:dyDescent="0.25">
      <c r="A152" s="168" t="s">
        <v>231</v>
      </c>
      <c r="B152" s="187"/>
      <c r="C152" s="28"/>
      <c r="D152" s="167" t="s">
        <v>72</v>
      </c>
      <c r="E152" s="224"/>
      <c r="F152" s="222"/>
      <c r="G152" s="225">
        <v>0</v>
      </c>
      <c r="H152" s="225">
        <v>0</v>
      </c>
      <c r="J152" s="320">
        <f>E152*G152*H152</f>
        <v>0</v>
      </c>
      <c r="L152" s="336">
        <v>0</v>
      </c>
      <c r="N152" s="320">
        <v>0</v>
      </c>
      <c r="P152" s="336">
        <v>0</v>
      </c>
      <c r="R152" s="320">
        <v>0</v>
      </c>
      <c r="T152" s="336">
        <v>0</v>
      </c>
      <c r="V152" s="320">
        <v>0</v>
      </c>
      <c r="X152" s="336">
        <v>0</v>
      </c>
      <c r="Z152" s="320">
        <v>0</v>
      </c>
      <c r="AB152" s="336">
        <v>0</v>
      </c>
      <c r="AD152" s="320">
        <f t="shared" ref="AD152:AD157" si="202">J152+N152+R152+V152+Z152</f>
        <v>0</v>
      </c>
      <c r="AF152" s="189">
        <f t="shared" ref="AF152:AF157" si="203">L152+P152+T152+X152+AB152</f>
        <v>0</v>
      </c>
      <c r="AN152" s="213"/>
      <c r="AS152" s="213"/>
      <c r="AX152" s="213"/>
      <c r="BC152" s="213"/>
      <c r="BH152" s="213"/>
    </row>
    <row r="153" spans="1:60" outlineLevel="1" x14ac:dyDescent="0.25">
      <c r="A153" s="168" t="s">
        <v>231</v>
      </c>
      <c r="B153" s="187"/>
      <c r="C153" s="28"/>
      <c r="D153" s="226" t="s">
        <v>256</v>
      </c>
      <c r="E153" s="224"/>
      <c r="F153" s="225">
        <v>0</v>
      </c>
      <c r="G153" s="225">
        <v>0</v>
      </c>
      <c r="H153" s="225">
        <v>0</v>
      </c>
      <c r="J153" s="320">
        <f>E153*F153*G153*H153</f>
        <v>0</v>
      </c>
      <c r="L153" s="336">
        <v>0</v>
      </c>
      <c r="N153" s="320">
        <v>0</v>
      </c>
      <c r="P153" s="336">
        <v>0</v>
      </c>
      <c r="R153" s="320">
        <v>0</v>
      </c>
      <c r="T153" s="336">
        <v>0</v>
      </c>
      <c r="V153" s="320">
        <v>0</v>
      </c>
      <c r="X153" s="336">
        <v>0</v>
      </c>
      <c r="Z153" s="320">
        <v>0</v>
      </c>
      <c r="AB153" s="336">
        <v>0</v>
      </c>
      <c r="AD153" s="320">
        <f t="shared" si="202"/>
        <v>0</v>
      </c>
      <c r="AE153" s="170"/>
      <c r="AF153" s="189">
        <f t="shared" si="203"/>
        <v>0</v>
      </c>
      <c r="AH153" s="81"/>
      <c r="AN153" s="213"/>
      <c r="AS153" s="213"/>
      <c r="AX153" s="213"/>
      <c r="BC153" s="213"/>
      <c r="BH153" s="213"/>
    </row>
    <row r="154" spans="1:60" outlineLevel="1" x14ac:dyDescent="0.25">
      <c r="A154" s="168" t="s">
        <v>231</v>
      </c>
      <c r="B154" s="187"/>
      <c r="C154" s="28"/>
      <c r="D154" s="226" t="s">
        <v>179</v>
      </c>
      <c r="E154" s="227"/>
      <c r="F154" s="225">
        <f>F153</f>
        <v>0</v>
      </c>
      <c r="G154" s="225">
        <f t="shared" ref="G154:H154" si="204">G153</f>
        <v>0</v>
      </c>
      <c r="H154" s="225">
        <f t="shared" si="204"/>
        <v>0</v>
      </c>
      <c r="J154" s="320">
        <f t="shared" ref="J154:J155" si="205">E154*F154*G154*H154</f>
        <v>0</v>
      </c>
      <c r="L154" s="336">
        <v>0</v>
      </c>
      <c r="N154" s="320">
        <v>0</v>
      </c>
      <c r="P154" s="336">
        <v>0</v>
      </c>
      <c r="R154" s="320">
        <v>0</v>
      </c>
      <c r="T154" s="336">
        <v>0</v>
      </c>
      <c r="V154" s="320">
        <v>0</v>
      </c>
      <c r="X154" s="336">
        <v>0</v>
      </c>
      <c r="Z154" s="320">
        <v>0</v>
      </c>
      <c r="AB154" s="336">
        <v>0</v>
      </c>
      <c r="AD154" s="320">
        <f t="shared" si="202"/>
        <v>0</v>
      </c>
      <c r="AE154" s="170"/>
      <c r="AF154" s="189">
        <f t="shared" si="203"/>
        <v>0</v>
      </c>
      <c r="AH154" s="81"/>
      <c r="AN154" s="213"/>
      <c r="AS154" s="213"/>
      <c r="AX154" s="213"/>
      <c r="BC154" s="213"/>
      <c r="BH154" s="213"/>
    </row>
    <row r="155" spans="1:60" outlineLevel="1" x14ac:dyDescent="0.25">
      <c r="A155" s="168" t="s">
        <v>231</v>
      </c>
      <c r="B155" s="187"/>
      <c r="C155" s="28"/>
      <c r="D155" s="167" t="s">
        <v>297</v>
      </c>
      <c r="E155" s="224"/>
      <c r="F155" s="225">
        <v>0</v>
      </c>
      <c r="G155" s="225">
        <v>0</v>
      </c>
      <c r="H155" s="225">
        <v>0</v>
      </c>
      <c r="J155" s="320">
        <f t="shared" si="205"/>
        <v>0</v>
      </c>
      <c r="L155" s="336">
        <v>0</v>
      </c>
      <c r="N155" s="320">
        <v>0</v>
      </c>
      <c r="P155" s="336">
        <v>0</v>
      </c>
      <c r="R155" s="320">
        <v>0</v>
      </c>
      <c r="T155" s="336">
        <v>0</v>
      </c>
      <c r="V155" s="320">
        <v>0</v>
      </c>
      <c r="X155" s="336">
        <v>0</v>
      </c>
      <c r="Z155" s="320">
        <v>0</v>
      </c>
      <c r="AB155" s="336">
        <v>0</v>
      </c>
      <c r="AD155" s="320">
        <f t="shared" si="202"/>
        <v>0</v>
      </c>
      <c r="AE155" s="170"/>
      <c r="AF155" s="189">
        <f t="shared" si="203"/>
        <v>0</v>
      </c>
      <c r="AN155" s="213"/>
      <c r="AS155" s="213"/>
      <c r="AX155" s="213"/>
      <c r="BC155" s="213"/>
      <c r="BH155" s="213"/>
    </row>
    <row r="156" spans="1:60" outlineLevel="1" x14ac:dyDescent="0.25">
      <c r="A156" s="168" t="s">
        <v>231</v>
      </c>
      <c r="B156" s="187"/>
      <c r="C156" s="28"/>
      <c r="D156" s="167" t="s">
        <v>296</v>
      </c>
      <c r="E156" s="224"/>
      <c r="F156" s="222"/>
      <c r="G156" s="225">
        <v>0</v>
      </c>
      <c r="H156" s="225">
        <v>0</v>
      </c>
      <c r="J156" s="320">
        <f>E156*G156*H156</f>
        <v>0</v>
      </c>
      <c r="L156" s="336">
        <v>0</v>
      </c>
      <c r="N156" s="320">
        <v>0</v>
      </c>
      <c r="P156" s="336">
        <v>0</v>
      </c>
      <c r="R156" s="320">
        <v>0</v>
      </c>
      <c r="T156" s="336">
        <v>0</v>
      </c>
      <c r="V156" s="320">
        <v>0</v>
      </c>
      <c r="X156" s="336">
        <v>0</v>
      </c>
      <c r="Z156" s="320">
        <v>0</v>
      </c>
      <c r="AB156" s="336">
        <v>0</v>
      </c>
      <c r="AD156" s="320">
        <f t="shared" si="202"/>
        <v>0</v>
      </c>
      <c r="AE156" s="170"/>
      <c r="AF156" s="189">
        <f t="shared" si="203"/>
        <v>0</v>
      </c>
      <c r="AN156" s="213"/>
      <c r="AS156" s="213"/>
      <c r="AX156" s="213"/>
      <c r="BC156" s="213"/>
      <c r="BH156" s="213"/>
    </row>
    <row r="157" spans="1:60" outlineLevel="1" x14ac:dyDescent="0.25">
      <c r="A157" s="168" t="s">
        <v>231</v>
      </c>
      <c r="B157" s="187"/>
      <c r="C157" s="28"/>
      <c r="D157" s="167" t="s">
        <v>82</v>
      </c>
      <c r="E157" s="224"/>
      <c r="F157" s="222"/>
      <c r="G157" s="225">
        <v>0</v>
      </c>
      <c r="H157" s="225">
        <v>0</v>
      </c>
      <c r="J157" s="320">
        <f>E157*G157*H157</f>
        <v>0</v>
      </c>
      <c r="L157" s="336">
        <v>0</v>
      </c>
      <c r="N157" s="320">
        <v>0</v>
      </c>
      <c r="P157" s="336">
        <v>0</v>
      </c>
      <c r="R157" s="320">
        <v>0</v>
      </c>
      <c r="T157" s="336">
        <v>0</v>
      </c>
      <c r="V157" s="320">
        <v>0</v>
      </c>
      <c r="X157" s="336">
        <v>0</v>
      </c>
      <c r="Z157" s="320">
        <v>0</v>
      </c>
      <c r="AB157" s="336">
        <v>0</v>
      </c>
      <c r="AD157" s="320">
        <f t="shared" si="202"/>
        <v>0</v>
      </c>
      <c r="AE157" s="170"/>
      <c r="AF157" s="189">
        <f t="shared" si="203"/>
        <v>0</v>
      </c>
      <c r="AG157" s="321"/>
      <c r="AH157" s="321"/>
      <c r="AN157" s="213"/>
      <c r="AS157" s="213"/>
      <c r="AX157" s="213"/>
      <c r="BC157" s="213"/>
      <c r="BH157" s="213"/>
    </row>
    <row r="158" spans="1:60" outlineLevel="1" x14ac:dyDescent="0.25">
      <c r="A158" s="168"/>
      <c r="B158" s="187"/>
      <c r="C158" s="28"/>
      <c r="E158" s="221"/>
      <c r="F158" s="222"/>
      <c r="G158" s="222"/>
      <c r="H158" s="222"/>
      <c r="L158" s="336"/>
      <c r="P158" s="336"/>
      <c r="R158" s="320"/>
      <c r="T158" s="336"/>
      <c r="V158" s="320"/>
      <c r="X158" s="336"/>
      <c r="Z158" s="320"/>
      <c r="AB158" s="336"/>
      <c r="AE158" s="170"/>
      <c r="AF158" s="189"/>
      <c r="AG158" s="321"/>
      <c r="AN158" s="213"/>
      <c r="AS158" s="213"/>
      <c r="AX158" s="213"/>
      <c r="BC158" s="213"/>
      <c r="BH158" s="213"/>
    </row>
    <row r="159" spans="1:60" outlineLevel="1" x14ac:dyDescent="0.25">
      <c r="A159" s="168"/>
      <c r="B159" s="187"/>
      <c r="C159" s="223" t="s">
        <v>71</v>
      </c>
      <c r="E159" s="221"/>
      <c r="F159" s="222"/>
      <c r="G159" s="222"/>
      <c r="H159" s="222"/>
      <c r="L159" s="336"/>
      <c r="P159" s="336"/>
      <c r="R159" s="320"/>
      <c r="T159" s="344"/>
      <c r="V159" s="320"/>
      <c r="X159" s="336"/>
      <c r="Z159" s="320"/>
      <c r="AB159" s="336"/>
      <c r="AF159" s="190"/>
      <c r="AN159" s="213"/>
      <c r="AS159" s="213"/>
      <c r="AX159" s="213"/>
      <c r="BC159" s="213"/>
      <c r="BH159" s="213"/>
    </row>
    <row r="160" spans="1:60" outlineLevel="1" x14ac:dyDescent="0.25">
      <c r="A160" s="168" t="s">
        <v>231</v>
      </c>
      <c r="B160" s="187"/>
      <c r="C160" s="28"/>
      <c r="D160" s="167" t="s">
        <v>72</v>
      </c>
      <c r="E160" s="224"/>
      <c r="F160" s="222"/>
      <c r="G160" s="225">
        <v>0</v>
      </c>
      <c r="H160" s="225">
        <v>0</v>
      </c>
      <c r="J160" s="320">
        <f>E160*G160*H160</f>
        <v>0</v>
      </c>
      <c r="L160" s="336">
        <v>0</v>
      </c>
      <c r="N160" s="320">
        <v>0</v>
      </c>
      <c r="P160" s="336">
        <v>0</v>
      </c>
      <c r="R160" s="320">
        <v>0</v>
      </c>
      <c r="T160" s="336">
        <v>0</v>
      </c>
      <c r="V160" s="320">
        <v>0</v>
      </c>
      <c r="X160" s="336">
        <v>0</v>
      </c>
      <c r="Z160" s="320">
        <v>0</v>
      </c>
      <c r="AB160" s="336">
        <v>0</v>
      </c>
      <c r="AD160" s="320">
        <f t="shared" ref="AD160:AD165" si="206">J160+N160+R160+V160+Z160</f>
        <v>0</v>
      </c>
      <c r="AF160" s="189">
        <f t="shared" ref="AF160:AF165" si="207">L160+P160+T160+X160+AB160</f>
        <v>0</v>
      </c>
      <c r="AN160" s="213"/>
      <c r="AS160" s="213"/>
      <c r="AX160" s="213"/>
      <c r="BC160" s="213"/>
      <c r="BH160" s="213"/>
    </row>
    <row r="161" spans="1:60" outlineLevel="1" x14ac:dyDescent="0.25">
      <c r="A161" s="168" t="s">
        <v>231</v>
      </c>
      <c r="B161" s="187"/>
      <c r="C161" s="28"/>
      <c r="D161" s="226" t="s">
        <v>256</v>
      </c>
      <c r="E161" s="224"/>
      <c r="F161" s="225">
        <v>0</v>
      </c>
      <c r="G161" s="225">
        <f t="shared" ref="G161:H165" si="208">G160</f>
        <v>0</v>
      </c>
      <c r="H161" s="225">
        <f t="shared" si="208"/>
        <v>0</v>
      </c>
      <c r="J161" s="320">
        <f>E161*F161*G161*H161</f>
        <v>0</v>
      </c>
      <c r="L161" s="336">
        <v>0</v>
      </c>
      <c r="N161" s="320">
        <v>0</v>
      </c>
      <c r="P161" s="336">
        <v>0</v>
      </c>
      <c r="R161" s="320">
        <v>0</v>
      </c>
      <c r="T161" s="336">
        <v>0</v>
      </c>
      <c r="V161" s="320">
        <v>0</v>
      </c>
      <c r="X161" s="336">
        <v>0</v>
      </c>
      <c r="Z161" s="320">
        <v>0</v>
      </c>
      <c r="AB161" s="336">
        <v>0</v>
      </c>
      <c r="AD161" s="320">
        <f t="shared" si="206"/>
        <v>0</v>
      </c>
      <c r="AE161" s="170"/>
      <c r="AF161" s="189">
        <f t="shared" si="207"/>
        <v>0</v>
      </c>
      <c r="AH161" s="81"/>
      <c r="AN161" s="213"/>
      <c r="AS161" s="213"/>
      <c r="AX161" s="213"/>
      <c r="BC161" s="213"/>
      <c r="BH161" s="213"/>
    </row>
    <row r="162" spans="1:60" outlineLevel="1" x14ac:dyDescent="0.25">
      <c r="A162" s="168" t="s">
        <v>231</v>
      </c>
      <c r="B162" s="187"/>
      <c r="C162" s="28"/>
      <c r="D162" s="226" t="s">
        <v>179</v>
      </c>
      <c r="E162" s="227"/>
      <c r="F162" s="225">
        <f>F161</f>
        <v>0</v>
      </c>
      <c r="G162" s="225">
        <f t="shared" si="208"/>
        <v>0</v>
      </c>
      <c r="H162" s="225">
        <f t="shared" si="208"/>
        <v>0</v>
      </c>
      <c r="J162" s="320">
        <f>E162*F162*G162*H162</f>
        <v>0</v>
      </c>
      <c r="L162" s="336">
        <v>0</v>
      </c>
      <c r="N162" s="320">
        <v>0</v>
      </c>
      <c r="P162" s="336">
        <v>0</v>
      </c>
      <c r="R162" s="320">
        <v>0</v>
      </c>
      <c r="T162" s="336">
        <v>0</v>
      </c>
      <c r="V162" s="320">
        <v>0</v>
      </c>
      <c r="X162" s="336">
        <v>0</v>
      </c>
      <c r="Z162" s="320">
        <v>0</v>
      </c>
      <c r="AB162" s="336">
        <v>0</v>
      </c>
      <c r="AD162" s="320">
        <f t="shared" si="206"/>
        <v>0</v>
      </c>
      <c r="AE162" s="170"/>
      <c r="AF162" s="189">
        <f t="shared" si="207"/>
        <v>0</v>
      </c>
      <c r="AH162" s="81"/>
      <c r="AN162" s="213"/>
      <c r="AS162" s="213"/>
      <c r="AX162" s="213"/>
      <c r="BC162" s="213"/>
      <c r="BH162" s="213"/>
    </row>
    <row r="163" spans="1:60" outlineLevel="1" x14ac:dyDescent="0.25">
      <c r="A163" s="168" t="s">
        <v>231</v>
      </c>
      <c r="B163" s="187"/>
      <c r="C163" s="28"/>
      <c r="D163" s="167" t="s">
        <v>195</v>
      </c>
      <c r="E163" s="224"/>
      <c r="F163" s="225">
        <f>F162</f>
        <v>0</v>
      </c>
      <c r="G163" s="225">
        <f t="shared" si="208"/>
        <v>0</v>
      </c>
      <c r="H163" s="225">
        <f t="shared" si="208"/>
        <v>0</v>
      </c>
      <c r="J163" s="320">
        <f>E163*F163*G163*H163</f>
        <v>0</v>
      </c>
      <c r="L163" s="336">
        <v>0</v>
      </c>
      <c r="N163" s="320">
        <v>0</v>
      </c>
      <c r="P163" s="336">
        <v>0</v>
      </c>
      <c r="R163" s="320">
        <v>0</v>
      </c>
      <c r="T163" s="336">
        <v>0</v>
      </c>
      <c r="V163" s="320">
        <v>0</v>
      </c>
      <c r="X163" s="336">
        <v>0</v>
      </c>
      <c r="Z163" s="320">
        <v>0</v>
      </c>
      <c r="AB163" s="336">
        <v>0</v>
      </c>
      <c r="AD163" s="320">
        <f t="shared" si="206"/>
        <v>0</v>
      </c>
      <c r="AE163" s="170"/>
      <c r="AF163" s="189">
        <f t="shared" si="207"/>
        <v>0</v>
      </c>
      <c r="AN163" s="213"/>
      <c r="AS163" s="213"/>
      <c r="AX163" s="213"/>
      <c r="BC163" s="213"/>
      <c r="BH163" s="213"/>
    </row>
    <row r="164" spans="1:60" outlineLevel="1" x14ac:dyDescent="0.25">
      <c r="A164" s="168" t="s">
        <v>231</v>
      </c>
      <c r="B164" s="187"/>
      <c r="C164" s="28"/>
      <c r="D164" s="167" t="s">
        <v>174</v>
      </c>
      <c r="E164" s="224"/>
      <c r="F164" s="222"/>
      <c r="G164" s="225">
        <f t="shared" si="208"/>
        <v>0</v>
      </c>
      <c r="H164" s="225">
        <f t="shared" si="208"/>
        <v>0</v>
      </c>
      <c r="J164" s="320">
        <f>E164*G164*H164</f>
        <v>0</v>
      </c>
      <c r="L164" s="336">
        <v>0</v>
      </c>
      <c r="N164" s="320">
        <v>0</v>
      </c>
      <c r="P164" s="336">
        <v>0</v>
      </c>
      <c r="R164" s="320">
        <v>0</v>
      </c>
      <c r="T164" s="336">
        <v>0</v>
      </c>
      <c r="V164" s="320">
        <v>0</v>
      </c>
      <c r="X164" s="336">
        <v>0</v>
      </c>
      <c r="Z164" s="320">
        <v>0</v>
      </c>
      <c r="AB164" s="336">
        <v>0</v>
      </c>
      <c r="AD164" s="320">
        <f t="shared" si="206"/>
        <v>0</v>
      </c>
      <c r="AE164" s="170"/>
      <c r="AF164" s="189">
        <f t="shared" si="207"/>
        <v>0</v>
      </c>
      <c r="AN164" s="213"/>
      <c r="AS164" s="213"/>
      <c r="AX164" s="213"/>
      <c r="BC164" s="213"/>
      <c r="BH164" s="213"/>
    </row>
    <row r="165" spans="1:60" outlineLevel="1" x14ac:dyDescent="0.25">
      <c r="A165" s="168" t="s">
        <v>231</v>
      </c>
      <c r="B165" s="187"/>
      <c r="C165" s="28"/>
      <c r="D165" s="167" t="s">
        <v>82</v>
      </c>
      <c r="E165" s="224"/>
      <c r="F165" s="222"/>
      <c r="G165" s="225">
        <f t="shared" si="208"/>
        <v>0</v>
      </c>
      <c r="H165" s="225">
        <f>H164</f>
        <v>0</v>
      </c>
      <c r="J165" s="320">
        <f>E165*G165*H165</f>
        <v>0</v>
      </c>
      <c r="L165" s="336">
        <v>0</v>
      </c>
      <c r="N165" s="320">
        <v>0</v>
      </c>
      <c r="P165" s="336">
        <v>0</v>
      </c>
      <c r="R165" s="320">
        <v>0</v>
      </c>
      <c r="T165" s="336">
        <v>0</v>
      </c>
      <c r="V165" s="320">
        <v>0</v>
      </c>
      <c r="X165" s="336">
        <v>0</v>
      </c>
      <c r="Z165" s="320">
        <v>0</v>
      </c>
      <c r="AB165" s="336">
        <v>0</v>
      </c>
      <c r="AD165" s="320">
        <f t="shared" si="206"/>
        <v>0</v>
      </c>
      <c r="AE165" s="170"/>
      <c r="AF165" s="189">
        <f t="shared" si="207"/>
        <v>0</v>
      </c>
      <c r="AN165" s="213"/>
      <c r="AS165" s="213"/>
      <c r="AX165" s="213"/>
      <c r="BC165" s="213"/>
      <c r="BH165" s="213"/>
    </row>
    <row r="166" spans="1:60" outlineLevel="1" x14ac:dyDescent="0.25">
      <c r="A166" s="168"/>
      <c r="B166" s="187"/>
      <c r="C166" s="28"/>
      <c r="E166" s="221"/>
      <c r="F166" s="222"/>
      <c r="G166" s="222"/>
      <c r="H166" s="222"/>
      <c r="L166" s="336"/>
      <c r="P166" s="336"/>
      <c r="R166" s="320"/>
      <c r="T166" s="336"/>
      <c r="V166" s="320"/>
      <c r="X166" s="336"/>
      <c r="Z166" s="320"/>
      <c r="AB166" s="336"/>
      <c r="AE166" s="170"/>
      <c r="AF166" s="189"/>
      <c r="AN166" s="213"/>
      <c r="AS166" s="213"/>
      <c r="AX166" s="213"/>
      <c r="BC166" s="213"/>
      <c r="BH166" s="213"/>
    </row>
    <row r="167" spans="1:60" outlineLevel="1" x14ac:dyDescent="0.25">
      <c r="A167" s="168"/>
      <c r="B167" s="187"/>
      <c r="C167" s="223" t="s">
        <v>71</v>
      </c>
      <c r="E167" s="221"/>
      <c r="F167" s="222"/>
      <c r="G167" s="222"/>
      <c r="H167" s="222"/>
      <c r="L167" s="336"/>
      <c r="P167" s="336"/>
      <c r="R167" s="320"/>
      <c r="T167" s="344"/>
      <c r="V167" s="320"/>
      <c r="X167" s="336"/>
      <c r="Z167" s="320"/>
      <c r="AB167" s="336"/>
      <c r="AF167" s="190"/>
      <c r="AN167" s="213"/>
      <c r="AS167" s="213"/>
      <c r="AX167" s="213"/>
      <c r="BC167" s="213"/>
      <c r="BH167" s="213"/>
    </row>
    <row r="168" spans="1:60" outlineLevel="1" x14ac:dyDescent="0.25">
      <c r="A168" s="168" t="s">
        <v>231</v>
      </c>
      <c r="B168" s="187"/>
      <c r="C168" s="28"/>
      <c r="D168" s="167" t="s">
        <v>72</v>
      </c>
      <c r="E168" s="224"/>
      <c r="F168" s="222"/>
      <c r="G168" s="225">
        <v>0</v>
      </c>
      <c r="H168" s="225">
        <v>0</v>
      </c>
      <c r="J168" s="320">
        <f>E168*G168*H168</f>
        <v>0</v>
      </c>
      <c r="L168" s="336">
        <v>0</v>
      </c>
      <c r="N168" s="320">
        <v>0</v>
      </c>
      <c r="P168" s="336">
        <v>0</v>
      </c>
      <c r="R168" s="320">
        <v>0</v>
      </c>
      <c r="T168" s="336">
        <v>0</v>
      </c>
      <c r="V168" s="320">
        <v>0</v>
      </c>
      <c r="X168" s="336">
        <v>0</v>
      </c>
      <c r="Z168" s="320">
        <v>0</v>
      </c>
      <c r="AB168" s="336">
        <v>0</v>
      </c>
      <c r="AD168" s="320">
        <f t="shared" ref="AD168:AD173" si="209">J168+N168+R168+V168+Z168</f>
        <v>0</v>
      </c>
      <c r="AF168" s="189">
        <f t="shared" ref="AF168:AF173" si="210">L168+P168+T168+X168+AB168</f>
        <v>0</v>
      </c>
      <c r="AN168" s="213"/>
      <c r="AS168" s="213"/>
      <c r="AX168" s="213"/>
      <c r="BC168" s="213"/>
      <c r="BH168" s="213"/>
    </row>
    <row r="169" spans="1:60" outlineLevel="1" x14ac:dyDescent="0.25">
      <c r="A169" s="168" t="s">
        <v>231</v>
      </c>
      <c r="B169" s="187"/>
      <c r="C169" s="28"/>
      <c r="D169" s="226" t="s">
        <v>256</v>
      </c>
      <c r="E169" s="224"/>
      <c r="F169" s="225">
        <v>0</v>
      </c>
      <c r="G169" s="225">
        <f t="shared" ref="G169:H173" si="211">G168</f>
        <v>0</v>
      </c>
      <c r="H169" s="225">
        <f t="shared" si="211"/>
        <v>0</v>
      </c>
      <c r="J169" s="320">
        <f>E169*F169*G169*H169</f>
        <v>0</v>
      </c>
      <c r="L169" s="336">
        <v>0</v>
      </c>
      <c r="N169" s="320">
        <v>0</v>
      </c>
      <c r="P169" s="336">
        <v>0</v>
      </c>
      <c r="R169" s="320">
        <v>0</v>
      </c>
      <c r="T169" s="336">
        <v>0</v>
      </c>
      <c r="V169" s="320">
        <v>0</v>
      </c>
      <c r="X169" s="336">
        <v>0</v>
      </c>
      <c r="Z169" s="320">
        <v>0</v>
      </c>
      <c r="AB169" s="336">
        <v>0</v>
      </c>
      <c r="AD169" s="320">
        <f t="shared" si="209"/>
        <v>0</v>
      </c>
      <c r="AE169" s="170"/>
      <c r="AF169" s="189">
        <f t="shared" si="210"/>
        <v>0</v>
      </c>
      <c r="AH169" s="81"/>
      <c r="AN169" s="213"/>
      <c r="AS169" s="213"/>
      <c r="AX169" s="213"/>
      <c r="BC169" s="213"/>
      <c r="BH169" s="213"/>
    </row>
    <row r="170" spans="1:60" outlineLevel="1" x14ac:dyDescent="0.25">
      <c r="A170" s="168" t="s">
        <v>231</v>
      </c>
      <c r="B170" s="187"/>
      <c r="C170" s="28"/>
      <c r="D170" s="226" t="s">
        <v>179</v>
      </c>
      <c r="E170" s="227"/>
      <c r="F170" s="225">
        <f>F169</f>
        <v>0</v>
      </c>
      <c r="G170" s="225">
        <f t="shared" si="211"/>
        <v>0</v>
      </c>
      <c r="H170" s="225">
        <f t="shared" si="211"/>
        <v>0</v>
      </c>
      <c r="J170" s="320">
        <f>E170*F170*G170*H170</f>
        <v>0</v>
      </c>
      <c r="L170" s="336">
        <v>0</v>
      </c>
      <c r="N170" s="320">
        <v>0</v>
      </c>
      <c r="P170" s="336">
        <v>0</v>
      </c>
      <c r="R170" s="320">
        <v>0</v>
      </c>
      <c r="T170" s="336">
        <v>0</v>
      </c>
      <c r="V170" s="320">
        <v>0</v>
      </c>
      <c r="X170" s="336">
        <v>0</v>
      </c>
      <c r="Z170" s="320">
        <v>0</v>
      </c>
      <c r="AB170" s="336">
        <v>0</v>
      </c>
      <c r="AD170" s="320">
        <f t="shared" si="209"/>
        <v>0</v>
      </c>
      <c r="AE170" s="170"/>
      <c r="AF170" s="189">
        <f t="shared" si="210"/>
        <v>0</v>
      </c>
      <c r="AH170" s="81"/>
      <c r="AN170" s="213"/>
      <c r="AS170" s="213"/>
      <c r="AX170" s="213"/>
      <c r="BC170" s="213"/>
      <c r="BH170" s="213"/>
    </row>
    <row r="171" spans="1:60" outlineLevel="1" x14ac:dyDescent="0.25">
      <c r="A171" s="168" t="s">
        <v>231</v>
      </c>
      <c r="B171" s="187"/>
      <c r="C171" s="28"/>
      <c r="D171" s="167" t="s">
        <v>195</v>
      </c>
      <c r="E171" s="224"/>
      <c r="F171" s="225">
        <f>F170</f>
        <v>0</v>
      </c>
      <c r="G171" s="225">
        <f t="shared" si="211"/>
        <v>0</v>
      </c>
      <c r="H171" s="225">
        <f t="shared" si="211"/>
        <v>0</v>
      </c>
      <c r="J171" s="320">
        <f>E171*F171*G171*H171</f>
        <v>0</v>
      </c>
      <c r="L171" s="336">
        <v>0</v>
      </c>
      <c r="N171" s="320">
        <v>0</v>
      </c>
      <c r="P171" s="336">
        <v>0</v>
      </c>
      <c r="R171" s="320">
        <v>0</v>
      </c>
      <c r="T171" s="336">
        <v>0</v>
      </c>
      <c r="V171" s="320">
        <v>0</v>
      </c>
      <c r="X171" s="336">
        <v>0</v>
      </c>
      <c r="Z171" s="320">
        <v>0</v>
      </c>
      <c r="AB171" s="336">
        <v>0</v>
      </c>
      <c r="AD171" s="320">
        <f t="shared" si="209"/>
        <v>0</v>
      </c>
      <c r="AE171" s="170"/>
      <c r="AF171" s="189">
        <f t="shared" si="210"/>
        <v>0</v>
      </c>
      <c r="AN171" s="213"/>
      <c r="AS171" s="213"/>
      <c r="AX171" s="213"/>
      <c r="BC171" s="213"/>
      <c r="BH171" s="213"/>
    </row>
    <row r="172" spans="1:60" outlineLevel="1" x14ac:dyDescent="0.25">
      <c r="A172" s="168" t="s">
        <v>231</v>
      </c>
      <c r="B172" s="187"/>
      <c r="C172" s="28"/>
      <c r="D172" s="167" t="s">
        <v>174</v>
      </c>
      <c r="E172" s="224"/>
      <c r="F172" s="222"/>
      <c r="G172" s="225">
        <f t="shared" si="211"/>
        <v>0</v>
      </c>
      <c r="H172" s="225">
        <f t="shared" si="211"/>
        <v>0</v>
      </c>
      <c r="J172" s="320">
        <f>E172*G172*H172</f>
        <v>0</v>
      </c>
      <c r="L172" s="336">
        <v>0</v>
      </c>
      <c r="N172" s="320">
        <v>0</v>
      </c>
      <c r="P172" s="336">
        <v>0</v>
      </c>
      <c r="R172" s="320">
        <v>0</v>
      </c>
      <c r="T172" s="336">
        <v>0</v>
      </c>
      <c r="V172" s="320">
        <v>0</v>
      </c>
      <c r="X172" s="336">
        <v>0</v>
      </c>
      <c r="Z172" s="320">
        <v>0</v>
      </c>
      <c r="AB172" s="336">
        <v>0</v>
      </c>
      <c r="AD172" s="320">
        <f t="shared" si="209"/>
        <v>0</v>
      </c>
      <c r="AE172" s="170"/>
      <c r="AF172" s="189">
        <f t="shared" si="210"/>
        <v>0</v>
      </c>
      <c r="AN172" s="213"/>
      <c r="AS172" s="213"/>
      <c r="AX172" s="213"/>
      <c r="BC172" s="213"/>
      <c r="BH172" s="213"/>
    </row>
    <row r="173" spans="1:60" outlineLevel="1" x14ac:dyDescent="0.25">
      <c r="A173" s="168" t="s">
        <v>231</v>
      </c>
      <c r="B173" s="187"/>
      <c r="C173" s="28"/>
      <c r="D173" s="167" t="s">
        <v>82</v>
      </c>
      <c r="E173" s="224"/>
      <c r="F173" s="222"/>
      <c r="G173" s="225">
        <f t="shared" si="211"/>
        <v>0</v>
      </c>
      <c r="H173" s="225">
        <f>H172</f>
        <v>0</v>
      </c>
      <c r="J173" s="320">
        <f>E173*G173*H173</f>
        <v>0</v>
      </c>
      <c r="L173" s="336">
        <v>0</v>
      </c>
      <c r="N173" s="320">
        <v>0</v>
      </c>
      <c r="P173" s="336">
        <v>0</v>
      </c>
      <c r="R173" s="320">
        <v>0</v>
      </c>
      <c r="T173" s="336">
        <v>0</v>
      </c>
      <c r="V173" s="320">
        <v>0</v>
      </c>
      <c r="X173" s="336">
        <v>0</v>
      </c>
      <c r="Z173" s="320">
        <v>0</v>
      </c>
      <c r="AB173" s="336">
        <v>0</v>
      </c>
      <c r="AD173" s="320">
        <f t="shared" si="209"/>
        <v>0</v>
      </c>
      <c r="AE173" s="170"/>
      <c r="AF173" s="189">
        <f t="shared" si="210"/>
        <v>0</v>
      </c>
      <c r="AN173" s="213"/>
      <c r="AS173" s="213"/>
      <c r="AX173" s="213"/>
      <c r="BC173" s="213"/>
      <c r="BH173" s="213"/>
    </row>
    <row r="174" spans="1:60" outlineLevel="1" x14ac:dyDescent="0.25">
      <c r="A174" s="168"/>
      <c r="B174" s="187"/>
      <c r="C174" s="28"/>
      <c r="E174" s="221"/>
      <c r="F174" s="222"/>
      <c r="G174" s="222"/>
      <c r="H174" s="222"/>
      <c r="L174" s="336"/>
      <c r="P174" s="336"/>
      <c r="R174" s="320"/>
      <c r="T174" s="336"/>
      <c r="V174" s="320"/>
      <c r="X174" s="336"/>
      <c r="Z174" s="320"/>
      <c r="AB174" s="336"/>
      <c r="AE174" s="170"/>
      <c r="AF174" s="189"/>
      <c r="AN174" s="213"/>
      <c r="AS174" s="213"/>
      <c r="AX174" s="213"/>
      <c r="BC174" s="213"/>
      <c r="BH174" s="213"/>
    </row>
    <row r="175" spans="1:60" outlineLevel="1" x14ac:dyDescent="0.25">
      <c r="A175" s="168"/>
      <c r="B175" s="187"/>
      <c r="C175" s="223" t="s">
        <v>71</v>
      </c>
      <c r="E175" s="221"/>
      <c r="F175" s="222"/>
      <c r="G175" s="222"/>
      <c r="H175" s="222"/>
      <c r="L175" s="336"/>
      <c r="P175" s="336"/>
      <c r="R175" s="320"/>
      <c r="T175" s="344"/>
      <c r="V175" s="320"/>
      <c r="X175" s="336"/>
      <c r="Z175" s="320"/>
      <c r="AB175" s="336"/>
      <c r="AF175" s="190"/>
      <c r="AN175" s="213"/>
      <c r="AS175" s="213"/>
      <c r="AX175" s="213"/>
      <c r="BC175" s="213"/>
      <c r="BH175" s="213"/>
    </row>
    <row r="176" spans="1:60" outlineLevel="1" x14ac:dyDescent="0.25">
      <c r="A176" s="168" t="s">
        <v>231</v>
      </c>
      <c r="B176" s="187"/>
      <c r="C176" s="28"/>
      <c r="D176" s="167" t="s">
        <v>72</v>
      </c>
      <c r="E176" s="224"/>
      <c r="F176" s="222"/>
      <c r="G176" s="225">
        <v>0</v>
      </c>
      <c r="H176" s="225">
        <v>0</v>
      </c>
      <c r="J176" s="320">
        <f>E176*G176*H176</f>
        <v>0</v>
      </c>
      <c r="L176" s="336">
        <v>0</v>
      </c>
      <c r="N176" s="320">
        <v>0</v>
      </c>
      <c r="P176" s="336">
        <v>0</v>
      </c>
      <c r="R176" s="320">
        <v>0</v>
      </c>
      <c r="T176" s="336">
        <v>0</v>
      </c>
      <c r="V176" s="320">
        <v>0</v>
      </c>
      <c r="X176" s="336">
        <v>0</v>
      </c>
      <c r="Z176" s="320">
        <v>0</v>
      </c>
      <c r="AB176" s="336">
        <v>0</v>
      </c>
      <c r="AD176" s="320">
        <f t="shared" ref="AD176:AD181" si="212">J176+N176+R176+V176+Z176</f>
        <v>0</v>
      </c>
      <c r="AF176" s="189">
        <f t="shared" ref="AF176:AF181" si="213">L176+P176+T176+X176+AB176</f>
        <v>0</v>
      </c>
      <c r="AN176" s="213"/>
      <c r="AS176" s="213"/>
      <c r="AX176" s="213"/>
      <c r="BC176" s="213"/>
      <c r="BH176" s="213"/>
    </row>
    <row r="177" spans="1:60" outlineLevel="1" x14ac:dyDescent="0.25">
      <c r="A177" s="168" t="s">
        <v>231</v>
      </c>
      <c r="B177" s="187"/>
      <c r="C177" s="28"/>
      <c r="D177" s="226" t="s">
        <v>256</v>
      </c>
      <c r="E177" s="224"/>
      <c r="F177" s="225">
        <v>0</v>
      </c>
      <c r="G177" s="225">
        <f>G176</f>
        <v>0</v>
      </c>
      <c r="H177" s="225">
        <f>H176</f>
        <v>0</v>
      </c>
      <c r="J177" s="320">
        <f>E177*F177*G177*H177</f>
        <v>0</v>
      </c>
      <c r="L177" s="336">
        <v>0</v>
      </c>
      <c r="N177" s="320">
        <v>0</v>
      </c>
      <c r="P177" s="336">
        <v>0</v>
      </c>
      <c r="R177" s="320">
        <v>0</v>
      </c>
      <c r="T177" s="336">
        <v>0</v>
      </c>
      <c r="V177" s="320">
        <v>0</v>
      </c>
      <c r="X177" s="336">
        <v>0</v>
      </c>
      <c r="Z177" s="320">
        <v>0</v>
      </c>
      <c r="AB177" s="336">
        <v>0</v>
      </c>
      <c r="AD177" s="320">
        <f t="shared" si="212"/>
        <v>0</v>
      </c>
      <c r="AE177" s="170"/>
      <c r="AF177" s="189">
        <f t="shared" si="213"/>
        <v>0</v>
      </c>
      <c r="AH177" s="81"/>
      <c r="AN177" s="213"/>
      <c r="AS177" s="213"/>
      <c r="AX177" s="213"/>
      <c r="BC177" s="213"/>
      <c r="BH177" s="213"/>
    </row>
    <row r="178" spans="1:60" outlineLevel="1" x14ac:dyDescent="0.25">
      <c r="A178" s="168" t="s">
        <v>231</v>
      </c>
      <c r="B178" s="187"/>
      <c r="C178" s="28"/>
      <c r="D178" s="226" t="s">
        <v>179</v>
      </c>
      <c r="E178" s="227"/>
      <c r="F178" s="225">
        <f>F177</f>
        <v>0</v>
      </c>
      <c r="G178" s="225">
        <f t="shared" ref="G178:G181" si="214">G177</f>
        <v>0</v>
      </c>
      <c r="H178" s="225">
        <f t="shared" ref="H178:H181" si="215">H177</f>
        <v>0</v>
      </c>
      <c r="J178" s="320">
        <f>E178*F178*G178*H178</f>
        <v>0</v>
      </c>
      <c r="L178" s="336">
        <v>0</v>
      </c>
      <c r="N178" s="320">
        <v>0</v>
      </c>
      <c r="P178" s="336">
        <v>0</v>
      </c>
      <c r="R178" s="320">
        <v>0</v>
      </c>
      <c r="T178" s="336">
        <v>0</v>
      </c>
      <c r="V178" s="320">
        <v>0</v>
      </c>
      <c r="X178" s="336">
        <v>0</v>
      </c>
      <c r="Z178" s="320">
        <v>0</v>
      </c>
      <c r="AB178" s="336">
        <v>0</v>
      </c>
      <c r="AD178" s="320">
        <f t="shared" si="212"/>
        <v>0</v>
      </c>
      <c r="AE178" s="170"/>
      <c r="AF178" s="189">
        <f t="shared" si="213"/>
        <v>0</v>
      </c>
      <c r="AH178" s="81"/>
      <c r="AN178" s="213"/>
      <c r="AS178" s="213"/>
      <c r="AX178" s="213"/>
      <c r="BC178" s="213"/>
      <c r="BH178" s="213"/>
    </row>
    <row r="179" spans="1:60" outlineLevel="1" x14ac:dyDescent="0.25">
      <c r="A179" s="168" t="s">
        <v>231</v>
      </c>
      <c r="B179" s="187"/>
      <c r="C179" s="28"/>
      <c r="D179" s="167" t="s">
        <v>195</v>
      </c>
      <c r="E179" s="224"/>
      <c r="F179" s="225">
        <f>F178</f>
        <v>0</v>
      </c>
      <c r="G179" s="225">
        <f t="shared" si="214"/>
        <v>0</v>
      </c>
      <c r="H179" s="225">
        <f t="shared" si="215"/>
        <v>0</v>
      </c>
      <c r="J179" s="320">
        <f>E179*F179*G179*H179</f>
        <v>0</v>
      </c>
      <c r="L179" s="336">
        <v>0</v>
      </c>
      <c r="N179" s="320">
        <v>0</v>
      </c>
      <c r="P179" s="336">
        <v>0</v>
      </c>
      <c r="R179" s="320">
        <v>0</v>
      </c>
      <c r="T179" s="336">
        <v>0</v>
      </c>
      <c r="V179" s="320">
        <v>0</v>
      </c>
      <c r="X179" s="336">
        <v>0</v>
      </c>
      <c r="Z179" s="320">
        <v>0</v>
      </c>
      <c r="AB179" s="336">
        <v>0</v>
      </c>
      <c r="AD179" s="320">
        <f t="shared" si="212"/>
        <v>0</v>
      </c>
      <c r="AE179" s="170"/>
      <c r="AF179" s="189">
        <f t="shared" si="213"/>
        <v>0</v>
      </c>
      <c r="AN179" s="213"/>
      <c r="AS179" s="213"/>
      <c r="AX179" s="213"/>
      <c r="BC179" s="213"/>
      <c r="BH179" s="213"/>
    </row>
    <row r="180" spans="1:60" outlineLevel="1" x14ac:dyDescent="0.25">
      <c r="A180" s="168" t="s">
        <v>231</v>
      </c>
      <c r="B180" s="187"/>
      <c r="C180" s="28"/>
      <c r="D180" s="167" t="s">
        <v>174</v>
      </c>
      <c r="E180" s="224"/>
      <c r="F180" s="222"/>
      <c r="G180" s="225">
        <f t="shared" si="214"/>
        <v>0</v>
      </c>
      <c r="H180" s="225">
        <f t="shared" si="215"/>
        <v>0</v>
      </c>
      <c r="J180" s="320">
        <f>E180*G180*H180</f>
        <v>0</v>
      </c>
      <c r="L180" s="336">
        <v>0</v>
      </c>
      <c r="N180" s="320">
        <v>0</v>
      </c>
      <c r="P180" s="336">
        <v>0</v>
      </c>
      <c r="R180" s="320">
        <v>0</v>
      </c>
      <c r="T180" s="336">
        <v>0</v>
      </c>
      <c r="V180" s="320">
        <v>0</v>
      </c>
      <c r="X180" s="336">
        <v>0</v>
      </c>
      <c r="Z180" s="320">
        <v>0</v>
      </c>
      <c r="AB180" s="336">
        <v>0</v>
      </c>
      <c r="AD180" s="320">
        <f t="shared" si="212"/>
        <v>0</v>
      </c>
      <c r="AE180" s="170"/>
      <c r="AF180" s="189">
        <f t="shared" si="213"/>
        <v>0</v>
      </c>
      <c r="AN180" s="213"/>
      <c r="AS180" s="213"/>
      <c r="AX180" s="213"/>
      <c r="BC180" s="213"/>
      <c r="BH180" s="213"/>
    </row>
    <row r="181" spans="1:60" outlineLevel="1" x14ac:dyDescent="0.25">
      <c r="A181" s="168" t="s">
        <v>231</v>
      </c>
      <c r="B181" s="187"/>
      <c r="C181" s="28"/>
      <c r="D181" s="167" t="s">
        <v>82</v>
      </c>
      <c r="E181" s="224"/>
      <c r="F181" s="222"/>
      <c r="G181" s="225">
        <f t="shared" si="214"/>
        <v>0</v>
      </c>
      <c r="H181" s="225">
        <f t="shared" si="215"/>
        <v>0</v>
      </c>
      <c r="J181" s="320">
        <f>E181*G181*H181</f>
        <v>0</v>
      </c>
      <c r="L181" s="336">
        <v>0</v>
      </c>
      <c r="N181" s="320">
        <v>0</v>
      </c>
      <c r="P181" s="336">
        <v>0</v>
      </c>
      <c r="R181" s="320">
        <v>0</v>
      </c>
      <c r="T181" s="336">
        <v>0</v>
      </c>
      <c r="V181" s="320">
        <v>0</v>
      </c>
      <c r="X181" s="336">
        <v>0</v>
      </c>
      <c r="Z181" s="320">
        <v>0</v>
      </c>
      <c r="AB181" s="336">
        <v>0</v>
      </c>
      <c r="AD181" s="320">
        <f t="shared" si="212"/>
        <v>0</v>
      </c>
      <c r="AE181" s="170"/>
      <c r="AF181" s="189">
        <f t="shared" si="213"/>
        <v>0</v>
      </c>
      <c r="AN181" s="213"/>
      <c r="AS181" s="213"/>
      <c r="AX181" s="213"/>
      <c r="BC181" s="213"/>
      <c r="BH181" s="213"/>
    </row>
    <row r="182" spans="1:60" outlineLevel="1" x14ac:dyDescent="0.25">
      <c r="A182" s="168"/>
      <c r="B182" s="187"/>
      <c r="E182" s="221"/>
      <c r="F182" s="222"/>
      <c r="G182" s="222"/>
      <c r="H182" s="222"/>
      <c r="L182" s="336"/>
      <c r="P182" s="336"/>
      <c r="R182" s="320"/>
      <c r="T182" s="336"/>
      <c r="V182" s="320"/>
      <c r="X182" s="336"/>
      <c r="Z182" s="320"/>
      <c r="AB182" s="336"/>
      <c r="AE182" s="170"/>
      <c r="AF182" s="189"/>
      <c r="AN182" s="213"/>
      <c r="AS182" s="213"/>
      <c r="AX182" s="213"/>
      <c r="BC182" s="213"/>
      <c r="BH182" s="213"/>
    </row>
    <row r="183" spans="1:60" outlineLevel="1" x14ac:dyDescent="0.25">
      <c r="A183" s="168"/>
      <c r="B183" s="187"/>
      <c r="C183" s="223" t="s">
        <v>48</v>
      </c>
      <c r="D183" s="28"/>
      <c r="E183" s="221" t="s">
        <v>70</v>
      </c>
      <c r="F183" s="222" t="s">
        <v>96</v>
      </c>
      <c r="G183" s="222" t="s">
        <v>184</v>
      </c>
      <c r="H183" s="222" t="s">
        <v>69</v>
      </c>
      <c r="I183" s="228"/>
      <c r="L183" s="336"/>
      <c r="P183" s="336"/>
      <c r="R183" s="320"/>
      <c r="T183" s="336"/>
      <c r="V183" s="320"/>
      <c r="X183" s="336"/>
      <c r="Z183" s="320"/>
      <c r="AB183" s="336"/>
      <c r="AE183" s="170"/>
      <c r="AF183" s="229"/>
      <c r="AN183" s="213"/>
      <c r="AS183" s="213"/>
      <c r="AX183" s="213"/>
      <c r="BC183" s="213"/>
      <c r="BH183" s="213"/>
    </row>
    <row r="184" spans="1:60" outlineLevel="1" x14ac:dyDescent="0.25">
      <c r="A184" s="168" t="s">
        <v>231</v>
      </c>
      <c r="B184" s="187"/>
      <c r="C184" s="28"/>
      <c r="D184" s="28" t="s">
        <v>71</v>
      </c>
      <c r="E184" s="230">
        <v>0.7</v>
      </c>
      <c r="F184" s="222"/>
      <c r="G184" s="222"/>
      <c r="H184" s="222"/>
      <c r="I184" s="228"/>
      <c r="J184" s="320">
        <f>E184*F184*G184*H184</f>
        <v>0</v>
      </c>
      <c r="L184" s="336">
        <v>0</v>
      </c>
      <c r="N184" s="320">
        <v>0</v>
      </c>
      <c r="P184" s="336">
        <v>0</v>
      </c>
      <c r="R184" s="320">
        <v>0</v>
      </c>
      <c r="T184" s="336">
        <v>0</v>
      </c>
      <c r="V184" s="320">
        <v>0</v>
      </c>
      <c r="X184" s="336">
        <v>0</v>
      </c>
      <c r="Z184" s="320">
        <v>0</v>
      </c>
      <c r="AB184" s="336">
        <v>0</v>
      </c>
      <c r="AD184" s="320">
        <f>J184+N184+R184+V184+Z184</f>
        <v>0</v>
      </c>
      <c r="AE184" s="170"/>
      <c r="AF184" s="189">
        <f>L184+P184+T184+X184+AB184</f>
        <v>0</v>
      </c>
      <c r="AN184" s="213"/>
      <c r="AS184" s="213"/>
      <c r="AX184" s="213"/>
      <c r="BC184" s="213"/>
      <c r="BH184" s="213"/>
    </row>
    <row r="185" spans="1:60" outlineLevel="1" x14ac:dyDescent="0.25">
      <c r="A185" s="168"/>
      <c r="B185" s="187"/>
      <c r="C185" s="28"/>
      <c r="D185" s="28"/>
      <c r="E185" s="230"/>
      <c r="F185" s="222"/>
      <c r="G185" s="222"/>
      <c r="H185" s="222"/>
      <c r="I185" s="228"/>
      <c r="L185" s="336"/>
      <c r="P185" s="336"/>
      <c r="R185" s="320"/>
      <c r="T185" s="336"/>
      <c r="V185" s="320"/>
      <c r="X185" s="336"/>
      <c r="Z185" s="320"/>
      <c r="AB185" s="336"/>
      <c r="AE185" s="170"/>
      <c r="AF185" s="189"/>
      <c r="AN185" s="213"/>
      <c r="AS185" s="213"/>
      <c r="AX185" s="213"/>
      <c r="BC185" s="213"/>
      <c r="BH185" s="213"/>
    </row>
    <row r="186" spans="1:60" x14ac:dyDescent="0.25">
      <c r="A186" s="168"/>
      <c r="B186" s="187"/>
      <c r="C186" s="28"/>
      <c r="E186" s="231"/>
      <c r="G186" s="214"/>
      <c r="H186" s="232" t="s">
        <v>46</v>
      </c>
      <c r="I186" s="228"/>
      <c r="J186" s="347">
        <f>SUM(J150:J185)</f>
        <v>0</v>
      </c>
      <c r="K186" s="347"/>
      <c r="L186" s="348">
        <f>SUM(L151:L185)</f>
        <v>0</v>
      </c>
      <c r="M186" s="347"/>
      <c r="N186" s="347">
        <f>SUM(N150:N185)</f>
        <v>0</v>
      </c>
      <c r="O186" s="349"/>
      <c r="P186" s="348">
        <f>SUM(P151:P185)</f>
        <v>0</v>
      </c>
      <c r="Q186" s="349"/>
      <c r="R186" s="347">
        <f>SUM(R150:R185)</f>
        <v>0</v>
      </c>
      <c r="S186" s="349"/>
      <c r="T186" s="348">
        <f>SUM(T151:T185)</f>
        <v>0</v>
      </c>
      <c r="U186" s="349"/>
      <c r="V186" s="347">
        <f>SUM(V150:V185)</f>
        <v>0</v>
      </c>
      <c r="W186" s="349"/>
      <c r="X186" s="348">
        <f>SUM(X151:X185)</f>
        <v>0</v>
      </c>
      <c r="Y186" s="349"/>
      <c r="Z186" s="347">
        <f>SUM(Z150:Z185)</f>
        <v>0</v>
      </c>
      <c r="AA186" s="349"/>
      <c r="AB186" s="348">
        <f>SUM(AB151:AB185)</f>
        <v>0</v>
      </c>
      <c r="AC186" s="349"/>
      <c r="AD186" s="347">
        <f>J186+N186+R186+V186+Z186</f>
        <v>0</v>
      </c>
      <c r="AE186" s="228"/>
      <c r="AF186" s="229">
        <f>L186+P186+T186+X186+AB186</f>
        <v>0</v>
      </c>
      <c r="AN186" s="213"/>
      <c r="AS186" s="213"/>
      <c r="AX186" s="213"/>
      <c r="BC186" s="213"/>
      <c r="BH186" s="213"/>
    </row>
    <row r="187" spans="1:60" x14ac:dyDescent="0.25">
      <c r="A187" s="168"/>
      <c r="B187" s="187"/>
      <c r="C187" s="28"/>
      <c r="E187" s="231"/>
      <c r="G187" s="214"/>
      <c r="H187" s="232"/>
      <c r="I187" s="228"/>
      <c r="J187" s="347"/>
      <c r="K187" s="347"/>
      <c r="L187" s="348"/>
      <c r="M187" s="347"/>
      <c r="N187" s="347"/>
      <c r="O187" s="349"/>
      <c r="P187" s="348"/>
      <c r="Q187" s="349"/>
      <c r="R187" s="347"/>
      <c r="S187" s="349"/>
      <c r="T187" s="348"/>
      <c r="U187" s="349"/>
      <c r="V187" s="347"/>
      <c r="W187" s="349"/>
      <c r="X187" s="348"/>
      <c r="Y187" s="349"/>
      <c r="Z187" s="347"/>
      <c r="AA187" s="349"/>
      <c r="AB187" s="348"/>
      <c r="AC187" s="349"/>
      <c r="AD187" s="347"/>
      <c r="AE187" s="228"/>
      <c r="AF187" s="229"/>
      <c r="AN187" s="213"/>
      <c r="AS187" s="213"/>
      <c r="AX187" s="213"/>
      <c r="BC187" s="213"/>
      <c r="BH187" s="213"/>
    </row>
    <row r="188" spans="1:60" outlineLevel="1" x14ac:dyDescent="0.25">
      <c r="A188" s="168"/>
      <c r="B188" s="187"/>
      <c r="C188" s="220" t="s">
        <v>28</v>
      </c>
      <c r="E188" s="221" t="s">
        <v>70</v>
      </c>
      <c r="F188" s="222" t="s">
        <v>68</v>
      </c>
      <c r="G188" s="222" t="s">
        <v>81</v>
      </c>
      <c r="H188" s="222" t="s">
        <v>69</v>
      </c>
      <c r="L188" s="336"/>
      <c r="P188" s="336"/>
      <c r="R188" s="320"/>
      <c r="T188" s="336"/>
      <c r="V188" s="320"/>
      <c r="X188" s="336"/>
      <c r="Z188" s="320"/>
      <c r="AB188" s="336"/>
      <c r="AE188" s="228"/>
      <c r="AF188" s="229"/>
      <c r="AN188" s="213"/>
      <c r="AS188" s="213"/>
      <c r="AX188" s="213"/>
      <c r="BC188" s="213"/>
      <c r="BH188" s="213"/>
    </row>
    <row r="189" spans="1:60" outlineLevel="1" x14ac:dyDescent="0.25">
      <c r="A189" s="168"/>
      <c r="B189" s="187"/>
      <c r="C189" s="223" t="s">
        <v>71</v>
      </c>
      <c r="E189" s="221"/>
      <c r="F189" s="222"/>
      <c r="G189" s="222"/>
      <c r="H189" s="222"/>
      <c r="L189" s="336"/>
      <c r="P189" s="336"/>
      <c r="R189" s="320"/>
      <c r="T189" s="336"/>
      <c r="V189" s="320"/>
      <c r="X189" s="344"/>
      <c r="AB189" s="344"/>
      <c r="AE189" s="170"/>
      <c r="AF189" s="189"/>
      <c r="AN189" s="213"/>
      <c r="AS189" s="213"/>
      <c r="AX189" s="213"/>
      <c r="BC189" s="213"/>
      <c r="BH189" s="213"/>
    </row>
    <row r="190" spans="1:60" outlineLevel="1" x14ac:dyDescent="0.25">
      <c r="A190" s="168" t="s">
        <v>232</v>
      </c>
      <c r="B190" s="187"/>
      <c r="C190" s="28"/>
      <c r="D190" s="167" t="s">
        <v>72</v>
      </c>
      <c r="E190" s="224"/>
      <c r="F190" s="222"/>
      <c r="G190" s="225">
        <v>0</v>
      </c>
      <c r="H190" s="225">
        <v>0</v>
      </c>
      <c r="J190" s="320">
        <f>E190*G190*H190</f>
        <v>0</v>
      </c>
      <c r="L190" s="336">
        <v>0</v>
      </c>
      <c r="N190" s="320">
        <v>0</v>
      </c>
      <c r="P190" s="336">
        <v>0</v>
      </c>
      <c r="R190" s="320">
        <v>0</v>
      </c>
      <c r="T190" s="336">
        <v>0</v>
      </c>
      <c r="V190" s="320">
        <v>0</v>
      </c>
      <c r="X190" s="336">
        <v>0</v>
      </c>
      <c r="Z190" s="320">
        <v>0</v>
      </c>
      <c r="AB190" s="336">
        <v>0</v>
      </c>
      <c r="AD190" s="320">
        <f>J190+N190+R190+V190+Z190</f>
        <v>0</v>
      </c>
      <c r="AF190" s="189">
        <f>L190+P190+T190+X190+AB190</f>
        <v>0</v>
      </c>
      <c r="AN190" s="213"/>
      <c r="AS190" s="213"/>
      <c r="AX190" s="213"/>
      <c r="BC190" s="213"/>
      <c r="BH190" s="213"/>
    </row>
    <row r="191" spans="1:60" outlineLevel="1" x14ac:dyDescent="0.25">
      <c r="A191" s="168" t="s">
        <v>232</v>
      </c>
      <c r="B191" s="187"/>
      <c r="C191" s="28"/>
      <c r="D191" s="226" t="s">
        <v>173</v>
      </c>
      <c r="E191" s="224"/>
      <c r="F191" s="225">
        <v>0</v>
      </c>
      <c r="G191" s="225">
        <f>G190</f>
        <v>0</v>
      </c>
      <c r="H191" s="225">
        <f t="shared" ref="H191:H192" si="216">H190</f>
        <v>0</v>
      </c>
      <c r="J191" s="320">
        <f>E191*F191*G191*H191</f>
        <v>0</v>
      </c>
      <c r="L191" s="336">
        <v>0</v>
      </c>
      <c r="N191" s="320">
        <v>0</v>
      </c>
      <c r="P191" s="336">
        <v>0</v>
      </c>
      <c r="R191" s="320">
        <v>0</v>
      </c>
      <c r="T191" s="336">
        <v>0</v>
      </c>
      <c r="V191" s="320">
        <v>0</v>
      </c>
      <c r="X191" s="336">
        <v>0</v>
      </c>
      <c r="Z191" s="320">
        <v>0</v>
      </c>
      <c r="AB191" s="336">
        <v>0</v>
      </c>
      <c r="AD191" s="320">
        <f>J191+N191+R191+V191+Z191</f>
        <v>0</v>
      </c>
      <c r="AF191" s="189">
        <f t="shared" ref="AF191" si="217">L191+P191+T191+X191+AB191</f>
        <v>0</v>
      </c>
      <c r="AN191" s="213"/>
      <c r="AS191" s="213"/>
      <c r="AX191" s="213"/>
      <c r="BC191" s="213"/>
      <c r="BH191" s="213"/>
    </row>
    <row r="192" spans="1:60" outlineLevel="1" x14ac:dyDescent="0.25">
      <c r="A192" s="168" t="s">
        <v>232</v>
      </c>
      <c r="B192" s="187"/>
      <c r="C192" s="28"/>
      <c r="D192" s="167" t="s">
        <v>194</v>
      </c>
      <c r="E192" s="224"/>
      <c r="F192" s="225">
        <f>F191</f>
        <v>0</v>
      </c>
      <c r="G192" s="225">
        <f>G191</f>
        <v>0</v>
      </c>
      <c r="H192" s="225">
        <f t="shared" si="216"/>
        <v>0</v>
      </c>
      <c r="J192" s="320">
        <f>E192*F192*G192*H192</f>
        <v>0</v>
      </c>
      <c r="L192" s="336">
        <v>0</v>
      </c>
      <c r="N192" s="320">
        <v>0</v>
      </c>
      <c r="P192" s="336">
        <v>0</v>
      </c>
      <c r="R192" s="320">
        <v>0</v>
      </c>
      <c r="T192" s="336">
        <v>0</v>
      </c>
      <c r="V192" s="320">
        <v>0</v>
      </c>
      <c r="X192" s="336">
        <v>0</v>
      </c>
      <c r="Z192" s="320">
        <v>0</v>
      </c>
      <c r="AB192" s="336">
        <v>0</v>
      </c>
      <c r="AD192" s="320">
        <f>J192+N192+R192+V192+Z192</f>
        <v>0</v>
      </c>
      <c r="AE192" s="170"/>
      <c r="AF192" s="189">
        <f>L192+P192+T192+X192+AB192</f>
        <v>0</v>
      </c>
      <c r="AH192" s="81"/>
      <c r="AN192" s="213"/>
      <c r="AS192" s="213"/>
      <c r="AX192" s="213"/>
      <c r="BC192" s="213"/>
      <c r="BH192" s="213"/>
    </row>
    <row r="193" spans="1:60" outlineLevel="1" x14ac:dyDescent="0.25">
      <c r="A193" s="168" t="s">
        <v>232</v>
      </c>
      <c r="B193" s="187"/>
      <c r="C193" s="28"/>
      <c r="D193" s="167" t="s">
        <v>174</v>
      </c>
      <c r="E193" s="224"/>
      <c r="F193" s="222"/>
      <c r="G193" s="225">
        <f>G192</f>
        <v>0</v>
      </c>
      <c r="H193" s="225">
        <f>H192</f>
        <v>0</v>
      </c>
      <c r="J193" s="320">
        <f>E193*G193*H193</f>
        <v>0</v>
      </c>
      <c r="L193" s="336"/>
      <c r="N193" s="320">
        <v>0</v>
      </c>
      <c r="P193" s="336"/>
      <c r="R193" s="320">
        <v>0</v>
      </c>
      <c r="T193" s="336"/>
      <c r="V193" s="320">
        <v>0</v>
      </c>
      <c r="X193" s="336"/>
      <c r="Z193" s="320">
        <v>0</v>
      </c>
      <c r="AB193" s="336"/>
      <c r="AD193" s="320">
        <f t="shared" ref="AD193:AD194" si="218">J193+N193+R193+V193+Z193</f>
        <v>0</v>
      </c>
      <c r="AE193" s="170"/>
      <c r="AF193" s="189"/>
      <c r="AH193" s="81"/>
      <c r="AN193" s="213"/>
      <c r="AS193" s="213"/>
      <c r="AX193" s="213"/>
      <c r="BC193" s="213"/>
      <c r="BH193" s="213"/>
    </row>
    <row r="194" spans="1:60" outlineLevel="1" x14ac:dyDescent="0.25">
      <c r="A194" s="168" t="s">
        <v>232</v>
      </c>
      <c r="B194" s="187"/>
      <c r="C194" s="28"/>
      <c r="D194" s="167" t="s">
        <v>279</v>
      </c>
      <c r="E194" s="227"/>
      <c r="F194" s="222"/>
      <c r="G194" s="225">
        <f>G193</f>
        <v>0</v>
      </c>
      <c r="H194" s="225">
        <f>H193</f>
        <v>0</v>
      </c>
      <c r="J194" s="320">
        <f>E194*G194*H194</f>
        <v>0</v>
      </c>
      <c r="L194" s="336"/>
      <c r="N194" s="320">
        <v>0</v>
      </c>
      <c r="P194" s="336"/>
      <c r="R194" s="320">
        <v>0</v>
      </c>
      <c r="T194" s="336"/>
      <c r="V194" s="320">
        <v>0</v>
      </c>
      <c r="X194" s="336"/>
      <c r="Z194" s="320">
        <v>0</v>
      </c>
      <c r="AB194" s="336"/>
      <c r="AD194" s="320">
        <f t="shared" si="218"/>
        <v>0</v>
      </c>
      <c r="AE194" s="170"/>
      <c r="AF194" s="189"/>
      <c r="AH194" s="81"/>
      <c r="AN194" s="213"/>
      <c r="AS194" s="213"/>
      <c r="AX194" s="213"/>
      <c r="BC194" s="213"/>
      <c r="BH194" s="213"/>
    </row>
    <row r="195" spans="1:60" outlineLevel="1" x14ac:dyDescent="0.25">
      <c r="A195" s="168" t="s">
        <v>232</v>
      </c>
      <c r="B195" s="187"/>
      <c r="C195" s="28"/>
      <c r="D195" s="167" t="s">
        <v>82</v>
      </c>
      <c r="E195" s="224"/>
      <c r="F195" s="222"/>
      <c r="G195" s="225">
        <f>G193</f>
        <v>0</v>
      </c>
      <c r="H195" s="225">
        <f>H193</f>
        <v>0</v>
      </c>
      <c r="J195" s="320">
        <f>E195*G195*H195</f>
        <v>0</v>
      </c>
      <c r="L195" s="336">
        <v>0</v>
      </c>
      <c r="N195" s="320">
        <v>0</v>
      </c>
      <c r="P195" s="336">
        <v>0</v>
      </c>
      <c r="R195" s="320">
        <v>0</v>
      </c>
      <c r="T195" s="336">
        <v>0</v>
      </c>
      <c r="V195" s="320">
        <v>0</v>
      </c>
      <c r="X195" s="336">
        <v>0</v>
      </c>
      <c r="Z195" s="320">
        <v>0</v>
      </c>
      <c r="AB195" s="336">
        <v>0</v>
      </c>
      <c r="AD195" s="320">
        <f>J195+N195+R195+V195+Z195</f>
        <v>0</v>
      </c>
      <c r="AE195" s="170"/>
      <c r="AF195" s="189">
        <f>L195+P195+T195+X195+AB195</f>
        <v>0</v>
      </c>
      <c r="AN195" s="213"/>
      <c r="AS195" s="213"/>
      <c r="AX195" s="213"/>
      <c r="BC195" s="213"/>
      <c r="BH195" s="213"/>
    </row>
    <row r="196" spans="1:60" outlineLevel="1" x14ac:dyDescent="0.25">
      <c r="A196" s="168"/>
      <c r="B196" s="187"/>
      <c r="C196" s="28"/>
      <c r="E196" s="221"/>
      <c r="F196" s="222"/>
      <c r="G196" s="222"/>
      <c r="H196" s="222"/>
      <c r="L196" s="336"/>
      <c r="P196" s="336"/>
      <c r="R196" s="320"/>
      <c r="T196" s="336"/>
      <c r="V196" s="320"/>
      <c r="X196" s="336"/>
      <c r="Z196" s="320"/>
      <c r="AB196" s="336"/>
      <c r="AE196" s="170"/>
      <c r="AF196" s="189"/>
      <c r="AN196" s="213"/>
      <c r="AS196" s="213"/>
      <c r="AX196" s="213"/>
      <c r="BC196" s="213"/>
      <c r="BH196" s="213"/>
    </row>
    <row r="197" spans="1:60" outlineLevel="1" x14ac:dyDescent="0.25">
      <c r="A197" s="168"/>
      <c r="B197" s="187"/>
      <c r="C197" s="220" t="s">
        <v>71</v>
      </c>
      <c r="E197" s="221"/>
      <c r="F197" s="222"/>
      <c r="G197" s="222"/>
      <c r="H197" s="222"/>
      <c r="L197" s="336"/>
      <c r="P197" s="336"/>
      <c r="T197" s="344"/>
      <c r="X197" s="344"/>
      <c r="AB197" s="344"/>
      <c r="AE197" s="170"/>
      <c r="AF197" s="189"/>
      <c r="AN197" s="213"/>
      <c r="AS197" s="213"/>
      <c r="AX197" s="213"/>
      <c r="BC197" s="213"/>
      <c r="BH197" s="213"/>
    </row>
    <row r="198" spans="1:60" outlineLevel="1" x14ac:dyDescent="0.25">
      <c r="A198" s="168" t="s">
        <v>232</v>
      </c>
      <c r="B198" s="187"/>
      <c r="C198" s="28"/>
      <c r="D198" s="167" t="s">
        <v>72</v>
      </c>
      <c r="E198" s="224"/>
      <c r="F198" s="222"/>
      <c r="G198" s="225"/>
      <c r="H198" s="225"/>
      <c r="J198" s="320">
        <f>E198*G198*H198</f>
        <v>0</v>
      </c>
      <c r="L198" s="336">
        <v>0</v>
      </c>
      <c r="N198" s="320">
        <v>0</v>
      </c>
      <c r="P198" s="336">
        <v>0</v>
      </c>
      <c r="R198" s="320">
        <v>0</v>
      </c>
      <c r="T198" s="336">
        <v>0</v>
      </c>
      <c r="V198" s="320">
        <v>0</v>
      </c>
      <c r="X198" s="336">
        <v>0</v>
      </c>
      <c r="Z198" s="320">
        <v>0</v>
      </c>
      <c r="AB198" s="336">
        <v>0</v>
      </c>
      <c r="AD198" s="320">
        <f>J198+N198+R198+V198+Z198</f>
        <v>0</v>
      </c>
      <c r="AF198" s="189">
        <f t="shared" ref="AF198:AF199" si="219">L198+P198+T198+X198+AB198</f>
        <v>0</v>
      </c>
      <c r="AN198" s="213"/>
      <c r="AS198" s="213"/>
      <c r="AX198" s="213"/>
      <c r="BC198" s="213"/>
      <c r="BH198" s="213"/>
    </row>
    <row r="199" spans="1:60" outlineLevel="1" x14ac:dyDescent="0.25">
      <c r="A199" s="168" t="s">
        <v>232</v>
      </c>
      <c r="B199" s="187"/>
      <c r="C199" s="28"/>
      <c r="D199" s="226" t="s">
        <v>173</v>
      </c>
      <c r="E199" s="224"/>
      <c r="F199" s="225">
        <v>0</v>
      </c>
      <c r="G199" s="225">
        <f>G198</f>
        <v>0</v>
      </c>
      <c r="H199" s="225">
        <f t="shared" ref="H199:H200" si="220">H198</f>
        <v>0</v>
      </c>
      <c r="J199" s="320">
        <f>E199*F199*G199*H199</f>
        <v>0</v>
      </c>
      <c r="L199" s="336">
        <v>0</v>
      </c>
      <c r="N199" s="320">
        <v>0</v>
      </c>
      <c r="P199" s="336">
        <v>0</v>
      </c>
      <c r="R199" s="320">
        <v>0</v>
      </c>
      <c r="T199" s="336">
        <v>0</v>
      </c>
      <c r="V199" s="320">
        <v>0</v>
      </c>
      <c r="X199" s="336">
        <v>0</v>
      </c>
      <c r="Z199" s="320">
        <v>0</v>
      </c>
      <c r="AB199" s="336">
        <v>0</v>
      </c>
      <c r="AD199" s="320">
        <f>J199+N199+R199+V199+Z199</f>
        <v>0</v>
      </c>
      <c r="AF199" s="189">
        <f t="shared" si="219"/>
        <v>0</v>
      </c>
      <c r="AN199" s="213"/>
      <c r="AS199" s="213"/>
      <c r="AX199" s="213"/>
      <c r="BC199" s="213"/>
      <c r="BH199" s="213"/>
    </row>
    <row r="200" spans="1:60" outlineLevel="1" x14ac:dyDescent="0.25">
      <c r="A200" s="168" t="s">
        <v>232</v>
      </c>
      <c r="B200" s="187"/>
      <c r="C200" s="28"/>
      <c r="D200" s="167" t="s">
        <v>194</v>
      </c>
      <c r="E200" s="224"/>
      <c r="F200" s="225">
        <f>F199</f>
        <v>0</v>
      </c>
      <c r="G200" s="225">
        <f t="shared" ref="G200" si="221">G199</f>
        <v>0</v>
      </c>
      <c r="H200" s="225">
        <f t="shared" si="220"/>
        <v>0</v>
      </c>
      <c r="J200" s="320">
        <f>E200*F200*G200*H200</f>
        <v>0</v>
      </c>
      <c r="L200" s="336">
        <v>0</v>
      </c>
      <c r="N200" s="320">
        <v>0</v>
      </c>
      <c r="P200" s="336">
        <v>0</v>
      </c>
      <c r="R200" s="320">
        <v>0</v>
      </c>
      <c r="T200" s="336">
        <v>0</v>
      </c>
      <c r="V200" s="320">
        <v>0</v>
      </c>
      <c r="X200" s="336">
        <v>0</v>
      </c>
      <c r="Z200" s="320">
        <v>0</v>
      </c>
      <c r="AB200" s="336">
        <v>0</v>
      </c>
      <c r="AD200" s="320">
        <f>J200+N200+R200+V200+Z200</f>
        <v>0</v>
      </c>
      <c r="AE200" s="170"/>
      <c r="AF200" s="189">
        <f>L200+P200+T200+X200+AB200</f>
        <v>0</v>
      </c>
      <c r="AH200" s="81"/>
      <c r="AN200" s="213"/>
      <c r="AS200" s="213"/>
      <c r="AX200" s="213"/>
      <c r="BC200" s="213"/>
      <c r="BH200" s="213"/>
    </row>
    <row r="201" spans="1:60" outlineLevel="1" x14ac:dyDescent="0.25">
      <c r="A201" s="168" t="s">
        <v>232</v>
      </c>
      <c r="B201" s="187"/>
      <c r="C201" s="28"/>
      <c r="D201" s="167" t="s">
        <v>174</v>
      </c>
      <c r="E201" s="224"/>
      <c r="F201" s="222"/>
      <c r="G201" s="225">
        <f>G200</f>
        <v>0</v>
      </c>
      <c r="H201" s="225">
        <f>H200</f>
        <v>0</v>
      </c>
      <c r="J201" s="320">
        <f>E201*G201*H201</f>
        <v>0</v>
      </c>
      <c r="L201" s="336"/>
      <c r="N201" s="320">
        <v>0</v>
      </c>
      <c r="P201" s="336"/>
      <c r="R201" s="320">
        <v>0</v>
      </c>
      <c r="T201" s="336"/>
      <c r="V201" s="320">
        <v>0</v>
      </c>
      <c r="X201" s="336"/>
      <c r="Z201" s="320">
        <v>0</v>
      </c>
      <c r="AB201" s="336"/>
      <c r="AD201" s="320">
        <f t="shared" ref="AD201:AD202" si="222">J201+N201+R201+V201+Z201</f>
        <v>0</v>
      </c>
      <c r="AE201" s="170"/>
      <c r="AF201" s="189"/>
      <c r="AH201" s="81"/>
      <c r="AN201" s="213"/>
      <c r="AS201" s="213"/>
      <c r="AX201" s="213"/>
      <c r="BC201" s="213"/>
      <c r="BH201" s="213"/>
    </row>
    <row r="202" spans="1:60" outlineLevel="1" x14ac:dyDescent="0.25">
      <c r="A202" s="168" t="s">
        <v>232</v>
      </c>
      <c r="B202" s="187"/>
      <c r="C202" s="28"/>
      <c r="D202" s="167" t="s">
        <v>279</v>
      </c>
      <c r="E202" s="227"/>
      <c r="F202" s="222"/>
      <c r="G202" s="225">
        <f>G201</f>
        <v>0</v>
      </c>
      <c r="H202" s="225">
        <f>H201</f>
        <v>0</v>
      </c>
      <c r="J202" s="320">
        <f>E202*G202*H202</f>
        <v>0</v>
      </c>
      <c r="L202" s="336"/>
      <c r="N202" s="320">
        <v>0</v>
      </c>
      <c r="P202" s="336"/>
      <c r="R202" s="320">
        <v>0</v>
      </c>
      <c r="T202" s="336"/>
      <c r="V202" s="320">
        <v>0</v>
      </c>
      <c r="X202" s="336"/>
      <c r="Z202" s="320">
        <v>0</v>
      </c>
      <c r="AB202" s="336"/>
      <c r="AD202" s="320">
        <f t="shared" si="222"/>
        <v>0</v>
      </c>
      <c r="AE202" s="170"/>
      <c r="AF202" s="189"/>
      <c r="AH202" s="81"/>
      <c r="AN202" s="213"/>
      <c r="AS202" s="213"/>
      <c r="AX202" s="213"/>
      <c r="BC202" s="213"/>
      <c r="BH202" s="213"/>
    </row>
    <row r="203" spans="1:60" outlineLevel="1" x14ac:dyDescent="0.25">
      <c r="A203" s="168" t="s">
        <v>232</v>
      </c>
      <c r="B203" s="187"/>
      <c r="C203" s="28"/>
      <c r="D203" s="167" t="s">
        <v>82</v>
      </c>
      <c r="E203" s="224"/>
      <c r="F203" s="222"/>
      <c r="G203" s="225">
        <f>G201</f>
        <v>0</v>
      </c>
      <c r="H203" s="225">
        <f>H201</f>
        <v>0</v>
      </c>
      <c r="J203" s="320">
        <f>E203*G203*H203</f>
        <v>0</v>
      </c>
      <c r="L203" s="336">
        <v>0</v>
      </c>
      <c r="N203" s="320">
        <v>0</v>
      </c>
      <c r="P203" s="336">
        <v>0</v>
      </c>
      <c r="R203" s="320">
        <v>0</v>
      </c>
      <c r="T203" s="336">
        <v>0</v>
      </c>
      <c r="V203" s="320">
        <v>0</v>
      </c>
      <c r="X203" s="336">
        <v>0</v>
      </c>
      <c r="Z203" s="320">
        <v>0</v>
      </c>
      <c r="AB203" s="336">
        <v>0</v>
      </c>
      <c r="AD203" s="320">
        <f>J203+N203+R203+V203+Z203</f>
        <v>0</v>
      </c>
      <c r="AE203" s="170"/>
      <c r="AF203" s="189">
        <f>L203+P203+T203+X203+AB203</f>
        <v>0</v>
      </c>
      <c r="AN203" s="213"/>
      <c r="AS203" s="213"/>
      <c r="AX203" s="213"/>
      <c r="BC203" s="213"/>
      <c r="BH203" s="213"/>
    </row>
    <row r="204" spans="1:60" outlineLevel="1" x14ac:dyDescent="0.25">
      <c r="A204" s="168"/>
      <c r="B204" s="187"/>
      <c r="E204" s="221"/>
      <c r="F204" s="222"/>
      <c r="G204" s="222"/>
      <c r="H204" s="222"/>
      <c r="L204" s="336"/>
      <c r="P204" s="336"/>
      <c r="R204" s="320"/>
      <c r="T204" s="336"/>
      <c r="V204" s="320"/>
      <c r="X204" s="336"/>
      <c r="Z204" s="320"/>
      <c r="AB204" s="336"/>
      <c r="AE204" s="170"/>
      <c r="AF204" s="189"/>
      <c r="AN204" s="213"/>
      <c r="AS204" s="213"/>
      <c r="AX204" s="213"/>
      <c r="BC204" s="213"/>
      <c r="BH204" s="213"/>
    </row>
    <row r="205" spans="1:60" outlineLevel="1" x14ac:dyDescent="0.25">
      <c r="A205" s="168"/>
      <c r="B205" s="187"/>
      <c r="C205" s="220" t="s">
        <v>71</v>
      </c>
      <c r="E205" s="221"/>
      <c r="F205" s="222"/>
      <c r="G205" s="222"/>
      <c r="H205" s="222"/>
      <c r="L205" s="336"/>
      <c r="P205" s="336"/>
      <c r="T205" s="344"/>
      <c r="X205" s="344"/>
      <c r="AB205" s="344"/>
      <c r="AE205" s="170"/>
      <c r="AF205" s="189"/>
      <c r="AN205" s="213"/>
      <c r="AS205" s="213"/>
      <c r="AX205" s="213"/>
      <c r="BC205" s="213"/>
      <c r="BH205" s="213"/>
    </row>
    <row r="206" spans="1:60" outlineLevel="1" x14ac:dyDescent="0.25">
      <c r="A206" s="168" t="s">
        <v>232</v>
      </c>
      <c r="B206" s="187"/>
      <c r="C206" s="28"/>
      <c r="D206" s="167" t="s">
        <v>72</v>
      </c>
      <c r="E206" s="224"/>
      <c r="F206" s="222"/>
      <c r="G206" s="225"/>
      <c r="H206" s="225"/>
      <c r="J206" s="320">
        <f>E206*G206*H206</f>
        <v>0</v>
      </c>
      <c r="L206" s="336">
        <v>0</v>
      </c>
      <c r="N206" s="320">
        <v>0</v>
      </c>
      <c r="P206" s="336">
        <v>0</v>
      </c>
      <c r="R206" s="320">
        <v>0</v>
      </c>
      <c r="T206" s="336">
        <v>0</v>
      </c>
      <c r="V206" s="320">
        <v>0</v>
      </c>
      <c r="X206" s="336">
        <v>0</v>
      </c>
      <c r="Z206" s="320">
        <v>0</v>
      </c>
      <c r="AB206" s="336">
        <v>0</v>
      </c>
      <c r="AD206" s="320">
        <f>J206+N206+R206+V206+Z206</f>
        <v>0</v>
      </c>
      <c r="AF206" s="189">
        <f t="shared" ref="AF206:AF207" si="223">L206+P206+T206+X206+AB206</f>
        <v>0</v>
      </c>
      <c r="AN206" s="213"/>
      <c r="AS206" s="213"/>
      <c r="AX206" s="213"/>
      <c r="BC206" s="213"/>
      <c r="BH206" s="213"/>
    </row>
    <row r="207" spans="1:60" outlineLevel="1" x14ac:dyDescent="0.25">
      <c r="A207" s="168" t="s">
        <v>232</v>
      </c>
      <c r="B207" s="187"/>
      <c r="C207" s="28"/>
      <c r="D207" s="226" t="s">
        <v>173</v>
      </c>
      <c r="E207" s="224"/>
      <c r="F207" s="225">
        <v>0</v>
      </c>
      <c r="G207" s="225">
        <f>G206</f>
        <v>0</v>
      </c>
      <c r="H207" s="225">
        <f t="shared" ref="H207:H208" si="224">H206</f>
        <v>0</v>
      </c>
      <c r="J207" s="320">
        <f>E207*F207*G207*H207</f>
        <v>0</v>
      </c>
      <c r="L207" s="336">
        <v>0</v>
      </c>
      <c r="N207" s="320">
        <v>0</v>
      </c>
      <c r="P207" s="336">
        <v>0</v>
      </c>
      <c r="R207" s="320">
        <v>0</v>
      </c>
      <c r="T207" s="336">
        <v>0</v>
      </c>
      <c r="V207" s="320">
        <v>0</v>
      </c>
      <c r="X207" s="336">
        <v>0</v>
      </c>
      <c r="Z207" s="320">
        <v>0</v>
      </c>
      <c r="AB207" s="336">
        <v>0</v>
      </c>
      <c r="AD207" s="320">
        <f>J207+N207+R207+V207+Z207</f>
        <v>0</v>
      </c>
      <c r="AF207" s="189">
        <f t="shared" si="223"/>
        <v>0</v>
      </c>
      <c r="AN207" s="213"/>
      <c r="AS207" s="213"/>
      <c r="AX207" s="213"/>
      <c r="BC207" s="213"/>
      <c r="BH207" s="213"/>
    </row>
    <row r="208" spans="1:60" outlineLevel="1" x14ac:dyDescent="0.25">
      <c r="A208" s="168" t="s">
        <v>232</v>
      </c>
      <c r="B208" s="187"/>
      <c r="C208" s="28"/>
      <c r="D208" s="167" t="s">
        <v>194</v>
      </c>
      <c r="E208" s="224"/>
      <c r="F208" s="225">
        <f>F207</f>
        <v>0</v>
      </c>
      <c r="G208" s="225">
        <f t="shared" ref="G208" si="225">G207</f>
        <v>0</v>
      </c>
      <c r="H208" s="225">
        <f t="shared" si="224"/>
        <v>0</v>
      </c>
      <c r="L208" s="336">
        <v>0</v>
      </c>
      <c r="P208" s="336">
        <v>0</v>
      </c>
      <c r="R208" s="320">
        <v>0</v>
      </c>
      <c r="T208" s="336">
        <v>0</v>
      </c>
      <c r="V208" s="320">
        <v>0</v>
      </c>
      <c r="X208" s="336">
        <v>0</v>
      </c>
      <c r="Z208" s="320">
        <v>0</v>
      </c>
      <c r="AB208" s="336">
        <v>0</v>
      </c>
      <c r="AD208" s="320">
        <f>J208+N208+R208+V208+Z208</f>
        <v>0</v>
      </c>
      <c r="AE208" s="170"/>
      <c r="AF208" s="189">
        <f>L208+P208+T208+X208+AB208</f>
        <v>0</v>
      </c>
      <c r="AH208" s="81"/>
      <c r="AN208" s="213"/>
      <c r="AS208" s="213"/>
      <c r="AX208" s="213"/>
      <c r="BC208" s="213"/>
      <c r="BH208" s="213"/>
    </row>
    <row r="209" spans="1:60" outlineLevel="1" x14ac:dyDescent="0.25">
      <c r="A209" s="168" t="s">
        <v>232</v>
      </c>
      <c r="B209" s="187"/>
      <c r="C209" s="28"/>
      <c r="D209" s="167" t="s">
        <v>174</v>
      </c>
      <c r="E209" s="224"/>
      <c r="F209" s="222"/>
      <c r="G209" s="225">
        <f>G208</f>
        <v>0</v>
      </c>
      <c r="H209" s="225">
        <f>H208</f>
        <v>0</v>
      </c>
      <c r="J209" s="320">
        <f>E209*G209*H209</f>
        <v>0</v>
      </c>
      <c r="L209" s="336"/>
      <c r="N209" s="320">
        <v>0</v>
      </c>
      <c r="P209" s="336"/>
      <c r="R209" s="320">
        <v>0</v>
      </c>
      <c r="T209" s="336"/>
      <c r="V209" s="320">
        <v>0</v>
      </c>
      <c r="X209" s="336"/>
      <c r="Z209" s="320">
        <v>0</v>
      </c>
      <c r="AB209" s="336"/>
      <c r="AD209" s="320">
        <f t="shared" ref="AD209:AD210" si="226">J209+N209+R209+V209+Z209</f>
        <v>0</v>
      </c>
      <c r="AE209" s="170"/>
      <c r="AF209" s="189"/>
      <c r="AH209" s="81"/>
      <c r="AN209" s="213"/>
      <c r="AS209" s="213"/>
      <c r="AX209" s="213"/>
      <c r="BC209" s="213"/>
      <c r="BH209" s="213"/>
    </row>
    <row r="210" spans="1:60" outlineLevel="1" x14ac:dyDescent="0.25">
      <c r="A210" s="168" t="s">
        <v>232</v>
      </c>
      <c r="B210" s="187"/>
      <c r="C210" s="28"/>
      <c r="D210" s="167" t="s">
        <v>279</v>
      </c>
      <c r="E210" s="227"/>
      <c r="F210" s="222"/>
      <c r="G210" s="225">
        <f>G209</f>
        <v>0</v>
      </c>
      <c r="H210" s="225">
        <f>H209</f>
        <v>0</v>
      </c>
      <c r="L210" s="336"/>
      <c r="P210" s="336"/>
      <c r="R210" s="320"/>
      <c r="T210" s="336"/>
      <c r="V210" s="320">
        <v>0</v>
      </c>
      <c r="X210" s="336"/>
      <c r="Z210" s="320">
        <v>0</v>
      </c>
      <c r="AB210" s="336"/>
      <c r="AD210" s="320">
        <f t="shared" si="226"/>
        <v>0</v>
      </c>
      <c r="AE210" s="170"/>
      <c r="AF210" s="189"/>
      <c r="AH210" s="81"/>
      <c r="AN210" s="213"/>
      <c r="AS210" s="213"/>
      <c r="AX210" s="213"/>
      <c r="BC210" s="213"/>
      <c r="BH210" s="213"/>
    </row>
    <row r="211" spans="1:60" outlineLevel="1" x14ac:dyDescent="0.25">
      <c r="A211" s="168" t="s">
        <v>232</v>
      </c>
      <c r="B211" s="187"/>
      <c r="C211" s="28"/>
      <c r="D211" s="167" t="s">
        <v>82</v>
      </c>
      <c r="E211" s="224"/>
      <c r="F211" s="222"/>
      <c r="G211" s="225">
        <f>G209</f>
        <v>0</v>
      </c>
      <c r="H211" s="225">
        <f>H209</f>
        <v>0</v>
      </c>
      <c r="J211" s="320">
        <f>E211*G211*H211</f>
        <v>0</v>
      </c>
      <c r="L211" s="336">
        <v>0</v>
      </c>
      <c r="N211" s="320">
        <v>0</v>
      </c>
      <c r="P211" s="336">
        <v>0</v>
      </c>
      <c r="R211" s="320">
        <v>0</v>
      </c>
      <c r="T211" s="336">
        <v>0</v>
      </c>
      <c r="V211" s="320">
        <v>0</v>
      </c>
      <c r="X211" s="336">
        <v>0</v>
      </c>
      <c r="Z211" s="320">
        <v>0</v>
      </c>
      <c r="AB211" s="336">
        <v>0</v>
      </c>
      <c r="AD211" s="320">
        <f>J211+N211+R211+V211+Z211</f>
        <v>0</v>
      </c>
      <c r="AE211" s="170"/>
      <c r="AF211" s="189">
        <f>L211+P211+T211+X211+AB211</f>
        <v>0</v>
      </c>
      <c r="AN211" s="213"/>
      <c r="AS211" s="213"/>
      <c r="AX211" s="213"/>
      <c r="BC211" s="213"/>
      <c r="BH211" s="213"/>
    </row>
    <row r="212" spans="1:60" x14ac:dyDescent="0.25">
      <c r="A212" s="168"/>
      <c r="B212" s="187"/>
      <c r="E212" s="234"/>
      <c r="G212" s="214"/>
      <c r="H212" s="232" t="s">
        <v>47</v>
      </c>
      <c r="J212" s="350">
        <f>SUM(J189:J211)</f>
        <v>0</v>
      </c>
      <c r="K212" s="350"/>
      <c r="L212" s="351">
        <f>SUM(L189:L211)</f>
        <v>0</v>
      </c>
      <c r="M212" s="350"/>
      <c r="N212" s="350">
        <f>SUM(N189:N211)</f>
        <v>0</v>
      </c>
      <c r="O212" s="352"/>
      <c r="P212" s="351">
        <f>SUM(P189:P211)</f>
        <v>0</v>
      </c>
      <c r="Q212" s="352"/>
      <c r="R212" s="350">
        <f>SUM(R189:R211)</f>
        <v>0</v>
      </c>
      <c r="S212" s="352"/>
      <c r="T212" s="351">
        <f>SUM(T189:T211)</f>
        <v>0</v>
      </c>
      <c r="U212" s="352"/>
      <c r="V212" s="350">
        <f>SUM(V189:V211)</f>
        <v>0</v>
      </c>
      <c r="W212" s="352"/>
      <c r="X212" s="351">
        <f>SUM(X189:X211)</f>
        <v>0</v>
      </c>
      <c r="Y212" s="352"/>
      <c r="Z212" s="350">
        <f>SUM(Z189:Z211)</f>
        <v>0</v>
      </c>
      <c r="AA212" s="352"/>
      <c r="AB212" s="351">
        <f>SUM(AB189:AB211)</f>
        <v>0</v>
      </c>
      <c r="AC212" s="352"/>
      <c r="AD212" s="350">
        <f>SUM(AD190:AD211)</f>
        <v>0</v>
      </c>
      <c r="AE212" s="170"/>
      <c r="AF212" s="236">
        <f>SUM(AF190:AF211)</f>
        <v>0</v>
      </c>
      <c r="AN212" s="213"/>
      <c r="AS212" s="213"/>
      <c r="AX212" s="213"/>
      <c r="BC212" s="213"/>
      <c r="BH212" s="213"/>
    </row>
    <row r="213" spans="1:60" ht="9" customHeight="1" x14ac:dyDescent="0.25">
      <c r="B213" s="187"/>
      <c r="J213" s="340"/>
      <c r="L213" s="341"/>
      <c r="N213" s="340"/>
      <c r="P213" s="341"/>
      <c r="R213" s="340"/>
      <c r="T213" s="341"/>
      <c r="V213" s="340"/>
      <c r="X213" s="341"/>
      <c r="Z213" s="340"/>
      <c r="AB213" s="341"/>
      <c r="AD213" s="340"/>
      <c r="AF213" s="212"/>
      <c r="AN213" s="213"/>
      <c r="AS213" s="213"/>
      <c r="AX213" s="213"/>
      <c r="BC213" s="213"/>
      <c r="BH213" s="213"/>
    </row>
    <row r="214" spans="1:60" x14ac:dyDescent="0.25">
      <c r="B214" s="187"/>
      <c r="C214" s="167" t="s">
        <v>21</v>
      </c>
      <c r="J214" s="320">
        <f>+J212+J186</f>
        <v>0</v>
      </c>
      <c r="L214" s="336">
        <f>L212+L186</f>
        <v>0</v>
      </c>
      <c r="N214" s="320">
        <f>N212+N186</f>
        <v>0</v>
      </c>
      <c r="P214" s="336">
        <f>P212+P186</f>
        <v>0</v>
      </c>
      <c r="R214" s="320">
        <f>R212+R186</f>
        <v>0</v>
      </c>
      <c r="T214" s="336">
        <f>T212+T186</f>
        <v>0</v>
      </c>
      <c r="V214" s="320">
        <f>V212+V186</f>
        <v>0</v>
      </c>
      <c r="X214" s="336">
        <f>X212+X186</f>
        <v>0</v>
      </c>
      <c r="Z214" s="320">
        <f>Z212+Z186</f>
        <v>0</v>
      </c>
      <c r="AB214" s="336">
        <f>AB212+AB186</f>
        <v>0</v>
      </c>
      <c r="AD214" s="320">
        <f>J214+N214+R214+V214+Z214</f>
        <v>0</v>
      </c>
      <c r="AE214" s="170"/>
      <c r="AF214" s="189">
        <f>L214+P214+T214+X214+AB214</f>
        <v>0</v>
      </c>
      <c r="AN214" s="213"/>
      <c r="AS214" s="213"/>
      <c r="AX214" s="213"/>
      <c r="BC214" s="213"/>
      <c r="BH214" s="213"/>
    </row>
    <row r="215" spans="1:60" x14ac:dyDescent="0.25">
      <c r="L215" s="336"/>
      <c r="P215" s="336"/>
      <c r="R215" s="320"/>
      <c r="T215" s="344"/>
      <c r="X215" s="344"/>
      <c r="AB215" s="344"/>
      <c r="AF215" s="190"/>
      <c r="AN215" s="213"/>
      <c r="AS215" s="213"/>
      <c r="AX215" s="213"/>
      <c r="BC215" s="213"/>
      <c r="BH215" s="213"/>
    </row>
    <row r="216" spans="1:60" x14ac:dyDescent="0.25">
      <c r="B216" s="187" t="s">
        <v>11</v>
      </c>
      <c r="C216" s="187" t="s">
        <v>29</v>
      </c>
      <c r="L216" s="336"/>
      <c r="P216" s="336"/>
      <c r="T216" s="344"/>
      <c r="X216" s="344"/>
      <c r="AB216" s="344"/>
      <c r="AF216" s="190"/>
      <c r="AN216" s="213"/>
      <c r="AS216" s="213"/>
      <c r="AX216" s="213"/>
      <c r="BC216" s="213"/>
      <c r="BH216" s="213"/>
    </row>
    <row r="217" spans="1:60" outlineLevel="1" x14ac:dyDescent="0.25">
      <c r="B217" s="187"/>
      <c r="C217" s="220"/>
      <c r="E217" s="221" t="s">
        <v>70</v>
      </c>
      <c r="F217" s="214" t="s">
        <v>73</v>
      </c>
      <c r="G217" s="214"/>
      <c r="L217" s="336"/>
      <c r="P217" s="336"/>
      <c r="T217" s="344"/>
      <c r="X217" s="344"/>
      <c r="AB217" s="344"/>
      <c r="AF217" s="190"/>
      <c r="AN217" s="213"/>
      <c r="AS217" s="213"/>
      <c r="AX217" s="213"/>
      <c r="BC217" s="213"/>
      <c r="BH217" s="213"/>
    </row>
    <row r="218" spans="1:60" outlineLevel="1" x14ac:dyDescent="0.25">
      <c r="A218" s="168" t="s">
        <v>234</v>
      </c>
      <c r="B218" s="187"/>
      <c r="C218" s="167" t="s">
        <v>33</v>
      </c>
      <c r="E218" s="224"/>
      <c r="F218" s="225"/>
      <c r="J218" s="320">
        <f>E218*F218</f>
        <v>0</v>
      </c>
      <c r="L218" s="336">
        <v>0</v>
      </c>
      <c r="N218" s="320">
        <v>0</v>
      </c>
      <c r="P218" s="336">
        <v>0</v>
      </c>
      <c r="R218" s="320">
        <v>0</v>
      </c>
      <c r="T218" s="336">
        <v>0</v>
      </c>
      <c r="V218" s="320">
        <v>0</v>
      </c>
      <c r="X218" s="336">
        <v>0</v>
      </c>
      <c r="Z218" s="320">
        <v>0</v>
      </c>
      <c r="AA218" s="320"/>
      <c r="AB218" s="336">
        <v>0</v>
      </c>
      <c r="AD218" s="320">
        <f>J218+N218+R218+V218+Z218</f>
        <v>0</v>
      </c>
      <c r="AE218" s="170"/>
      <c r="AF218" s="189">
        <f>L218+P218+T218+X218+AB218</f>
        <v>0</v>
      </c>
      <c r="AN218" s="213"/>
      <c r="AS218" s="213"/>
      <c r="AX218" s="213"/>
      <c r="BC218" s="213"/>
      <c r="BH218" s="213"/>
    </row>
    <row r="219" spans="1:60" outlineLevel="1" x14ac:dyDescent="0.25">
      <c r="A219" s="168" t="s">
        <v>238</v>
      </c>
      <c r="B219" s="187"/>
      <c r="C219" s="167" t="s">
        <v>10</v>
      </c>
      <c r="E219" s="224"/>
      <c r="F219" s="225"/>
      <c r="J219" s="320">
        <f>E219*F219</f>
        <v>0</v>
      </c>
      <c r="L219" s="336">
        <v>0</v>
      </c>
      <c r="N219" s="320">
        <v>0</v>
      </c>
      <c r="P219" s="336">
        <v>0</v>
      </c>
      <c r="R219" s="320">
        <v>0</v>
      </c>
      <c r="T219" s="336">
        <v>0</v>
      </c>
      <c r="V219" s="320">
        <v>0</v>
      </c>
      <c r="X219" s="336">
        <v>0</v>
      </c>
      <c r="Z219" s="320">
        <v>0</v>
      </c>
      <c r="AA219" s="320"/>
      <c r="AB219" s="336">
        <v>0</v>
      </c>
      <c r="AD219" s="320">
        <f>J219+N219+R219+V219+Z219</f>
        <v>0</v>
      </c>
      <c r="AE219" s="170"/>
      <c r="AF219" s="189">
        <f>L219+P219+T219+X219+AB219</f>
        <v>0</v>
      </c>
      <c r="AN219" s="213"/>
      <c r="AS219" s="213"/>
      <c r="AX219" s="213"/>
      <c r="BC219" s="213"/>
      <c r="BH219" s="213"/>
    </row>
    <row r="220" spans="1:60" outlineLevel="1" x14ac:dyDescent="0.25">
      <c r="A220" s="168" t="s">
        <v>236</v>
      </c>
      <c r="B220" s="187"/>
      <c r="C220" s="28" t="s">
        <v>34</v>
      </c>
      <c r="E220" s="224"/>
      <c r="F220" s="225"/>
      <c r="J220" s="320">
        <f>E220*F220</f>
        <v>0</v>
      </c>
      <c r="L220" s="336">
        <v>0</v>
      </c>
      <c r="N220" s="320">
        <v>0</v>
      </c>
      <c r="P220" s="336">
        <v>0</v>
      </c>
      <c r="R220" s="320">
        <v>0</v>
      </c>
      <c r="T220" s="336">
        <v>0</v>
      </c>
      <c r="V220" s="320">
        <v>0</v>
      </c>
      <c r="X220" s="336">
        <v>0</v>
      </c>
      <c r="Z220" s="320">
        <v>0</v>
      </c>
      <c r="AA220" s="320"/>
      <c r="AB220" s="336">
        <v>0</v>
      </c>
      <c r="AD220" s="320">
        <f>J220+N220+R220+V220+Z220</f>
        <v>0</v>
      </c>
      <c r="AE220" s="170"/>
      <c r="AF220" s="189">
        <f>L220+P220+T220+X220+AB220</f>
        <v>0</v>
      </c>
      <c r="AN220" s="213"/>
      <c r="AS220" s="213"/>
      <c r="AX220" s="213"/>
      <c r="BC220" s="213"/>
      <c r="BH220" s="213"/>
    </row>
    <row r="221" spans="1:60" outlineLevel="1" x14ac:dyDescent="0.25">
      <c r="A221" s="168" t="s">
        <v>235</v>
      </c>
      <c r="B221" s="187"/>
      <c r="C221" s="28" t="s">
        <v>35</v>
      </c>
      <c r="E221" s="224"/>
      <c r="F221" s="225"/>
      <c r="J221" s="320">
        <f>E221*F221</f>
        <v>0</v>
      </c>
      <c r="L221" s="336">
        <v>0</v>
      </c>
      <c r="N221" s="320">
        <v>0</v>
      </c>
      <c r="P221" s="336">
        <v>0</v>
      </c>
      <c r="R221" s="320">
        <v>0</v>
      </c>
      <c r="T221" s="336">
        <v>0</v>
      </c>
      <c r="V221" s="320">
        <v>0</v>
      </c>
      <c r="X221" s="336">
        <v>0</v>
      </c>
      <c r="Z221" s="320">
        <v>0</v>
      </c>
      <c r="AA221" s="320"/>
      <c r="AB221" s="336">
        <v>0</v>
      </c>
      <c r="AD221" s="320">
        <f>J221+N221+R221+V221+Z221</f>
        <v>0</v>
      </c>
      <c r="AE221" s="170"/>
      <c r="AF221" s="189">
        <f>L221+P221+T221+X221+AB221</f>
        <v>0</v>
      </c>
      <c r="AN221" s="213"/>
      <c r="AS221" s="213"/>
      <c r="AX221" s="213"/>
      <c r="BC221" s="213"/>
      <c r="BH221" s="213"/>
    </row>
    <row r="222" spans="1:60" outlineLevel="1" x14ac:dyDescent="0.25">
      <c r="B222" s="187"/>
      <c r="C222" s="28"/>
      <c r="E222" s="221"/>
      <c r="F222" s="222"/>
      <c r="L222" s="336"/>
      <c r="P222" s="336"/>
      <c r="R222" s="320"/>
      <c r="T222" s="336"/>
      <c r="V222" s="320"/>
      <c r="X222" s="336"/>
      <c r="Z222" s="320"/>
      <c r="AB222" s="336"/>
      <c r="AE222" s="170"/>
      <c r="AF222" s="189"/>
      <c r="AN222" s="213"/>
      <c r="AS222" s="213"/>
      <c r="AX222" s="213"/>
      <c r="BC222" s="213"/>
      <c r="BH222" s="213"/>
    </row>
    <row r="223" spans="1:60" outlineLevel="1" x14ac:dyDescent="0.25">
      <c r="A223" s="168" t="s">
        <v>233</v>
      </c>
      <c r="B223" s="187"/>
      <c r="C223" s="167" t="s">
        <v>33</v>
      </c>
      <c r="E223" s="224"/>
      <c r="F223" s="225"/>
      <c r="J223" s="320">
        <f>E223*F223</f>
        <v>0</v>
      </c>
      <c r="L223" s="336">
        <v>0</v>
      </c>
      <c r="N223" s="320">
        <v>0</v>
      </c>
      <c r="P223" s="336">
        <v>0</v>
      </c>
      <c r="R223" s="320">
        <v>0</v>
      </c>
      <c r="T223" s="336">
        <v>0</v>
      </c>
      <c r="V223" s="320">
        <v>0</v>
      </c>
      <c r="X223" s="336">
        <v>0</v>
      </c>
      <c r="Z223" s="320">
        <v>0</v>
      </c>
      <c r="AA223" s="320"/>
      <c r="AB223" s="336">
        <v>0</v>
      </c>
      <c r="AD223" s="320">
        <f>J223+N223+R223+V223+Z223</f>
        <v>0</v>
      </c>
      <c r="AE223" s="170"/>
      <c r="AF223" s="189">
        <f>L223+P223+T223+X223+AB223</f>
        <v>0</v>
      </c>
      <c r="AN223" s="213"/>
      <c r="AS223" s="213"/>
      <c r="AX223" s="213"/>
      <c r="BC223" s="213"/>
      <c r="BH223" s="213"/>
    </row>
    <row r="224" spans="1:60" outlineLevel="1" x14ac:dyDescent="0.25">
      <c r="A224" s="168" t="s">
        <v>236</v>
      </c>
      <c r="B224" s="187"/>
      <c r="C224" s="167" t="s">
        <v>10</v>
      </c>
      <c r="E224" s="224"/>
      <c r="F224" s="225"/>
      <c r="J224" s="320">
        <f>E224*F224</f>
        <v>0</v>
      </c>
      <c r="L224" s="336">
        <v>0</v>
      </c>
      <c r="N224" s="320">
        <v>0</v>
      </c>
      <c r="P224" s="336">
        <v>0</v>
      </c>
      <c r="R224" s="320">
        <v>0</v>
      </c>
      <c r="T224" s="336">
        <v>0</v>
      </c>
      <c r="V224" s="320">
        <v>0</v>
      </c>
      <c r="X224" s="336">
        <v>0</v>
      </c>
      <c r="Z224" s="320">
        <v>0</v>
      </c>
      <c r="AA224" s="320"/>
      <c r="AB224" s="336">
        <v>0</v>
      </c>
      <c r="AD224" s="320">
        <f>J224+N224+R224+V224+Z224</f>
        <v>0</v>
      </c>
      <c r="AE224" s="170"/>
      <c r="AF224" s="189">
        <f>L224+P224+T224+X224+AB224</f>
        <v>0</v>
      </c>
      <c r="AN224" s="213"/>
      <c r="AS224" s="213"/>
      <c r="AX224" s="213"/>
      <c r="BC224" s="213"/>
      <c r="BH224" s="213"/>
    </row>
    <row r="225" spans="1:60" outlineLevel="1" x14ac:dyDescent="0.25">
      <c r="A225" s="168" t="s">
        <v>236</v>
      </c>
      <c r="B225" s="187"/>
      <c r="C225" s="28" t="s">
        <v>34</v>
      </c>
      <c r="E225" s="224"/>
      <c r="F225" s="225"/>
      <c r="J225" s="320">
        <f>E225*F225</f>
        <v>0</v>
      </c>
      <c r="L225" s="336">
        <v>0</v>
      </c>
      <c r="N225" s="320">
        <v>0</v>
      </c>
      <c r="P225" s="336">
        <v>0</v>
      </c>
      <c r="R225" s="320">
        <v>0</v>
      </c>
      <c r="T225" s="336">
        <v>0</v>
      </c>
      <c r="V225" s="320">
        <v>0</v>
      </c>
      <c r="X225" s="336">
        <v>0</v>
      </c>
      <c r="Z225" s="320">
        <v>0</v>
      </c>
      <c r="AA225" s="320"/>
      <c r="AB225" s="336">
        <v>0</v>
      </c>
      <c r="AD225" s="320">
        <f>J225+N225+R225+V225+Z225</f>
        <v>0</v>
      </c>
      <c r="AE225" s="170"/>
      <c r="AF225" s="189">
        <f>L225+P225+T225+X225+AB225</f>
        <v>0</v>
      </c>
      <c r="AN225" s="213"/>
      <c r="AS225" s="213"/>
      <c r="AX225" s="213"/>
      <c r="BC225" s="213"/>
      <c r="BH225" s="213"/>
    </row>
    <row r="226" spans="1:60" outlineLevel="1" x14ac:dyDescent="0.25">
      <c r="A226" s="168" t="s">
        <v>235</v>
      </c>
      <c r="B226" s="187"/>
      <c r="C226" s="28" t="s">
        <v>35</v>
      </c>
      <c r="E226" s="224"/>
      <c r="F226" s="225"/>
      <c r="J226" s="320">
        <f>E226*F226</f>
        <v>0</v>
      </c>
      <c r="L226" s="336">
        <v>0</v>
      </c>
      <c r="N226" s="320">
        <v>0</v>
      </c>
      <c r="P226" s="336">
        <v>0</v>
      </c>
      <c r="R226" s="320">
        <v>0</v>
      </c>
      <c r="T226" s="336">
        <v>0</v>
      </c>
      <c r="V226" s="320">
        <v>0</v>
      </c>
      <c r="X226" s="336">
        <v>0</v>
      </c>
      <c r="Z226" s="320">
        <v>0</v>
      </c>
      <c r="AA226" s="320"/>
      <c r="AB226" s="336">
        <v>0</v>
      </c>
      <c r="AD226" s="320">
        <f>J226+N226+R226+V226+Z226</f>
        <v>0</v>
      </c>
      <c r="AE226" s="170"/>
      <c r="AF226" s="189">
        <f>L226+P226+T226+X226+AB226</f>
        <v>0</v>
      </c>
      <c r="AN226" s="213"/>
      <c r="AS226" s="213"/>
      <c r="AX226" s="213"/>
      <c r="BC226" s="213"/>
      <c r="BH226" s="213"/>
    </row>
    <row r="227" spans="1:60" ht="9.6" customHeight="1" x14ac:dyDescent="0.25">
      <c r="B227" s="187"/>
      <c r="J227" s="340"/>
      <c r="L227" s="341"/>
      <c r="N227" s="340"/>
      <c r="P227" s="341"/>
      <c r="R227" s="340"/>
      <c r="T227" s="341"/>
      <c r="V227" s="340"/>
      <c r="X227" s="341"/>
      <c r="Z227" s="340"/>
      <c r="AB227" s="341"/>
      <c r="AD227" s="340"/>
      <c r="AF227" s="212"/>
      <c r="AN227" s="213"/>
      <c r="AS227" s="213"/>
      <c r="AX227" s="213"/>
      <c r="BC227" s="213"/>
      <c r="BH227" s="213"/>
    </row>
    <row r="228" spans="1:60" x14ac:dyDescent="0.25">
      <c r="B228" s="187"/>
      <c r="C228" s="167" t="s">
        <v>44</v>
      </c>
      <c r="J228" s="320">
        <f>SUM(J217:J226)</f>
        <v>0</v>
      </c>
      <c r="L228" s="336">
        <f>SUM(L217:L226)</f>
        <v>0</v>
      </c>
      <c r="N228" s="320">
        <f>SUM(N217:N226)</f>
        <v>0</v>
      </c>
      <c r="O228" s="320"/>
      <c r="P228" s="336">
        <f>SUM(P217:P226)</f>
        <v>0</v>
      </c>
      <c r="R228" s="320">
        <f>SUM(R217:R226)</f>
        <v>0</v>
      </c>
      <c r="S228" s="320"/>
      <c r="T228" s="336">
        <f>SUM(T217:T226)</f>
        <v>0</v>
      </c>
      <c r="V228" s="320">
        <f>SUM(V217:V226)</f>
        <v>0</v>
      </c>
      <c r="W228" s="320"/>
      <c r="X228" s="336">
        <f>SUM(X217:X226)</f>
        <v>0</v>
      </c>
      <c r="Z228" s="320">
        <f>SUM(Z217:Z226)</f>
        <v>0</v>
      </c>
      <c r="AA228" s="320"/>
      <c r="AB228" s="336">
        <f>SUM(AB217:AB226)</f>
        <v>0</v>
      </c>
      <c r="AD228" s="320">
        <f>J228+N228+R228+V228+Z228</f>
        <v>0</v>
      </c>
      <c r="AE228" s="170"/>
      <c r="AF228" s="189">
        <f>L228+P228+T228+X228+AB228</f>
        <v>0</v>
      </c>
      <c r="AN228" s="213"/>
      <c r="AS228" s="213"/>
      <c r="AX228" s="213"/>
      <c r="BC228" s="213"/>
      <c r="BH228" s="213"/>
    </row>
    <row r="229" spans="1:60" x14ac:dyDescent="0.25">
      <c r="L229" s="336"/>
      <c r="P229" s="336"/>
      <c r="T229" s="344"/>
      <c r="X229" s="344"/>
      <c r="AB229" s="344"/>
      <c r="AF229" s="190"/>
      <c r="AN229" s="213"/>
      <c r="AS229" s="213"/>
      <c r="AX229" s="213"/>
      <c r="BC229" s="213"/>
      <c r="BH229" s="213"/>
    </row>
    <row r="230" spans="1:60" x14ac:dyDescent="0.25">
      <c r="B230" s="187" t="s">
        <v>14</v>
      </c>
      <c r="C230" s="187" t="s">
        <v>12</v>
      </c>
      <c r="L230" s="336"/>
      <c r="P230" s="336"/>
      <c r="T230" s="344"/>
      <c r="X230" s="344"/>
      <c r="AB230" s="344"/>
      <c r="AF230" s="190"/>
      <c r="AN230" s="213"/>
      <c r="AS230" s="213"/>
      <c r="AX230" s="213"/>
      <c r="BC230" s="213"/>
      <c r="BH230" s="213"/>
    </row>
    <row r="231" spans="1:60" x14ac:dyDescent="0.25">
      <c r="A231" s="168" t="s">
        <v>198</v>
      </c>
      <c r="B231" s="187"/>
      <c r="C231" s="167" t="s">
        <v>45</v>
      </c>
      <c r="L231" s="336"/>
      <c r="P231" s="336"/>
      <c r="T231" s="344"/>
      <c r="X231" s="344"/>
      <c r="AB231" s="344"/>
      <c r="AF231" s="190"/>
      <c r="AN231" s="213"/>
      <c r="AS231" s="213"/>
      <c r="AX231" s="213"/>
      <c r="BC231" s="213"/>
      <c r="BH231" s="213"/>
    </row>
    <row r="232" spans="1:60" x14ac:dyDescent="0.25">
      <c r="A232" s="168" t="s">
        <v>198</v>
      </c>
      <c r="B232" s="187"/>
      <c r="C232" s="28"/>
      <c r="D232" s="167" t="s">
        <v>132</v>
      </c>
      <c r="E232" s="28"/>
      <c r="J232" s="320">
        <v>0</v>
      </c>
      <c r="L232" s="336">
        <v>0</v>
      </c>
      <c r="N232" s="320">
        <v>0</v>
      </c>
      <c r="P232" s="336">
        <v>0</v>
      </c>
      <c r="R232" s="320">
        <v>0</v>
      </c>
      <c r="T232" s="336">
        <v>0</v>
      </c>
      <c r="V232" s="320">
        <v>0</v>
      </c>
      <c r="X232" s="336">
        <v>0</v>
      </c>
      <c r="Z232" s="320">
        <v>0</v>
      </c>
      <c r="AA232" s="320"/>
      <c r="AB232" s="336">
        <v>0</v>
      </c>
      <c r="AD232" s="320">
        <f t="shared" ref="AD232:AD240" si="227">J232+N232+R232+V232+Z232</f>
        <v>0</v>
      </c>
      <c r="AE232" s="170"/>
      <c r="AF232" s="189">
        <f t="shared" ref="AF232:AF241" si="228">L232+P232+T232+X232+AB232</f>
        <v>0</v>
      </c>
      <c r="AN232" s="213"/>
      <c r="AS232" s="213"/>
      <c r="AX232" s="213"/>
      <c r="BC232" s="213"/>
      <c r="BH232" s="213"/>
    </row>
    <row r="233" spans="1:60" x14ac:dyDescent="0.25">
      <c r="A233" s="168" t="s">
        <v>198</v>
      </c>
      <c r="B233" s="187"/>
      <c r="D233" s="167" t="s">
        <v>93</v>
      </c>
      <c r="E233" s="28"/>
      <c r="J233" s="320">
        <v>0</v>
      </c>
      <c r="L233" s="336">
        <v>0</v>
      </c>
      <c r="N233" s="320">
        <v>0</v>
      </c>
      <c r="P233" s="336">
        <v>0</v>
      </c>
      <c r="R233" s="320">
        <v>0</v>
      </c>
      <c r="T233" s="336">
        <v>0</v>
      </c>
      <c r="V233" s="320">
        <v>0</v>
      </c>
      <c r="X233" s="336">
        <v>0</v>
      </c>
      <c r="Z233" s="320">
        <v>0</v>
      </c>
      <c r="AA233" s="320"/>
      <c r="AB233" s="336">
        <v>0</v>
      </c>
      <c r="AD233" s="320">
        <f t="shared" si="227"/>
        <v>0</v>
      </c>
      <c r="AE233" s="170"/>
      <c r="AF233" s="189">
        <f t="shared" si="228"/>
        <v>0</v>
      </c>
      <c r="AN233" s="213"/>
      <c r="AS233" s="213"/>
      <c r="AX233" s="213"/>
      <c r="BC233" s="213"/>
      <c r="BH233" s="213"/>
    </row>
    <row r="234" spans="1:60" x14ac:dyDescent="0.25">
      <c r="A234" s="168" t="s">
        <v>198</v>
      </c>
      <c r="B234" s="187"/>
      <c r="D234" s="167" t="s">
        <v>97</v>
      </c>
      <c r="J234" s="320">
        <v>0</v>
      </c>
      <c r="L234" s="336">
        <v>0</v>
      </c>
      <c r="N234" s="320">
        <v>0</v>
      </c>
      <c r="P234" s="336">
        <v>0</v>
      </c>
      <c r="R234" s="320">
        <v>0</v>
      </c>
      <c r="T234" s="336">
        <v>0</v>
      </c>
      <c r="V234" s="320">
        <v>0</v>
      </c>
      <c r="X234" s="336">
        <v>0</v>
      </c>
      <c r="Z234" s="320">
        <v>0</v>
      </c>
      <c r="AA234" s="320"/>
      <c r="AB234" s="336">
        <v>0</v>
      </c>
      <c r="AD234" s="320">
        <f t="shared" si="227"/>
        <v>0</v>
      </c>
      <c r="AE234" s="170"/>
      <c r="AF234" s="189">
        <f t="shared" si="228"/>
        <v>0</v>
      </c>
      <c r="AN234" s="213"/>
      <c r="AS234" s="213"/>
      <c r="AX234" s="213"/>
      <c r="BC234" s="213"/>
      <c r="BH234" s="213"/>
    </row>
    <row r="235" spans="1:60" x14ac:dyDescent="0.25">
      <c r="A235" s="168" t="s">
        <v>198</v>
      </c>
      <c r="B235" s="187"/>
      <c r="C235" s="28"/>
      <c r="D235" s="28" t="s">
        <v>185</v>
      </c>
      <c r="J235" s="320">
        <v>0</v>
      </c>
      <c r="L235" s="336">
        <v>0</v>
      </c>
      <c r="N235" s="320">
        <v>0</v>
      </c>
      <c r="P235" s="336">
        <v>0</v>
      </c>
      <c r="R235" s="320">
        <v>0</v>
      </c>
      <c r="T235" s="336">
        <v>0</v>
      </c>
      <c r="V235" s="320">
        <v>0</v>
      </c>
      <c r="X235" s="336">
        <v>0</v>
      </c>
      <c r="Z235" s="320">
        <v>0</v>
      </c>
      <c r="AA235" s="320"/>
      <c r="AB235" s="336">
        <v>0</v>
      </c>
      <c r="AD235" s="320">
        <f t="shared" si="227"/>
        <v>0</v>
      </c>
      <c r="AE235" s="170"/>
      <c r="AF235" s="189">
        <f t="shared" si="228"/>
        <v>0</v>
      </c>
      <c r="AN235" s="213"/>
      <c r="AS235" s="213"/>
      <c r="AX235" s="213"/>
      <c r="BC235" s="213"/>
      <c r="BH235" s="213"/>
    </row>
    <row r="236" spans="1:60" x14ac:dyDescent="0.25">
      <c r="A236" s="168" t="s">
        <v>198</v>
      </c>
      <c r="B236" s="187"/>
      <c r="C236" s="28"/>
      <c r="D236" s="28" t="s">
        <v>186</v>
      </c>
      <c r="E236" s="28"/>
      <c r="J236" s="320">
        <v>0</v>
      </c>
      <c r="L236" s="336">
        <v>0</v>
      </c>
      <c r="N236" s="320">
        <v>0</v>
      </c>
      <c r="P236" s="336">
        <v>0</v>
      </c>
      <c r="R236" s="320">
        <v>0</v>
      </c>
      <c r="T236" s="336">
        <v>0</v>
      </c>
      <c r="V236" s="320">
        <v>0</v>
      </c>
      <c r="X236" s="336">
        <v>0</v>
      </c>
      <c r="Z236" s="320">
        <v>0</v>
      </c>
      <c r="AA236" s="320"/>
      <c r="AB236" s="336">
        <v>0</v>
      </c>
      <c r="AD236" s="320">
        <f t="shared" si="227"/>
        <v>0</v>
      </c>
      <c r="AE236" s="170"/>
      <c r="AF236" s="189">
        <f t="shared" si="228"/>
        <v>0</v>
      </c>
      <c r="AN236" s="213"/>
      <c r="AS236" s="213"/>
      <c r="AX236" s="213"/>
      <c r="BC236" s="213"/>
      <c r="BH236" s="213"/>
    </row>
    <row r="237" spans="1:60" x14ac:dyDescent="0.25">
      <c r="A237" s="168" t="s">
        <v>201</v>
      </c>
      <c r="B237" s="187"/>
      <c r="C237" s="28"/>
      <c r="D237" s="28" t="s">
        <v>177</v>
      </c>
      <c r="E237" s="28"/>
      <c r="J237" s="320">
        <v>0</v>
      </c>
      <c r="L237" s="336">
        <v>0</v>
      </c>
      <c r="N237" s="320">
        <v>0</v>
      </c>
      <c r="P237" s="336">
        <v>0</v>
      </c>
      <c r="R237" s="320">
        <v>0</v>
      </c>
      <c r="T237" s="336">
        <v>0</v>
      </c>
      <c r="V237" s="320">
        <v>0</v>
      </c>
      <c r="X237" s="336">
        <v>0</v>
      </c>
      <c r="Z237" s="320">
        <v>0</v>
      </c>
      <c r="AA237" s="320"/>
      <c r="AB237" s="336">
        <v>0</v>
      </c>
      <c r="AD237" s="320">
        <f t="shared" si="227"/>
        <v>0</v>
      </c>
      <c r="AE237" s="170"/>
      <c r="AF237" s="189">
        <f t="shared" si="228"/>
        <v>0</v>
      </c>
      <c r="AN237" s="213"/>
      <c r="AS237" s="213"/>
      <c r="AX237" s="213"/>
      <c r="BC237" s="213"/>
      <c r="BH237" s="213"/>
    </row>
    <row r="238" spans="1:60" x14ac:dyDescent="0.25">
      <c r="A238" s="168" t="s">
        <v>201</v>
      </c>
      <c r="B238" s="187"/>
      <c r="C238" s="28"/>
      <c r="D238" s="28" t="s">
        <v>211</v>
      </c>
      <c r="E238" s="28"/>
      <c r="J238" s="320">
        <v>0</v>
      </c>
      <c r="L238" s="336">
        <v>0</v>
      </c>
      <c r="N238" s="320">
        <v>0</v>
      </c>
      <c r="P238" s="336">
        <v>0</v>
      </c>
      <c r="R238" s="320">
        <v>0</v>
      </c>
      <c r="T238" s="336">
        <v>0</v>
      </c>
      <c r="V238" s="320">
        <v>0</v>
      </c>
      <c r="X238" s="336">
        <v>0</v>
      </c>
      <c r="Z238" s="320">
        <v>0</v>
      </c>
      <c r="AA238" s="320"/>
      <c r="AB238" s="336">
        <v>0</v>
      </c>
      <c r="AD238" s="320">
        <f t="shared" ref="AD238" si="229">J238+N238+R238+V238+Z238</f>
        <v>0</v>
      </c>
      <c r="AE238" s="170"/>
      <c r="AF238" s="189">
        <f t="shared" ref="AF238" si="230">L238+P238+T238+X238+AB238</f>
        <v>0</v>
      </c>
      <c r="AN238" s="213"/>
      <c r="AS238" s="213"/>
      <c r="AX238" s="213"/>
      <c r="BC238" s="213"/>
      <c r="BH238" s="213"/>
    </row>
    <row r="239" spans="1:60" x14ac:dyDescent="0.25">
      <c r="A239" s="168" t="s">
        <v>237</v>
      </c>
      <c r="B239" s="187"/>
      <c r="C239" s="28"/>
      <c r="D239" s="28" t="s">
        <v>178</v>
      </c>
      <c r="E239" s="28"/>
      <c r="J239" s="320">
        <v>0</v>
      </c>
      <c r="L239" s="336">
        <v>0</v>
      </c>
      <c r="N239" s="320">
        <v>0</v>
      </c>
      <c r="P239" s="336">
        <v>0</v>
      </c>
      <c r="R239" s="320">
        <v>0</v>
      </c>
      <c r="T239" s="336">
        <v>0</v>
      </c>
      <c r="V239" s="320">
        <v>0</v>
      </c>
      <c r="X239" s="336">
        <v>0</v>
      </c>
      <c r="Z239" s="320">
        <v>0</v>
      </c>
      <c r="AA239" s="320"/>
      <c r="AB239" s="336">
        <v>0</v>
      </c>
      <c r="AD239" s="320">
        <f t="shared" si="227"/>
        <v>0</v>
      </c>
      <c r="AE239" s="170"/>
      <c r="AF239" s="189">
        <f t="shared" si="228"/>
        <v>0</v>
      </c>
      <c r="AN239" s="213"/>
      <c r="AS239" s="213"/>
      <c r="AX239" s="213"/>
      <c r="BC239" s="213"/>
      <c r="BH239" s="213"/>
    </row>
    <row r="240" spans="1:60" x14ac:dyDescent="0.25">
      <c r="A240" s="168" t="s">
        <v>200</v>
      </c>
      <c r="B240" s="187"/>
      <c r="C240" s="167" t="s">
        <v>26</v>
      </c>
      <c r="E240" s="28"/>
      <c r="F240" s="238"/>
      <c r="G240" s="238"/>
      <c r="H240" s="228"/>
      <c r="I240" s="228"/>
      <c r="J240" s="320">
        <v>0</v>
      </c>
      <c r="L240" s="336">
        <v>0</v>
      </c>
      <c r="N240" s="320">
        <v>0</v>
      </c>
      <c r="P240" s="336">
        <v>0</v>
      </c>
      <c r="R240" s="320">
        <v>0</v>
      </c>
      <c r="T240" s="336">
        <v>0</v>
      </c>
      <c r="V240" s="320">
        <v>0</v>
      </c>
      <c r="X240" s="336">
        <v>0</v>
      </c>
      <c r="Z240" s="320">
        <v>0</v>
      </c>
      <c r="AB240" s="336">
        <v>0</v>
      </c>
      <c r="AD240" s="320">
        <f t="shared" si="227"/>
        <v>0</v>
      </c>
      <c r="AE240" s="170"/>
      <c r="AF240" s="189">
        <f t="shared" si="228"/>
        <v>0</v>
      </c>
      <c r="AN240" s="213"/>
      <c r="AS240" s="213"/>
      <c r="AX240" s="213"/>
      <c r="BC240" s="213"/>
      <c r="BH240" s="213"/>
    </row>
    <row r="241" spans="1:60" x14ac:dyDescent="0.25">
      <c r="A241" s="168" t="s">
        <v>208</v>
      </c>
      <c r="B241" s="187"/>
      <c r="C241" s="167" t="s">
        <v>218</v>
      </c>
      <c r="E241" s="28"/>
      <c r="F241" s="238"/>
      <c r="G241" s="238"/>
      <c r="H241" s="228"/>
      <c r="I241" s="228"/>
      <c r="J241" s="320">
        <v>0</v>
      </c>
      <c r="L241" s="336">
        <v>0</v>
      </c>
      <c r="N241" s="320">
        <v>0</v>
      </c>
      <c r="P241" s="336">
        <v>0</v>
      </c>
      <c r="R241" s="320">
        <v>0</v>
      </c>
      <c r="T241" s="336">
        <v>0</v>
      </c>
      <c r="V241" s="320">
        <v>0</v>
      </c>
      <c r="X241" s="336">
        <v>0</v>
      </c>
      <c r="Z241" s="320">
        <v>0</v>
      </c>
      <c r="AB241" s="336">
        <v>0</v>
      </c>
      <c r="AD241" s="320">
        <f t="shared" ref="AD241" si="231">J241+N241+R241+V241+Z241</f>
        <v>0</v>
      </c>
      <c r="AE241" s="170"/>
      <c r="AF241" s="189">
        <f t="shared" si="228"/>
        <v>0</v>
      </c>
      <c r="AN241" s="213"/>
      <c r="AS241" s="213"/>
      <c r="AX241" s="213"/>
      <c r="BC241" s="213"/>
      <c r="BH241" s="213"/>
    </row>
    <row r="242" spans="1:60" x14ac:dyDescent="0.25">
      <c r="A242" s="168" t="s">
        <v>197</v>
      </c>
      <c r="B242" s="187"/>
      <c r="C242" s="167" t="s">
        <v>152</v>
      </c>
      <c r="E242" s="28"/>
      <c r="G242" s="167"/>
      <c r="H242" s="167"/>
      <c r="L242" s="336"/>
      <c r="P242" s="336"/>
      <c r="R242" s="320"/>
      <c r="T242" s="336"/>
      <c r="V242" s="320"/>
      <c r="X242" s="336"/>
      <c r="Z242" s="320"/>
      <c r="AA242" s="320"/>
      <c r="AB242" s="336"/>
      <c r="AE242" s="170"/>
      <c r="AF242" s="189"/>
      <c r="AN242" s="213"/>
      <c r="AS242" s="213"/>
      <c r="AX242" s="213"/>
      <c r="BC242" s="213"/>
      <c r="BH242" s="213"/>
    </row>
    <row r="243" spans="1:60" x14ac:dyDescent="0.25">
      <c r="A243" s="168" t="s">
        <v>197</v>
      </c>
      <c r="B243" s="187"/>
      <c r="C243" s="167" t="s">
        <v>283</v>
      </c>
      <c r="D243" s="28"/>
      <c r="E243" s="28"/>
      <c r="G243" s="28"/>
      <c r="H243" s="167"/>
      <c r="J243" s="320">
        <v>0</v>
      </c>
      <c r="L243" s="336">
        <v>0</v>
      </c>
      <c r="N243" s="320">
        <v>0</v>
      </c>
      <c r="P243" s="336">
        <v>0</v>
      </c>
      <c r="R243" s="320">
        <v>0</v>
      </c>
      <c r="T243" s="336">
        <v>0</v>
      </c>
      <c r="V243" s="320">
        <v>0</v>
      </c>
      <c r="X243" s="336">
        <v>0</v>
      </c>
      <c r="Z243" s="320">
        <v>0</v>
      </c>
      <c r="AA243" s="320"/>
      <c r="AB243" s="336">
        <v>0</v>
      </c>
      <c r="AD243" s="320">
        <f>J243+N243+R243+V243+Z243</f>
        <v>0</v>
      </c>
      <c r="AE243" s="170"/>
      <c r="AF243" s="189">
        <f>L243+P243+T243+X243+AB243</f>
        <v>0</v>
      </c>
      <c r="AN243" s="213"/>
      <c r="AS243" s="213"/>
      <c r="AX243" s="213"/>
      <c r="BC243" s="213"/>
      <c r="BH243" s="213"/>
    </row>
    <row r="244" spans="1:60" outlineLevel="1" x14ac:dyDescent="0.25">
      <c r="A244" s="168" t="s">
        <v>210</v>
      </c>
      <c r="B244" s="187"/>
      <c r="C244" s="167" t="s">
        <v>294</v>
      </c>
      <c r="E244" s="28"/>
      <c r="L244" s="336"/>
      <c r="O244" s="320"/>
      <c r="P244" s="336"/>
      <c r="R244" s="320"/>
      <c r="S244" s="320"/>
      <c r="T244" s="336"/>
      <c r="V244" s="320"/>
      <c r="W244" s="320"/>
      <c r="X244" s="336"/>
      <c r="Z244" s="320"/>
      <c r="AA244" s="320"/>
      <c r="AB244" s="336"/>
      <c r="AE244" s="170"/>
      <c r="AF244" s="189"/>
      <c r="AN244" s="213"/>
      <c r="AS244" s="213"/>
      <c r="AX244" s="213"/>
      <c r="BC244" s="213"/>
      <c r="BH244" s="213"/>
    </row>
    <row r="245" spans="1:60" outlineLevel="1" x14ac:dyDescent="0.25">
      <c r="A245" s="168" t="s">
        <v>210</v>
      </c>
      <c r="B245" s="187"/>
      <c r="D245" s="167" t="s">
        <v>149</v>
      </c>
      <c r="F245" s="239" t="s">
        <v>288</v>
      </c>
      <c r="J245" s="320">
        <v>0</v>
      </c>
      <c r="L245" s="336"/>
      <c r="N245" s="320">
        <v>0</v>
      </c>
      <c r="P245" s="336">
        <v>0</v>
      </c>
      <c r="R245" s="320">
        <v>0</v>
      </c>
      <c r="T245" s="336">
        <v>0</v>
      </c>
      <c r="V245" s="320">
        <v>0</v>
      </c>
      <c r="X245" s="336">
        <v>0</v>
      </c>
      <c r="Z245" s="320">
        <v>0</v>
      </c>
      <c r="AA245" s="320"/>
      <c r="AB245" s="336">
        <v>0</v>
      </c>
      <c r="AD245" s="320">
        <f>J245+N245+R245+V245+Z245</f>
        <v>0</v>
      </c>
      <c r="AE245" s="170"/>
      <c r="AF245" s="189">
        <f t="shared" ref="AF245:AF253" si="232">L245+P245+T245+X245+AB245</f>
        <v>0</v>
      </c>
      <c r="AH245" s="27" t="s">
        <v>287</v>
      </c>
      <c r="AL245" s="60"/>
      <c r="AM245" s="60"/>
      <c r="AN245" s="213"/>
      <c r="AS245" s="213"/>
      <c r="AX245" s="213"/>
      <c r="BC245" s="213"/>
      <c r="BH245" s="213"/>
    </row>
    <row r="246" spans="1:60" outlineLevel="1" x14ac:dyDescent="0.25">
      <c r="A246" s="168" t="s">
        <v>210</v>
      </c>
      <c r="B246" s="187"/>
      <c r="F246" s="239" t="s">
        <v>289</v>
      </c>
      <c r="G246" s="239"/>
      <c r="J246" s="320">
        <v>0</v>
      </c>
      <c r="L246" s="336"/>
      <c r="N246" s="320">
        <v>0</v>
      </c>
      <c r="P246" s="336">
        <v>0</v>
      </c>
      <c r="R246" s="320">
        <v>0</v>
      </c>
      <c r="T246" s="336">
        <v>0</v>
      </c>
      <c r="V246" s="320">
        <v>0</v>
      </c>
      <c r="X246" s="336">
        <v>0</v>
      </c>
      <c r="Z246" s="320">
        <v>0</v>
      </c>
      <c r="AA246" s="320"/>
      <c r="AB246" s="336">
        <v>0</v>
      </c>
      <c r="AD246" s="320">
        <f t="shared" ref="AD246:AD253" si="233">J246+N246+R246+V246+Z246</f>
        <v>0</v>
      </c>
      <c r="AE246" s="170"/>
      <c r="AF246" s="189">
        <f t="shared" si="232"/>
        <v>0</v>
      </c>
      <c r="AN246" s="213"/>
      <c r="AS246" s="213"/>
      <c r="AX246" s="213"/>
      <c r="BC246" s="213"/>
      <c r="BH246" s="213"/>
    </row>
    <row r="247" spans="1:60" hidden="1" outlineLevel="1" x14ac:dyDescent="0.25">
      <c r="A247" s="168" t="s">
        <v>210</v>
      </c>
      <c r="B247" s="187"/>
      <c r="F247" s="239" t="s">
        <v>293</v>
      </c>
      <c r="G247" s="239"/>
      <c r="L247" s="336"/>
      <c r="N247" s="320">
        <v>0</v>
      </c>
      <c r="P247" s="336">
        <v>0</v>
      </c>
      <c r="R247" s="320">
        <v>0</v>
      </c>
      <c r="T247" s="336">
        <v>0</v>
      </c>
      <c r="V247" s="320">
        <v>0</v>
      </c>
      <c r="X247" s="336">
        <v>0</v>
      </c>
      <c r="Z247" s="320">
        <v>0</v>
      </c>
      <c r="AA247" s="320"/>
      <c r="AB247" s="336">
        <v>0</v>
      </c>
      <c r="AD247" s="320">
        <f t="shared" si="233"/>
        <v>0</v>
      </c>
      <c r="AE247" s="170"/>
      <c r="AF247" s="336">
        <f t="shared" si="232"/>
        <v>0</v>
      </c>
      <c r="AN247" s="213"/>
      <c r="AS247" s="213"/>
      <c r="AX247" s="213"/>
      <c r="BC247" s="213"/>
      <c r="BH247" s="213"/>
    </row>
    <row r="248" spans="1:60" outlineLevel="1" x14ac:dyDescent="0.25">
      <c r="A248" s="168" t="s">
        <v>210</v>
      </c>
      <c r="B248" s="187"/>
      <c r="D248" s="167" t="s">
        <v>150</v>
      </c>
      <c r="F248" s="239" t="s">
        <v>288</v>
      </c>
      <c r="G248" s="239"/>
      <c r="J248" s="320">
        <v>0</v>
      </c>
      <c r="L248" s="336">
        <v>0</v>
      </c>
      <c r="N248" s="320">
        <v>0</v>
      </c>
      <c r="P248" s="336"/>
      <c r="R248" s="320">
        <v>0</v>
      </c>
      <c r="T248" s="336">
        <v>0</v>
      </c>
      <c r="V248" s="320">
        <v>0</v>
      </c>
      <c r="X248" s="336">
        <v>0</v>
      </c>
      <c r="Z248" s="320">
        <v>0</v>
      </c>
      <c r="AA248" s="320"/>
      <c r="AB248" s="336">
        <v>0</v>
      </c>
      <c r="AD248" s="320">
        <f t="shared" si="233"/>
        <v>0</v>
      </c>
      <c r="AE248" s="170"/>
      <c r="AF248" s="336">
        <f t="shared" si="232"/>
        <v>0</v>
      </c>
      <c r="AH248" s="27" t="s">
        <v>287</v>
      </c>
      <c r="AN248" s="213"/>
      <c r="AS248" s="213"/>
      <c r="AX248" s="213"/>
      <c r="BC248" s="213"/>
      <c r="BH248" s="213"/>
    </row>
    <row r="249" spans="1:60" outlineLevel="1" x14ac:dyDescent="0.25">
      <c r="A249" s="168" t="s">
        <v>210</v>
      </c>
      <c r="B249" s="187"/>
      <c r="F249" s="239" t="s">
        <v>289</v>
      </c>
      <c r="G249" s="239"/>
      <c r="J249" s="320">
        <v>0</v>
      </c>
      <c r="L249" s="336">
        <v>0</v>
      </c>
      <c r="N249" s="320">
        <v>0</v>
      </c>
      <c r="P249" s="336"/>
      <c r="R249" s="320">
        <v>0</v>
      </c>
      <c r="T249" s="336">
        <v>0</v>
      </c>
      <c r="V249" s="320">
        <v>0</v>
      </c>
      <c r="X249" s="336">
        <v>0</v>
      </c>
      <c r="Z249" s="320">
        <v>0</v>
      </c>
      <c r="AA249" s="320"/>
      <c r="AB249" s="336">
        <v>0</v>
      </c>
      <c r="AD249" s="320">
        <f t="shared" si="233"/>
        <v>0</v>
      </c>
      <c r="AE249" s="170"/>
      <c r="AF249" s="336">
        <f t="shared" si="232"/>
        <v>0</v>
      </c>
      <c r="AN249" s="213"/>
      <c r="AS249" s="213"/>
      <c r="AX249" s="213"/>
      <c r="BC249" s="213"/>
      <c r="BH249" s="213"/>
    </row>
    <row r="250" spans="1:60" hidden="1" outlineLevel="1" x14ac:dyDescent="0.25">
      <c r="A250" s="168" t="s">
        <v>210</v>
      </c>
      <c r="B250" s="187"/>
      <c r="F250" s="239" t="s">
        <v>293</v>
      </c>
      <c r="G250" s="239"/>
      <c r="J250" s="320">
        <v>0</v>
      </c>
      <c r="L250" s="336">
        <v>0</v>
      </c>
      <c r="P250" s="336"/>
      <c r="R250" s="320">
        <v>0</v>
      </c>
      <c r="T250" s="336">
        <v>0</v>
      </c>
      <c r="V250" s="320">
        <v>0</v>
      </c>
      <c r="X250" s="336">
        <v>0</v>
      </c>
      <c r="Z250" s="320">
        <v>0</v>
      </c>
      <c r="AA250" s="320"/>
      <c r="AB250" s="336">
        <v>0</v>
      </c>
      <c r="AD250" s="320">
        <f t="shared" si="233"/>
        <v>0</v>
      </c>
      <c r="AE250" s="170"/>
      <c r="AF250" s="336">
        <f t="shared" si="232"/>
        <v>0</v>
      </c>
      <c r="AN250" s="213"/>
      <c r="AS250" s="213"/>
      <c r="AX250" s="213"/>
      <c r="BC250" s="213"/>
      <c r="BH250" s="213"/>
    </row>
    <row r="251" spans="1:60" outlineLevel="1" x14ac:dyDescent="0.25">
      <c r="A251" s="168" t="s">
        <v>210</v>
      </c>
      <c r="B251" s="187"/>
      <c r="D251" s="167" t="s">
        <v>151</v>
      </c>
      <c r="F251" s="239" t="s">
        <v>288</v>
      </c>
      <c r="G251" s="239"/>
      <c r="J251" s="320">
        <v>0</v>
      </c>
      <c r="L251" s="336">
        <v>0</v>
      </c>
      <c r="N251" s="320">
        <v>0</v>
      </c>
      <c r="O251" s="320"/>
      <c r="P251" s="336"/>
      <c r="R251" s="320">
        <v>0</v>
      </c>
      <c r="S251" s="320"/>
      <c r="T251" s="336"/>
      <c r="V251" s="320">
        <v>0</v>
      </c>
      <c r="W251" s="320"/>
      <c r="X251" s="336">
        <v>0</v>
      </c>
      <c r="Z251" s="320">
        <v>0</v>
      </c>
      <c r="AA251" s="320"/>
      <c r="AB251" s="336">
        <v>0</v>
      </c>
      <c r="AD251" s="320">
        <f t="shared" si="233"/>
        <v>0</v>
      </c>
      <c r="AE251" s="170"/>
      <c r="AF251" s="336">
        <f t="shared" si="232"/>
        <v>0</v>
      </c>
      <c r="AH251" s="27" t="s">
        <v>287</v>
      </c>
      <c r="AN251" s="213"/>
      <c r="AS251" s="213"/>
      <c r="AX251" s="213"/>
      <c r="BC251" s="213"/>
      <c r="BH251" s="213"/>
    </row>
    <row r="252" spans="1:60" outlineLevel="1" x14ac:dyDescent="0.25">
      <c r="A252" s="168" t="s">
        <v>210</v>
      </c>
      <c r="B252" s="187"/>
      <c r="F252" s="239" t="s">
        <v>289</v>
      </c>
      <c r="G252" s="239"/>
      <c r="J252" s="320">
        <v>0</v>
      </c>
      <c r="L252" s="336">
        <v>0</v>
      </c>
      <c r="N252" s="320">
        <v>0</v>
      </c>
      <c r="O252" s="320"/>
      <c r="P252" s="336">
        <v>0</v>
      </c>
      <c r="R252" s="320">
        <v>0</v>
      </c>
      <c r="S252" s="320"/>
      <c r="T252" s="336"/>
      <c r="V252" s="320">
        <v>0</v>
      </c>
      <c r="W252" s="320"/>
      <c r="X252" s="336">
        <v>0</v>
      </c>
      <c r="Z252" s="320">
        <v>0</v>
      </c>
      <c r="AA252" s="320"/>
      <c r="AB252" s="336">
        <v>0</v>
      </c>
      <c r="AD252" s="320">
        <f t="shared" si="233"/>
        <v>0</v>
      </c>
      <c r="AE252" s="170"/>
      <c r="AF252" s="336">
        <f t="shared" si="232"/>
        <v>0</v>
      </c>
      <c r="AN252" s="213"/>
      <c r="AS252" s="213"/>
      <c r="AX252" s="213"/>
      <c r="BC252" s="213"/>
      <c r="BH252" s="213"/>
    </row>
    <row r="253" spans="1:60" hidden="1" outlineLevel="1" x14ac:dyDescent="0.25">
      <c r="A253" s="168" t="s">
        <v>210</v>
      </c>
      <c r="B253" s="187"/>
      <c r="F253" s="239" t="s">
        <v>293</v>
      </c>
      <c r="G253" s="239"/>
      <c r="J253" s="320">
        <v>0</v>
      </c>
      <c r="L253" s="336">
        <v>0</v>
      </c>
      <c r="N253" s="320">
        <v>0</v>
      </c>
      <c r="O253" s="320"/>
      <c r="P253" s="336">
        <v>0</v>
      </c>
      <c r="R253" s="320"/>
      <c r="S253" s="320"/>
      <c r="T253" s="336"/>
      <c r="V253" s="320">
        <v>0</v>
      </c>
      <c r="W253" s="320"/>
      <c r="X253" s="336">
        <v>0</v>
      </c>
      <c r="Z253" s="320">
        <v>0</v>
      </c>
      <c r="AA253" s="320"/>
      <c r="AB253" s="336">
        <v>0</v>
      </c>
      <c r="AD253" s="320">
        <f t="shared" si="233"/>
        <v>0</v>
      </c>
      <c r="AE253" s="170"/>
      <c r="AF253" s="336">
        <f t="shared" si="232"/>
        <v>0</v>
      </c>
      <c r="AN253" s="213"/>
      <c r="AS253" s="213"/>
      <c r="AX253" s="213"/>
      <c r="BC253" s="213"/>
      <c r="BH253" s="213"/>
    </row>
    <row r="254" spans="1:60" outlineLevel="1" x14ac:dyDescent="0.25">
      <c r="A254" s="168" t="s">
        <v>210</v>
      </c>
      <c r="B254" s="187"/>
      <c r="D254" s="167" t="s">
        <v>248</v>
      </c>
      <c r="F254" s="239" t="s">
        <v>288</v>
      </c>
      <c r="G254" s="239"/>
      <c r="J254" s="320">
        <v>0</v>
      </c>
      <c r="L254" s="336">
        <v>0</v>
      </c>
      <c r="N254" s="320">
        <v>0</v>
      </c>
      <c r="O254" s="320"/>
      <c r="P254" s="336">
        <v>0</v>
      </c>
      <c r="R254" s="320">
        <v>0</v>
      </c>
      <c r="S254" s="320"/>
      <c r="T254" s="336">
        <v>0</v>
      </c>
      <c r="V254" s="320">
        <v>0</v>
      </c>
      <c r="W254" s="320"/>
      <c r="X254" s="336"/>
      <c r="Z254" s="320">
        <v>0</v>
      </c>
      <c r="AA254" s="320"/>
      <c r="AB254" s="336">
        <v>0</v>
      </c>
      <c r="AD254" s="320">
        <f t="shared" ref="AD254:AD265" si="234">J254+N254+R254+V254+Z254</f>
        <v>0</v>
      </c>
      <c r="AE254" s="170"/>
      <c r="AF254" s="336">
        <f t="shared" ref="AF254:AF264" si="235">L254+P254+T254+X254+AB254</f>
        <v>0</v>
      </c>
      <c r="AH254" s="27" t="s">
        <v>287</v>
      </c>
      <c r="AN254" s="213"/>
      <c r="AS254" s="213"/>
      <c r="AX254" s="213"/>
      <c r="BC254" s="213"/>
      <c r="BH254" s="213"/>
    </row>
    <row r="255" spans="1:60" outlineLevel="1" x14ac:dyDescent="0.25">
      <c r="A255" s="168" t="s">
        <v>210</v>
      </c>
      <c r="B255" s="187"/>
      <c r="F255" s="239" t="s">
        <v>289</v>
      </c>
      <c r="G255" s="239"/>
      <c r="J255" s="320">
        <v>0</v>
      </c>
      <c r="L255" s="336">
        <v>0</v>
      </c>
      <c r="N255" s="320">
        <v>0</v>
      </c>
      <c r="O255" s="320"/>
      <c r="P255" s="336">
        <v>0</v>
      </c>
      <c r="R255" s="320">
        <v>0</v>
      </c>
      <c r="S255" s="320"/>
      <c r="T255" s="336">
        <v>0</v>
      </c>
      <c r="V255" s="320">
        <v>0</v>
      </c>
      <c r="W255" s="320"/>
      <c r="X255" s="336"/>
      <c r="Z255" s="320">
        <v>0</v>
      </c>
      <c r="AA255" s="320"/>
      <c r="AB255" s="336">
        <v>0</v>
      </c>
      <c r="AD255" s="320">
        <f t="shared" si="234"/>
        <v>0</v>
      </c>
      <c r="AE255" s="170"/>
      <c r="AF255" s="336">
        <f t="shared" si="235"/>
        <v>0</v>
      </c>
      <c r="AN255" s="213"/>
      <c r="AS255" s="213"/>
      <c r="AX255" s="213"/>
      <c r="BC255" s="213"/>
      <c r="BH255" s="213"/>
    </row>
    <row r="256" spans="1:60" hidden="1" outlineLevel="1" x14ac:dyDescent="0.25">
      <c r="A256" s="168" t="s">
        <v>210</v>
      </c>
      <c r="B256" s="187"/>
      <c r="F256" s="239" t="s">
        <v>293</v>
      </c>
      <c r="G256" s="239"/>
      <c r="J256" s="320">
        <v>0</v>
      </c>
      <c r="L256" s="336">
        <v>0</v>
      </c>
      <c r="N256" s="320">
        <v>0</v>
      </c>
      <c r="O256" s="320"/>
      <c r="P256" s="336">
        <v>0</v>
      </c>
      <c r="R256" s="320">
        <v>0</v>
      </c>
      <c r="S256" s="320"/>
      <c r="T256" s="336">
        <v>0</v>
      </c>
      <c r="V256" s="320"/>
      <c r="W256" s="320"/>
      <c r="X256" s="336"/>
      <c r="Z256" s="320">
        <v>0</v>
      </c>
      <c r="AA256" s="320"/>
      <c r="AB256" s="336">
        <v>0</v>
      </c>
      <c r="AD256" s="320">
        <f t="shared" si="234"/>
        <v>0</v>
      </c>
      <c r="AE256" s="170"/>
      <c r="AF256" s="336">
        <f t="shared" si="235"/>
        <v>0</v>
      </c>
      <c r="AN256" s="213"/>
      <c r="AS256" s="213"/>
      <c r="AX256" s="213"/>
      <c r="BC256" s="213"/>
      <c r="BH256" s="213"/>
    </row>
    <row r="257" spans="1:60" outlineLevel="1" x14ac:dyDescent="0.25">
      <c r="A257" s="168" t="s">
        <v>210</v>
      </c>
      <c r="B257" s="187"/>
      <c r="D257" s="167" t="s">
        <v>249</v>
      </c>
      <c r="F257" s="239" t="s">
        <v>288</v>
      </c>
      <c r="G257" s="239"/>
      <c r="J257" s="320">
        <v>0</v>
      </c>
      <c r="L257" s="336">
        <v>0</v>
      </c>
      <c r="N257" s="320">
        <v>0</v>
      </c>
      <c r="O257" s="320"/>
      <c r="P257" s="336">
        <v>0</v>
      </c>
      <c r="R257" s="320">
        <v>0</v>
      </c>
      <c r="S257" s="320"/>
      <c r="T257" s="336">
        <v>0</v>
      </c>
      <c r="V257" s="320">
        <v>0</v>
      </c>
      <c r="W257" s="320"/>
      <c r="X257" s="336">
        <v>0</v>
      </c>
      <c r="Z257" s="320">
        <v>0</v>
      </c>
      <c r="AA257" s="320"/>
      <c r="AB257" s="336"/>
      <c r="AD257" s="320">
        <f t="shared" si="234"/>
        <v>0</v>
      </c>
      <c r="AE257" s="170"/>
      <c r="AF257" s="336">
        <f t="shared" si="235"/>
        <v>0</v>
      </c>
      <c r="AH257" s="27" t="s">
        <v>287</v>
      </c>
      <c r="AN257" s="213"/>
      <c r="AS257" s="213"/>
      <c r="AX257" s="213"/>
      <c r="BC257" s="213"/>
      <c r="BH257" s="213"/>
    </row>
    <row r="258" spans="1:60" outlineLevel="1" x14ac:dyDescent="0.25">
      <c r="A258" s="168" t="s">
        <v>210</v>
      </c>
      <c r="B258" s="187"/>
      <c r="F258" s="239" t="s">
        <v>289</v>
      </c>
      <c r="G258" s="239"/>
      <c r="J258" s="320">
        <v>0</v>
      </c>
      <c r="L258" s="336">
        <v>0</v>
      </c>
      <c r="N258" s="320">
        <v>0</v>
      </c>
      <c r="O258" s="320"/>
      <c r="P258" s="336">
        <v>0</v>
      </c>
      <c r="R258" s="320">
        <v>0</v>
      </c>
      <c r="S258" s="320"/>
      <c r="T258" s="336">
        <v>0</v>
      </c>
      <c r="V258" s="320">
        <v>0</v>
      </c>
      <c r="W258" s="320"/>
      <c r="X258" s="336">
        <v>0</v>
      </c>
      <c r="Z258" s="320">
        <v>0</v>
      </c>
      <c r="AA258" s="320"/>
      <c r="AB258" s="336"/>
      <c r="AD258" s="320">
        <f t="shared" si="234"/>
        <v>0</v>
      </c>
      <c r="AE258" s="170"/>
      <c r="AF258" s="336">
        <f t="shared" si="235"/>
        <v>0</v>
      </c>
      <c r="AN258" s="213"/>
      <c r="AS258" s="213"/>
      <c r="AX258" s="213"/>
      <c r="BC258" s="213"/>
      <c r="BH258" s="213"/>
    </row>
    <row r="259" spans="1:60" hidden="1" outlineLevel="1" x14ac:dyDescent="0.25">
      <c r="A259" s="168" t="s">
        <v>210</v>
      </c>
      <c r="B259" s="187"/>
      <c r="F259" s="239" t="s">
        <v>293</v>
      </c>
      <c r="G259" s="239"/>
      <c r="J259" s="320">
        <v>0</v>
      </c>
      <c r="L259" s="336">
        <v>0</v>
      </c>
      <c r="N259" s="320">
        <v>0</v>
      </c>
      <c r="O259" s="320"/>
      <c r="P259" s="336">
        <v>0</v>
      </c>
      <c r="R259" s="320">
        <v>0</v>
      </c>
      <c r="S259" s="320"/>
      <c r="T259" s="336">
        <v>0</v>
      </c>
      <c r="V259" s="320">
        <v>0</v>
      </c>
      <c r="W259" s="320"/>
      <c r="X259" s="336">
        <v>0</v>
      </c>
      <c r="Z259" s="320"/>
      <c r="AA259" s="320"/>
      <c r="AB259" s="336"/>
      <c r="AD259" s="320">
        <f t="shared" si="234"/>
        <v>0</v>
      </c>
      <c r="AE259" s="170"/>
      <c r="AF259" s="336">
        <f t="shared" si="235"/>
        <v>0</v>
      </c>
      <c r="AN259" s="213"/>
      <c r="AS259" s="213"/>
      <c r="AX259" s="213"/>
      <c r="BC259" s="213"/>
      <c r="BH259" s="213"/>
    </row>
    <row r="260" spans="1:60" outlineLevel="1" x14ac:dyDescent="0.25">
      <c r="A260" s="168" t="s">
        <v>210</v>
      </c>
      <c r="B260" s="187"/>
      <c r="D260" s="167" t="s">
        <v>250</v>
      </c>
      <c r="F260" s="239" t="s">
        <v>288</v>
      </c>
      <c r="G260" s="239"/>
      <c r="J260" s="320">
        <v>0</v>
      </c>
      <c r="L260" s="336">
        <v>0</v>
      </c>
      <c r="N260" s="320">
        <v>0</v>
      </c>
      <c r="O260" s="320"/>
      <c r="P260" s="336">
        <v>0</v>
      </c>
      <c r="R260" s="320">
        <v>0</v>
      </c>
      <c r="S260" s="320"/>
      <c r="T260" s="336">
        <v>0</v>
      </c>
      <c r="V260" s="320">
        <v>0</v>
      </c>
      <c r="W260" s="320"/>
      <c r="X260" s="336">
        <v>0</v>
      </c>
      <c r="Z260" s="320">
        <v>0</v>
      </c>
      <c r="AA260" s="320"/>
      <c r="AB260" s="336"/>
      <c r="AD260" s="320">
        <f t="shared" si="234"/>
        <v>0</v>
      </c>
      <c r="AE260" s="170"/>
      <c r="AF260" s="336">
        <f t="shared" si="235"/>
        <v>0</v>
      </c>
      <c r="AH260" s="27" t="s">
        <v>287</v>
      </c>
      <c r="AN260" s="213"/>
      <c r="AS260" s="213"/>
      <c r="AX260" s="213"/>
      <c r="BC260" s="213"/>
      <c r="BH260" s="213"/>
    </row>
    <row r="261" spans="1:60" outlineLevel="1" x14ac:dyDescent="0.25">
      <c r="A261" s="168" t="s">
        <v>210</v>
      </c>
      <c r="B261" s="187"/>
      <c r="F261" s="239" t="s">
        <v>289</v>
      </c>
      <c r="G261" s="239"/>
      <c r="J261" s="320">
        <v>0</v>
      </c>
      <c r="L261" s="336">
        <v>0</v>
      </c>
      <c r="N261" s="320">
        <v>0</v>
      </c>
      <c r="O261" s="320"/>
      <c r="P261" s="336">
        <v>0</v>
      </c>
      <c r="R261" s="320">
        <v>0</v>
      </c>
      <c r="S261" s="320"/>
      <c r="T261" s="336">
        <v>0</v>
      </c>
      <c r="V261" s="320">
        <v>0</v>
      </c>
      <c r="W261" s="320"/>
      <c r="X261" s="336">
        <v>0</v>
      </c>
      <c r="Z261" s="320">
        <v>0</v>
      </c>
      <c r="AA261" s="320"/>
      <c r="AB261" s="336"/>
      <c r="AD261" s="320">
        <f t="shared" si="234"/>
        <v>0</v>
      </c>
      <c r="AE261" s="170"/>
      <c r="AF261" s="336">
        <f t="shared" si="235"/>
        <v>0</v>
      </c>
      <c r="AN261" s="213"/>
      <c r="AS261" s="213"/>
      <c r="AX261" s="213"/>
      <c r="BC261" s="213"/>
      <c r="BH261" s="213"/>
    </row>
    <row r="262" spans="1:60" hidden="1" outlineLevel="1" x14ac:dyDescent="0.25">
      <c r="B262" s="187"/>
      <c r="F262" s="239" t="s">
        <v>293</v>
      </c>
      <c r="G262" s="239"/>
      <c r="J262" s="320">
        <v>0</v>
      </c>
      <c r="L262" s="336">
        <v>0</v>
      </c>
      <c r="N262" s="320">
        <v>0</v>
      </c>
      <c r="O262" s="320"/>
      <c r="P262" s="336">
        <v>0</v>
      </c>
      <c r="R262" s="320">
        <v>0</v>
      </c>
      <c r="S262" s="320"/>
      <c r="T262" s="336">
        <v>0</v>
      </c>
      <c r="V262" s="320">
        <v>0</v>
      </c>
      <c r="W262" s="320"/>
      <c r="X262" s="336">
        <v>0</v>
      </c>
      <c r="Z262" s="320"/>
      <c r="AA262" s="320"/>
      <c r="AB262" s="336"/>
      <c r="AD262" s="320">
        <f t="shared" si="234"/>
        <v>0</v>
      </c>
      <c r="AE262" s="170"/>
      <c r="AF262" s="336">
        <f t="shared" si="235"/>
        <v>0</v>
      </c>
      <c r="AN262" s="213"/>
      <c r="AS262" s="213"/>
      <c r="AX262" s="213"/>
      <c r="BC262" s="213"/>
      <c r="BH262" s="213"/>
    </row>
    <row r="263" spans="1:60" outlineLevel="1" x14ac:dyDescent="0.25">
      <c r="A263" s="168" t="s">
        <v>35</v>
      </c>
      <c r="B263" s="187"/>
      <c r="F263" s="306" t="s">
        <v>255</v>
      </c>
      <c r="G263" s="239"/>
      <c r="J263" s="347">
        <f>J245+J246+J248+J249+J251+J252+J254+J255+J257+J258+J260+J261</f>
        <v>0</v>
      </c>
      <c r="K263" s="347"/>
      <c r="L263" s="336">
        <f>L245+L246+L248+L249+L251+L252+L254+L255+L257+L258+L260+L261</f>
        <v>0</v>
      </c>
      <c r="M263" s="347"/>
      <c r="N263" s="347">
        <f>N245+N246+N248+N249+N251+N252+N254+N255+N257+N258+N260+N261</f>
        <v>0</v>
      </c>
      <c r="O263" s="347"/>
      <c r="P263" s="336">
        <f>P245+P246+P248+P249+P251+P252+P254+P255+P257+P258+P260+P261</f>
        <v>0</v>
      </c>
      <c r="Q263" s="349"/>
      <c r="R263" s="347">
        <f>R245+R246+R248+R249+R251+R252+R254+R255+R257+R258+R260+R261</f>
        <v>0</v>
      </c>
      <c r="S263" s="347"/>
      <c r="T263" s="336">
        <f>T245+T246+T248+T249+T251+T252+T254+T255+T257+T258+T260+T261</f>
        <v>0</v>
      </c>
      <c r="U263" s="349"/>
      <c r="V263" s="347">
        <f>V245+V246+V248+V249+V251+V252+V254+V255+V257+V258+V260+V261</f>
        <v>0</v>
      </c>
      <c r="W263" s="347"/>
      <c r="X263" s="336">
        <f>X245+X246+X248+X249+X251+X252+X254+X255+X257+X258+X260+X261</f>
        <v>0</v>
      </c>
      <c r="Y263" s="349"/>
      <c r="Z263" s="347">
        <f>Z245+Z246+Z248+Z249+Z251+Z252+Z254+Z255+Z257+Z258+Z260+Z261</f>
        <v>0</v>
      </c>
      <c r="AA263" s="347"/>
      <c r="AB263" s="336">
        <f>AB245+AB246+AB248+AB249+AB251+AB252+AB254+AB255+AB257+AB258+AB260+AB261</f>
        <v>0</v>
      </c>
      <c r="AC263" s="349"/>
      <c r="AD263" s="347">
        <f t="shared" si="234"/>
        <v>0</v>
      </c>
      <c r="AE263" s="170"/>
      <c r="AF263" s="336">
        <f t="shared" si="235"/>
        <v>0</v>
      </c>
      <c r="AN263" s="213"/>
      <c r="AS263" s="213"/>
      <c r="AX263" s="213"/>
      <c r="BC263" s="213"/>
      <c r="BH263" s="213"/>
    </row>
    <row r="264" spans="1:60" x14ac:dyDescent="0.25">
      <c r="A264" s="168" t="s">
        <v>35</v>
      </c>
      <c r="B264" s="187"/>
      <c r="C264" s="167" t="s">
        <v>35</v>
      </c>
      <c r="F264" s="238"/>
      <c r="G264" s="238"/>
      <c r="H264" s="228"/>
      <c r="I264" s="228"/>
      <c r="J264" s="320">
        <v>0</v>
      </c>
      <c r="L264" s="336">
        <v>0</v>
      </c>
      <c r="N264" s="320">
        <v>0</v>
      </c>
      <c r="O264" s="320"/>
      <c r="P264" s="336">
        <v>0</v>
      </c>
      <c r="R264" s="320">
        <v>0</v>
      </c>
      <c r="S264" s="320"/>
      <c r="T264" s="336">
        <v>0</v>
      </c>
      <c r="V264" s="320">
        <v>0</v>
      </c>
      <c r="W264" s="320"/>
      <c r="X264" s="336">
        <v>0</v>
      </c>
      <c r="Z264" s="320">
        <v>0</v>
      </c>
      <c r="AA264" s="320"/>
      <c r="AB264" s="336">
        <v>0</v>
      </c>
      <c r="AD264" s="320">
        <f t="shared" si="234"/>
        <v>0</v>
      </c>
      <c r="AE264" s="170"/>
      <c r="AF264" s="336">
        <f t="shared" si="235"/>
        <v>0</v>
      </c>
      <c r="AN264" s="213"/>
      <c r="AS264" s="213"/>
      <c r="AX264" s="213"/>
      <c r="BC264" s="213"/>
      <c r="BH264" s="213"/>
    </row>
    <row r="265" spans="1:60" x14ac:dyDescent="0.25">
      <c r="A265" s="168" t="s">
        <v>35</v>
      </c>
      <c r="B265" s="187"/>
      <c r="D265" s="167" t="s">
        <v>271</v>
      </c>
      <c r="F265" s="238"/>
      <c r="G265" s="238"/>
      <c r="H265" s="228"/>
      <c r="I265" s="228"/>
      <c r="J265" s="320">
        <f>'DMS Calculations'!J275</f>
        <v>0</v>
      </c>
      <c r="L265" s="336"/>
      <c r="N265" s="320">
        <f>'DMS Calculations'!N275</f>
        <v>0</v>
      </c>
      <c r="O265" s="320"/>
      <c r="P265" s="336"/>
      <c r="R265" s="320">
        <v>0</v>
      </c>
      <c r="S265" s="320"/>
      <c r="T265" s="336"/>
      <c r="V265" s="320">
        <f>'DMS Calculations'!V275</f>
        <v>0</v>
      </c>
      <c r="W265" s="320"/>
      <c r="X265" s="336"/>
      <c r="Z265" s="320">
        <f>'DMS Calculations'!Z275</f>
        <v>0</v>
      </c>
      <c r="AA265" s="320"/>
      <c r="AB265" s="336"/>
      <c r="AD265" s="320">
        <f t="shared" si="234"/>
        <v>0</v>
      </c>
      <c r="AE265" s="170"/>
      <c r="AF265" s="189"/>
      <c r="AH265" s="27" t="s">
        <v>270</v>
      </c>
      <c r="AN265" s="213"/>
      <c r="AS265" s="213"/>
      <c r="AX265" s="213"/>
      <c r="BC265" s="213"/>
      <c r="BH265" s="213"/>
    </row>
    <row r="266" spans="1:60" outlineLevel="1" x14ac:dyDescent="0.25">
      <c r="A266" s="168" t="s">
        <v>207</v>
      </c>
      <c r="B266" s="187"/>
      <c r="C266" s="28"/>
      <c r="D266" s="167" t="s">
        <v>187</v>
      </c>
      <c r="F266" s="221"/>
      <c r="G266" s="222"/>
      <c r="H266" s="222"/>
      <c r="I266" s="28"/>
      <c r="J266" s="321">
        <v>0</v>
      </c>
      <c r="L266" s="336">
        <v>0</v>
      </c>
      <c r="N266" s="320">
        <v>0</v>
      </c>
      <c r="P266" s="336">
        <v>0</v>
      </c>
      <c r="R266" s="320">
        <f>'DMS Calculations'!R275</f>
        <v>0</v>
      </c>
      <c r="T266" s="336">
        <v>0</v>
      </c>
      <c r="V266" s="320">
        <v>0</v>
      </c>
      <c r="X266" s="336">
        <v>0</v>
      </c>
      <c r="Z266" s="320">
        <v>0</v>
      </c>
      <c r="AA266" s="320"/>
      <c r="AB266" s="336">
        <v>0</v>
      </c>
      <c r="AD266" s="320">
        <f t="shared" ref="AD266:AD268" si="236">J266+N266+R266+V266+Z266</f>
        <v>0</v>
      </c>
      <c r="AE266" s="170"/>
      <c r="AF266" s="189">
        <f>L266+P266+T266+X266+AB266</f>
        <v>0</v>
      </c>
      <c r="AN266" s="213"/>
      <c r="AS266" s="213"/>
      <c r="AX266" s="213"/>
      <c r="BC266" s="213"/>
      <c r="BH266" s="213"/>
    </row>
    <row r="267" spans="1:60" outlineLevel="1" x14ac:dyDescent="0.25">
      <c r="A267" s="168" t="s">
        <v>239</v>
      </c>
      <c r="B267" s="187"/>
      <c r="C267" s="28"/>
      <c r="D267" s="167" t="s">
        <v>228</v>
      </c>
      <c r="F267" s="221"/>
      <c r="G267" s="222"/>
      <c r="H267" s="222"/>
      <c r="I267" s="28"/>
      <c r="J267" s="321">
        <v>0</v>
      </c>
      <c r="L267" s="336">
        <v>0</v>
      </c>
      <c r="N267" s="320">
        <v>0</v>
      </c>
      <c r="P267" s="336">
        <v>0</v>
      </c>
      <c r="R267" s="320">
        <v>0</v>
      </c>
      <c r="T267" s="336">
        <v>0</v>
      </c>
      <c r="V267" s="320">
        <v>0</v>
      </c>
      <c r="X267" s="336">
        <v>0</v>
      </c>
      <c r="Z267" s="320">
        <v>0</v>
      </c>
      <c r="AA267" s="320"/>
      <c r="AB267" s="336">
        <v>0</v>
      </c>
      <c r="AD267" s="320">
        <f t="shared" si="236"/>
        <v>0</v>
      </c>
      <c r="AE267" s="170"/>
      <c r="AF267" s="189">
        <f>L267+P267+T267+X267+AB267</f>
        <v>0</v>
      </c>
      <c r="AN267" s="213"/>
      <c r="AS267" s="213"/>
      <c r="AX267" s="213"/>
      <c r="BC267" s="213"/>
      <c r="BH267" s="213"/>
    </row>
    <row r="268" spans="1:60" outlineLevel="1" x14ac:dyDescent="0.25">
      <c r="A268" s="168" t="s">
        <v>202</v>
      </c>
      <c r="B268" s="28"/>
      <c r="C268" s="28"/>
      <c r="D268" s="28" t="s">
        <v>133</v>
      </c>
      <c r="E268" s="28"/>
      <c r="H268" s="28"/>
      <c r="I268" s="28"/>
      <c r="J268" s="320">
        <v>0</v>
      </c>
      <c r="L268" s="336">
        <v>0</v>
      </c>
      <c r="N268" s="320">
        <v>0</v>
      </c>
      <c r="P268" s="336">
        <v>0</v>
      </c>
      <c r="R268" s="320">
        <v>0</v>
      </c>
      <c r="T268" s="336">
        <v>0</v>
      </c>
      <c r="V268" s="320">
        <v>0</v>
      </c>
      <c r="X268" s="336">
        <v>0</v>
      </c>
      <c r="Z268" s="320">
        <v>0</v>
      </c>
      <c r="AA268" s="320"/>
      <c r="AB268" s="336">
        <v>0</v>
      </c>
      <c r="AD268" s="320">
        <f t="shared" si="236"/>
        <v>0</v>
      </c>
      <c r="AE268" s="170"/>
      <c r="AF268" s="189">
        <f t="shared" ref="AF268:AF270" si="237">L268+P268+T268+X268+AB268</f>
        <v>0</v>
      </c>
      <c r="AH268" s="81"/>
      <c r="AN268" s="213"/>
      <c r="AS268" s="213"/>
      <c r="AX268" s="213"/>
      <c r="BC268" s="213"/>
      <c r="BH268" s="213"/>
    </row>
    <row r="269" spans="1:60" outlineLevel="1" x14ac:dyDescent="0.25">
      <c r="A269" s="168" t="s">
        <v>209</v>
      </c>
      <c r="B269" s="28"/>
      <c r="C269" s="28"/>
      <c r="D269" s="28" t="s">
        <v>280</v>
      </c>
      <c r="E269" s="28"/>
      <c r="H269" s="28"/>
      <c r="I269" s="28"/>
      <c r="J269" s="320">
        <v>0</v>
      </c>
      <c r="L269" s="336">
        <v>0</v>
      </c>
      <c r="N269" s="320">
        <v>0</v>
      </c>
      <c r="P269" s="336">
        <v>0</v>
      </c>
      <c r="R269" s="320">
        <v>0</v>
      </c>
      <c r="T269" s="336">
        <v>0</v>
      </c>
      <c r="V269" s="320">
        <v>0</v>
      </c>
      <c r="X269" s="336">
        <v>0</v>
      </c>
      <c r="Z269" s="320">
        <v>0</v>
      </c>
      <c r="AA269" s="320"/>
      <c r="AB269" s="336">
        <v>0</v>
      </c>
      <c r="AD269" s="320">
        <f t="shared" ref="AD269" si="238">J269+N269+R269+V269+Z269</f>
        <v>0</v>
      </c>
      <c r="AE269" s="170"/>
      <c r="AF269" s="189">
        <f>L269+P269+T269+X269+AB269</f>
        <v>0</v>
      </c>
      <c r="AH269" s="242" t="s">
        <v>284</v>
      </c>
      <c r="AK269" s="389" t="s">
        <v>301</v>
      </c>
      <c r="AN269" s="213"/>
      <c r="AS269" s="213"/>
      <c r="AX269" s="213"/>
      <c r="BC269" s="213"/>
      <c r="BH269" s="213"/>
    </row>
    <row r="270" spans="1:60" x14ac:dyDescent="0.25">
      <c r="A270" s="168" t="s">
        <v>209</v>
      </c>
      <c r="B270" s="187"/>
      <c r="C270" s="28"/>
      <c r="D270" s="167" t="s">
        <v>134</v>
      </c>
      <c r="F270" s="222"/>
      <c r="G270" s="222"/>
      <c r="H270" s="222"/>
      <c r="I270" s="240">
        <f>IF(AK12="Yes",F270*(1+AK6),F270)</f>
        <v>0</v>
      </c>
      <c r="J270" s="320">
        <v>0</v>
      </c>
      <c r="L270" s="336">
        <v>0</v>
      </c>
      <c r="N270" s="320">
        <v>0</v>
      </c>
      <c r="O270" s="320"/>
      <c r="P270" s="336">
        <v>0</v>
      </c>
      <c r="R270" s="320">
        <v>0</v>
      </c>
      <c r="S270" s="320"/>
      <c r="T270" s="336">
        <v>0</v>
      </c>
      <c r="V270" s="320">
        <v>0</v>
      </c>
      <c r="W270" s="320"/>
      <c r="X270" s="336">
        <v>0</v>
      </c>
      <c r="Z270" s="320">
        <v>0</v>
      </c>
      <c r="AA270" s="320"/>
      <c r="AB270" s="336">
        <v>0</v>
      </c>
      <c r="AD270" s="320">
        <f>J270+N270+R270+V270+Z270</f>
        <v>0</v>
      </c>
      <c r="AE270" s="170"/>
      <c r="AF270" s="189">
        <f t="shared" si="237"/>
        <v>0</v>
      </c>
      <c r="AH270" s="27" t="s">
        <v>298</v>
      </c>
      <c r="AK270" s="388" t="s">
        <v>299</v>
      </c>
      <c r="AN270" s="213"/>
      <c r="AS270" s="213"/>
      <c r="AX270" s="213"/>
      <c r="BC270" s="213"/>
      <c r="BH270" s="213"/>
    </row>
    <row r="271" spans="1:60" ht="9" customHeight="1" x14ac:dyDescent="0.25">
      <c r="J271" s="340"/>
      <c r="L271" s="341"/>
      <c r="N271" s="340"/>
      <c r="P271" s="341"/>
      <c r="R271" s="342"/>
      <c r="T271" s="343"/>
      <c r="V271" s="342"/>
      <c r="X271" s="343"/>
      <c r="Z271" s="342"/>
      <c r="AB271" s="343"/>
      <c r="AD271" s="340"/>
      <c r="AF271" s="212"/>
    </row>
    <row r="272" spans="1:60" x14ac:dyDescent="0.25">
      <c r="C272" s="167" t="s">
        <v>13</v>
      </c>
      <c r="J272" s="320">
        <f>SUM(J232:J243)+SUM(J245,J246,J248,J249,J251,J252,J254,J255,J257,J258,J260,J261)+SUM(J264:J270)</f>
        <v>0</v>
      </c>
      <c r="L272" s="336">
        <f>SUM(L232:L243)+SUM(L245,L246,L248,L249,L251,L252,L254,L255,L257,L258,L260,L261)+SUM(L264:L270)</f>
        <v>0</v>
      </c>
      <c r="N272" s="320">
        <f>SUM(N232:N243)+SUM(N245,N246,N248,N249,N251,N252,N254,N255,N257,N258,N260,N261)+SUM(N264:N270)</f>
        <v>0</v>
      </c>
      <c r="O272" s="320"/>
      <c r="P272" s="336">
        <f>SUM(P232:P243)+SUM(P245,P246,P248,P249,P251,P252,P254,P255,P257,P258,P260,P261)+SUM(P264:P270)</f>
        <v>0</v>
      </c>
      <c r="R272" s="320">
        <f>SUM(R232:R243)+SUM(R245,R246,R248,R249,R251,R252,R254,R255,R257,R258,R260,R261)+SUM(R264:R270)</f>
        <v>0</v>
      </c>
      <c r="S272" s="320"/>
      <c r="T272" s="336">
        <f>SUM(T232:T243)+SUM(T245,T246,T248,T249,T251,T252,T254,T255,T257,T258,T260,T261)+SUM(T264:T270)</f>
        <v>0</v>
      </c>
      <c r="V272" s="320">
        <f>SUM(V232:V243)+SUM(V245,V246,V248,V249,V251,V252,V254,V255,V257,V258,V260,V261)+SUM(V264:V270)</f>
        <v>0</v>
      </c>
      <c r="W272" s="320"/>
      <c r="X272" s="336">
        <f>SUM(X232:X243)+SUM(X245,X246,X248,X249,X251,X252,X254,X255,X257,X258,X260,X261)+SUM(X264:X270)</f>
        <v>0</v>
      </c>
      <c r="Z272" s="320">
        <f>SUM(Z232:Z243)+SUM(Z245,Z246,Z248,Z249,Z251,Z252,Z254,Z255,Z257,Z258,Z260,Z261)+SUM(Z264:Z270)</f>
        <v>0</v>
      </c>
      <c r="AA272" s="320"/>
      <c r="AB272" s="336">
        <f>SUM(AB232:AB243)+SUM(AB245,AB246,AB248,AB249,AB251,AB252,AB254,AB255,AB257,AB258,AB260,AB261)+SUM(AB264:AB270)</f>
        <v>0</v>
      </c>
      <c r="AD272" s="320">
        <f>J272+N272+R272+V272+Z272</f>
        <v>0</v>
      </c>
      <c r="AE272" s="170"/>
      <c r="AF272" s="336">
        <f>L272+P272+T272+X272+AB272</f>
        <v>0</v>
      </c>
      <c r="AH272" s="388"/>
    </row>
    <row r="273" spans="1:34" x14ac:dyDescent="0.25">
      <c r="L273" s="336"/>
      <c r="P273" s="336"/>
      <c r="T273" s="344"/>
      <c r="X273" s="344"/>
      <c r="AB273" s="344"/>
      <c r="AF273" s="190"/>
    </row>
    <row r="274" spans="1:34" x14ac:dyDescent="0.25">
      <c r="B274" s="187" t="s">
        <v>16</v>
      </c>
      <c r="C274" s="187" t="s">
        <v>15</v>
      </c>
      <c r="J274" s="353">
        <f>J70+J106+J135+J147+J214+J228+J272</f>
        <v>0</v>
      </c>
      <c r="K274" s="353"/>
      <c r="L274" s="354">
        <f>L70+L106+L147+L214+L228+L272+L135</f>
        <v>0</v>
      </c>
      <c r="M274" s="353"/>
      <c r="N274" s="353">
        <f>N70+N106+N147+N214+N228+N272+N135</f>
        <v>0</v>
      </c>
      <c r="O274" s="355"/>
      <c r="P274" s="354">
        <f>P70+P106+P147+P214+P228+P272+P135</f>
        <v>0</v>
      </c>
      <c r="Q274" s="355"/>
      <c r="R274" s="353">
        <f>R70+R106+R135+R147+R214+R228+R272</f>
        <v>0</v>
      </c>
      <c r="T274" s="354">
        <f>T70+T106+T147+T214+T228+T272+T135</f>
        <v>0</v>
      </c>
      <c r="V274" s="353">
        <f>V70+V106+V135+V147+V214+V228+V272</f>
        <v>0</v>
      </c>
      <c r="X274" s="354">
        <f>X70+X106+X147+X214+X228+X272+X135</f>
        <v>0</v>
      </c>
      <c r="Z274" s="353">
        <f>Z70+Z106+Z135+Z147+Z214+Z228+Z272</f>
        <v>0</v>
      </c>
      <c r="AB274" s="354">
        <f>AB70+AB106+AB147+AB214+AB228+AB272+AB135</f>
        <v>0</v>
      </c>
      <c r="AD274" s="353">
        <f>J274+N274+R274+V274+Z274</f>
        <v>0</v>
      </c>
      <c r="AE274" s="188"/>
      <c r="AF274" s="241">
        <f>L274+P274+T274+X274+AB274</f>
        <v>0</v>
      </c>
    </row>
    <row r="275" spans="1:34" x14ac:dyDescent="0.25">
      <c r="B275" s="187"/>
      <c r="C275" s="384" t="s">
        <v>286</v>
      </c>
      <c r="J275" s="356">
        <f>J247+J250+J253+J256+J259+J262</f>
        <v>0</v>
      </c>
      <c r="K275" s="356"/>
      <c r="L275" s="336">
        <f>L247+L250+L253+L256+L259+L262</f>
        <v>0</v>
      </c>
      <c r="M275" s="356"/>
      <c r="N275" s="356">
        <f>N247+N250+N253+N256+N259+N262</f>
        <v>0</v>
      </c>
      <c r="O275" s="356"/>
      <c r="P275" s="336">
        <f>P247+P250+P253+P256+P259+P262</f>
        <v>0</v>
      </c>
      <c r="Q275" s="356"/>
      <c r="R275" s="356">
        <f>R247+R250+R253+R256+R259+R262</f>
        <v>0</v>
      </c>
      <c r="S275" s="356"/>
      <c r="T275" s="336">
        <f>T247+T250+T253+T256+T259+T262</f>
        <v>0</v>
      </c>
      <c r="U275" s="356"/>
      <c r="V275" s="356">
        <f>V247+V250+V253+V256+V259+V262</f>
        <v>0</v>
      </c>
      <c r="W275" s="356"/>
      <c r="X275" s="336">
        <f>X247+X250+X253+X256+X259+X262</f>
        <v>0</v>
      </c>
      <c r="Y275" s="356"/>
      <c r="Z275" s="356">
        <f>Z247+Z250+Z253+Z256+Z259+Z262</f>
        <v>0</v>
      </c>
      <c r="AA275" s="356"/>
      <c r="AB275" s="336">
        <f>AB247+AB250+AB253+AB256+AB259+AB262</f>
        <v>0</v>
      </c>
      <c r="AC275" s="356"/>
      <c r="AD275" s="356">
        <f>J275+N275+R275+V275+Z275</f>
        <v>0</v>
      </c>
      <c r="AE275" s="188"/>
      <c r="AF275" s="336"/>
    </row>
    <row r="276" spans="1:34" x14ac:dyDescent="0.25">
      <c r="C276" s="384" t="s">
        <v>269</v>
      </c>
      <c r="D276" s="384"/>
      <c r="E276" s="384"/>
      <c r="F276" s="238"/>
      <c r="G276" s="238"/>
      <c r="H276" s="245"/>
      <c r="I276" s="245"/>
      <c r="J276" s="356">
        <f>SUM(J274-J275)</f>
        <v>0</v>
      </c>
      <c r="K276" s="356"/>
      <c r="L276" s="336">
        <f>SUM(L274-L275)</f>
        <v>0</v>
      </c>
      <c r="M276" s="356"/>
      <c r="N276" s="356">
        <f>SUM(N274-N275)</f>
        <v>0</v>
      </c>
      <c r="O276" s="356"/>
      <c r="P276" s="336">
        <f>SUM(P274-P275)</f>
        <v>0</v>
      </c>
      <c r="Q276" s="357"/>
      <c r="R276" s="356">
        <f>SUM(R274-R275)</f>
        <v>0</v>
      </c>
      <c r="S276" s="356"/>
      <c r="T276" s="336">
        <f>SUM(T274-T275)</f>
        <v>0</v>
      </c>
      <c r="U276" s="357"/>
      <c r="V276" s="356">
        <f>SUM(V274-V275)</f>
        <v>0</v>
      </c>
      <c r="W276" s="356"/>
      <c r="X276" s="336">
        <f>SUM(X274-X275)</f>
        <v>0</v>
      </c>
      <c r="Y276" s="357"/>
      <c r="Z276" s="356">
        <f>SUM(Z274-Z275)</f>
        <v>0</v>
      </c>
      <c r="AA276" s="356"/>
      <c r="AB276" s="336">
        <f>SUM(AB274-AB275)</f>
        <v>0</v>
      </c>
      <c r="AC276" s="357"/>
      <c r="AD276" s="356">
        <f>AD274-AD246-AD249-AD252-AD255-AD258-AD261</f>
        <v>0</v>
      </c>
      <c r="AE276" s="245"/>
      <c r="AF276" s="336">
        <f>AF274-AF246-AF249-AF252-AF255-AF258-AF261</f>
        <v>0</v>
      </c>
      <c r="AH276" s="27" t="s">
        <v>272</v>
      </c>
    </row>
    <row r="277" spans="1:34" x14ac:dyDescent="0.25">
      <c r="C277" s="243"/>
      <c r="D277" s="243"/>
      <c r="E277" s="243"/>
      <c r="F277" s="244"/>
      <c r="G277" s="244"/>
      <c r="H277" s="245"/>
      <c r="I277" s="245"/>
      <c r="J277" s="356"/>
      <c r="K277" s="356"/>
      <c r="L277" s="336"/>
      <c r="M277" s="356"/>
      <c r="N277" s="356"/>
      <c r="O277" s="356"/>
      <c r="P277" s="336"/>
      <c r="Q277" s="357"/>
      <c r="R277" s="356"/>
      <c r="S277" s="356"/>
      <c r="T277" s="336"/>
      <c r="U277" s="357"/>
      <c r="V277" s="356"/>
      <c r="W277" s="356"/>
      <c r="X277" s="336"/>
      <c r="Y277" s="357"/>
      <c r="Z277" s="356"/>
      <c r="AA277" s="356"/>
      <c r="AB277" s="336"/>
      <c r="AC277" s="357"/>
      <c r="AD277" s="356"/>
      <c r="AE277" s="245"/>
      <c r="AF277" s="336"/>
    </row>
    <row r="278" spans="1:34" x14ac:dyDescent="0.25">
      <c r="C278" s="187"/>
      <c r="D278" s="220" t="s">
        <v>40</v>
      </c>
      <c r="E278" s="220"/>
      <c r="G278" s="60"/>
      <c r="J278" s="385">
        <f>J274-J147-J228-SUM(J246,J249,J252,J255,J258,J261)-SUM(J268,J269,J270)</f>
        <v>0</v>
      </c>
      <c r="K278" s="385"/>
      <c r="L278" s="336">
        <f>L274-L147-L228-SUM(L246,L249,L252,L255,L258,L261)-SUM(L268,L269,L270)</f>
        <v>0</v>
      </c>
      <c r="M278" s="385"/>
      <c r="N278" s="385">
        <f>N274-N147-N228-SUM(N246,N249,N252,N255,N258,N261)-SUM(N268,N269,N270)</f>
        <v>0</v>
      </c>
      <c r="O278" s="385"/>
      <c r="P278" s="336">
        <f>P274-P147-P228-SUM(P246,P249,P252,P255,P258,P261)-SUM(P268,P269,P270)</f>
        <v>0</v>
      </c>
      <c r="Q278" s="385"/>
      <c r="R278" s="385">
        <f>R274-R147-R228-SUM(R246,R249,R252,R255,R258,R261)-SUM(R268,R269,R270)</f>
        <v>0</v>
      </c>
      <c r="S278" s="385"/>
      <c r="T278" s="336">
        <f>T274-T147-T228-SUM(T246,T249,T252,T255,T258,T261)-SUM(T268,T269,T270)</f>
        <v>0</v>
      </c>
      <c r="U278" s="385"/>
      <c r="V278" s="385">
        <f>V274-V147-V228-SUM(V246,V249,V252,V255,V258,V261)-SUM(V268,V269,V270)</f>
        <v>0</v>
      </c>
      <c r="W278" s="385"/>
      <c r="X278" s="336">
        <f>X274-X147-X228-SUM(X246,X249,X252,X255,X258,X261)-SUM(X268,X269,X270)</f>
        <v>0</v>
      </c>
      <c r="Y278" s="386"/>
      <c r="Z278" s="385">
        <f>Z274-Z147-Z228-SUM(Z246,Z249,Z252,Z255,Z258,Z261)-SUM(Z268,Z269,Z270)</f>
        <v>0</v>
      </c>
      <c r="AA278" s="385"/>
      <c r="AB278" s="336">
        <f>AB274-AB147-AB228-SUM(AB246,AB249,AB252,AB255,AB258,AB261)-SUM(AB268,AB269,AB270)</f>
        <v>0</v>
      </c>
      <c r="AC278" s="386"/>
      <c r="AD278" s="385">
        <f>J278+N278+R278+V278+Z278</f>
        <v>0</v>
      </c>
      <c r="AE278" s="181"/>
      <c r="AF278" s="336">
        <f>L278+P278+T278+X278+AB278</f>
        <v>0</v>
      </c>
      <c r="AH278" s="27"/>
    </row>
    <row r="279" spans="1:34" x14ac:dyDescent="0.25">
      <c r="D279" s="171"/>
      <c r="E279" s="220"/>
      <c r="L279" s="336"/>
      <c r="P279" s="336"/>
      <c r="T279" s="344"/>
      <c r="X279" s="344"/>
      <c r="AB279" s="344"/>
      <c r="AF279" s="190"/>
    </row>
    <row r="280" spans="1:34" x14ac:dyDescent="0.25">
      <c r="H280" s="249" t="s">
        <v>130</v>
      </c>
      <c r="I280" s="202"/>
      <c r="J280" s="358">
        <f>J274-J278</f>
        <v>0</v>
      </c>
      <c r="K280" s="358"/>
      <c r="L280" s="359"/>
      <c r="M280" s="358"/>
      <c r="N280" s="358">
        <f>N274-N278</f>
        <v>0</v>
      </c>
      <c r="O280" s="360"/>
      <c r="P280" s="359"/>
      <c r="Q280" s="360"/>
      <c r="R280" s="358">
        <f>R274-R278</f>
        <v>0</v>
      </c>
      <c r="S280" s="360"/>
      <c r="T280" s="361"/>
      <c r="U280" s="360"/>
      <c r="V280" s="358">
        <f>V274-V278</f>
        <v>0</v>
      </c>
      <c r="W280" s="360"/>
      <c r="X280" s="361"/>
      <c r="Y280" s="360"/>
      <c r="Z280" s="358">
        <f>Z274-Z278</f>
        <v>0</v>
      </c>
      <c r="AA280" s="360"/>
      <c r="AB280" s="361"/>
      <c r="AC280" s="360"/>
      <c r="AD280" s="358">
        <f>AD274-AD278</f>
        <v>0</v>
      </c>
      <c r="AF280" s="190"/>
    </row>
    <row r="281" spans="1:34" x14ac:dyDescent="0.25">
      <c r="B281" s="187" t="s">
        <v>39</v>
      </c>
      <c r="C281" s="187" t="s">
        <v>100</v>
      </c>
      <c r="L281" s="336"/>
      <c r="P281" s="336"/>
      <c r="R281" s="320"/>
      <c r="T281" s="344"/>
      <c r="V281" s="320"/>
      <c r="X281" s="344"/>
      <c r="Z281" s="320"/>
      <c r="AB281" s="344"/>
      <c r="AF281" s="190"/>
    </row>
    <row r="282" spans="1:34" x14ac:dyDescent="0.25">
      <c r="B282" s="28"/>
      <c r="C282" s="167" t="s">
        <v>95</v>
      </c>
      <c r="L282" s="336"/>
      <c r="P282" s="336"/>
      <c r="R282" s="320"/>
      <c r="T282" s="344"/>
      <c r="V282" s="320"/>
      <c r="X282" s="344"/>
      <c r="Z282" s="320"/>
      <c r="AB282" s="344"/>
      <c r="AF282" s="190"/>
    </row>
    <row r="283" spans="1:34" x14ac:dyDescent="0.25">
      <c r="B283" s="28"/>
      <c r="C283" s="253" t="s">
        <v>285</v>
      </c>
      <c r="G283" s="28"/>
      <c r="H283" s="377">
        <v>0.47</v>
      </c>
      <c r="L283" s="336"/>
      <c r="P283" s="336"/>
      <c r="T283" s="344"/>
      <c r="X283" s="344"/>
      <c r="AB283" s="344"/>
      <c r="AF283" s="190"/>
      <c r="AH283" s="27" t="s">
        <v>273</v>
      </c>
    </row>
    <row r="284" spans="1:34" x14ac:dyDescent="0.25">
      <c r="B284" s="28"/>
      <c r="C284" s="167" t="s">
        <v>295</v>
      </c>
      <c r="J284" s="345">
        <f>J278*$H$283</f>
        <v>0</v>
      </c>
      <c r="L284" s="346">
        <f>L278*$H$283</f>
        <v>0</v>
      </c>
      <c r="N284" s="345">
        <f>N278*$H$283</f>
        <v>0</v>
      </c>
      <c r="O284" s="345"/>
      <c r="P284" s="346">
        <f>P278*$H$283</f>
        <v>0</v>
      </c>
      <c r="Q284" s="345"/>
      <c r="R284" s="345">
        <f>R278*$H$283</f>
        <v>0</v>
      </c>
      <c r="T284" s="346">
        <f>T278*$H$283</f>
        <v>0</v>
      </c>
      <c r="V284" s="345">
        <f>V278*$H$283</f>
        <v>0</v>
      </c>
      <c r="X284" s="346">
        <f>X278*$H$283</f>
        <v>0</v>
      </c>
      <c r="Z284" s="345">
        <f>Z278*$H$283</f>
        <v>0</v>
      </c>
      <c r="AB284" s="346">
        <f>AB278*$H$283</f>
        <v>0</v>
      </c>
      <c r="AD284" s="320">
        <f>J284+N284+R284+V284+Z284</f>
        <v>0</v>
      </c>
      <c r="AE284" s="170"/>
      <c r="AF284" s="189">
        <f>L284+P284+T284+X284+AB284</f>
        <v>0</v>
      </c>
      <c r="AH284" s="388" t="s">
        <v>300</v>
      </c>
    </row>
    <row r="285" spans="1:34" x14ac:dyDescent="0.25">
      <c r="C285" s="28"/>
      <c r="H285" s="28"/>
      <c r="I285" s="28"/>
      <c r="J285" s="321"/>
      <c r="K285" s="321"/>
      <c r="L285" s="344"/>
      <c r="M285" s="321"/>
      <c r="N285" s="321"/>
      <c r="P285" s="344"/>
      <c r="T285" s="344"/>
      <c r="X285" s="344"/>
      <c r="AB285" s="344"/>
      <c r="AD285" s="342"/>
      <c r="AE285" s="28"/>
      <c r="AF285" s="254"/>
    </row>
    <row r="286" spans="1:34" x14ac:dyDescent="0.25">
      <c r="B286" s="187" t="s">
        <v>128</v>
      </c>
      <c r="C286" s="187" t="s">
        <v>17</v>
      </c>
      <c r="J286" s="320">
        <f>J274+J284</f>
        <v>0</v>
      </c>
      <c r="L286" s="336">
        <f>L274+L284</f>
        <v>0</v>
      </c>
      <c r="N286" s="320">
        <f>N274+N284</f>
        <v>0</v>
      </c>
      <c r="P286" s="336">
        <f>P274+P284</f>
        <v>0</v>
      </c>
      <c r="R286" s="320">
        <f>R274+R284</f>
        <v>0</v>
      </c>
      <c r="S286" s="320"/>
      <c r="T286" s="336">
        <f>T274+T284</f>
        <v>0</v>
      </c>
      <c r="U286" s="320"/>
      <c r="V286" s="320">
        <f>V274+V284</f>
        <v>0</v>
      </c>
      <c r="W286" s="320"/>
      <c r="X286" s="336">
        <f>X274+X284</f>
        <v>0</v>
      </c>
      <c r="Y286" s="320"/>
      <c r="Z286" s="320">
        <f>Z274+Z284</f>
        <v>0</v>
      </c>
      <c r="AA286" s="320"/>
      <c r="AB286" s="336">
        <f>AB274+AB284</f>
        <v>0</v>
      </c>
      <c r="AC286" s="320"/>
      <c r="AD286" s="320">
        <f>J286+N286+R286+V286+Z286</f>
        <v>0</v>
      </c>
      <c r="AE286" s="170"/>
      <c r="AF286" s="189">
        <f>L286+P286+T286+X286+AB286</f>
        <v>0</v>
      </c>
    </row>
    <row r="287" spans="1:34" x14ac:dyDescent="0.25">
      <c r="A287" s="255" t="s">
        <v>305</v>
      </c>
      <c r="C287" s="187"/>
      <c r="J287" s="353"/>
      <c r="L287" s="354"/>
      <c r="P287" s="336"/>
      <c r="T287" s="344"/>
      <c r="X287" s="344"/>
      <c r="AB287" s="344"/>
      <c r="AF287" s="190"/>
    </row>
    <row r="288" spans="1:34" x14ac:dyDescent="0.25">
      <c r="B288" s="187"/>
      <c r="D288" s="28"/>
      <c r="E288" s="28"/>
      <c r="F288" s="28"/>
      <c r="G288" s="28"/>
      <c r="H288" s="28"/>
    </row>
    <row r="289" spans="1:73" x14ac:dyDescent="0.25">
      <c r="D289" s="28"/>
      <c r="E289" s="28"/>
      <c r="F289" s="28"/>
      <c r="G289" s="188" t="s">
        <v>277</v>
      </c>
      <c r="H289" s="28"/>
    </row>
    <row r="290" spans="1:73" x14ac:dyDescent="0.25">
      <c r="A290" s="314"/>
      <c r="B290" s="314"/>
      <c r="C290" s="314"/>
      <c r="D290" s="256"/>
      <c r="F290" s="28"/>
      <c r="G290" s="172" t="s">
        <v>281</v>
      </c>
      <c r="H290" s="379">
        <v>0.47</v>
      </c>
      <c r="I290" s="317"/>
      <c r="J290" s="362">
        <f>H290*AD278</f>
        <v>0</v>
      </c>
      <c r="L290" s="325"/>
      <c r="P290" s="325"/>
    </row>
    <row r="291" spans="1:73" x14ac:dyDescent="0.25">
      <c r="A291" s="314"/>
      <c r="B291" s="314"/>
      <c r="C291" s="314"/>
      <c r="D291" s="256"/>
      <c r="E291" s="257"/>
      <c r="G291" s="170" t="s">
        <v>282</v>
      </c>
      <c r="H291" s="378">
        <f>H283</f>
        <v>0.47</v>
      </c>
      <c r="I291" s="317"/>
      <c r="J291" s="362">
        <f>AD284</f>
        <v>0</v>
      </c>
      <c r="P291" s="325"/>
    </row>
    <row r="292" spans="1:73" x14ac:dyDescent="0.25">
      <c r="A292" s="314"/>
      <c r="B292" s="314"/>
      <c r="C292" s="314"/>
      <c r="D292" s="319"/>
      <c r="E292" s="318"/>
      <c r="F292" s="316"/>
      <c r="G292" s="316"/>
      <c r="H292" s="186" t="s">
        <v>278</v>
      </c>
      <c r="I292" s="186"/>
      <c r="J292" s="362">
        <f>J290-J291</f>
        <v>0</v>
      </c>
      <c r="P292" s="325"/>
    </row>
    <row r="293" spans="1:73" x14ac:dyDescent="0.25">
      <c r="D293" s="256"/>
      <c r="E293" s="257"/>
    </row>
    <row r="294" spans="1:73" x14ac:dyDescent="0.25">
      <c r="D294" s="256"/>
      <c r="E294" s="257"/>
    </row>
    <row r="295" spans="1:73" x14ac:dyDescent="0.25">
      <c r="D295" s="256"/>
      <c r="E295" s="257"/>
    </row>
    <row r="296" spans="1:73" x14ac:dyDescent="0.25">
      <c r="D296" s="256"/>
    </row>
    <row r="297" spans="1:73" x14ac:dyDescent="0.25">
      <c r="D297" s="256"/>
    </row>
    <row r="302" spans="1:73" s="292" customFormat="1" x14ac:dyDescent="0.25">
      <c r="A302" s="307"/>
      <c r="B302" s="307"/>
      <c r="C302" s="307"/>
      <c r="D302" s="307"/>
      <c r="E302" s="307"/>
      <c r="F302" s="297"/>
      <c r="G302" s="297"/>
      <c r="H302" s="240"/>
      <c r="I302" s="240"/>
      <c r="J302" s="390"/>
      <c r="K302" s="390"/>
      <c r="L302" s="390"/>
      <c r="M302" s="390"/>
      <c r="N302" s="390"/>
      <c r="O302" s="391"/>
      <c r="P302" s="390"/>
      <c r="Q302" s="391"/>
      <c r="R302" s="391"/>
      <c r="S302" s="391"/>
      <c r="T302" s="391"/>
      <c r="U302" s="391"/>
      <c r="V302" s="391"/>
      <c r="W302" s="391"/>
      <c r="X302" s="391"/>
      <c r="Y302" s="391"/>
      <c r="Z302" s="391"/>
      <c r="AA302" s="391"/>
      <c r="AB302" s="391"/>
      <c r="AC302" s="391"/>
      <c r="AD302" s="390"/>
      <c r="AE302" s="308"/>
      <c r="AF302" s="308"/>
      <c r="AJ302" s="309"/>
      <c r="AK302" s="293"/>
      <c r="AL302" s="294"/>
      <c r="AM302" s="294"/>
      <c r="AP302" s="295"/>
      <c r="AU302" s="295"/>
      <c r="AZ302" s="295"/>
      <c r="BE302" s="295"/>
      <c r="BJ302" s="295"/>
      <c r="BK302" s="293"/>
      <c r="BM302" s="296"/>
      <c r="BN302" s="296"/>
      <c r="BO302" s="296"/>
      <c r="BP302" s="296"/>
      <c r="BQ302" s="296"/>
      <c r="BR302" s="296"/>
      <c r="BS302" s="296"/>
      <c r="BT302" s="296"/>
      <c r="BU302" s="296"/>
    </row>
    <row r="303" spans="1:73" s="292" customFormat="1" x14ac:dyDescent="0.25">
      <c r="A303" s="307"/>
      <c r="B303" s="307"/>
      <c r="C303" s="307"/>
      <c r="D303" s="47" t="s">
        <v>167</v>
      </c>
      <c r="E303" s="19"/>
      <c r="F303" s="297"/>
      <c r="G303" s="19"/>
      <c r="J303" s="391"/>
      <c r="K303" s="391"/>
      <c r="L303" s="390"/>
      <c r="M303" s="390"/>
      <c r="N303" s="390"/>
      <c r="O303" s="391"/>
      <c r="P303" s="390"/>
      <c r="Q303" s="391"/>
      <c r="R303" s="391"/>
      <c r="S303" s="391"/>
      <c r="T303" s="391"/>
      <c r="U303" s="391"/>
      <c r="V303" s="391"/>
      <c r="W303" s="391"/>
      <c r="X303" s="391"/>
      <c r="Y303" s="391"/>
      <c r="Z303" s="391"/>
      <c r="AA303" s="391"/>
      <c r="AB303" s="391"/>
      <c r="AC303" s="391"/>
      <c r="AD303" s="390"/>
      <c r="AE303" s="308"/>
      <c r="AF303" s="308"/>
      <c r="AJ303" s="309"/>
      <c r="AK303" s="293"/>
      <c r="AL303" s="294"/>
      <c r="AM303" s="294"/>
      <c r="AP303" s="295"/>
      <c r="AU303" s="295"/>
      <c r="AZ303" s="295"/>
      <c r="BE303" s="295"/>
      <c r="BJ303" s="295"/>
      <c r="BK303" s="293"/>
      <c r="BM303" s="296"/>
      <c r="BN303" s="296"/>
      <c r="BO303" s="296"/>
      <c r="BP303" s="296"/>
      <c r="BQ303" s="296"/>
      <c r="BR303" s="296"/>
      <c r="BS303" s="296"/>
      <c r="BT303" s="296"/>
      <c r="BU303" s="296"/>
    </row>
    <row r="304" spans="1:73" s="292" customFormat="1" x14ac:dyDescent="0.25">
      <c r="A304" s="307"/>
      <c r="B304" s="307"/>
      <c r="C304" s="307"/>
      <c r="D304" s="47" t="s">
        <v>168</v>
      </c>
      <c r="E304" s="19"/>
      <c r="F304" s="297"/>
      <c r="G304" s="19"/>
      <c r="J304" s="391"/>
      <c r="K304" s="391"/>
      <c r="L304" s="390"/>
      <c r="M304" s="390"/>
      <c r="N304" s="390"/>
      <c r="O304" s="391"/>
      <c r="P304" s="390"/>
      <c r="Q304" s="391"/>
      <c r="R304" s="391"/>
      <c r="S304" s="391"/>
      <c r="T304" s="391"/>
      <c r="U304" s="391"/>
      <c r="V304" s="391"/>
      <c r="W304" s="391"/>
      <c r="X304" s="391"/>
      <c r="Y304" s="391"/>
      <c r="Z304" s="391"/>
      <c r="AA304" s="391"/>
      <c r="AB304" s="391"/>
      <c r="AC304" s="391"/>
      <c r="AD304" s="390"/>
      <c r="AE304" s="308"/>
      <c r="AF304" s="308"/>
      <c r="AJ304" s="309"/>
      <c r="AK304" s="293"/>
      <c r="AL304" s="294"/>
      <c r="AM304" s="294"/>
      <c r="AP304" s="295"/>
      <c r="AU304" s="295"/>
      <c r="AZ304" s="295"/>
      <c r="BE304" s="295"/>
      <c r="BJ304" s="295"/>
      <c r="BK304" s="293"/>
      <c r="BM304" s="296"/>
      <c r="BN304" s="296"/>
      <c r="BO304" s="296"/>
      <c r="BP304" s="296"/>
      <c r="BQ304" s="296"/>
      <c r="BR304" s="296"/>
      <c r="BS304" s="296"/>
      <c r="BT304" s="296"/>
      <c r="BU304" s="296"/>
    </row>
    <row r="305" spans="1:73" s="292" customFormat="1" x14ac:dyDescent="0.25">
      <c r="A305" s="307"/>
      <c r="B305" s="307"/>
      <c r="C305" s="307"/>
      <c r="D305" s="47" t="s">
        <v>169</v>
      </c>
      <c r="E305" s="19"/>
      <c r="F305" s="297"/>
      <c r="G305" s="19"/>
      <c r="J305" s="391"/>
      <c r="K305" s="391"/>
      <c r="L305" s="390"/>
      <c r="M305" s="390"/>
      <c r="N305" s="390"/>
      <c r="O305" s="391"/>
      <c r="P305" s="390"/>
      <c r="Q305" s="391"/>
      <c r="R305" s="391"/>
      <c r="S305" s="391"/>
      <c r="T305" s="391"/>
      <c r="U305" s="391"/>
      <c r="V305" s="391"/>
      <c r="W305" s="391"/>
      <c r="X305" s="391"/>
      <c r="Y305" s="391"/>
      <c r="Z305" s="391"/>
      <c r="AA305" s="391"/>
      <c r="AB305" s="391"/>
      <c r="AC305" s="391"/>
      <c r="AD305" s="390"/>
      <c r="AE305" s="308"/>
      <c r="AF305" s="308"/>
      <c r="AJ305" s="309"/>
      <c r="AK305" s="293"/>
      <c r="AL305" s="294"/>
      <c r="AM305" s="294"/>
      <c r="AP305" s="295"/>
      <c r="AU305" s="295"/>
      <c r="AZ305" s="295"/>
      <c r="BE305" s="295"/>
      <c r="BJ305" s="295"/>
      <c r="BK305" s="293"/>
      <c r="BM305" s="296"/>
      <c r="BN305" s="296"/>
      <c r="BO305" s="296"/>
      <c r="BP305" s="296"/>
      <c r="BQ305" s="296"/>
      <c r="BR305" s="296"/>
      <c r="BS305" s="296"/>
      <c r="BT305" s="296"/>
      <c r="BU305" s="296"/>
    </row>
    <row r="306" spans="1:73" s="292" customFormat="1" x14ac:dyDescent="0.25">
      <c r="A306" s="307"/>
      <c r="B306" s="307"/>
      <c r="C306" s="307"/>
      <c r="D306" s="47" t="s">
        <v>182</v>
      </c>
      <c r="E306" s="19"/>
      <c r="F306" s="297"/>
      <c r="G306" s="19"/>
      <c r="J306" s="391"/>
      <c r="K306" s="391"/>
      <c r="L306" s="390"/>
      <c r="M306" s="390"/>
      <c r="N306" s="390"/>
      <c r="O306" s="391"/>
      <c r="P306" s="390"/>
      <c r="Q306" s="391"/>
      <c r="R306" s="391"/>
      <c r="S306" s="391"/>
      <c r="T306" s="391"/>
      <c r="U306" s="391"/>
      <c r="V306" s="391"/>
      <c r="W306" s="391"/>
      <c r="X306" s="391"/>
      <c r="Y306" s="391"/>
      <c r="Z306" s="391"/>
      <c r="AA306" s="391"/>
      <c r="AB306" s="391"/>
      <c r="AC306" s="391"/>
      <c r="AD306" s="390"/>
      <c r="AE306" s="308"/>
      <c r="AF306" s="308"/>
      <c r="AJ306" s="309"/>
      <c r="AK306" s="293"/>
      <c r="AL306" s="294"/>
      <c r="AM306" s="294"/>
      <c r="AP306" s="295"/>
      <c r="AU306" s="295"/>
      <c r="AZ306" s="295"/>
      <c r="BE306" s="295"/>
      <c r="BJ306" s="295"/>
      <c r="BK306" s="293"/>
      <c r="BM306" s="296"/>
      <c r="BN306" s="296"/>
      <c r="BO306" s="296"/>
      <c r="BP306" s="296"/>
      <c r="BQ306" s="296"/>
      <c r="BR306" s="296"/>
      <c r="BS306" s="296"/>
      <c r="BT306" s="296"/>
      <c r="BU306" s="296"/>
    </row>
    <row r="307" spans="1:73" s="292" customFormat="1" x14ac:dyDescent="0.25">
      <c r="A307" s="307"/>
      <c r="B307" s="307"/>
      <c r="C307" s="307"/>
      <c r="D307" s="47" t="s">
        <v>170</v>
      </c>
      <c r="E307" s="19"/>
      <c r="F307" s="297"/>
      <c r="G307" s="19"/>
      <c r="J307" s="391"/>
      <c r="K307" s="391"/>
      <c r="L307" s="390"/>
      <c r="M307" s="390"/>
      <c r="N307" s="390"/>
      <c r="O307" s="391"/>
      <c r="P307" s="390"/>
      <c r="Q307" s="391"/>
      <c r="R307" s="391"/>
      <c r="S307" s="391"/>
      <c r="T307" s="391"/>
      <c r="U307" s="391"/>
      <c r="V307" s="391"/>
      <c r="W307" s="391"/>
      <c r="X307" s="391"/>
      <c r="Y307" s="391"/>
      <c r="Z307" s="391"/>
      <c r="AA307" s="391"/>
      <c r="AB307" s="391"/>
      <c r="AC307" s="391"/>
      <c r="AD307" s="390"/>
      <c r="AE307" s="308"/>
      <c r="AF307" s="308"/>
      <c r="AJ307" s="309"/>
      <c r="AK307" s="293"/>
      <c r="AL307" s="294"/>
      <c r="AM307" s="294"/>
      <c r="AP307" s="295"/>
      <c r="AU307" s="295"/>
      <c r="AZ307" s="295"/>
      <c r="BE307" s="295"/>
      <c r="BJ307" s="295"/>
      <c r="BK307" s="293"/>
      <c r="BM307" s="296"/>
      <c r="BN307" s="296"/>
      <c r="BO307" s="296"/>
      <c r="BP307" s="296"/>
      <c r="BQ307" s="296"/>
      <c r="BR307" s="296"/>
      <c r="BS307" s="296"/>
      <c r="BT307" s="296"/>
      <c r="BU307" s="296"/>
    </row>
    <row r="308" spans="1:73" s="292" customFormat="1" x14ac:dyDescent="0.25">
      <c r="A308" s="307"/>
      <c r="B308" s="307"/>
      <c r="C308" s="307"/>
      <c r="D308" s="47" t="s">
        <v>135</v>
      </c>
      <c r="E308" s="19"/>
      <c r="F308" s="297"/>
      <c r="G308" s="19"/>
      <c r="J308" s="391"/>
      <c r="K308" s="391"/>
      <c r="L308" s="390"/>
      <c r="M308" s="390"/>
      <c r="N308" s="390"/>
      <c r="O308" s="391"/>
      <c r="P308" s="390"/>
      <c r="Q308" s="391"/>
      <c r="R308" s="391"/>
      <c r="S308" s="391"/>
      <c r="T308" s="391"/>
      <c r="U308" s="391"/>
      <c r="V308" s="391"/>
      <c r="W308" s="391"/>
      <c r="X308" s="391"/>
      <c r="Y308" s="391"/>
      <c r="Z308" s="391"/>
      <c r="AA308" s="391"/>
      <c r="AB308" s="391"/>
      <c r="AC308" s="391"/>
      <c r="AD308" s="390"/>
      <c r="AE308" s="308"/>
      <c r="AF308" s="308"/>
      <c r="AJ308" s="309"/>
      <c r="AK308" s="293"/>
      <c r="AL308" s="294"/>
      <c r="AM308" s="294"/>
      <c r="AP308" s="295"/>
      <c r="AU308" s="295"/>
      <c r="AZ308" s="295"/>
      <c r="BE308" s="295"/>
      <c r="BJ308" s="295"/>
      <c r="BK308" s="293"/>
      <c r="BM308" s="296"/>
      <c r="BN308" s="296"/>
      <c r="BO308" s="296"/>
      <c r="BP308" s="296"/>
      <c r="BQ308" s="296"/>
      <c r="BR308" s="296"/>
      <c r="BS308" s="296"/>
      <c r="BT308" s="296"/>
      <c r="BU308" s="296"/>
    </row>
    <row r="309" spans="1:73" s="292" customFormat="1" x14ac:dyDescent="0.25">
      <c r="A309" s="307"/>
      <c r="B309" s="307"/>
      <c r="C309" s="307"/>
      <c r="D309" s="47" t="s">
        <v>171</v>
      </c>
      <c r="E309" s="19"/>
      <c r="F309" s="297"/>
      <c r="G309" s="19"/>
      <c r="J309" s="391"/>
      <c r="K309" s="391"/>
      <c r="L309" s="390"/>
      <c r="M309" s="390"/>
      <c r="N309" s="390"/>
      <c r="O309" s="391"/>
      <c r="P309" s="390"/>
      <c r="Q309" s="391"/>
      <c r="R309" s="391"/>
      <c r="S309" s="391"/>
      <c r="T309" s="391"/>
      <c r="U309" s="391"/>
      <c r="V309" s="391"/>
      <c r="W309" s="391"/>
      <c r="X309" s="391"/>
      <c r="Y309" s="391"/>
      <c r="Z309" s="391"/>
      <c r="AA309" s="391"/>
      <c r="AB309" s="391"/>
      <c r="AC309" s="391"/>
      <c r="AD309" s="390"/>
      <c r="AE309" s="308"/>
      <c r="AF309" s="308"/>
      <c r="AJ309" s="309"/>
      <c r="AK309" s="293"/>
      <c r="AL309" s="294"/>
      <c r="AM309" s="294"/>
      <c r="AP309" s="295"/>
      <c r="AU309" s="295"/>
      <c r="AZ309" s="295"/>
      <c r="BE309" s="295"/>
      <c r="BJ309" s="295"/>
      <c r="BK309" s="293"/>
      <c r="BM309" s="296"/>
      <c r="BN309" s="296"/>
      <c r="BO309" s="296"/>
      <c r="BP309" s="296"/>
      <c r="BQ309" s="296"/>
      <c r="BR309" s="296"/>
      <c r="BS309" s="296"/>
      <c r="BT309" s="296"/>
      <c r="BU309" s="296"/>
    </row>
    <row r="310" spans="1:73" s="292" customFormat="1" x14ac:dyDescent="0.25">
      <c r="A310" s="307"/>
      <c r="B310" s="307"/>
      <c r="C310" s="307"/>
      <c r="D310" s="47" t="s">
        <v>129</v>
      </c>
      <c r="E310" s="19"/>
      <c r="F310" s="297"/>
      <c r="G310" s="19"/>
      <c r="J310" s="391"/>
      <c r="K310" s="391"/>
      <c r="L310" s="390"/>
      <c r="M310" s="390"/>
      <c r="N310" s="390"/>
      <c r="O310" s="391"/>
      <c r="P310" s="390"/>
      <c r="Q310" s="391"/>
      <c r="R310" s="391"/>
      <c r="S310" s="391"/>
      <c r="T310" s="391"/>
      <c r="U310" s="391"/>
      <c r="V310" s="391"/>
      <c r="W310" s="391"/>
      <c r="X310" s="391"/>
      <c r="Y310" s="391"/>
      <c r="Z310" s="391"/>
      <c r="AA310" s="391"/>
      <c r="AB310" s="391"/>
      <c r="AC310" s="391"/>
      <c r="AD310" s="390"/>
      <c r="AE310" s="308"/>
      <c r="AF310" s="308"/>
      <c r="AJ310" s="309"/>
      <c r="AK310" s="293"/>
      <c r="AL310" s="294"/>
      <c r="AM310" s="294"/>
      <c r="AP310" s="295"/>
      <c r="AU310" s="295"/>
      <c r="AZ310" s="295"/>
      <c r="BE310" s="295"/>
      <c r="BJ310" s="295"/>
      <c r="BK310" s="293"/>
      <c r="BM310" s="296"/>
      <c r="BN310" s="296"/>
      <c r="BO310" s="296"/>
      <c r="BP310" s="296"/>
      <c r="BQ310" s="296"/>
      <c r="BR310" s="296"/>
      <c r="BS310" s="296"/>
      <c r="BT310" s="296"/>
      <c r="BU310" s="296"/>
    </row>
    <row r="311" spans="1:73" s="292" customFormat="1" x14ac:dyDescent="0.25">
      <c r="A311" s="307"/>
      <c r="B311" s="307"/>
      <c r="C311" s="307"/>
      <c r="D311" s="47" t="s">
        <v>253</v>
      </c>
      <c r="E311" s="19"/>
      <c r="F311" s="297"/>
      <c r="G311" s="19"/>
      <c r="J311" s="391"/>
      <c r="K311" s="391"/>
      <c r="L311" s="390"/>
      <c r="M311" s="390"/>
      <c r="N311" s="390"/>
      <c r="O311" s="391"/>
      <c r="P311" s="390"/>
      <c r="Q311" s="391"/>
      <c r="R311" s="391"/>
      <c r="S311" s="391"/>
      <c r="T311" s="391"/>
      <c r="U311" s="391"/>
      <c r="V311" s="391"/>
      <c r="W311" s="391"/>
      <c r="X311" s="391"/>
      <c r="Y311" s="391"/>
      <c r="Z311" s="391"/>
      <c r="AA311" s="391"/>
      <c r="AB311" s="391"/>
      <c r="AC311" s="391"/>
      <c r="AD311" s="390"/>
      <c r="AE311" s="308"/>
      <c r="AF311" s="308"/>
      <c r="AJ311" s="309"/>
      <c r="AK311" s="293"/>
      <c r="AL311" s="294"/>
      <c r="AM311" s="294"/>
      <c r="AP311" s="295"/>
      <c r="AU311" s="295"/>
      <c r="AZ311" s="295"/>
      <c r="BE311" s="295"/>
      <c r="BJ311" s="295"/>
      <c r="BK311" s="293"/>
      <c r="BM311" s="296"/>
      <c r="BN311" s="296"/>
      <c r="BO311" s="296"/>
      <c r="BP311" s="296"/>
      <c r="BQ311" s="296"/>
      <c r="BR311" s="296"/>
      <c r="BS311" s="296"/>
      <c r="BT311" s="296"/>
      <c r="BU311" s="296"/>
    </row>
    <row r="312" spans="1:73" s="292" customFormat="1" x14ac:dyDescent="0.25">
      <c r="A312" s="307"/>
      <c r="B312" s="307"/>
      <c r="C312" s="307"/>
      <c r="D312" s="47" t="s">
        <v>190</v>
      </c>
      <c r="E312" s="19"/>
      <c r="F312" s="297"/>
      <c r="G312" s="19"/>
      <c r="J312" s="391"/>
      <c r="K312" s="391"/>
      <c r="L312" s="390"/>
      <c r="M312" s="390"/>
      <c r="N312" s="390"/>
      <c r="O312" s="391"/>
      <c r="P312" s="390"/>
      <c r="Q312" s="391"/>
      <c r="R312" s="391"/>
      <c r="S312" s="391"/>
      <c r="T312" s="391"/>
      <c r="U312" s="391"/>
      <c r="V312" s="391"/>
      <c r="W312" s="391"/>
      <c r="X312" s="391"/>
      <c r="Y312" s="391"/>
      <c r="Z312" s="391"/>
      <c r="AA312" s="391"/>
      <c r="AB312" s="391"/>
      <c r="AC312" s="391"/>
      <c r="AD312" s="390"/>
      <c r="AE312" s="308"/>
      <c r="AF312" s="308"/>
      <c r="AJ312" s="309"/>
      <c r="AK312" s="293"/>
      <c r="AL312" s="294"/>
      <c r="AM312" s="294"/>
      <c r="AP312" s="295"/>
      <c r="AU312" s="295"/>
      <c r="AZ312" s="295"/>
      <c r="BE312" s="295"/>
      <c r="BJ312" s="295"/>
      <c r="BK312" s="293"/>
      <c r="BM312" s="296"/>
      <c r="BN312" s="296"/>
      <c r="BO312" s="296"/>
      <c r="BP312" s="296"/>
      <c r="BQ312" s="296"/>
      <c r="BR312" s="296"/>
      <c r="BS312" s="296"/>
      <c r="BT312" s="296"/>
      <c r="BU312" s="296"/>
    </row>
    <row r="313" spans="1:73" s="292" customFormat="1" x14ac:dyDescent="0.25">
      <c r="A313" s="307"/>
      <c r="B313" s="307"/>
      <c r="C313" s="307"/>
      <c r="D313" s="47" t="s">
        <v>191</v>
      </c>
      <c r="E313" s="19"/>
      <c r="F313" s="297"/>
      <c r="G313" s="19"/>
      <c r="J313" s="391"/>
      <c r="K313" s="391"/>
      <c r="L313" s="390"/>
      <c r="M313" s="390"/>
      <c r="N313" s="390"/>
      <c r="O313" s="391"/>
      <c r="P313" s="390"/>
      <c r="Q313" s="391"/>
      <c r="R313" s="391"/>
      <c r="S313" s="391"/>
      <c r="T313" s="391"/>
      <c r="U313" s="391"/>
      <c r="V313" s="391"/>
      <c r="W313" s="391"/>
      <c r="X313" s="391"/>
      <c r="Y313" s="391"/>
      <c r="Z313" s="391"/>
      <c r="AA313" s="391"/>
      <c r="AB313" s="391"/>
      <c r="AC313" s="391"/>
      <c r="AD313" s="390"/>
      <c r="AE313" s="308"/>
      <c r="AF313" s="308"/>
      <c r="AJ313" s="309"/>
      <c r="AK313" s="293"/>
      <c r="AL313" s="294"/>
      <c r="AM313" s="294"/>
      <c r="AP313" s="295"/>
      <c r="AU313" s="295"/>
      <c r="AZ313" s="295"/>
      <c r="BE313" s="295"/>
      <c r="BJ313" s="295"/>
      <c r="BK313" s="293"/>
      <c r="BM313" s="296"/>
      <c r="BN313" s="296"/>
      <c r="BO313" s="296"/>
      <c r="BP313" s="296"/>
      <c r="BQ313" s="296"/>
      <c r="BR313" s="296"/>
      <c r="BS313" s="296"/>
      <c r="BT313" s="296"/>
      <c r="BU313" s="296"/>
    </row>
    <row r="314" spans="1:73" s="292" customFormat="1" x14ac:dyDescent="0.25">
      <c r="A314" s="307"/>
      <c r="B314" s="307"/>
      <c r="C314" s="307"/>
      <c r="D314" s="47" t="s">
        <v>258</v>
      </c>
      <c r="E314" s="19"/>
      <c r="F314" s="297"/>
      <c r="G314" s="19"/>
      <c r="J314" s="391"/>
      <c r="K314" s="391"/>
      <c r="L314" s="390"/>
      <c r="M314" s="390"/>
      <c r="N314" s="390"/>
      <c r="O314" s="391"/>
      <c r="P314" s="390"/>
      <c r="Q314" s="391"/>
      <c r="R314" s="391"/>
      <c r="S314" s="391"/>
      <c r="T314" s="391"/>
      <c r="U314" s="391"/>
      <c r="V314" s="391"/>
      <c r="W314" s="391"/>
      <c r="X314" s="391"/>
      <c r="Y314" s="391"/>
      <c r="Z314" s="391"/>
      <c r="AA314" s="391"/>
      <c r="AB314" s="391"/>
      <c r="AC314" s="391"/>
      <c r="AD314" s="390"/>
      <c r="AE314" s="308"/>
      <c r="AF314" s="308"/>
      <c r="AJ314" s="309"/>
      <c r="AK314" s="293"/>
      <c r="AL314" s="294"/>
      <c r="AM314" s="294"/>
      <c r="AP314" s="295"/>
      <c r="AU314" s="295"/>
      <c r="AZ314" s="295"/>
      <c r="BE314" s="295"/>
      <c r="BJ314" s="295"/>
      <c r="BK314" s="293"/>
      <c r="BM314" s="296"/>
      <c r="BN314" s="296"/>
      <c r="BO314" s="296"/>
      <c r="BP314" s="296"/>
      <c r="BQ314" s="296"/>
      <c r="BR314" s="296"/>
      <c r="BS314" s="296"/>
      <c r="BT314" s="296"/>
      <c r="BU314" s="296"/>
    </row>
    <row r="315" spans="1:73" s="292" customFormat="1" x14ac:dyDescent="0.25">
      <c r="A315" s="307"/>
      <c r="B315" s="307"/>
      <c r="C315" s="307"/>
      <c r="D315" s="47" t="s">
        <v>180</v>
      </c>
      <c r="E315" s="19"/>
      <c r="F315" s="297"/>
      <c r="G315" s="19"/>
      <c r="J315" s="391"/>
      <c r="K315" s="391"/>
      <c r="L315" s="390"/>
      <c r="M315" s="390"/>
      <c r="N315" s="390"/>
      <c r="O315" s="391"/>
      <c r="P315" s="390"/>
      <c r="Q315" s="391"/>
      <c r="R315" s="391"/>
      <c r="S315" s="391"/>
      <c r="T315" s="391"/>
      <c r="U315" s="391"/>
      <c r="V315" s="391"/>
      <c r="W315" s="391"/>
      <c r="X315" s="391"/>
      <c r="Y315" s="391"/>
      <c r="Z315" s="391"/>
      <c r="AA315" s="391"/>
      <c r="AB315" s="391"/>
      <c r="AC315" s="391"/>
      <c r="AD315" s="390"/>
      <c r="AE315" s="308"/>
      <c r="AF315" s="308"/>
      <c r="AJ315" s="309"/>
      <c r="AK315" s="293"/>
      <c r="AL315" s="294"/>
      <c r="AM315" s="294"/>
      <c r="AP315" s="295"/>
      <c r="AU315" s="295"/>
      <c r="AZ315" s="295"/>
      <c r="BE315" s="295"/>
      <c r="BJ315" s="295"/>
      <c r="BK315" s="293"/>
      <c r="BM315" s="296"/>
      <c r="BN315" s="296"/>
      <c r="BO315" s="296"/>
      <c r="BP315" s="296"/>
      <c r="BQ315" s="296"/>
      <c r="BR315" s="296"/>
      <c r="BS315" s="296"/>
      <c r="BT315" s="296"/>
      <c r="BU315" s="296"/>
    </row>
    <row r="316" spans="1:73" s="292" customFormat="1" x14ac:dyDescent="0.25">
      <c r="A316" s="307"/>
      <c r="B316" s="307"/>
      <c r="C316" s="307"/>
      <c r="D316" s="47" t="s">
        <v>181</v>
      </c>
      <c r="E316" s="19"/>
      <c r="F316" s="297"/>
      <c r="G316" s="19"/>
      <c r="J316" s="391"/>
      <c r="K316" s="391"/>
      <c r="L316" s="390"/>
      <c r="M316" s="390"/>
      <c r="N316" s="390"/>
      <c r="O316" s="391"/>
      <c r="P316" s="390"/>
      <c r="Q316" s="391"/>
      <c r="R316" s="391"/>
      <c r="S316" s="391"/>
      <c r="T316" s="391"/>
      <c r="U316" s="391"/>
      <c r="V316" s="391"/>
      <c r="W316" s="391"/>
      <c r="X316" s="391"/>
      <c r="Y316" s="391"/>
      <c r="Z316" s="391"/>
      <c r="AA316" s="391"/>
      <c r="AB316" s="391"/>
      <c r="AC316" s="391"/>
      <c r="AD316" s="390"/>
      <c r="AE316" s="308"/>
      <c r="AF316" s="308"/>
      <c r="AJ316" s="309"/>
      <c r="AK316" s="293"/>
      <c r="AL316" s="294"/>
      <c r="AM316" s="294"/>
      <c r="AP316" s="295"/>
      <c r="AU316" s="295"/>
      <c r="AZ316" s="295"/>
      <c r="BE316" s="295"/>
      <c r="BJ316" s="295"/>
      <c r="BK316" s="293"/>
      <c r="BM316" s="296"/>
      <c r="BN316" s="296"/>
      <c r="BO316" s="296"/>
      <c r="BP316" s="296"/>
      <c r="BQ316" s="296"/>
      <c r="BR316" s="296"/>
      <c r="BS316" s="296"/>
      <c r="BT316" s="296"/>
      <c r="BU316" s="296"/>
    </row>
    <row r="317" spans="1:73" s="292" customFormat="1" x14ac:dyDescent="0.25">
      <c r="A317" s="307"/>
      <c r="B317" s="307"/>
      <c r="C317" s="307"/>
      <c r="D317" s="19" t="s">
        <v>183</v>
      </c>
      <c r="E317" s="19"/>
      <c r="F317" s="297"/>
      <c r="G317" s="19"/>
      <c r="J317" s="391"/>
      <c r="K317" s="391"/>
      <c r="L317" s="390"/>
      <c r="M317" s="390"/>
      <c r="N317" s="390"/>
      <c r="O317" s="391"/>
      <c r="P317" s="390"/>
      <c r="Q317" s="391"/>
      <c r="R317" s="391"/>
      <c r="S317" s="391"/>
      <c r="T317" s="391"/>
      <c r="U317" s="391"/>
      <c r="V317" s="391"/>
      <c r="W317" s="391"/>
      <c r="X317" s="391"/>
      <c r="Y317" s="391"/>
      <c r="Z317" s="391"/>
      <c r="AA317" s="391"/>
      <c r="AB317" s="391"/>
      <c r="AC317" s="391"/>
      <c r="AD317" s="390"/>
      <c r="AE317" s="308"/>
      <c r="AF317" s="308"/>
      <c r="AJ317" s="309"/>
      <c r="AK317" s="293"/>
      <c r="AL317" s="294"/>
      <c r="AM317" s="294"/>
      <c r="AP317" s="295"/>
      <c r="AU317" s="295"/>
      <c r="AZ317" s="295"/>
      <c r="BE317" s="295"/>
      <c r="BJ317" s="295"/>
      <c r="BK317" s="293"/>
      <c r="BM317" s="296"/>
      <c r="BN317" s="296"/>
      <c r="BO317" s="296"/>
      <c r="BP317" s="296"/>
      <c r="BQ317" s="296"/>
      <c r="BR317" s="296"/>
      <c r="BS317" s="296"/>
      <c r="BT317" s="296"/>
      <c r="BU317" s="296"/>
    </row>
    <row r="318" spans="1:73" s="292" customFormat="1" x14ac:dyDescent="0.25">
      <c r="A318" s="307"/>
      <c r="B318" s="307"/>
      <c r="C318" s="307"/>
      <c r="D318" s="47"/>
      <c r="E318" s="19"/>
      <c r="F318" s="47"/>
      <c r="G318" s="19"/>
      <c r="J318" s="390"/>
      <c r="K318" s="391"/>
      <c r="L318" s="390"/>
      <c r="M318" s="390"/>
      <c r="N318" s="390"/>
      <c r="O318" s="391"/>
      <c r="P318" s="390"/>
      <c r="Q318" s="391"/>
      <c r="R318" s="391"/>
      <c r="S318" s="391"/>
      <c r="T318" s="392"/>
      <c r="U318" s="391"/>
      <c r="V318" s="391"/>
      <c r="W318" s="391"/>
      <c r="X318" s="391"/>
      <c r="Y318" s="391"/>
      <c r="Z318" s="391"/>
      <c r="AA318" s="391"/>
      <c r="AB318" s="391"/>
      <c r="AC318" s="391"/>
      <c r="AD318" s="390"/>
      <c r="AE318" s="308"/>
      <c r="AF318" s="308"/>
      <c r="AJ318" s="309"/>
      <c r="AK318" s="293"/>
      <c r="AL318" s="294"/>
      <c r="AM318" s="294"/>
      <c r="AP318" s="295"/>
      <c r="AU318" s="295"/>
      <c r="AZ318" s="295"/>
      <c r="BE318" s="295"/>
      <c r="BJ318" s="295"/>
      <c r="BK318" s="293"/>
      <c r="BM318" s="296"/>
      <c r="BN318" s="296"/>
      <c r="BO318" s="296"/>
      <c r="BP318" s="296"/>
      <c r="BQ318" s="296"/>
      <c r="BR318" s="296"/>
      <c r="BS318" s="296"/>
      <c r="BT318" s="296"/>
      <c r="BU318" s="296"/>
    </row>
    <row r="319" spans="1:73" s="292" customFormat="1" x14ac:dyDescent="0.25">
      <c r="A319" s="307"/>
      <c r="B319" s="307"/>
      <c r="C319" s="307"/>
      <c r="D319" s="47" t="s">
        <v>167</v>
      </c>
      <c r="E319" s="19"/>
      <c r="F319" s="298">
        <v>0.25</v>
      </c>
      <c r="G319" s="299">
        <v>1080</v>
      </c>
      <c r="H319" s="292">
        <f>AO6</f>
        <v>8.7692307692307701</v>
      </c>
      <c r="J319" s="391"/>
      <c r="K319" s="391"/>
      <c r="L319" s="390"/>
      <c r="M319" s="390"/>
      <c r="N319" s="390">
        <f>SUM(10013/H319)</f>
        <v>1142</v>
      </c>
      <c r="O319" s="391"/>
      <c r="P319" s="390"/>
      <c r="Q319" s="391"/>
      <c r="R319" s="391"/>
      <c r="S319" s="391"/>
      <c r="T319" s="392"/>
      <c r="U319" s="391"/>
      <c r="V319" s="391"/>
      <c r="W319" s="391"/>
      <c r="X319" s="391"/>
      <c r="Y319" s="391"/>
      <c r="Z319" s="391"/>
      <c r="AA319" s="391"/>
      <c r="AB319" s="391"/>
      <c r="AC319" s="391"/>
      <c r="AD319" s="390"/>
      <c r="AE319" s="308"/>
      <c r="AF319" s="308"/>
      <c r="AJ319" s="309"/>
      <c r="AK319" s="293"/>
      <c r="AL319" s="294"/>
      <c r="AM319" s="294"/>
      <c r="AP319" s="295"/>
      <c r="AU319" s="295"/>
      <c r="AZ319" s="295"/>
      <c r="BE319" s="295"/>
      <c r="BJ319" s="295"/>
      <c r="BK319" s="293"/>
      <c r="BM319" s="296"/>
      <c r="BN319" s="296"/>
      <c r="BO319" s="296"/>
      <c r="BP319" s="296"/>
      <c r="BQ319" s="296"/>
      <c r="BR319" s="296"/>
      <c r="BS319" s="296"/>
      <c r="BT319" s="296"/>
      <c r="BU319" s="296"/>
    </row>
    <row r="320" spans="1:73" s="292" customFormat="1" x14ac:dyDescent="0.25">
      <c r="A320" s="307"/>
      <c r="B320" s="307"/>
      <c r="C320" s="307"/>
      <c r="D320" s="47" t="s">
        <v>168</v>
      </c>
      <c r="E320" s="19"/>
      <c r="F320" s="298">
        <v>0.315</v>
      </c>
      <c r="G320" s="299">
        <v>1080</v>
      </c>
      <c r="H320" s="292">
        <f>$AO$7</f>
        <v>12</v>
      </c>
      <c r="J320" s="391"/>
      <c r="K320" s="391"/>
      <c r="L320" s="390"/>
      <c r="M320" s="390"/>
      <c r="N320" s="390"/>
      <c r="O320" s="391"/>
      <c r="P320" s="390"/>
      <c r="Q320" s="391"/>
      <c r="R320" s="391"/>
      <c r="S320" s="391"/>
      <c r="T320" s="391"/>
      <c r="U320" s="391"/>
      <c r="V320" s="391"/>
      <c r="W320" s="391"/>
      <c r="X320" s="391"/>
      <c r="Y320" s="391"/>
      <c r="Z320" s="391"/>
      <c r="AA320" s="391"/>
      <c r="AB320" s="391"/>
      <c r="AC320" s="391"/>
      <c r="AD320" s="390"/>
      <c r="AE320" s="308"/>
      <c r="AF320" s="308"/>
      <c r="AJ320" s="309"/>
      <c r="AK320" s="293"/>
      <c r="AL320" s="294"/>
      <c r="AM320" s="294"/>
      <c r="AP320" s="295"/>
      <c r="AU320" s="295"/>
      <c r="AZ320" s="295"/>
      <c r="BE320" s="295"/>
      <c r="BJ320" s="295"/>
      <c r="BK320" s="293"/>
      <c r="BM320" s="296"/>
      <c r="BN320" s="296"/>
      <c r="BO320" s="296"/>
      <c r="BP320" s="296"/>
      <c r="BQ320" s="296"/>
      <c r="BR320" s="296"/>
      <c r="BS320" s="296"/>
      <c r="BT320" s="296"/>
      <c r="BU320" s="296"/>
    </row>
    <row r="321" spans="1:73" s="292" customFormat="1" x14ac:dyDescent="0.25">
      <c r="A321" s="307"/>
      <c r="B321" s="307"/>
      <c r="C321" s="307"/>
      <c r="D321" s="47" t="s">
        <v>169</v>
      </c>
      <c r="E321" s="19"/>
      <c r="F321" s="298">
        <v>0.315</v>
      </c>
      <c r="G321" s="299">
        <v>1080</v>
      </c>
      <c r="H321" s="292">
        <f>$AO$7</f>
        <v>12</v>
      </c>
      <c r="J321" s="391"/>
      <c r="K321" s="391"/>
      <c r="L321" s="390"/>
      <c r="M321" s="390"/>
      <c r="N321" s="390">
        <f>SUM(1054*1.08769230769)</f>
        <v>1146</v>
      </c>
      <c r="O321" s="391"/>
      <c r="P321" s="390"/>
      <c r="Q321" s="391"/>
      <c r="R321" s="391"/>
      <c r="S321" s="391"/>
      <c r="T321" s="392"/>
      <c r="U321" s="391"/>
      <c r="V321" s="391"/>
      <c r="W321" s="391"/>
      <c r="X321" s="391"/>
      <c r="Y321" s="391"/>
      <c r="Z321" s="391"/>
      <c r="AA321" s="391"/>
      <c r="AB321" s="391"/>
      <c r="AC321" s="391"/>
      <c r="AD321" s="390"/>
      <c r="AE321" s="308"/>
      <c r="AF321" s="308"/>
      <c r="AJ321" s="309"/>
      <c r="AK321" s="293"/>
      <c r="AL321" s="294"/>
      <c r="AM321" s="294"/>
      <c r="AP321" s="295"/>
      <c r="AU321" s="295"/>
      <c r="AZ321" s="295"/>
      <c r="BE321" s="295"/>
      <c r="BJ321" s="295"/>
      <c r="BK321" s="293"/>
      <c r="BM321" s="296"/>
      <c r="BN321" s="296"/>
      <c r="BO321" s="296"/>
      <c r="BP321" s="296"/>
      <c r="BQ321" s="296"/>
      <c r="BR321" s="296"/>
      <c r="BS321" s="296"/>
      <c r="BT321" s="296"/>
      <c r="BU321" s="296"/>
    </row>
    <row r="322" spans="1:73" s="292" customFormat="1" x14ac:dyDescent="0.25">
      <c r="A322" s="307"/>
      <c r="B322" s="307"/>
      <c r="C322" s="307"/>
      <c r="D322" s="47" t="s">
        <v>182</v>
      </c>
      <c r="E322" s="19"/>
      <c r="F322" s="298">
        <v>0.25</v>
      </c>
      <c r="G322" s="299">
        <v>1080</v>
      </c>
      <c r="H322" s="292">
        <f>AO6</f>
        <v>8.7692307692307701</v>
      </c>
      <c r="J322" s="391"/>
      <c r="K322" s="391"/>
      <c r="L322" s="390"/>
      <c r="M322" s="390"/>
      <c r="N322" s="390">
        <f>SUM(1080*1.08169230769)</f>
        <v>1168</v>
      </c>
      <c r="O322" s="391"/>
      <c r="P322" s="390"/>
      <c r="Q322" s="391"/>
      <c r="R322" s="391">
        <f>N322*8.77</f>
        <v>10243</v>
      </c>
      <c r="S322" s="391"/>
      <c r="T322" s="392"/>
      <c r="U322" s="391"/>
      <c r="V322" s="391"/>
      <c r="W322" s="391"/>
      <c r="X322" s="391"/>
      <c r="Y322" s="391"/>
      <c r="Z322" s="391"/>
      <c r="AA322" s="391"/>
      <c r="AB322" s="391"/>
      <c r="AC322" s="391"/>
      <c r="AD322" s="390"/>
      <c r="AE322" s="308"/>
      <c r="AF322" s="308"/>
      <c r="AJ322" s="309"/>
      <c r="AK322" s="293"/>
      <c r="AL322" s="294"/>
      <c r="AM322" s="294"/>
      <c r="AP322" s="295"/>
      <c r="AU322" s="295"/>
      <c r="AZ322" s="295"/>
      <c r="BE322" s="295"/>
      <c r="BJ322" s="295"/>
      <c r="BK322" s="293"/>
      <c r="BM322" s="296"/>
      <c r="BN322" s="296"/>
      <c r="BO322" s="296"/>
      <c r="BP322" s="296"/>
      <c r="BQ322" s="296"/>
      <c r="BR322" s="296"/>
      <c r="BS322" s="296"/>
      <c r="BT322" s="296"/>
      <c r="BU322" s="296"/>
    </row>
    <row r="323" spans="1:73" s="292" customFormat="1" x14ac:dyDescent="0.25">
      <c r="A323" s="307"/>
      <c r="B323" s="307"/>
      <c r="C323" s="307"/>
      <c r="D323" s="47" t="s">
        <v>170</v>
      </c>
      <c r="E323" s="19"/>
      <c r="F323" s="298">
        <v>0.315</v>
      </c>
      <c r="G323" s="299">
        <v>1080</v>
      </c>
      <c r="H323" s="292">
        <f>$AO$7</f>
        <v>12</v>
      </c>
      <c r="J323" s="391"/>
      <c r="K323" s="391"/>
      <c r="L323" s="390"/>
      <c r="M323" s="390"/>
      <c r="N323" s="390"/>
      <c r="O323" s="391"/>
      <c r="P323" s="390"/>
      <c r="Q323" s="391"/>
      <c r="R323" s="391"/>
      <c r="S323" s="391"/>
      <c r="T323" s="392"/>
      <c r="U323" s="391"/>
      <c r="V323" s="391"/>
      <c r="W323" s="391"/>
      <c r="X323" s="391"/>
      <c r="Y323" s="391"/>
      <c r="Z323" s="391"/>
      <c r="AA323" s="391"/>
      <c r="AB323" s="391"/>
      <c r="AC323" s="391"/>
      <c r="AD323" s="390"/>
      <c r="AE323" s="308"/>
      <c r="AF323" s="308"/>
      <c r="AJ323" s="309"/>
      <c r="AK323" s="293"/>
      <c r="AL323" s="294"/>
      <c r="AM323" s="294"/>
      <c r="AP323" s="295"/>
      <c r="AU323" s="295"/>
      <c r="AZ323" s="295"/>
      <c r="BE323" s="295"/>
      <c r="BJ323" s="295"/>
      <c r="BK323" s="293"/>
      <c r="BM323" s="296"/>
      <c r="BN323" s="296"/>
      <c r="BO323" s="296"/>
      <c r="BP323" s="296"/>
      <c r="BQ323" s="296"/>
      <c r="BR323" s="296"/>
      <c r="BS323" s="296"/>
      <c r="BT323" s="296"/>
      <c r="BU323" s="296"/>
    </row>
    <row r="324" spans="1:73" s="292" customFormat="1" x14ac:dyDescent="0.25">
      <c r="A324" s="307"/>
      <c r="B324" s="307"/>
      <c r="C324" s="307"/>
      <c r="D324" s="47" t="s">
        <v>135</v>
      </c>
      <c r="E324" s="19"/>
      <c r="F324" s="298">
        <v>0</v>
      </c>
      <c r="G324" s="299">
        <v>1080</v>
      </c>
      <c r="H324" s="292">
        <f>$AO$7</f>
        <v>12</v>
      </c>
      <c r="J324" s="391"/>
      <c r="K324" s="391"/>
      <c r="L324" s="390"/>
      <c r="M324" s="390"/>
      <c r="N324" s="390"/>
      <c r="O324" s="391"/>
      <c r="P324" s="390"/>
      <c r="Q324" s="391"/>
      <c r="R324" s="391"/>
      <c r="S324" s="391"/>
      <c r="T324" s="392"/>
      <c r="U324" s="391"/>
      <c r="V324" s="391"/>
      <c r="W324" s="391"/>
      <c r="X324" s="391"/>
      <c r="Y324" s="391"/>
      <c r="Z324" s="391"/>
      <c r="AA324" s="391"/>
      <c r="AB324" s="391"/>
      <c r="AC324" s="391"/>
      <c r="AD324" s="390"/>
      <c r="AE324" s="308"/>
      <c r="AF324" s="308"/>
      <c r="AJ324" s="309"/>
      <c r="AK324" s="293"/>
      <c r="AL324" s="294"/>
      <c r="AM324" s="294"/>
      <c r="AP324" s="295"/>
      <c r="AU324" s="295"/>
      <c r="AZ324" s="295"/>
      <c r="BE324" s="295"/>
      <c r="BJ324" s="295"/>
      <c r="BK324" s="293"/>
      <c r="BM324" s="296"/>
      <c r="BN324" s="296"/>
      <c r="BO324" s="296"/>
      <c r="BP324" s="296"/>
      <c r="BQ324" s="296"/>
      <c r="BR324" s="296"/>
      <c r="BS324" s="296"/>
      <c r="BT324" s="296"/>
      <c r="BU324" s="296"/>
    </row>
    <row r="325" spans="1:73" s="292" customFormat="1" x14ac:dyDescent="0.25">
      <c r="A325" s="307"/>
      <c r="B325" s="307"/>
      <c r="C325" s="307"/>
      <c r="D325" s="47" t="s">
        <v>171</v>
      </c>
      <c r="E325" s="19"/>
      <c r="F325" s="298">
        <v>0.315</v>
      </c>
      <c r="G325" s="299">
        <v>1080</v>
      </c>
      <c r="H325" s="292">
        <f>$AO$7</f>
        <v>12</v>
      </c>
      <c r="J325" s="391"/>
      <c r="K325" s="391"/>
      <c r="L325" s="390"/>
      <c r="M325" s="390"/>
      <c r="N325" s="390">
        <f>1042*12</f>
        <v>12504</v>
      </c>
      <c r="O325" s="391"/>
      <c r="P325" s="390"/>
      <c r="Q325" s="391"/>
      <c r="R325" s="391"/>
      <c r="S325" s="391"/>
      <c r="T325" s="392"/>
      <c r="U325" s="391"/>
      <c r="V325" s="391"/>
      <c r="W325" s="391"/>
      <c r="X325" s="391"/>
      <c r="Y325" s="391"/>
      <c r="Z325" s="391"/>
      <c r="AA325" s="391"/>
      <c r="AB325" s="391"/>
      <c r="AC325" s="391"/>
      <c r="AD325" s="390"/>
      <c r="AE325" s="308"/>
      <c r="AF325" s="308"/>
      <c r="AJ325" s="309"/>
      <c r="AK325" s="293"/>
      <c r="AL325" s="294"/>
      <c r="AM325" s="294"/>
      <c r="AP325" s="295"/>
      <c r="AU325" s="295"/>
      <c r="AZ325" s="295"/>
      <c r="BE325" s="295"/>
      <c r="BJ325" s="295"/>
      <c r="BK325" s="293"/>
      <c r="BM325" s="296"/>
      <c r="BN325" s="296"/>
      <c r="BO325" s="296"/>
      <c r="BP325" s="296"/>
      <c r="BQ325" s="296"/>
      <c r="BR325" s="296"/>
      <c r="BS325" s="296"/>
      <c r="BT325" s="296"/>
      <c r="BU325" s="296"/>
    </row>
    <row r="326" spans="1:73" s="292" customFormat="1" x14ac:dyDescent="0.25">
      <c r="A326" s="307"/>
      <c r="B326" s="307"/>
      <c r="C326" s="307"/>
      <c r="D326" s="47" t="s">
        <v>129</v>
      </c>
      <c r="E326" s="19"/>
      <c r="F326" s="298">
        <v>0.315</v>
      </c>
      <c r="G326" s="299">
        <v>1080</v>
      </c>
      <c r="H326" s="292">
        <f>$AO$7</f>
        <v>12</v>
      </c>
      <c r="J326" s="391"/>
      <c r="K326" s="391"/>
      <c r="L326" s="390"/>
      <c r="M326" s="390"/>
      <c r="N326" s="390"/>
      <c r="O326" s="391"/>
      <c r="P326" s="390"/>
      <c r="Q326" s="391"/>
      <c r="R326" s="391"/>
      <c r="S326" s="391"/>
      <c r="T326" s="392"/>
      <c r="U326" s="391"/>
      <c r="V326" s="391"/>
      <c r="W326" s="391"/>
      <c r="X326" s="391"/>
      <c r="Y326" s="391"/>
      <c r="Z326" s="391"/>
      <c r="AA326" s="391"/>
      <c r="AB326" s="391"/>
      <c r="AC326" s="391"/>
      <c r="AD326" s="390"/>
      <c r="AE326" s="308"/>
      <c r="AF326" s="308"/>
      <c r="AJ326" s="309"/>
      <c r="AK326" s="293"/>
      <c r="AL326" s="294"/>
      <c r="AM326" s="294"/>
      <c r="AP326" s="295"/>
      <c r="AU326" s="295"/>
      <c r="AZ326" s="295"/>
      <c r="BE326" s="295"/>
      <c r="BJ326" s="295"/>
      <c r="BK326" s="293"/>
      <c r="BM326" s="296"/>
      <c r="BN326" s="296"/>
      <c r="BO326" s="296"/>
      <c r="BP326" s="296"/>
      <c r="BQ326" s="296"/>
      <c r="BR326" s="296"/>
      <c r="BS326" s="296"/>
      <c r="BT326" s="296"/>
      <c r="BU326" s="296"/>
    </row>
    <row r="327" spans="1:73" s="292" customFormat="1" x14ac:dyDescent="0.25">
      <c r="A327" s="307"/>
      <c r="B327" s="307"/>
      <c r="C327" s="307"/>
      <c r="D327" s="47" t="s">
        <v>253</v>
      </c>
      <c r="E327" s="19"/>
      <c r="F327" s="298">
        <v>0.28899999999999998</v>
      </c>
      <c r="G327" s="299">
        <v>1080</v>
      </c>
      <c r="H327" s="292">
        <f>$AO$7</f>
        <v>12</v>
      </c>
      <c r="J327" s="391"/>
      <c r="K327" s="391"/>
      <c r="L327" s="390"/>
      <c r="M327" s="390"/>
      <c r="N327" s="390">
        <f>12*1080</f>
        <v>12960</v>
      </c>
      <c r="O327" s="391"/>
      <c r="P327" s="390"/>
      <c r="Q327" s="391"/>
      <c r="R327" s="391"/>
      <c r="S327" s="391"/>
      <c r="T327" s="392"/>
      <c r="U327" s="391"/>
      <c r="V327" s="391"/>
      <c r="W327" s="391"/>
      <c r="X327" s="391"/>
      <c r="Y327" s="391"/>
      <c r="Z327" s="391"/>
      <c r="AA327" s="391"/>
      <c r="AB327" s="391"/>
      <c r="AC327" s="391"/>
      <c r="AD327" s="390"/>
      <c r="AE327" s="308"/>
      <c r="AF327" s="308"/>
      <c r="AJ327" s="309"/>
      <c r="AK327" s="293"/>
      <c r="AL327" s="294"/>
      <c r="AM327" s="294"/>
      <c r="AP327" s="295"/>
      <c r="AU327" s="295"/>
      <c r="AZ327" s="295"/>
      <c r="BE327" s="295"/>
      <c r="BJ327" s="295"/>
      <c r="BK327" s="293"/>
      <c r="BM327" s="296"/>
      <c r="BN327" s="296"/>
      <c r="BO327" s="296"/>
      <c r="BP327" s="296"/>
      <c r="BQ327" s="296"/>
      <c r="BR327" s="296"/>
      <c r="BS327" s="296"/>
      <c r="BT327" s="296"/>
      <c r="BU327" s="296"/>
    </row>
    <row r="328" spans="1:73" s="292" customFormat="1" x14ac:dyDescent="0.25">
      <c r="A328" s="307"/>
      <c r="B328" s="307"/>
      <c r="C328" s="307"/>
      <c r="D328" s="47" t="s">
        <v>190</v>
      </c>
      <c r="E328" s="19"/>
      <c r="F328" s="298">
        <v>2.9000000000000001E-2</v>
      </c>
      <c r="G328" s="299">
        <v>0</v>
      </c>
      <c r="H328" s="292">
        <v>9</v>
      </c>
      <c r="J328" s="391"/>
      <c r="K328" s="391"/>
      <c r="L328" s="390"/>
      <c r="M328" s="390"/>
      <c r="N328" s="390">
        <f>SUM(G319*H319)</f>
        <v>9471</v>
      </c>
      <c r="O328" s="391"/>
      <c r="P328" s="390"/>
      <c r="Q328" s="391"/>
      <c r="R328" s="391"/>
      <c r="S328" s="391"/>
      <c r="T328" s="392"/>
      <c r="U328" s="391"/>
      <c r="V328" s="391"/>
      <c r="W328" s="391"/>
      <c r="X328" s="391"/>
      <c r="Y328" s="391"/>
      <c r="Z328" s="391"/>
      <c r="AA328" s="391"/>
      <c r="AB328" s="391"/>
      <c r="AC328" s="391"/>
      <c r="AD328" s="390"/>
      <c r="AE328" s="308"/>
      <c r="AF328" s="308"/>
      <c r="AJ328" s="309"/>
      <c r="AK328" s="293"/>
      <c r="AL328" s="294"/>
      <c r="AM328" s="294"/>
      <c r="AP328" s="295"/>
      <c r="AU328" s="295"/>
      <c r="AZ328" s="295"/>
      <c r="BE328" s="295"/>
      <c r="BJ328" s="295"/>
      <c r="BK328" s="293"/>
      <c r="BM328" s="296"/>
      <c r="BN328" s="296"/>
      <c r="BO328" s="296"/>
      <c r="BP328" s="296"/>
      <c r="BQ328" s="296"/>
      <c r="BR328" s="296"/>
      <c r="BS328" s="296"/>
      <c r="BT328" s="296"/>
      <c r="BU328" s="296"/>
    </row>
    <row r="329" spans="1:73" s="292" customFormat="1" x14ac:dyDescent="0.25">
      <c r="A329" s="307"/>
      <c r="B329" s="307"/>
      <c r="C329" s="307"/>
      <c r="D329" s="47" t="s">
        <v>191</v>
      </c>
      <c r="E329" s="19"/>
      <c r="F329" s="298">
        <v>0.109</v>
      </c>
      <c r="G329" s="299">
        <v>0</v>
      </c>
      <c r="H329" s="292">
        <v>9</v>
      </c>
      <c r="J329" s="391"/>
      <c r="K329" s="391"/>
      <c r="L329" s="390"/>
      <c r="M329" s="390"/>
      <c r="N329" s="390">
        <f>SUM(N330/H319)</f>
        <v>1232</v>
      </c>
      <c r="O329" s="391"/>
      <c r="P329" s="390"/>
      <c r="Q329" s="391"/>
      <c r="R329" s="391"/>
      <c r="S329" s="391"/>
      <c r="T329" s="392"/>
      <c r="U329" s="391"/>
      <c r="V329" s="391"/>
      <c r="W329" s="391"/>
      <c r="X329" s="391"/>
      <c r="Y329" s="391"/>
      <c r="Z329" s="391"/>
      <c r="AA329" s="391"/>
      <c r="AB329" s="391"/>
      <c r="AC329" s="391"/>
      <c r="AD329" s="390"/>
      <c r="AE329" s="308"/>
      <c r="AF329" s="308"/>
      <c r="AJ329" s="309"/>
      <c r="AK329" s="293"/>
      <c r="AL329" s="294"/>
      <c r="AM329" s="294"/>
      <c r="AP329" s="295"/>
      <c r="AU329" s="295"/>
      <c r="AZ329" s="295"/>
      <c r="BE329" s="295"/>
      <c r="BJ329" s="295"/>
      <c r="BK329" s="293"/>
      <c r="BM329" s="296"/>
      <c r="BN329" s="296"/>
      <c r="BO329" s="296"/>
      <c r="BP329" s="296"/>
      <c r="BQ329" s="296"/>
      <c r="BR329" s="296"/>
      <c r="BS329" s="296"/>
      <c r="BT329" s="296"/>
      <c r="BU329" s="296"/>
    </row>
    <row r="330" spans="1:73" s="292" customFormat="1" x14ac:dyDescent="0.25">
      <c r="A330" s="307"/>
      <c r="B330" s="307"/>
      <c r="C330" s="307"/>
      <c r="D330" s="47" t="s">
        <v>257</v>
      </c>
      <c r="E330" s="19"/>
      <c r="F330" s="298">
        <v>0.2</v>
      </c>
      <c r="G330" s="299">
        <v>0</v>
      </c>
      <c r="J330" s="391"/>
      <c r="K330" s="391"/>
      <c r="L330" s="390"/>
      <c r="M330" s="390"/>
      <c r="N330" s="390">
        <v>10800</v>
      </c>
      <c r="O330" s="391"/>
      <c r="P330" s="390"/>
      <c r="Q330" s="391"/>
      <c r="R330" s="391"/>
      <c r="S330" s="391"/>
      <c r="T330" s="392"/>
      <c r="U330" s="391"/>
      <c r="V330" s="391"/>
      <c r="W330" s="391"/>
      <c r="X330" s="391"/>
      <c r="Y330" s="391"/>
      <c r="Z330" s="391"/>
      <c r="AA330" s="391"/>
      <c r="AB330" s="391"/>
      <c r="AC330" s="391"/>
      <c r="AD330" s="390"/>
      <c r="AE330" s="308"/>
      <c r="AF330" s="308"/>
      <c r="AJ330" s="309"/>
      <c r="AK330" s="293"/>
      <c r="AL330" s="294"/>
      <c r="AM330" s="294"/>
      <c r="AP330" s="295"/>
      <c r="AU330" s="295"/>
      <c r="AZ330" s="295"/>
      <c r="BE330" s="295"/>
      <c r="BJ330" s="295"/>
      <c r="BK330" s="293"/>
      <c r="BM330" s="296"/>
      <c r="BN330" s="296"/>
      <c r="BO330" s="296"/>
      <c r="BP330" s="296"/>
      <c r="BQ330" s="296"/>
      <c r="BR330" s="296"/>
      <c r="BS330" s="296"/>
      <c r="BT330" s="296"/>
      <c r="BU330" s="296"/>
    </row>
    <row r="331" spans="1:73" s="292" customFormat="1" x14ac:dyDescent="0.25">
      <c r="A331" s="307"/>
      <c r="B331" s="307"/>
      <c r="C331" s="307"/>
      <c r="D331" s="47" t="s">
        <v>180</v>
      </c>
      <c r="E331" s="19"/>
      <c r="F331" s="298">
        <v>0.109</v>
      </c>
      <c r="G331" s="299">
        <v>0</v>
      </c>
      <c r="J331" s="391"/>
      <c r="K331" s="391"/>
      <c r="L331" s="390"/>
      <c r="M331" s="390"/>
      <c r="N331" s="390"/>
      <c r="O331" s="391"/>
      <c r="P331" s="390"/>
      <c r="Q331" s="391"/>
      <c r="R331" s="391"/>
      <c r="S331" s="391"/>
      <c r="T331" s="392"/>
      <c r="U331" s="391"/>
      <c r="V331" s="391"/>
      <c r="W331" s="391"/>
      <c r="X331" s="391"/>
      <c r="Y331" s="391"/>
      <c r="Z331" s="391"/>
      <c r="AA331" s="391"/>
      <c r="AB331" s="391"/>
      <c r="AC331" s="391"/>
      <c r="AD331" s="390"/>
      <c r="AE331" s="308"/>
      <c r="AF331" s="308"/>
      <c r="AJ331" s="309"/>
      <c r="AK331" s="293"/>
      <c r="AL331" s="294"/>
      <c r="AM331" s="294"/>
      <c r="AP331" s="295"/>
      <c r="AU331" s="295"/>
      <c r="AZ331" s="295"/>
      <c r="BE331" s="295"/>
      <c r="BJ331" s="295"/>
      <c r="BK331" s="293"/>
      <c r="BM331" s="296"/>
      <c r="BN331" s="296"/>
      <c r="BO331" s="296"/>
      <c r="BP331" s="296"/>
      <c r="BQ331" s="296"/>
      <c r="BR331" s="296"/>
      <c r="BS331" s="296"/>
      <c r="BT331" s="296"/>
      <c r="BU331" s="296"/>
    </row>
    <row r="332" spans="1:73" s="292" customFormat="1" x14ac:dyDescent="0.25">
      <c r="A332" s="307"/>
      <c r="B332" s="307"/>
      <c r="C332" s="307"/>
      <c r="D332" s="47" t="s">
        <v>181</v>
      </c>
      <c r="E332" s="19"/>
      <c r="F332" s="298">
        <v>2.9000000000000001E-2</v>
      </c>
      <c r="G332" s="299">
        <v>0</v>
      </c>
      <c r="J332" s="391"/>
      <c r="K332" s="391"/>
      <c r="L332" s="390"/>
      <c r="M332" s="390"/>
      <c r="N332" s="390"/>
      <c r="O332" s="391"/>
      <c r="P332" s="390"/>
      <c r="Q332" s="391"/>
      <c r="R332" s="391"/>
      <c r="S332" s="391"/>
      <c r="T332" s="392"/>
      <c r="U332" s="391"/>
      <c r="V332" s="391"/>
      <c r="W332" s="391"/>
      <c r="X332" s="391"/>
      <c r="Y332" s="391"/>
      <c r="Z332" s="391"/>
      <c r="AA332" s="391"/>
      <c r="AB332" s="391"/>
      <c r="AC332" s="391"/>
      <c r="AD332" s="390"/>
      <c r="AE332" s="308"/>
      <c r="AF332" s="308"/>
      <c r="AJ332" s="309"/>
      <c r="AK332" s="293"/>
      <c r="AL332" s="294"/>
      <c r="AM332" s="294"/>
      <c r="AP332" s="295"/>
      <c r="AU332" s="295"/>
      <c r="AZ332" s="295"/>
      <c r="BE332" s="295"/>
      <c r="BJ332" s="295"/>
      <c r="BK332" s="293"/>
      <c r="BM332" s="296"/>
      <c r="BN332" s="296"/>
      <c r="BO332" s="296"/>
      <c r="BP332" s="296"/>
      <c r="BQ332" s="296"/>
      <c r="BR332" s="296"/>
      <c r="BS332" s="296"/>
      <c r="BT332" s="296"/>
      <c r="BU332" s="296"/>
    </row>
    <row r="333" spans="1:73" s="292" customFormat="1" x14ac:dyDescent="0.25">
      <c r="A333" s="307"/>
      <c r="B333" s="307"/>
      <c r="C333" s="307"/>
      <c r="D333" s="19" t="s">
        <v>183</v>
      </c>
      <c r="E333" s="19"/>
      <c r="F333" s="298">
        <v>0.315</v>
      </c>
      <c r="G333" s="299">
        <v>0</v>
      </c>
      <c r="J333" s="391"/>
      <c r="K333" s="391"/>
      <c r="L333" s="390"/>
      <c r="M333" s="390"/>
      <c r="N333" s="390"/>
      <c r="O333" s="391"/>
      <c r="P333" s="390"/>
      <c r="Q333" s="391"/>
      <c r="R333" s="391"/>
      <c r="S333" s="391"/>
      <c r="T333" s="391"/>
      <c r="U333" s="391"/>
      <c r="V333" s="391"/>
      <c r="W333" s="391"/>
      <c r="X333" s="391"/>
      <c r="Y333" s="391"/>
      <c r="Z333" s="391"/>
      <c r="AA333" s="391"/>
      <c r="AB333" s="391"/>
      <c r="AC333" s="391"/>
      <c r="AD333" s="390"/>
      <c r="AE333" s="308"/>
      <c r="AF333" s="308"/>
      <c r="AJ333" s="309"/>
      <c r="AK333" s="293"/>
      <c r="AL333" s="294"/>
      <c r="AM333" s="294"/>
      <c r="AP333" s="295"/>
      <c r="AU333" s="295"/>
      <c r="AZ333" s="295"/>
      <c r="BE333" s="295"/>
      <c r="BJ333" s="295"/>
      <c r="BK333" s="293"/>
      <c r="BM333" s="296"/>
      <c r="BN333" s="296"/>
      <c r="BO333" s="296"/>
      <c r="BP333" s="296"/>
      <c r="BQ333" s="296"/>
      <c r="BR333" s="296"/>
      <c r="BS333" s="296"/>
      <c r="BT333" s="296"/>
      <c r="BU333" s="296"/>
    </row>
    <row r="334" spans="1:73" s="292" customFormat="1" x14ac:dyDescent="0.25">
      <c r="A334" s="307"/>
      <c r="B334" s="307"/>
      <c r="C334" s="307"/>
      <c r="D334" s="300"/>
      <c r="E334" s="300"/>
      <c r="F334" s="301"/>
      <c r="G334" s="19"/>
      <c r="J334" s="391"/>
      <c r="K334" s="391"/>
      <c r="L334" s="390"/>
      <c r="M334" s="390"/>
      <c r="N334" s="390"/>
      <c r="O334" s="391"/>
      <c r="P334" s="390"/>
      <c r="Q334" s="391"/>
      <c r="R334" s="391"/>
      <c r="S334" s="391"/>
      <c r="T334" s="391"/>
      <c r="U334" s="391"/>
      <c r="V334" s="391"/>
      <c r="W334" s="391"/>
      <c r="X334" s="391"/>
      <c r="Y334" s="391"/>
      <c r="Z334" s="391"/>
      <c r="AA334" s="391"/>
      <c r="AB334" s="391"/>
      <c r="AC334" s="391"/>
      <c r="AD334" s="390"/>
      <c r="AE334" s="308"/>
      <c r="AF334" s="308"/>
      <c r="AJ334" s="309"/>
      <c r="AK334" s="293"/>
      <c r="AL334" s="294"/>
      <c r="AM334" s="294"/>
      <c r="AP334" s="295"/>
      <c r="AU334" s="295"/>
      <c r="AZ334" s="295"/>
      <c r="BE334" s="295"/>
      <c r="BJ334" s="295"/>
      <c r="BK334" s="293"/>
      <c r="BM334" s="296"/>
      <c r="BN334" s="296"/>
      <c r="BO334" s="296"/>
      <c r="BP334" s="296"/>
      <c r="BQ334" s="296"/>
      <c r="BR334" s="296"/>
      <c r="BS334" s="296"/>
      <c r="BT334" s="296"/>
      <c r="BU334" s="296"/>
    </row>
    <row r="335" spans="1:73" s="292" customFormat="1" x14ac:dyDescent="0.25">
      <c r="A335" s="307"/>
      <c r="B335" s="307"/>
      <c r="C335" s="307"/>
      <c r="D335" s="47"/>
      <c r="E335" s="19"/>
      <c r="F335" s="298"/>
      <c r="G335" s="19"/>
      <c r="J335" s="391"/>
      <c r="K335" s="391"/>
      <c r="L335" s="390"/>
      <c r="M335" s="390"/>
      <c r="N335" s="390"/>
      <c r="O335" s="391"/>
      <c r="P335" s="390"/>
      <c r="Q335" s="391"/>
      <c r="R335" s="391"/>
      <c r="S335" s="391"/>
      <c r="T335" s="391"/>
      <c r="U335" s="391"/>
      <c r="V335" s="391"/>
      <c r="W335" s="391"/>
      <c r="X335" s="391"/>
      <c r="Y335" s="391"/>
      <c r="Z335" s="391"/>
      <c r="AA335" s="391"/>
      <c r="AB335" s="391"/>
      <c r="AC335" s="391"/>
      <c r="AD335" s="390"/>
      <c r="AE335" s="308"/>
      <c r="AF335" s="308"/>
      <c r="AJ335" s="309"/>
      <c r="AK335" s="293"/>
      <c r="AL335" s="294"/>
      <c r="AM335" s="294"/>
      <c r="AP335" s="295"/>
      <c r="AU335" s="295"/>
      <c r="AZ335" s="295"/>
      <c r="BE335" s="295"/>
      <c r="BJ335" s="295"/>
      <c r="BK335" s="293"/>
      <c r="BM335" s="296"/>
      <c r="BN335" s="296"/>
      <c r="BO335" s="296"/>
      <c r="BP335" s="296"/>
      <c r="BQ335" s="296"/>
      <c r="BR335" s="296"/>
      <c r="BS335" s="296"/>
      <c r="BT335" s="296"/>
      <c r="BU335" s="296"/>
    </row>
    <row r="336" spans="1:73" s="292" customFormat="1" x14ac:dyDescent="0.25">
      <c r="A336" s="307"/>
      <c r="B336" s="307"/>
      <c r="C336" s="307"/>
      <c r="D336" s="47"/>
      <c r="E336" s="47"/>
      <c r="F336" s="19"/>
      <c r="G336" s="19"/>
      <c r="J336" s="391"/>
      <c r="K336" s="391"/>
      <c r="L336" s="390"/>
      <c r="M336" s="390"/>
      <c r="N336" s="390"/>
      <c r="O336" s="391"/>
      <c r="P336" s="390"/>
      <c r="Q336" s="391"/>
      <c r="R336" s="391"/>
      <c r="S336" s="391"/>
      <c r="T336" s="391"/>
      <c r="U336" s="391"/>
      <c r="V336" s="391"/>
      <c r="W336" s="391"/>
      <c r="X336" s="391"/>
      <c r="Y336" s="391"/>
      <c r="Z336" s="391"/>
      <c r="AA336" s="391"/>
      <c r="AB336" s="391"/>
      <c r="AC336" s="391"/>
      <c r="AD336" s="390"/>
      <c r="AE336" s="308"/>
      <c r="AF336" s="308"/>
      <c r="AJ336" s="309"/>
      <c r="AK336" s="293"/>
      <c r="AL336" s="294"/>
      <c r="AM336" s="294"/>
      <c r="AP336" s="295"/>
      <c r="AU336" s="295"/>
      <c r="AZ336" s="295"/>
      <c r="BE336" s="295"/>
      <c r="BJ336" s="295"/>
      <c r="BK336" s="293"/>
      <c r="BM336" s="296"/>
      <c r="BN336" s="296"/>
      <c r="BO336" s="296"/>
      <c r="BP336" s="296"/>
      <c r="BQ336" s="296"/>
      <c r="BR336" s="296"/>
      <c r="BS336" s="296"/>
      <c r="BT336" s="296"/>
      <c r="BU336" s="296"/>
    </row>
    <row r="337" spans="1:73" s="292" customFormat="1" x14ac:dyDescent="0.25">
      <c r="A337" s="307"/>
      <c r="B337" s="307"/>
      <c r="C337" s="307"/>
      <c r="D337" s="47" t="s">
        <v>231</v>
      </c>
      <c r="E337" s="302"/>
      <c r="F337" s="19"/>
      <c r="G337" s="19"/>
      <c r="J337" s="391"/>
      <c r="K337" s="391"/>
      <c r="L337" s="390"/>
      <c r="M337" s="390"/>
      <c r="N337" s="390"/>
      <c r="O337" s="391"/>
      <c r="P337" s="390"/>
      <c r="Q337" s="391"/>
      <c r="R337" s="391"/>
      <c r="S337" s="391"/>
      <c r="T337" s="391"/>
      <c r="U337" s="391"/>
      <c r="V337" s="391"/>
      <c r="W337" s="391"/>
      <c r="X337" s="391"/>
      <c r="Y337" s="391"/>
      <c r="Z337" s="391"/>
      <c r="AA337" s="391"/>
      <c r="AB337" s="391"/>
      <c r="AC337" s="391"/>
      <c r="AD337" s="390"/>
      <c r="AE337" s="308"/>
      <c r="AF337" s="308"/>
      <c r="AJ337" s="309"/>
      <c r="AK337" s="293"/>
      <c r="AL337" s="294"/>
      <c r="AM337" s="294"/>
      <c r="AP337" s="295"/>
      <c r="AU337" s="295"/>
      <c r="AZ337" s="295"/>
      <c r="BE337" s="295"/>
      <c r="BJ337" s="295"/>
      <c r="BK337" s="293"/>
      <c r="BM337" s="296"/>
      <c r="BN337" s="296"/>
      <c r="BO337" s="296"/>
      <c r="BP337" s="296"/>
      <c r="BQ337" s="296"/>
      <c r="BR337" s="296"/>
      <c r="BS337" s="296"/>
      <c r="BT337" s="296"/>
      <c r="BU337" s="296"/>
    </row>
    <row r="338" spans="1:73" s="292" customFormat="1" x14ac:dyDescent="0.25">
      <c r="A338" s="307"/>
      <c r="B338" s="307"/>
      <c r="C338" s="307"/>
      <c r="D338" s="47" t="s">
        <v>232</v>
      </c>
      <c r="E338" s="302"/>
      <c r="F338" s="19"/>
      <c r="G338" s="301"/>
      <c r="J338" s="391"/>
      <c r="K338" s="391"/>
      <c r="L338" s="390"/>
      <c r="M338" s="390"/>
      <c r="N338" s="390"/>
      <c r="O338" s="391"/>
      <c r="P338" s="390"/>
      <c r="Q338" s="391"/>
      <c r="R338" s="391"/>
      <c r="S338" s="391"/>
      <c r="T338" s="391"/>
      <c r="U338" s="391"/>
      <c r="V338" s="391"/>
      <c r="W338" s="391"/>
      <c r="X338" s="391"/>
      <c r="Y338" s="391"/>
      <c r="Z338" s="391"/>
      <c r="AA338" s="391"/>
      <c r="AB338" s="391"/>
      <c r="AC338" s="391"/>
      <c r="AD338" s="390"/>
      <c r="AE338" s="308"/>
      <c r="AF338" s="308"/>
      <c r="AJ338" s="309"/>
      <c r="AK338" s="293"/>
      <c r="AL338" s="294"/>
      <c r="AM338" s="294"/>
      <c r="AP338" s="295"/>
      <c r="AU338" s="295"/>
      <c r="AZ338" s="295"/>
      <c r="BE338" s="295"/>
      <c r="BJ338" s="295"/>
      <c r="BK338" s="293"/>
      <c r="BM338" s="296"/>
      <c r="BN338" s="296"/>
      <c r="BO338" s="296"/>
      <c r="BP338" s="296"/>
      <c r="BQ338" s="296"/>
      <c r="BR338" s="296"/>
      <c r="BS338" s="296"/>
      <c r="BT338" s="296"/>
      <c r="BU338" s="296"/>
    </row>
    <row r="339" spans="1:73" s="292" customFormat="1" x14ac:dyDescent="0.25">
      <c r="A339" s="307"/>
      <c r="B339" s="307"/>
      <c r="C339" s="307"/>
      <c r="D339" s="300"/>
      <c r="E339" s="302"/>
      <c r="F339" s="19"/>
      <c r="G339" s="301"/>
      <c r="J339" s="391"/>
      <c r="K339" s="391"/>
      <c r="L339" s="390"/>
      <c r="M339" s="390"/>
      <c r="N339" s="390"/>
      <c r="O339" s="391"/>
      <c r="P339" s="390"/>
      <c r="Q339" s="391"/>
      <c r="R339" s="391"/>
      <c r="S339" s="391"/>
      <c r="T339" s="391"/>
      <c r="U339" s="391"/>
      <c r="V339" s="391"/>
      <c r="W339" s="391"/>
      <c r="X339" s="391"/>
      <c r="Y339" s="391"/>
      <c r="Z339" s="391"/>
      <c r="AA339" s="391"/>
      <c r="AB339" s="391"/>
      <c r="AC339" s="391"/>
      <c r="AD339" s="390"/>
      <c r="AE339" s="308"/>
      <c r="AF339" s="308"/>
      <c r="AJ339" s="309"/>
      <c r="AK339" s="293"/>
      <c r="AL339" s="294"/>
      <c r="AM339" s="294"/>
      <c r="AP339" s="295"/>
      <c r="AU339" s="295"/>
      <c r="AZ339" s="295"/>
      <c r="BE339" s="295"/>
      <c r="BJ339" s="295"/>
      <c r="BK339" s="293"/>
      <c r="BM339" s="296"/>
      <c r="BN339" s="296"/>
      <c r="BO339" s="296"/>
      <c r="BP339" s="296"/>
      <c r="BQ339" s="296"/>
      <c r="BR339" s="296"/>
      <c r="BS339" s="296"/>
      <c r="BT339" s="296"/>
      <c r="BU339" s="296"/>
    </row>
    <row r="340" spans="1:73" s="292" customFormat="1" x14ac:dyDescent="0.25">
      <c r="A340" s="307"/>
      <c r="B340" s="307"/>
      <c r="C340" s="307"/>
      <c r="D340" s="47"/>
      <c r="E340" s="303"/>
      <c r="F340" s="19"/>
      <c r="G340" s="19"/>
      <c r="J340" s="391"/>
      <c r="K340" s="391"/>
      <c r="L340" s="390"/>
      <c r="M340" s="390"/>
      <c r="N340" s="390"/>
      <c r="O340" s="391"/>
      <c r="P340" s="390"/>
      <c r="Q340" s="391"/>
      <c r="R340" s="391"/>
      <c r="S340" s="391"/>
      <c r="T340" s="391"/>
      <c r="U340" s="391"/>
      <c r="V340" s="391"/>
      <c r="W340" s="391"/>
      <c r="X340" s="391"/>
      <c r="Y340" s="391"/>
      <c r="Z340" s="391"/>
      <c r="AA340" s="391"/>
      <c r="AB340" s="391"/>
      <c r="AC340" s="391"/>
      <c r="AD340" s="390"/>
      <c r="AE340" s="308"/>
      <c r="AF340" s="308"/>
      <c r="AJ340" s="309"/>
      <c r="AK340" s="293"/>
      <c r="AL340" s="294"/>
      <c r="AM340" s="294"/>
      <c r="AP340" s="295"/>
      <c r="AU340" s="295"/>
      <c r="AZ340" s="295"/>
      <c r="BE340" s="295"/>
      <c r="BJ340" s="295"/>
      <c r="BK340" s="293"/>
      <c r="BM340" s="296"/>
      <c r="BN340" s="296"/>
      <c r="BO340" s="296"/>
      <c r="BP340" s="296"/>
      <c r="BQ340" s="296"/>
      <c r="BR340" s="296"/>
      <c r="BS340" s="296"/>
      <c r="BT340" s="296"/>
      <c r="BU340" s="296"/>
    </row>
    <row r="341" spans="1:73" s="292" customFormat="1" x14ac:dyDescent="0.25">
      <c r="A341" s="307"/>
      <c r="B341" s="307"/>
      <c r="C341" s="307"/>
      <c r="D341" s="47" t="s">
        <v>291</v>
      </c>
      <c r="E341" s="303"/>
      <c r="F341" s="19"/>
      <c r="G341" s="19"/>
      <c r="J341" s="391"/>
      <c r="K341" s="391"/>
      <c r="L341" s="390"/>
      <c r="M341" s="390"/>
      <c r="N341" s="390"/>
      <c r="O341" s="391"/>
      <c r="P341" s="390"/>
      <c r="Q341" s="391"/>
      <c r="R341" s="391"/>
      <c r="S341" s="391"/>
      <c r="T341" s="391"/>
      <c r="U341" s="391"/>
      <c r="V341" s="391"/>
      <c r="W341" s="391"/>
      <c r="X341" s="391"/>
      <c r="Y341" s="391"/>
      <c r="Z341" s="391"/>
      <c r="AA341" s="391"/>
      <c r="AB341" s="391"/>
      <c r="AC341" s="391"/>
      <c r="AD341" s="390"/>
      <c r="AE341" s="308"/>
      <c r="AF341" s="308"/>
      <c r="AJ341" s="309"/>
      <c r="AK341" s="293"/>
      <c r="AL341" s="294"/>
      <c r="AM341" s="294"/>
      <c r="AP341" s="295"/>
      <c r="AU341" s="295"/>
      <c r="AZ341" s="295"/>
      <c r="BE341" s="295"/>
      <c r="BJ341" s="295"/>
      <c r="BK341" s="293"/>
      <c r="BM341" s="296"/>
      <c r="BN341" s="296"/>
      <c r="BO341" s="296"/>
      <c r="BP341" s="296"/>
      <c r="BQ341" s="296"/>
      <c r="BR341" s="296"/>
      <c r="BS341" s="296"/>
      <c r="BT341" s="296"/>
      <c r="BU341" s="296"/>
    </row>
    <row r="342" spans="1:73" s="292" customFormat="1" x14ac:dyDescent="0.25">
      <c r="A342" s="307"/>
      <c r="B342" s="307"/>
      <c r="C342" s="307"/>
      <c r="D342" s="47" t="s">
        <v>210</v>
      </c>
      <c r="E342" s="303"/>
      <c r="F342" s="19"/>
      <c r="G342" s="19"/>
      <c r="J342" s="391"/>
      <c r="K342" s="391"/>
      <c r="L342" s="390"/>
      <c r="M342" s="390"/>
      <c r="N342" s="390"/>
      <c r="O342" s="391"/>
      <c r="P342" s="390"/>
      <c r="Q342" s="391"/>
      <c r="R342" s="391"/>
      <c r="S342" s="391"/>
      <c r="T342" s="391"/>
      <c r="U342" s="391"/>
      <c r="V342" s="391"/>
      <c r="W342" s="391"/>
      <c r="X342" s="391"/>
      <c r="Y342" s="391"/>
      <c r="Z342" s="391"/>
      <c r="AA342" s="391"/>
      <c r="AB342" s="391"/>
      <c r="AC342" s="391"/>
      <c r="AD342" s="390"/>
      <c r="AE342" s="308"/>
      <c r="AF342" s="308"/>
      <c r="AJ342" s="309"/>
      <c r="AK342" s="293"/>
      <c r="AL342" s="294"/>
      <c r="AM342" s="294"/>
      <c r="AP342" s="295"/>
      <c r="AU342" s="295"/>
      <c r="AZ342" s="295"/>
      <c r="BE342" s="295"/>
      <c r="BJ342" s="295"/>
      <c r="BK342" s="293"/>
      <c r="BM342" s="296"/>
      <c r="BN342" s="296"/>
      <c r="BO342" s="296"/>
      <c r="BP342" s="296"/>
      <c r="BQ342" s="296"/>
      <c r="BR342" s="296"/>
      <c r="BS342" s="296"/>
      <c r="BT342" s="296"/>
      <c r="BU342" s="296"/>
    </row>
    <row r="343" spans="1:73" s="292" customFormat="1" x14ac:dyDescent="0.25">
      <c r="A343" s="307"/>
      <c r="B343" s="307"/>
      <c r="C343" s="307"/>
      <c r="D343" s="47" t="s">
        <v>237</v>
      </c>
      <c r="E343" s="303"/>
      <c r="F343" s="19"/>
      <c r="G343" s="19"/>
      <c r="J343" s="391"/>
      <c r="K343" s="391"/>
      <c r="L343" s="390"/>
      <c r="M343" s="390"/>
      <c r="N343" s="390"/>
      <c r="O343" s="391"/>
      <c r="P343" s="390"/>
      <c r="Q343" s="391"/>
      <c r="R343" s="391"/>
      <c r="S343" s="391"/>
      <c r="T343" s="391"/>
      <c r="U343" s="391"/>
      <c r="V343" s="391"/>
      <c r="W343" s="391"/>
      <c r="X343" s="391"/>
      <c r="Y343" s="391"/>
      <c r="Z343" s="391"/>
      <c r="AA343" s="391"/>
      <c r="AB343" s="391"/>
      <c r="AC343" s="391"/>
      <c r="AD343" s="390"/>
      <c r="AE343" s="308"/>
      <c r="AF343" s="308"/>
      <c r="AJ343" s="309"/>
      <c r="AK343" s="293"/>
      <c r="AL343" s="294"/>
      <c r="AM343" s="294"/>
      <c r="AP343" s="295"/>
      <c r="AU343" s="295"/>
      <c r="AZ343" s="295"/>
      <c r="BE343" s="295"/>
      <c r="BJ343" s="295"/>
      <c r="BK343" s="293"/>
      <c r="BM343" s="296"/>
      <c r="BN343" s="296"/>
      <c r="BO343" s="296"/>
      <c r="BP343" s="296"/>
      <c r="BQ343" s="296"/>
      <c r="BR343" s="296"/>
      <c r="BS343" s="296"/>
      <c r="BT343" s="296"/>
      <c r="BU343" s="296"/>
    </row>
    <row r="344" spans="1:73" s="292" customFormat="1" x14ac:dyDescent="0.25">
      <c r="A344" s="307"/>
      <c r="B344" s="307"/>
      <c r="C344" s="307"/>
      <c r="D344" s="47" t="s">
        <v>199</v>
      </c>
      <c r="E344" s="303"/>
      <c r="F344" s="19"/>
      <c r="G344" s="19"/>
      <c r="J344" s="391"/>
      <c r="K344" s="391"/>
      <c r="L344" s="390"/>
      <c r="M344" s="390"/>
      <c r="N344" s="390"/>
      <c r="O344" s="391"/>
      <c r="P344" s="390"/>
      <c r="Q344" s="391"/>
      <c r="R344" s="391"/>
      <c r="S344" s="391"/>
      <c r="T344" s="391"/>
      <c r="U344" s="391"/>
      <c r="V344" s="391"/>
      <c r="W344" s="391"/>
      <c r="X344" s="391"/>
      <c r="Y344" s="391"/>
      <c r="Z344" s="391"/>
      <c r="AA344" s="391"/>
      <c r="AB344" s="391"/>
      <c r="AC344" s="391"/>
      <c r="AD344" s="390"/>
      <c r="AE344" s="308"/>
      <c r="AF344" s="308"/>
      <c r="AJ344" s="309"/>
      <c r="AK344" s="293"/>
      <c r="AL344" s="294"/>
      <c r="AM344" s="294"/>
      <c r="AP344" s="295"/>
      <c r="AU344" s="295"/>
      <c r="AZ344" s="295"/>
      <c r="BE344" s="295"/>
      <c r="BJ344" s="295"/>
      <c r="BK344" s="293"/>
      <c r="BM344" s="296"/>
      <c r="BN344" s="296"/>
      <c r="BO344" s="296"/>
      <c r="BP344" s="296"/>
      <c r="BQ344" s="296"/>
      <c r="BR344" s="296"/>
      <c r="BS344" s="296"/>
      <c r="BT344" s="296"/>
      <c r="BU344" s="296"/>
    </row>
    <row r="345" spans="1:73" s="292" customFormat="1" x14ac:dyDescent="0.25">
      <c r="A345" s="307"/>
      <c r="B345" s="307"/>
      <c r="C345" s="307"/>
      <c r="D345" s="47" t="s">
        <v>200</v>
      </c>
      <c r="E345" s="303"/>
      <c r="F345" s="19"/>
      <c r="G345" s="19"/>
      <c r="J345" s="391"/>
      <c r="K345" s="391"/>
      <c r="L345" s="390"/>
      <c r="M345" s="390"/>
      <c r="N345" s="390"/>
      <c r="O345" s="391"/>
      <c r="P345" s="390"/>
      <c r="Q345" s="391"/>
      <c r="R345" s="391"/>
      <c r="S345" s="391"/>
      <c r="T345" s="391"/>
      <c r="U345" s="391"/>
      <c r="V345" s="391"/>
      <c r="W345" s="391"/>
      <c r="X345" s="391"/>
      <c r="Y345" s="391"/>
      <c r="Z345" s="391"/>
      <c r="AA345" s="391"/>
      <c r="AB345" s="391"/>
      <c r="AC345" s="391"/>
      <c r="AD345" s="390"/>
      <c r="AE345" s="308"/>
      <c r="AF345" s="308"/>
      <c r="AJ345" s="309"/>
      <c r="AK345" s="293"/>
      <c r="AL345" s="294"/>
      <c r="AM345" s="294"/>
      <c r="AP345" s="295"/>
      <c r="AU345" s="295"/>
      <c r="AZ345" s="295"/>
      <c r="BE345" s="295"/>
      <c r="BJ345" s="295"/>
      <c r="BK345" s="293"/>
      <c r="BM345" s="296"/>
      <c r="BN345" s="296"/>
      <c r="BO345" s="296"/>
      <c r="BP345" s="296"/>
      <c r="BQ345" s="296"/>
      <c r="BR345" s="296"/>
      <c r="BS345" s="296"/>
      <c r="BT345" s="296"/>
      <c r="BU345" s="296"/>
    </row>
    <row r="346" spans="1:73" s="292" customFormat="1" x14ac:dyDescent="0.25">
      <c r="A346" s="307"/>
      <c r="B346" s="307"/>
      <c r="C346" s="307"/>
      <c r="D346" s="47" t="s">
        <v>198</v>
      </c>
      <c r="E346" s="303"/>
      <c r="F346" s="19"/>
      <c r="G346" s="19"/>
      <c r="J346" s="391"/>
      <c r="K346" s="391"/>
      <c r="L346" s="390"/>
      <c r="M346" s="390"/>
      <c r="N346" s="390"/>
      <c r="O346" s="391"/>
      <c r="P346" s="390"/>
      <c r="Q346" s="391"/>
      <c r="R346" s="391"/>
      <c r="S346" s="391"/>
      <c r="T346" s="391"/>
      <c r="U346" s="391"/>
      <c r="V346" s="391"/>
      <c r="W346" s="391"/>
      <c r="X346" s="391"/>
      <c r="Y346" s="391"/>
      <c r="Z346" s="391"/>
      <c r="AA346" s="391"/>
      <c r="AB346" s="391"/>
      <c r="AC346" s="391"/>
      <c r="AD346" s="390"/>
      <c r="AE346" s="308"/>
      <c r="AF346" s="308"/>
      <c r="AJ346" s="309"/>
      <c r="AK346" s="293"/>
      <c r="AL346" s="294"/>
      <c r="AM346" s="294"/>
      <c r="AP346" s="295"/>
      <c r="AU346" s="295"/>
      <c r="AZ346" s="295"/>
      <c r="BE346" s="295"/>
      <c r="BJ346" s="295"/>
      <c r="BK346" s="293"/>
      <c r="BM346" s="296"/>
      <c r="BN346" s="296"/>
      <c r="BO346" s="296"/>
      <c r="BP346" s="296"/>
      <c r="BQ346" s="296"/>
      <c r="BR346" s="296"/>
      <c r="BS346" s="296"/>
      <c r="BT346" s="296"/>
      <c r="BU346" s="296"/>
    </row>
    <row r="347" spans="1:73" s="292" customFormat="1" x14ac:dyDescent="0.25">
      <c r="A347" s="307"/>
      <c r="B347" s="307"/>
      <c r="C347" s="307"/>
      <c r="D347" s="47" t="s">
        <v>201</v>
      </c>
      <c r="E347" s="303"/>
      <c r="F347" s="19"/>
      <c r="G347" s="19"/>
      <c r="J347" s="391"/>
      <c r="K347" s="391"/>
      <c r="L347" s="390"/>
      <c r="M347" s="390"/>
      <c r="N347" s="390"/>
      <c r="O347" s="391"/>
      <c r="P347" s="390"/>
      <c r="Q347" s="391"/>
      <c r="R347" s="391"/>
      <c r="S347" s="391"/>
      <c r="T347" s="391"/>
      <c r="U347" s="391"/>
      <c r="V347" s="391"/>
      <c r="W347" s="391"/>
      <c r="X347" s="391"/>
      <c r="Y347" s="391"/>
      <c r="Z347" s="391"/>
      <c r="AA347" s="391"/>
      <c r="AB347" s="391"/>
      <c r="AC347" s="391"/>
      <c r="AD347" s="390"/>
      <c r="AE347" s="308"/>
      <c r="AF347" s="308"/>
      <c r="AJ347" s="309"/>
      <c r="AK347" s="293"/>
      <c r="AL347" s="294"/>
      <c r="AM347" s="294"/>
      <c r="AP347" s="295"/>
      <c r="AU347" s="295"/>
      <c r="AZ347" s="295"/>
      <c r="BE347" s="295"/>
      <c r="BJ347" s="295"/>
      <c r="BK347" s="293"/>
      <c r="BM347" s="296"/>
      <c r="BN347" s="296"/>
      <c r="BO347" s="296"/>
      <c r="BP347" s="296"/>
      <c r="BQ347" s="296"/>
      <c r="BR347" s="296"/>
      <c r="BS347" s="296"/>
      <c r="BT347" s="296"/>
      <c r="BU347" s="296"/>
    </row>
    <row r="348" spans="1:73" s="292" customFormat="1" x14ac:dyDescent="0.25">
      <c r="A348" s="307"/>
      <c r="B348" s="307"/>
      <c r="C348" s="307"/>
      <c r="D348" s="47" t="s">
        <v>202</v>
      </c>
      <c r="E348" s="303"/>
      <c r="F348" s="19"/>
      <c r="G348" s="19"/>
      <c r="J348" s="391"/>
      <c r="K348" s="391"/>
      <c r="L348" s="390"/>
      <c r="M348" s="390"/>
      <c r="N348" s="390"/>
      <c r="O348" s="391"/>
      <c r="P348" s="390"/>
      <c r="Q348" s="391"/>
      <c r="R348" s="391"/>
      <c r="S348" s="391"/>
      <c r="T348" s="391"/>
      <c r="U348" s="391"/>
      <c r="V348" s="391"/>
      <c r="W348" s="391"/>
      <c r="X348" s="391"/>
      <c r="Y348" s="391"/>
      <c r="Z348" s="391"/>
      <c r="AA348" s="391"/>
      <c r="AB348" s="391"/>
      <c r="AC348" s="391"/>
      <c r="AD348" s="390"/>
      <c r="AE348" s="308"/>
      <c r="AF348" s="308"/>
      <c r="AJ348" s="309"/>
      <c r="AK348" s="293"/>
      <c r="AL348" s="294"/>
      <c r="AM348" s="294"/>
      <c r="AP348" s="295"/>
      <c r="AU348" s="295"/>
      <c r="AZ348" s="295"/>
      <c r="BE348" s="295"/>
      <c r="BJ348" s="295"/>
      <c r="BK348" s="293"/>
      <c r="BM348" s="296"/>
      <c r="BN348" s="296"/>
      <c r="BO348" s="296"/>
      <c r="BP348" s="296"/>
      <c r="BQ348" s="296"/>
      <c r="BR348" s="296"/>
      <c r="BS348" s="296"/>
      <c r="BT348" s="296"/>
      <c r="BU348" s="296"/>
    </row>
    <row r="349" spans="1:73" s="292" customFormat="1" x14ac:dyDescent="0.25">
      <c r="A349" s="307"/>
      <c r="B349" s="307"/>
      <c r="C349" s="307"/>
      <c r="D349" s="47" t="s">
        <v>203</v>
      </c>
      <c r="E349" s="47"/>
      <c r="F349" s="19"/>
      <c r="G349" s="19"/>
      <c r="J349" s="391"/>
      <c r="K349" s="391"/>
      <c r="L349" s="390"/>
      <c r="M349" s="390"/>
      <c r="N349" s="390"/>
      <c r="O349" s="391"/>
      <c r="P349" s="390"/>
      <c r="Q349" s="391"/>
      <c r="R349" s="391"/>
      <c r="S349" s="391"/>
      <c r="T349" s="391"/>
      <c r="U349" s="391"/>
      <c r="V349" s="391"/>
      <c r="W349" s="391"/>
      <c r="X349" s="391"/>
      <c r="Y349" s="391"/>
      <c r="Z349" s="391"/>
      <c r="AA349" s="391"/>
      <c r="AB349" s="391"/>
      <c r="AC349" s="391"/>
      <c r="AD349" s="390"/>
      <c r="AE349" s="308"/>
      <c r="AF349" s="308"/>
      <c r="AJ349" s="309"/>
      <c r="AK349" s="293"/>
      <c r="AL349" s="294"/>
      <c r="AM349" s="294"/>
      <c r="AP349" s="295"/>
      <c r="AU349" s="295"/>
      <c r="AZ349" s="295"/>
      <c r="BE349" s="295"/>
      <c r="BJ349" s="295"/>
      <c r="BK349" s="293"/>
      <c r="BM349" s="296"/>
      <c r="BN349" s="296"/>
      <c r="BO349" s="296"/>
      <c r="BP349" s="296"/>
      <c r="BQ349" s="296"/>
      <c r="BR349" s="296"/>
      <c r="BS349" s="296"/>
      <c r="BT349" s="296"/>
      <c r="BU349" s="296"/>
    </row>
    <row r="350" spans="1:73" s="292" customFormat="1" x14ac:dyDescent="0.25">
      <c r="A350" s="307"/>
      <c r="B350" s="307"/>
      <c r="C350" s="307"/>
      <c r="D350" s="47" t="s">
        <v>204</v>
      </c>
      <c r="E350" s="47"/>
      <c r="F350" s="19"/>
      <c r="G350" s="19"/>
      <c r="J350" s="391"/>
      <c r="K350" s="391"/>
      <c r="L350" s="390"/>
      <c r="M350" s="390"/>
      <c r="N350" s="390"/>
      <c r="O350" s="391"/>
      <c r="P350" s="390"/>
      <c r="Q350" s="391"/>
      <c r="R350" s="391"/>
      <c r="S350" s="391"/>
      <c r="T350" s="391"/>
      <c r="U350" s="391"/>
      <c r="V350" s="391"/>
      <c r="W350" s="391"/>
      <c r="X350" s="391"/>
      <c r="Y350" s="391"/>
      <c r="Z350" s="391"/>
      <c r="AA350" s="391"/>
      <c r="AB350" s="391"/>
      <c r="AC350" s="391"/>
      <c r="AD350" s="390"/>
      <c r="AE350" s="308"/>
      <c r="AF350" s="308"/>
      <c r="AJ350" s="309"/>
      <c r="AK350" s="293"/>
      <c r="AL350" s="294"/>
      <c r="AM350" s="294"/>
      <c r="AP350" s="295"/>
      <c r="AU350" s="295"/>
      <c r="AZ350" s="295"/>
      <c r="BE350" s="295"/>
      <c r="BJ350" s="295"/>
      <c r="BK350" s="293"/>
      <c r="BM350" s="296"/>
      <c r="BN350" s="296"/>
      <c r="BO350" s="296"/>
      <c r="BP350" s="296"/>
      <c r="BQ350" s="296"/>
      <c r="BR350" s="296"/>
      <c r="BS350" s="296"/>
      <c r="BT350" s="296"/>
      <c r="BU350" s="296"/>
    </row>
    <row r="351" spans="1:73" s="292" customFormat="1" x14ac:dyDescent="0.25">
      <c r="A351" s="307"/>
      <c r="B351" s="307"/>
      <c r="C351" s="307"/>
      <c r="D351" s="47" t="s">
        <v>240</v>
      </c>
      <c r="E351" s="303"/>
      <c r="F351" s="19"/>
      <c r="G351" s="19"/>
      <c r="J351" s="391"/>
      <c r="K351" s="391"/>
      <c r="L351" s="390"/>
      <c r="M351" s="390"/>
      <c r="N351" s="390"/>
      <c r="O351" s="391"/>
      <c r="P351" s="390"/>
      <c r="Q351" s="391"/>
      <c r="R351" s="391"/>
      <c r="S351" s="391"/>
      <c r="T351" s="391"/>
      <c r="U351" s="391"/>
      <c r="V351" s="391"/>
      <c r="W351" s="391"/>
      <c r="X351" s="391"/>
      <c r="Y351" s="391"/>
      <c r="Z351" s="391"/>
      <c r="AA351" s="391"/>
      <c r="AB351" s="391"/>
      <c r="AC351" s="391"/>
      <c r="AD351" s="390"/>
      <c r="AE351" s="308"/>
      <c r="AF351" s="308"/>
      <c r="AJ351" s="309"/>
      <c r="AK351" s="293"/>
      <c r="AL351" s="294"/>
      <c r="AM351" s="294"/>
      <c r="AP351" s="295"/>
      <c r="AU351" s="295"/>
      <c r="AZ351" s="295"/>
      <c r="BE351" s="295"/>
      <c r="BJ351" s="295"/>
      <c r="BK351" s="293"/>
      <c r="BM351" s="296"/>
      <c r="BN351" s="296"/>
      <c r="BO351" s="296"/>
      <c r="BP351" s="296"/>
      <c r="BQ351" s="296"/>
      <c r="BR351" s="296"/>
      <c r="BS351" s="296"/>
      <c r="BT351" s="296"/>
      <c r="BU351" s="296"/>
    </row>
    <row r="352" spans="1:73" s="292" customFormat="1" x14ac:dyDescent="0.25">
      <c r="A352" s="307"/>
      <c r="B352" s="307"/>
      <c r="C352" s="307"/>
      <c r="D352" s="47" t="s">
        <v>241</v>
      </c>
      <c r="E352" s="303"/>
      <c r="F352" s="19"/>
      <c r="G352" s="19"/>
      <c r="J352" s="391"/>
      <c r="K352" s="391"/>
      <c r="L352" s="390"/>
      <c r="M352" s="390"/>
      <c r="N352" s="390"/>
      <c r="O352" s="391"/>
      <c r="P352" s="390"/>
      <c r="Q352" s="391"/>
      <c r="R352" s="391"/>
      <c r="S352" s="391"/>
      <c r="T352" s="391"/>
      <c r="U352" s="391"/>
      <c r="V352" s="391"/>
      <c r="W352" s="391"/>
      <c r="X352" s="391"/>
      <c r="Y352" s="391"/>
      <c r="Z352" s="391"/>
      <c r="AA352" s="391"/>
      <c r="AB352" s="391"/>
      <c r="AC352" s="391"/>
      <c r="AD352" s="390"/>
      <c r="AE352" s="308"/>
      <c r="AF352" s="308"/>
      <c r="AJ352" s="309"/>
      <c r="AK352" s="293"/>
      <c r="AL352" s="294"/>
      <c r="AM352" s="294"/>
      <c r="AP352" s="295"/>
      <c r="AU352" s="295"/>
      <c r="AZ352" s="295"/>
      <c r="BE352" s="295"/>
      <c r="BJ352" s="295"/>
      <c r="BK352" s="293"/>
      <c r="BM352" s="296"/>
      <c r="BN352" s="296"/>
      <c r="BO352" s="296"/>
      <c r="BP352" s="296"/>
      <c r="BQ352" s="296"/>
      <c r="BR352" s="296"/>
      <c r="BS352" s="296"/>
      <c r="BT352" s="296"/>
      <c r="BU352" s="296"/>
    </row>
    <row r="353" spans="1:73" s="292" customFormat="1" x14ac:dyDescent="0.25">
      <c r="A353" s="307"/>
      <c r="B353" s="307"/>
      <c r="C353" s="307"/>
      <c r="D353" s="47" t="s">
        <v>205</v>
      </c>
      <c r="E353" s="303"/>
      <c r="F353" s="19"/>
      <c r="G353" s="19"/>
      <c r="J353" s="391"/>
      <c r="K353" s="391"/>
      <c r="L353" s="390"/>
      <c r="M353" s="390"/>
      <c r="N353" s="390"/>
      <c r="O353" s="391"/>
      <c r="P353" s="390"/>
      <c r="Q353" s="391"/>
      <c r="R353" s="391"/>
      <c r="S353" s="391"/>
      <c r="T353" s="391"/>
      <c r="U353" s="391"/>
      <c r="V353" s="391"/>
      <c r="W353" s="391"/>
      <c r="X353" s="391"/>
      <c r="Y353" s="391"/>
      <c r="Z353" s="391"/>
      <c r="AA353" s="391"/>
      <c r="AB353" s="391"/>
      <c r="AC353" s="391"/>
      <c r="AD353" s="390"/>
      <c r="AE353" s="308"/>
      <c r="AF353" s="308"/>
      <c r="AJ353" s="309"/>
      <c r="AK353" s="293"/>
      <c r="AL353" s="294"/>
      <c r="AM353" s="294"/>
      <c r="AP353" s="295"/>
      <c r="AU353" s="295"/>
      <c r="AZ353" s="295"/>
      <c r="BE353" s="295"/>
      <c r="BJ353" s="295"/>
      <c r="BK353" s="293"/>
      <c r="BM353" s="296"/>
      <c r="BN353" s="296"/>
      <c r="BO353" s="296"/>
      <c r="BP353" s="296"/>
      <c r="BQ353" s="296"/>
      <c r="BR353" s="296"/>
      <c r="BS353" s="296"/>
      <c r="BT353" s="296"/>
      <c r="BU353" s="296"/>
    </row>
    <row r="354" spans="1:73" s="292" customFormat="1" x14ac:dyDescent="0.25">
      <c r="A354" s="307"/>
      <c r="B354" s="307"/>
      <c r="C354" s="307"/>
      <c r="D354" s="47" t="s">
        <v>242</v>
      </c>
      <c r="E354" s="303"/>
      <c r="F354" s="19"/>
      <c r="G354" s="19"/>
      <c r="J354" s="391"/>
      <c r="K354" s="391"/>
      <c r="L354" s="390"/>
      <c r="M354" s="390"/>
      <c r="N354" s="390"/>
      <c r="O354" s="391"/>
      <c r="P354" s="390"/>
      <c r="Q354" s="391"/>
      <c r="R354" s="391"/>
      <c r="S354" s="391"/>
      <c r="T354" s="391"/>
      <c r="U354" s="391"/>
      <c r="V354" s="391"/>
      <c r="W354" s="391"/>
      <c r="X354" s="391"/>
      <c r="Y354" s="391"/>
      <c r="Z354" s="391"/>
      <c r="AA354" s="391"/>
      <c r="AB354" s="391"/>
      <c r="AC354" s="391"/>
      <c r="AD354" s="390"/>
      <c r="AE354" s="308"/>
      <c r="AF354" s="308"/>
      <c r="AJ354" s="309"/>
      <c r="AK354" s="293"/>
      <c r="AL354" s="294"/>
      <c r="AM354" s="294"/>
      <c r="AP354" s="295"/>
      <c r="AU354" s="295"/>
      <c r="AZ354" s="295"/>
      <c r="BE354" s="295"/>
      <c r="BJ354" s="295"/>
      <c r="BK354" s="293"/>
      <c r="BM354" s="296"/>
      <c r="BN354" s="296"/>
      <c r="BO354" s="296"/>
      <c r="BP354" s="296"/>
      <c r="BQ354" s="296"/>
      <c r="BR354" s="296"/>
      <c r="BS354" s="296"/>
      <c r="BT354" s="296"/>
      <c r="BU354" s="296"/>
    </row>
    <row r="355" spans="1:73" s="292" customFormat="1" x14ac:dyDescent="0.25">
      <c r="A355" s="307"/>
      <c r="B355" s="307"/>
      <c r="C355" s="307"/>
      <c r="D355" s="47" t="s">
        <v>206</v>
      </c>
      <c r="E355" s="303"/>
      <c r="F355" s="19"/>
      <c r="G355" s="19"/>
      <c r="J355" s="391"/>
      <c r="K355" s="391"/>
      <c r="L355" s="390"/>
      <c r="M355" s="390"/>
      <c r="N355" s="390"/>
      <c r="O355" s="391"/>
      <c r="P355" s="390"/>
      <c r="Q355" s="391"/>
      <c r="R355" s="391"/>
      <c r="S355" s="391"/>
      <c r="T355" s="391"/>
      <c r="U355" s="391"/>
      <c r="V355" s="391"/>
      <c r="W355" s="391"/>
      <c r="X355" s="391"/>
      <c r="Y355" s="391"/>
      <c r="Z355" s="391"/>
      <c r="AA355" s="391"/>
      <c r="AB355" s="391"/>
      <c r="AC355" s="391"/>
      <c r="AD355" s="390"/>
      <c r="AE355" s="308"/>
      <c r="AF355" s="308"/>
      <c r="AJ355" s="309"/>
      <c r="AK355" s="293"/>
      <c r="AL355" s="294"/>
      <c r="AM355" s="294"/>
      <c r="AP355" s="295"/>
      <c r="AU355" s="295"/>
      <c r="AZ355" s="295"/>
      <c r="BE355" s="295"/>
      <c r="BJ355" s="295"/>
      <c r="BK355" s="293"/>
      <c r="BM355" s="296"/>
      <c r="BN355" s="296"/>
      <c r="BO355" s="296"/>
      <c r="BP355" s="296"/>
      <c r="BQ355" s="296"/>
      <c r="BR355" s="296"/>
      <c r="BS355" s="296"/>
      <c r="BT355" s="296"/>
      <c r="BU355" s="296"/>
    </row>
    <row r="356" spans="1:73" s="292" customFormat="1" x14ac:dyDescent="0.25">
      <c r="A356" s="307"/>
      <c r="B356" s="307"/>
      <c r="C356" s="307"/>
      <c r="D356" s="47" t="s">
        <v>243</v>
      </c>
      <c r="E356" s="303"/>
      <c r="F356" s="19"/>
      <c r="G356" s="19"/>
      <c r="J356" s="391"/>
      <c r="K356" s="391"/>
      <c r="L356" s="390"/>
      <c r="M356" s="390"/>
      <c r="N356" s="390"/>
      <c r="O356" s="391"/>
      <c r="P356" s="390"/>
      <c r="Q356" s="391"/>
      <c r="R356" s="391"/>
      <c r="S356" s="391"/>
      <c r="T356" s="391"/>
      <c r="U356" s="391"/>
      <c r="V356" s="391"/>
      <c r="W356" s="391"/>
      <c r="X356" s="391"/>
      <c r="Y356" s="391"/>
      <c r="Z356" s="391"/>
      <c r="AA356" s="391"/>
      <c r="AB356" s="391"/>
      <c r="AC356" s="391"/>
      <c r="AD356" s="390"/>
      <c r="AE356" s="308"/>
      <c r="AF356" s="308"/>
      <c r="AJ356" s="309"/>
      <c r="AK356" s="293"/>
      <c r="AL356" s="294"/>
      <c r="AM356" s="294"/>
      <c r="AP356" s="295"/>
      <c r="AU356" s="295"/>
      <c r="AZ356" s="295"/>
      <c r="BE356" s="295"/>
      <c r="BJ356" s="295"/>
      <c r="BK356" s="293"/>
      <c r="BM356" s="296"/>
      <c r="BN356" s="296"/>
      <c r="BO356" s="296"/>
      <c r="BP356" s="296"/>
      <c r="BQ356" s="296"/>
      <c r="BR356" s="296"/>
      <c r="BS356" s="296"/>
      <c r="BT356" s="296"/>
      <c r="BU356" s="296"/>
    </row>
    <row r="357" spans="1:73" s="292" customFormat="1" x14ac:dyDescent="0.25">
      <c r="A357" s="307"/>
      <c r="B357" s="307"/>
      <c r="C357" s="307"/>
      <c r="D357" s="47" t="s">
        <v>244</v>
      </c>
      <c r="E357" s="303"/>
      <c r="F357" s="19"/>
      <c r="G357" s="19"/>
      <c r="J357" s="391"/>
      <c r="K357" s="391"/>
      <c r="L357" s="390"/>
      <c r="M357" s="390"/>
      <c r="N357" s="390"/>
      <c r="O357" s="391"/>
      <c r="P357" s="390"/>
      <c r="Q357" s="391"/>
      <c r="R357" s="391"/>
      <c r="S357" s="391"/>
      <c r="T357" s="391"/>
      <c r="U357" s="391"/>
      <c r="V357" s="391"/>
      <c r="W357" s="391"/>
      <c r="X357" s="391"/>
      <c r="Y357" s="391"/>
      <c r="Z357" s="391"/>
      <c r="AA357" s="391"/>
      <c r="AB357" s="391"/>
      <c r="AC357" s="391"/>
      <c r="AD357" s="390"/>
      <c r="AE357" s="308"/>
      <c r="AF357" s="308"/>
      <c r="AJ357" s="309"/>
      <c r="AK357" s="293"/>
      <c r="AL357" s="294"/>
      <c r="AM357" s="294"/>
      <c r="AP357" s="295"/>
      <c r="AU357" s="295"/>
      <c r="AZ357" s="295"/>
      <c r="BE357" s="295"/>
      <c r="BJ357" s="295"/>
      <c r="BK357" s="293"/>
      <c r="BM357" s="296"/>
      <c r="BN357" s="296"/>
      <c r="BO357" s="296"/>
      <c r="BP357" s="296"/>
      <c r="BQ357" s="296"/>
      <c r="BR357" s="296"/>
      <c r="BS357" s="296"/>
      <c r="BT357" s="296"/>
      <c r="BU357" s="296"/>
    </row>
    <row r="358" spans="1:73" s="292" customFormat="1" x14ac:dyDescent="0.25">
      <c r="A358" s="307"/>
      <c r="B358" s="307"/>
      <c r="C358" s="307"/>
      <c r="D358" s="47" t="s">
        <v>207</v>
      </c>
      <c r="E358" s="303"/>
      <c r="F358" s="19"/>
      <c r="G358" s="19"/>
      <c r="J358" s="391"/>
      <c r="K358" s="391"/>
      <c r="L358" s="390"/>
      <c r="M358" s="390"/>
      <c r="N358" s="390"/>
      <c r="O358" s="391"/>
      <c r="P358" s="390"/>
      <c r="Q358" s="391"/>
      <c r="R358" s="391"/>
      <c r="S358" s="391"/>
      <c r="T358" s="391"/>
      <c r="U358" s="391"/>
      <c r="V358" s="391"/>
      <c r="W358" s="391"/>
      <c r="X358" s="391"/>
      <c r="Y358" s="391"/>
      <c r="Z358" s="391"/>
      <c r="AA358" s="391"/>
      <c r="AB358" s="391"/>
      <c r="AC358" s="391"/>
      <c r="AD358" s="390"/>
      <c r="AE358" s="308"/>
      <c r="AF358" s="308"/>
      <c r="AJ358" s="309"/>
      <c r="AK358" s="293"/>
      <c r="AL358" s="294"/>
      <c r="AM358" s="294"/>
      <c r="AP358" s="295"/>
      <c r="AU358" s="295"/>
      <c r="AZ358" s="295"/>
      <c r="BE358" s="295"/>
      <c r="BJ358" s="295"/>
      <c r="BK358" s="293"/>
      <c r="BM358" s="296"/>
      <c r="BN358" s="296"/>
      <c r="BO358" s="296"/>
      <c r="BP358" s="296"/>
      <c r="BQ358" s="296"/>
      <c r="BR358" s="296"/>
      <c r="BS358" s="296"/>
      <c r="BT358" s="296"/>
      <c r="BU358" s="296"/>
    </row>
    <row r="359" spans="1:73" s="292" customFormat="1" x14ac:dyDescent="0.25">
      <c r="A359" s="307"/>
      <c r="B359" s="307"/>
      <c r="C359" s="307"/>
      <c r="D359" s="47" t="s">
        <v>239</v>
      </c>
      <c r="E359" s="303"/>
      <c r="F359" s="19"/>
      <c r="G359" s="19"/>
      <c r="J359" s="391"/>
      <c r="K359" s="391"/>
      <c r="L359" s="390"/>
      <c r="M359" s="390"/>
      <c r="N359" s="390"/>
      <c r="O359" s="391"/>
      <c r="P359" s="390"/>
      <c r="Q359" s="391"/>
      <c r="R359" s="391"/>
      <c r="S359" s="391"/>
      <c r="T359" s="391"/>
      <c r="U359" s="391"/>
      <c r="V359" s="391"/>
      <c r="W359" s="391"/>
      <c r="X359" s="391"/>
      <c r="Y359" s="391"/>
      <c r="Z359" s="391"/>
      <c r="AA359" s="391"/>
      <c r="AB359" s="391"/>
      <c r="AC359" s="391"/>
      <c r="AD359" s="390"/>
      <c r="AE359" s="308"/>
      <c r="AF359" s="308"/>
      <c r="AJ359" s="309"/>
      <c r="AK359" s="293"/>
      <c r="AL359" s="294"/>
      <c r="AM359" s="294"/>
      <c r="AP359" s="295"/>
      <c r="AU359" s="295"/>
      <c r="AZ359" s="295"/>
      <c r="BE359" s="295"/>
      <c r="BJ359" s="295"/>
      <c r="BK359" s="293"/>
      <c r="BM359" s="296"/>
      <c r="BN359" s="296"/>
      <c r="BO359" s="296"/>
      <c r="BP359" s="296"/>
      <c r="BQ359" s="296"/>
      <c r="BR359" s="296"/>
      <c r="BS359" s="296"/>
      <c r="BT359" s="296"/>
      <c r="BU359" s="296"/>
    </row>
    <row r="360" spans="1:73" s="292" customFormat="1" x14ac:dyDescent="0.25">
      <c r="A360" s="307"/>
      <c r="B360" s="307"/>
      <c r="C360" s="307"/>
      <c r="D360" s="47" t="s">
        <v>245</v>
      </c>
      <c r="E360" s="303"/>
      <c r="F360" s="19"/>
      <c r="G360" s="19"/>
      <c r="J360" s="391"/>
      <c r="K360" s="391"/>
      <c r="L360" s="390"/>
      <c r="M360" s="390"/>
      <c r="N360" s="390"/>
      <c r="O360" s="391"/>
      <c r="P360" s="390"/>
      <c r="Q360" s="391"/>
      <c r="R360" s="391"/>
      <c r="S360" s="391"/>
      <c r="T360" s="391"/>
      <c r="U360" s="391"/>
      <c r="V360" s="391"/>
      <c r="W360" s="391"/>
      <c r="X360" s="391"/>
      <c r="Y360" s="391"/>
      <c r="Z360" s="391"/>
      <c r="AA360" s="391"/>
      <c r="AB360" s="391"/>
      <c r="AC360" s="391"/>
      <c r="AD360" s="390"/>
      <c r="AE360" s="308"/>
      <c r="AF360" s="308"/>
      <c r="AJ360" s="309"/>
      <c r="AK360" s="293"/>
      <c r="AL360" s="294"/>
      <c r="AM360" s="294"/>
      <c r="AP360" s="295"/>
      <c r="AU360" s="295"/>
      <c r="AZ360" s="295"/>
      <c r="BE360" s="295"/>
      <c r="BJ360" s="295"/>
      <c r="BK360" s="293"/>
      <c r="BM360" s="296"/>
      <c r="BN360" s="296"/>
      <c r="BO360" s="296"/>
      <c r="BP360" s="296"/>
      <c r="BQ360" s="296"/>
      <c r="BR360" s="296"/>
      <c r="BS360" s="296"/>
      <c r="BT360" s="296"/>
      <c r="BU360" s="296"/>
    </row>
    <row r="361" spans="1:73" s="292" customFormat="1" x14ac:dyDescent="0.25">
      <c r="A361" s="307"/>
      <c r="B361" s="307"/>
      <c r="C361" s="307"/>
      <c r="D361" s="47" t="s">
        <v>292</v>
      </c>
      <c r="E361" s="303"/>
      <c r="F361" s="19"/>
      <c r="G361" s="19"/>
      <c r="J361" s="391"/>
      <c r="K361" s="391"/>
      <c r="L361" s="390"/>
      <c r="M361" s="390"/>
      <c r="N361" s="390"/>
      <c r="O361" s="391"/>
      <c r="P361" s="390"/>
      <c r="Q361" s="391"/>
      <c r="R361" s="391"/>
      <c r="S361" s="391"/>
      <c r="T361" s="391"/>
      <c r="U361" s="391"/>
      <c r="V361" s="391"/>
      <c r="W361" s="391"/>
      <c r="X361" s="391"/>
      <c r="Y361" s="391"/>
      <c r="Z361" s="391"/>
      <c r="AA361" s="391"/>
      <c r="AB361" s="391"/>
      <c r="AC361" s="391"/>
      <c r="AD361" s="390"/>
      <c r="AE361" s="308"/>
      <c r="AF361" s="308"/>
      <c r="AJ361" s="309"/>
      <c r="AK361" s="293"/>
      <c r="AL361" s="294"/>
      <c r="AM361" s="294"/>
      <c r="AP361" s="295"/>
      <c r="AU361" s="295"/>
      <c r="AZ361" s="295"/>
      <c r="BE361" s="295"/>
      <c r="BJ361" s="295"/>
      <c r="BK361" s="293"/>
      <c r="BM361" s="296"/>
      <c r="BN361" s="296"/>
      <c r="BO361" s="296"/>
      <c r="BP361" s="296"/>
      <c r="BQ361" s="296"/>
      <c r="BR361" s="296"/>
      <c r="BS361" s="296"/>
      <c r="BT361" s="296"/>
      <c r="BU361" s="296"/>
    </row>
    <row r="362" spans="1:73" s="292" customFormat="1" x14ac:dyDescent="0.25">
      <c r="A362" s="307"/>
      <c r="B362" s="307"/>
      <c r="C362" s="307"/>
      <c r="D362" s="47" t="s">
        <v>246</v>
      </c>
      <c r="E362" s="303"/>
      <c r="F362" s="19"/>
      <c r="G362" s="19"/>
      <c r="J362" s="391"/>
      <c r="K362" s="391"/>
      <c r="L362" s="390"/>
      <c r="M362" s="390"/>
      <c r="N362" s="390"/>
      <c r="O362" s="391"/>
      <c r="P362" s="390"/>
      <c r="Q362" s="391"/>
      <c r="R362" s="391"/>
      <c r="S362" s="391"/>
      <c r="T362" s="391"/>
      <c r="U362" s="391"/>
      <c r="V362" s="391"/>
      <c r="W362" s="391"/>
      <c r="X362" s="391"/>
      <c r="Y362" s="391"/>
      <c r="Z362" s="391"/>
      <c r="AA362" s="391"/>
      <c r="AB362" s="391"/>
      <c r="AC362" s="391"/>
      <c r="AD362" s="390"/>
      <c r="AE362" s="308"/>
      <c r="AF362" s="308"/>
      <c r="AJ362" s="309"/>
      <c r="AK362" s="293"/>
      <c r="AL362" s="294"/>
      <c r="AM362" s="294"/>
      <c r="AP362" s="295"/>
      <c r="AU362" s="295"/>
      <c r="AZ362" s="295"/>
      <c r="BE362" s="295"/>
      <c r="BJ362" s="295"/>
      <c r="BK362" s="293"/>
      <c r="BM362" s="296"/>
      <c r="BN362" s="296"/>
      <c r="BO362" s="296"/>
      <c r="BP362" s="296"/>
      <c r="BQ362" s="296"/>
      <c r="BR362" s="296"/>
      <c r="BS362" s="296"/>
      <c r="BT362" s="296"/>
      <c r="BU362" s="296"/>
    </row>
    <row r="363" spans="1:73" s="292" customFormat="1" x14ac:dyDescent="0.25">
      <c r="A363" s="307"/>
      <c r="B363" s="307"/>
      <c r="C363" s="307"/>
      <c r="D363" s="47" t="s">
        <v>208</v>
      </c>
      <c r="E363" s="303"/>
      <c r="F363" s="19"/>
      <c r="G363" s="19"/>
      <c r="J363" s="391"/>
      <c r="K363" s="391"/>
      <c r="L363" s="390"/>
      <c r="M363" s="390"/>
      <c r="N363" s="390"/>
      <c r="O363" s="391"/>
      <c r="P363" s="390"/>
      <c r="Q363" s="391"/>
      <c r="R363" s="391"/>
      <c r="S363" s="391"/>
      <c r="T363" s="391"/>
      <c r="U363" s="391"/>
      <c r="V363" s="391"/>
      <c r="W363" s="391"/>
      <c r="X363" s="391"/>
      <c r="Y363" s="391"/>
      <c r="Z363" s="391"/>
      <c r="AA363" s="391"/>
      <c r="AB363" s="391"/>
      <c r="AC363" s="391"/>
      <c r="AD363" s="390"/>
      <c r="AE363" s="308"/>
      <c r="AF363" s="308"/>
      <c r="AJ363" s="309"/>
      <c r="AK363" s="293"/>
      <c r="AL363" s="294"/>
      <c r="AM363" s="294"/>
      <c r="AP363" s="295"/>
      <c r="AU363" s="295"/>
      <c r="AZ363" s="295"/>
      <c r="BE363" s="295"/>
      <c r="BJ363" s="295"/>
      <c r="BK363" s="293"/>
      <c r="BM363" s="296"/>
      <c r="BN363" s="296"/>
      <c r="BO363" s="296"/>
      <c r="BP363" s="296"/>
      <c r="BQ363" s="296"/>
      <c r="BR363" s="296"/>
      <c r="BS363" s="296"/>
      <c r="BT363" s="296"/>
      <c r="BU363" s="296"/>
    </row>
    <row r="364" spans="1:73" s="292" customFormat="1" x14ac:dyDescent="0.25">
      <c r="A364" s="307"/>
      <c r="B364" s="307"/>
      <c r="C364" s="307"/>
      <c r="D364" s="47" t="s">
        <v>35</v>
      </c>
      <c r="E364" s="47"/>
      <c r="F364" s="19"/>
      <c r="G364" s="19"/>
      <c r="J364" s="391"/>
      <c r="K364" s="391"/>
      <c r="L364" s="390"/>
      <c r="M364" s="390"/>
      <c r="N364" s="390"/>
      <c r="O364" s="391"/>
      <c r="P364" s="390"/>
      <c r="Q364" s="391"/>
      <c r="R364" s="391"/>
      <c r="S364" s="391"/>
      <c r="T364" s="391"/>
      <c r="U364" s="391"/>
      <c r="V364" s="391"/>
      <c r="W364" s="391"/>
      <c r="X364" s="391"/>
      <c r="Y364" s="391"/>
      <c r="Z364" s="391"/>
      <c r="AA364" s="391"/>
      <c r="AB364" s="391"/>
      <c r="AC364" s="391"/>
      <c r="AD364" s="390"/>
      <c r="AE364" s="308"/>
      <c r="AF364" s="308"/>
      <c r="AJ364" s="309"/>
      <c r="AK364" s="293"/>
      <c r="AL364" s="294"/>
      <c r="AM364" s="294"/>
      <c r="AP364" s="295"/>
      <c r="AU364" s="295"/>
      <c r="AZ364" s="295"/>
      <c r="BE364" s="295"/>
      <c r="BJ364" s="295"/>
      <c r="BK364" s="293"/>
      <c r="BM364" s="296"/>
      <c r="BN364" s="296"/>
      <c r="BO364" s="296"/>
      <c r="BP364" s="296"/>
      <c r="BQ364" s="296"/>
      <c r="BR364" s="296"/>
      <c r="BS364" s="296"/>
      <c r="BT364" s="296"/>
      <c r="BU364" s="296"/>
    </row>
    <row r="365" spans="1:73" s="292" customFormat="1" x14ac:dyDescent="0.25">
      <c r="A365" s="307"/>
      <c r="B365" s="307"/>
      <c r="C365" s="307"/>
      <c r="D365" s="47"/>
      <c r="E365" s="47"/>
      <c r="F365" s="19"/>
      <c r="G365" s="19"/>
      <c r="J365" s="391"/>
      <c r="K365" s="391"/>
      <c r="L365" s="390"/>
      <c r="M365" s="390"/>
      <c r="N365" s="390"/>
      <c r="O365" s="391"/>
      <c r="P365" s="390"/>
      <c r="Q365" s="391"/>
      <c r="R365" s="391"/>
      <c r="S365" s="391"/>
      <c r="T365" s="391"/>
      <c r="U365" s="391"/>
      <c r="V365" s="391"/>
      <c r="W365" s="391"/>
      <c r="X365" s="391"/>
      <c r="Y365" s="391"/>
      <c r="Z365" s="391"/>
      <c r="AA365" s="391"/>
      <c r="AB365" s="391"/>
      <c r="AC365" s="391"/>
      <c r="AD365" s="390"/>
      <c r="AE365" s="308"/>
      <c r="AF365" s="308"/>
      <c r="AJ365" s="309"/>
      <c r="AK365" s="293"/>
      <c r="AL365" s="294"/>
      <c r="AM365" s="294"/>
      <c r="AP365" s="295"/>
      <c r="AU365" s="295"/>
      <c r="AZ365" s="295"/>
      <c r="BE365" s="295"/>
      <c r="BJ365" s="295"/>
      <c r="BK365" s="293"/>
      <c r="BM365" s="296"/>
      <c r="BN365" s="296"/>
      <c r="BO365" s="296"/>
      <c r="BP365" s="296"/>
      <c r="BQ365" s="296"/>
      <c r="BR365" s="296"/>
      <c r="BS365" s="296"/>
      <c r="BT365" s="296"/>
      <c r="BU365" s="296"/>
    </row>
    <row r="366" spans="1:73" s="292" customFormat="1" x14ac:dyDescent="0.25">
      <c r="A366" s="307"/>
      <c r="B366" s="307"/>
      <c r="C366" s="307"/>
      <c r="D366" s="47" t="s">
        <v>233</v>
      </c>
      <c r="E366" s="47"/>
      <c r="F366" s="19"/>
      <c r="G366" s="19"/>
      <c r="J366" s="391"/>
      <c r="K366" s="391"/>
      <c r="L366" s="390"/>
      <c r="M366" s="390"/>
      <c r="N366" s="390"/>
      <c r="O366" s="391"/>
      <c r="P366" s="390"/>
      <c r="Q366" s="391"/>
      <c r="R366" s="391"/>
      <c r="S366" s="391"/>
      <c r="T366" s="391"/>
      <c r="U366" s="391"/>
      <c r="V366" s="391"/>
      <c r="W366" s="391"/>
      <c r="X366" s="391"/>
      <c r="Y366" s="391"/>
      <c r="Z366" s="391"/>
      <c r="AA366" s="391"/>
      <c r="AB366" s="391"/>
      <c r="AC366" s="391"/>
      <c r="AD366" s="390"/>
      <c r="AE366" s="308"/>
      <c r="AF366" s="308"/>
      <c r="AJ366" s="309"/>
      <c r="AK366" s="293"/>
      <c r="AL366" s="294"/>
      <c r="AM366" s="294"/>
      <c r="AP366" s="295"/>
      <c r="AU366" s="295"/>
      <c r="AZ366" s="295"/>
      <c r="BE366" s="295"/>
      <c r="BJ366" s="295"/>
      <c r="BK366" s="293"/>
      <c r="BM366" s="296"/>
      <c r="BN366" s="296"/>
      <c r="BO366" s="296"/>
      <c r="BP366" s="296"/>
      <c r="BQ366" s="296"/>
      <c r="BR366" s="296"/>
      <c r="BS366" s="296"/>
      <c r="BT366" s="296"/>
      <c r="BU366" s="296"/>
    </row>
    <row r="367" spans="1:73" s="292" customFormat="1" x14ac:dyDescent="0.25">
      <c r="A367" s="307"/>
      <c r="B367" s="307"/>
      <c r="C367" s="307"/>
      <c r="D367" s="47" t="s">
        <v>234</v>
      </c>
      <c r="E367" s="47"/>
      <c r="F367" s="19"/>
      <c r="G367" s="19"/>
      <c r="J367" s="391"/>
      <c r="K367" s="391"/>
      <c r="L367" s="390"/>
      <c r="M367" s="390"/>
      <c r="N367" s="390"/>
      <c r="O367" s="391"/>
      <c r="P367" s="390"/>
      <c r="Q367" s="391"/>
      <c r="R367" s="391"/>
      <c r="S367" s="391"/>
      <c r="T367" s="391"/>
      <c r="U367" s="391"/>
      <c r="V367" s="391"/>
      <c r="W367" s="391"/>
      <c r="X367" s="391"/>
      <c r="Y367" s="391"/>
      <c r="Z367" s="391"/>
      <c r="AA367" s="391"/>
      <c r="AB367" s="391"/>
      <c r="AC367" s="391"/>
      <c r="AD367" s="390"/>
      <c r="AE367" s="308"/>
      <c r="AF367" s="308"/>
      <c r="AJ367" s="309"/>
      <c r="AK367" s="293"/>
      <c r="AL367" s="294"/>
      <c r="AM367" s="294"/>
      <c r="AP367" s="295"/>
      <c r="AU367" s="295"/>
      <c r="AZ367" s="295"/>
      <c r="BE367" s="295"/>
      <c r="BJ367" s="295"/>
      <c r="BK367" s="293"/>
      <c r="BM367" s="296"/>
      <c r="BN367" s="296"/>
      <c r="BO367" s="296"/>
      <c r="BP367" s="296"/>
      <c r="BQ367" s="296"/>
      <c r="BR367" s="296"/>
      <c r="BS367" s="296"/>
      <c r="BT367" s="296"/>
      <c r="BU367" s="296"/>
    </row>
    <row r="368" spans="1:73" s="292" customFormat="1" x14ac:dyDescent="0.25">
      <c r="A368" s="307"/>
      <c r="B368" s="307"/>
      <c r="C368" s="307"/>
      <c r="D368" s="47" t="s">
        <v>236</v>
      </c>
      <c r="E368" s="47"/>
      <c r="F368" s="19"/>
      <c r="G368" s="19"/>
      <c r="J368" s="391"/>
      <c r="K368" s="391"/>
      <c r="L368" s="390"/>
      <c r="M368" s="390"/>
      <c r="N368" s="390"/>
      <c r="O368" s="391"/>
      <c r="P368" s="390"/>
      <c r="Q368" s="391"/>
      <c r="R368" s="391"/>
      <c r="S368" s="391"/>
      <c r="T368" s="391"/>
      <c r="U368" s="391"/>
      <c r="V368" s="391"/>
      <c r="W368" s="391"/>
      <c r="X368" s="391"/>
      <c r="Y368" s="391"/>
      <c r="Z368" s="391"/>
      <c r="AA368" s="391"/>
      <c r="AB368" s="391"/>
      <c r="AC368" s="391"/>
      <c r="AD368" s="390"/>
      <c r="AE368" s="308"/>
      <c r="AF368" s="308"/>
      <c r="AJ368" s="309"/>
      <c r="AK368" s="293"/>
      <c r="AL368" s="294"/>
      <c r="AM368" s="294"/>
      <c r="AP368" s="295"/>
      <c r="AU368" s="295"/>
      <c r="AZ368" s="295"/>
      <c r="BE368" s="295"/>
      <c r="BJ368" s="295"/>
      <c r="BK368" s="293"/>
      <c r="BM368" s="296"/>
      <c r="BN368" s="296"/>
      <c r="BO368" s="296"/>
      <c r="BP368" s="296"/>
      <c r="BQ368" s="296"/>
      <c r="BR368" s="296"/>
      <c r="BS368" s="296"/>
      <c r="BT368" s="296"/>
      <c r="BU368" s="296"/>
    </row>
    <row r="369" spans="1:73" s="292" customFormat="1" x14ac:dyDescent="0.25">
      <c r="A369" s="307"/>
      <c r="B369" s="307"/>
      <c r="C369" s="307"/>
      <c r="D369" s="47" t="s">
        <v>292</v>
      </c>
      <c r="E369" s="47"/>
      <c r="F369" s="19"/>
      <c r="G369" s="19"/>
      <c r="J369" s="391"/>
      <c r="K369" s="391"/>
      <c r="L369" s="390"/>
      <c r="M369" s="390"/>
      <c r="N369" s="390"/>
      <c r="O369" s="391"/>
      <c r="P369" s="390"/>
      <c r="Q369" s="391"/>
      <c r="R369" s="391"/>
      <c r="S369" s="391"/>
      <c r="T369" s="391"/>
      <c r="U369" s="391"/>
      <c r="V369" s="391"/>
      <c r="W369" s="391"/>
      <c r="X369" s="391"/>
      <c r="Y369" s="391"/>
      <c r="Z369" s="391"/>
      <c r="AA369" s="391"/>
      <c r="AB369" s="391"/>
      <c r="AC369" s="391"/>
      <c r="AD369" s="390"/>
      <c r="AE369" s="308"/>
      <c r="AF369" s="308"/>
      <c r="AJ369" s="309"/>
      <c r="AK369" s="293"/>
      <c r="AL369" s="294"/>
      <c r="AM369" s="294"/>
      <c r="AP369" s="295"/>
      <c r="AU369" s="295"/>
      <c r="AZ369" s="295"/>
      <c r="BE369" s="295"/>
      <c r="BJ369" s="295"/>
      <c r="BK369" s="293"/>
      <c r="BM369" s="296"/>
      <c r="BN369" s="296"/>
      <c r="BO369" s="296"/>
      <c r="BP369" s="296"/>
      <c r="BQ369" s="296"/>
      <c r="BR369" s="296"/>
      <c r="BS369" s="296"/>
      <c r="BT369" s="296"/>
      <c r="BU369" s="296"/>
    </row>
    <row r="370" spans="1:73" s="292" customFormat="1" x14ac:dyDescent="0.25">
      <c r="A370" s="307"/>
      <c r="B370" s="307"/>
      <c r="C370" s="307"/>
      <c r="D370" s="47" t="s">
        <v>238</v>
      </c>
      <c r="E370" s="47"/>
      <c r="F370" s="19"/>
      <c r="G370" s="19"/>
      <c r="J370" s="391"/>
      <c r="K370" s="391"/>
      <c r="L370" s="390"/>
      <c r="M370" s="390"/>
      <c r="N370" s="390"/>
      <c r="O370" s="391"/>
      <c r="P370" s="390"/>
      <c r="Q370" s="391"/>
      <c r="R370" s="391"/>
      <c r="S370" s="391"/>
      <c r="T370" s="391"/>
      <c r="U370" s="391"/>
      <c r="V370" s="391"/>
      <c r="W370" s="391"/>
      <c r="X370" s="391"/>
      <c r="Y370" s="391"/>
      <c r="Z370" s="391"/>
      <c r="AA370" s="391"/>
      <c r="AB370" s="391"/>
      <c r="AC370" s="391"/>
      <c r="AD370" s="390"/>
      <c r="AE370" s="308"/>
      <c r="AF370" s="308"/>
      <c r="AJ370" s="309"/>
      <c r="AK370" s="293"/>
      <c r="AL370" s="294"/>
      <c r="AM370" s="294"/>
      <c r="AP370" s="295"/>
      <c r="AU370" s="295"/>
      <c r="AZ370" s="295"/>
      <c r="BE370" s="295"/>
      <c r="BJ370" s="295"/>
      <c r="BK370" s="293"/>
      <c r="BM370" s="296"/>
      <c r="BN370" s="296"/>
      <c r="BO370" s="296"/>
      <c r="BP370" s="296"/>
      <c r="BQ370" s="296"/>
      <c r="BR370" s="296"/>
      <c r="BS370" s="296"/>
      <c r="BT370" s="296"/>
      <c r="BU370" s="296"/>
    </row>
    <row r="371" spans="1:73" s="292" customFormat="1" x14ac:dyDescent="0.25">
      <c r="A371" s="307"/>
      <c r="B371" s="307"/>
      <c r="C371" s="307"/>
      <c r="D371" s="47" t="s">
        <v>235</v>
      </c>
      <c r="E371" s="47"/>
      <c r="F371" s="19"/>
      <c r="G371" s="19"/>
      <c r="J371" s="391"/>
      <c r="K371" s="391"/>
      <c r="L371" s="390"/>
      <c r="M371" s="390"/>
      <c r="N371" s="390"/>
      <c r="O371" s="391"/>
      <c r="P371" s="390"/>
      <c r="Q371" s="391"/>
      <c r="R371" s="391"/>
      <c r="S371" s="391"/>
      <c r="T371" s="391"/>
      <c r="U371" s="391"/>
      <c r="V371" s="391"/>
      <c r="W371" s="391"/>
      <c r="X371" s="391"/>
      <c r="Y371" s="391"/>
      <c r="Z371" s="391"/>
      <c r="AA371" s="391"/>
      <c r="AB371" s="391"/>
      <c r="AC371" s="391"/>
      <c r="AD371" s="390"/>
      <c r="AE371" s="308"/>
      <c r="AF371" s="308"/>
      <c r="AJ371" s="309"/>
      <c r="AK371" s="293"/>
      <c r="AL371" s="294"/>
      <c r="AM371" s="294"/>
      <c r="AP371" s="295"/>
      <c r="AU371" s="295"/>
      <c r="AZ371" s="295"/>
      <c r="BE371" s="295"/>
      <c r="BJ371" s="295"/>
      <c r="BK371" s="293"/>
      <c r="BM371" s="296"/>
      <c r="BN371" s="296"/>
      <c r="BO371" s="296"/>
      <c r="BP371" s="296"/>
      <c r="BQ371" s="296"/>
      <c r="BR371" s="296"/>
      <c r="BS371" s="296"/>
      <c r="BT371" s="296"/>
      <c r="BU371" s="296"/>
    </row>
    <row r="372" spans="1:73" s="292" customFormat="1" x14ac:dyDescent="0.25">
      <c r="A372" s="307"/>
      <c r="B372" s="307"/>
      <c r="C372" s="307"/>
      <c r="D372" s="47"/>
      <c r="E372" s="47"/>
      <c r="F372" s="19"/>
      <c r="G372" s="19"/>
      <c r="J372" s="391"/>
      <c r="K372" s="391"/>
      <c r="L372" s="390"/>
      <c r="M372" s="390"/>
      <c r="N372" s="390"/>
      <c r="O372" s="391"/>
      <c r="P372" s="390"/>
      <c r="Q372" s="391"/>
      <c r="R372" s="391"/>
      <c r="S372" s="391"/>
      <c r="T372" s="391"/>
      <c r="U372" s="391"/>
      <c r="V372" s="391"/>
      <c r="W372" s="391"/>
      <c r="X372" s="391"/>
      <c r="Y372" s="391"/>
      <c r="Z372" s="391"/>
      <c r="AA372" s="391"/>
      <c r="AB372" s="391"/>
      <c r="AC372" s="391"/>
      <c r="AD372" s="390"/>
      <c r="AE372" s="308"/>
      <c r="AF372" s="308"/>
      <c r="AJ372" s="309"/>
      <c r="AK372" s="293"/>
      <c r="AL372" s="294"/>
      <c r="AM372" s="294"/>
      <c r="AP372" s="295"/>
      <c r="AU372" s="295"/>
      <c r="AZ372" s="295"/>
      <c r="BE372" s="295"/>
      <c r="BJ372" s="295"/>
      <c r="BK372" s="293"/>
      <c r="BM372" s="296"/>
      <c r="BN372" s="296"/>
      <c r="BO372" s="296"/>
      <c r="BP372" s="296"/>
      <c r="BQ372" s="296"/>
      <c r="BR372" s="296"/>
      <c r="BS372" s="296"/>
      <c r="BT372" s="296"/>
      <c r="BU372" s="296"/>
    </row>
    <row r="373" spans="1:73" s="292" customFormat="1" x14ac:dyDescent="0.25">
      <c r="A373" s="307"/>
      <c r="B373" s="307"/>
      <c r="C373" s="307"/>
      <c r="D373" s="300"/>
      <c r="E373" s="47"/>
      <c r="F373" s="19"/>
      <c r="G373" s="19"/>
      <c r="J373" s="391"/>
      <c r="K373" s="391"/>
      <c r="L373" s="390"/>
      <c r="M373" s="390"/>
      <c r="N373" s="390"/>
      <c r="O373" s="391"/>
      <c r="P373" s="390"/>
      <c r="Q373" s="391"/>
      <c r="R373" s="391"/>
      <c r="S373" s="391"/>
      <c r="T373" s="391"/>
      <c r="U373" s="391"/>
      <c r="V373" s="391"/>
      <c r="W373" s="391"/>
      <c r="X373" s="391"/>
      <c r="Y373" s="391"/>
      <c r="Z373" s="391"/>
      <c r="AA373" s="391"/>
      <c r="AB373" s="391"/>
      <c r="AC373" s="391"/>
      <c r="AD373" s="390"/>
      <c r="AE373" s="308"/>
      <c r="AF373" s="308"/>
      <c r="AJ373" s="309"/>
      <c r="AK373" s="293"/>
      <c r="AL373" s="294"/>
      <c r="AM373" s="294"/>
      <c r="AP373" s="295"/>
      <c r="AU373" s="295"/>
      <c r="AZ373" s="295"/>
      <c r="BE373" s="295"/>
      <c r="BJ373" s="295"/>
      <c r="BK373" s="293"/>
      <c r="BM373" s="296"/>
      <c r="BN373" s="296"/>
      <c r="BO373" s="296"/>
      <c r="BP373" s="296"/>
      <c r="BQ373" s="296"/>
      <c r="BR373" s="296"/>
      <c r="BS373" s="296"/>
      <c r="BT373" s="296"/>
      <c r="BU373" s="296"/>
    </row>
    <row r="374" spans="1:73" s="292" customFormat="1" x14ac:dyDescent="0.25">
      <c r="A374" s="307"/>
      <c r="B374" s="307"/>
      <c r="C374" s="307"/>
      <c r="D374" s="19" t="s">
        <v>59</v>
      </c>
      <c r="E374" s="47"/>
      <c r="F374" s="19"/>
      <c r="G374" s="19"/>
      <c r="J374" s="391"/>
      <c r="K374" s="391"/>
      <c r="L374" s="390"/>
      <c r="M374" s="390"/>
      <c r="N374" s="390"/>
      <c r="O374" s="391"/>
      <c r="P374" s="390"/>
      <c r="Q374" s="391"/>
      <c r="R374" s="391"/>
      <c r="S374" s="391"/>
      <c r="T374" s="391"/>
      <c r="U374" s="391"/>
      <c r="V374" s="391"/>
      <c r="W374" s="391"/>
      <c r="X374" s="391"/>
      <c r="Y374" s="391"/>
      <c r="Z374" s="391"/>
      <c r="AA374" s="391"/>
      <c r="AB374" s="391"/>
      <c r="AC374" s="391"/>
      <c r="AD374" s="390"/>
      <c r="AE374" s="308"/>
      <c r="AF374" s="308"/>
      <c r="AJ374" s="309"/>
      <c r="AK374" s="293"/>
      <c r="AL374" s="294"/>
      <c r="AM374" s="294"/>
      <c r="AP374" s="295"/>
      <c r="AU374" s="295"/>
      <c r="AZ374" s="295"/>
      <c r="BE374" s="295"/>
      <c r="BJ374" s="295"/>
      <c r="BK374" s="293"/>
      <c r="BM374" s="296"/>
      <c r="BN374" s="296"/>
      <c r="BO374" s="296"/>
      <c r="BP374" s="296"/>
      <c r="BQ374" s="296"/>
      <c r="BR374" s="296"/>
      <c r="BS374" s="296"/>
      <c r="BT374" s="296"/>
      <c r="BU374" s="296"/>
    </row>
    <row r="375" spans="1:73" s="292" customFormat="1" x14ac:dyDescent="0.25">
      <c r="A375" s="307"/>
      <c r="B375" s="307"/>
      <c r="C375" s="307">
        <v>1</v>
      </c>
      <c r="D375" s="304">
        <v>818</v>
      </c>
      <c r="E375" s="47"/>
      <c r="F375" s="19"/>
      <c r="G375" s="19"/>
      <c r="J375" s="391"/>
      <c r="K375" s="391"/>
      <c r="L375" s="390"/>
      <c r="M375" s="390"/>
      <c r="N375" s="390"/>
      <c r="O375" s="391"/>
      <c r="P375" s="390"/>
      <c r="Q375" s="391"/>
      <c r="R375" s="391"/>
      <c r="S375" s="391"/>
      <c r="T375" s="391"/>
      <c r="U375" s="391"/>
      <c r="V375" s="391"/>
      <c r="W375" s="391"/>
      <c r="X375" s="391"/>
      <c r="Y375" s="391"/>
      <c r="Z375" s="391"/>
      <c r="AA375" s="391"/>
      <c r="AB375" s="391"/>
      <c r="AC375" s="391"/>
      <c r="AD375" s="390"/>
      <c r="AE375" s="308"/>
      <c r="AF375" s="308"/>
      <c r="AJ375" s="309"/>
      <c r="AK375" s="293"/>
      <c r="AL375" s="294"/>
      <c r="AM375" s="294"/>
      <c r="AP375" s="295"/>
      <c r="AU375" s="295"/>
      <c r="AZ375" s="295"/>
      <c r="BE375" s="295"/>
      <c r="BJ375" s="295"/>
      <c r="BK375" s="293"/>
      <c r="BM375" s="296"/>
      <c r="BN375" s="296"/>
      <c r="BO375" s="296"/>
      <c r="BP375" s="296"/>
      <c r="BQ375" s="296"/>
      <c r="BR375" s="296"/>
      <c r="BS375" s="296"/>
      <c r="BT375" s="296"/>
      <c r="BU375" s="296"/>
    </row>
    <row r="376" spans="1:73" s="292" customFormat="1" x14ac:dyDescent="0.25">
      <c r="A376" s="307"/>
      <c r="B376" s="307"/>
      <c r="C376" s="307">
        <v>2</v>
      </c>
      <c r="D376" s="304">
        <v>1249</v>
      </c>
      <c r="E376" s="47"/>
      <c r="F376" s="19"/>
      <c r="G376" s="19"/>
      <c r="J376" s="391"/>
      <c r="K376" s="391"/>
      <c r="L376" s="390"/>
      <c r="M376" s="390"/>
      <c r="N376" s="390"/>
      <c r="O376" s="391"/>
      <c r="P376" s="390"/>
      <c r="Q376" s="391"/>
      <c r="R376" s="391"/>
      <c r="S376" s="391"/>
      <c r="T376" s="391"/>
      <c r="U376" s="391"/>
      <c r="V376" s="391"/>
      <c r="W376" s="391"/>
      <c r="X376" s="391"/>
      <c r="Y376" s="391"/>
      <c r="Z376" s="391"/>
      <c r="AA376" s="391"/>
      <c r="AB376" s="391"/>
      <c r="AC376" s="391"/>
      <c r="AD376" s="390"/>
      <c r="AE376" s="308"/>
      <c r="AF376" s="308"/>
      <c r="AJ376" s="309"/>
      <c r="AK376" s="293"/>
      <c r="AL376" s="294"/>
      <c r="AM376" s="294"/>
      <c r="AP376" s="295"/>
      <c r="AU376" s="295"/>
      <c r="AZ376" s="295"/>
      <c r="BE376" s="295"/>
      <c r="BJ376" s="295"/>
      <c r="BK376" s="293"/>
      <c r="BM376" s="296"/>
      <c r="BN376" s="296"/>
      <c r="BO376" s="296"/>
      <c r="BP376" s="296"/>
      <c r="BQ376" s="296"/>
      <c r="BR376" s="296"/>
      <c r="BS376" s="296"/>
      <c r="BT376" s="296"/>
      <c r="BU376" s="296"/>
    </row>
    <row r="377" spans="1:73" s="292" customFormat="1" x14ac:dyDescent="0.25">
      <c r="A377" s="307"/>
      <c r="B377" s="307"/>
      <c r="C377" s="307">
        <v>3</v>
      </c>
      <c r="D377" s="304">
        <v>1679</v>
      </c>
      <c r="E377" s="47"/>
      <c r="F377" s="19"/>
      <c r="G377" s="19"/>
      <c r="J377" s="391"/>
      <c r="K377" s="391"/>
      <c r="L377" s="390"/>
      <c r="M377" s="390"/>
      <c r="N377" s="390"/>
      <c r="O377" s="391"/>
      <c r="P377" s="390"/>
      <c r="Q377" s="391"/>
      <c r="R377" s="391"/>
      <c r="S377" s="391"/>
      <c r="T377" s="391"/>
      <c r="U377" s="391"/>
      <c r="V377" s="391"/>
      <c r="W377" s="391"/>
      <c r="X377" s="391"/>
      <c r="Y377" s="391"/>
      <c r="Z377" s="391"/>
      <c r="AA377" s="391"/>
      <c r="AB377" s="391"/>
      <c r="AC377" s="391"/>
      <c r="AD377" s="390"/>
      <c r="AE377" s="308"/>
      <c r="AF377" s="308"/>
      <c r="AJ377" s="309"/>
      <c r="AK377" s="293"/>
      <c r="AL377" s="294"/>
      <c r="AM377" s="294"/>
      <c r="AP377" s="295"/>
      <c r="AU377" s="295"/>
      <c r="AZ377" s="295"/>
      <c r="BE377" s="295"/>
      <c r="BJ377" s="295"/>
      <c r="BK377" s="293"/>
      <c r="BM377" s="296"/>
      <c r="BN377" s="296"/>
      <c r="BO377" s="296"/>
      <c r="BP377" s="296"/>
      <c r="BQ377" s="296"/>
      <c r="BR377" s="296"/>
      <c r="BS377" s="296"/>
      <c r="BT377" s="296"/>
      <c r="BU377" s="296"/>
    </row>
    <row r="378" spans="1:73" s="292" customFormat="1" x14ac:dyDescent="0.25">
      <c r="A378" s="307"/>
      <c r="B378" s="307"/>
      <c r="C378" s="307">
        <v>4</v>
      </c>
      <c r="D378" s="304">
        <v>2110</v>
      </c>
      <c r="E378" s="47"/>
      <c r="F378" s="19"/>
      <c r="G378" s="19"/>
      <c r="J378" s="391"/>
      <c r="K378" s="391"/>
      <c r="L378" s="390"/>
      <c r="M378" s="390"/>
      <c r="N378" s="390"/>
      <c r="O378" s="391"/>
      <c r="P378" s="390"/>
      <c r="Q378" s="391"/>
      <c r="R378" s="391"/>
      <c r="S378" s="391"/>
      <c r="T378" s="391"/>
      <c r="U378" s="391"/>
      <c r="V378" s="391"/>
      <c r="W378" s="391"/>
      <c r="X378" s="391"/>
      <c r="Y378" s="391"/>
      <c r="Z378" s="391"/>
      <c r="AA378" s="391"/>
      <c r="AB378" s="391"/>
      <c r="AC378" s="391"/>
      <c r="AD378" s="390"/>
      <c r="AE378" s="308"/>
      <c r="AF378" s="308"/>
      <c r="AJ378" s="309"/>
      <c r="AK378" s="293"/>
      <c r="AL378" s="294"/>
      <c r="AM378" s="294"/>
      <c r="AP378" s="295"/>
      <c r="AU378" s="295"/>
      <c r="AZ378" s="295"/>
      <c r="BE378" s="295"/>
      <c r="BJ378" s="295"/>
      <c r="BK378" s="293"/>
      <c r="BM378" s="296"/>
      <c r="BN378" s="296"/>
      <c r="BO378" s="296"/>
      <c r="BP378" s="296"/>
      <c r="BQ378" s="296"/>
      <c r="BR378" s="296"/>
      <c r="BS378" s="296"/>
      <c r="BT378" s="296"/>
      <c r="BU378" s="296"/>
    </row>
    <row r="379" spans="1:73" s="292" customFormat="1" x14ac:dyDescent="0.25">
      <c r="A379" s="307"/>
      <c r="B379" s="307"/>
      <c r="C379" s="307">
        <v>5</v>
      </c>
      <c r="D379" s="304">
        <v>2540</v>
      </c>
      <c r="E379" s="47"/>
      <c r="F379" s="19"/>
      <c r="G379" s="19"/>
      <c r="J379" s="391"/>
      <c r="K379" s="391"/>
      <c r="L379" s="390"/>
      <c r="M379" s="390"/>
      <c r="N379" s="390"/>
      <c r="O379" s="391"/>
      <c r="P379" s="390"/>
      <c r="Q379" s="391"/>
      <c r="R379" s="391"/>
      <c r="S379" s="391"/>
      <c r="T379" s="391"/>
      <c r="U379" s="391"/>
      <c r="V379" s="391"/>
      <c r="W379" s="391"/>
      <c r="X379" s="391"/>
      <c r="Y379" s="391"/>
      <c r="Z379" s="391"/>
      <c r="AA379" s="391"/>
      <c r="AB379" s="391"/>
      <c r="AC379" s="391"/>
      <c r="AD379" s="390"/>
      <c r="AE379" s="308"/>
      <c r="AF379" s="308"/>
      <c r="AJ379" s="309"/>
      <c r="AK379" s="293"/>
      <c r="AL379" s="294"/>
      <c r="AM379" s="294"/>
      <c r="AP379" s="295"/>
      <c r="AU379" s="295"/>
      <c r="AZ379" s="295"/>
      <c r="BE379" s="295"/>
      <c r="BJ379" s="295"/>
      <c r="BK379" s="293"/>
      <c r="BM379" s="296"/>
      <c r="BN379" s="296"/>
      <c r="BO379" s="296"/>
      <c r="BP379" s="296"/>
      <c r="BQ379" s="296"/>
      <c r="BR379" s="296"/>
      <c r="BS379" s="296"/>
      <c r="BT379" s="296"/>
      <c r="BU379" s="296"/>
    </row>
    <row r="380" spans="1:73" s="292" customFormat="1" x14ac:dyDescent="0.25">
      <c r="A380" s="307"/>
      <c r="B380" s="307"/>
      <c r="C380" s="307">
        <v>6</v>
      </c>
      <c r="D380" s="304">
        <v>2971</v>
      </c>
      <c r="E380" s="47"/>
      <c r="F380" s="19"/>
      <c r="G380" s="19"/>
      <c r="J380" s="391"/>
      <c r="K380" s="391"/>
      <c r="L380" s="390"/>
      <c r="M380" s="390"/>
      <c r="N380" s="390"/>
      <c r="O380" s="391"/>
      <c r="P380" s="390"/>
      <c r="Q380" s="391"/>
      <c r="R380" s="391"/>
      <c r="S380" s="391"/>
      <c r="T380" s="391"/>
      <c r="U380" s="391"/>
      <c r="V380" s="391"/>
      <c r="W380" s="391"/>
      <c r="X380" s="391"/>
      <c r="Y380" s="391"/>
      <c r="Z380" s="391"/>
      <c r="AA380" s="391"/>
      <c r="AB380" s="391"/>
      <c r="AC380" s="391"/>
      <c r="AD380" s="390"/>
      <c r="AE380" s="308"/>
      <c r="AF380" s="308"/>
      <c r="AJ380" s="309"/>
      <c r="AK380" s="293"/>
      <c r="AL380" s="294"/>
      <c r="AM380" s="294"/>
      <c r="AP380" s="295"/>
      <c r="AU380" s="295"/>
      <c r="AZ380" s="295"/>
      <c r="BE380" s="295"/>
      <c r="BJ380" s="295"/>
      <c r="BK380" s="293"/>
      <c r="BM380" s="296"/>
      <c r="BN380" s="296"/>
      <c r="BO380" s="296"/>
      <c r="BP380" s="296"/>
      <c r="BQ380" s="296"/>
      <c r="BR380" s="296"/>
      <c r="BS380" s="296"/>
      <c r="BT380" s="296"/>
      <c r="BU380" s="296"/>
    </row>
    <row r="381" spans="1:73" s="292" customFormat="1" x14ac:dyDescent="0.25">
      <c r="A381" s="307"/>
      <c r="B381" s="307"/>
      <c r="C381" s="307">
        <v>7</v>
      </c>
      <c r="D381" s="304">
        <v>3495</v>
      </c>
      <c r="E381" s="47"/>
      <c r="F381" s="19"/>
      <c r="G381" s="19"/>
      <c r="J381" s="391"/>
      <c r="K381" s="391"/>
      <c r="L381" s="390"/>
      <c r="M381" s="390"/>
      <c r="N381" s="390"/>
      <c r="O381" s="391"/>
      <c r="P381" s="390"/>
      <c r="Q381" s="391"/>
      <c r="R381" s="391"/>
      <c r="S381" s="391"/>
      <c r="T381" s="391"/>
      <c r="U381" s="391"/>
      <c r="V381" s="391"/>
      <c r="W381" s="391"/>
      <c r="X381" s="391"/>
      <c r="Y381" s="391"/>
      <c r="Z381" s="391"/>
      <c r="AA381" s="391"/>
      <c r="AB381" s="391"/>
      <c r="AC381" s="391"/>
      <c r="AD381" s="390"/>
      <c r="AE381" s="308"/>
      <c r="AF381" s="308"/>
      <c r="AJ381" s="309"/>
      <c r="AK381" s="293"/>
      <c r="AL381" s="294"/>
      <c r="AM381" s="294"/>
      <c r="AP381" s="295"/>
      <c r="AU381" s="295"/>
      <c r="AZ381" s="295"/>
      <c r="BE381" s="295"/>
      <c r="BJ381" s="295"/>
      <c r="BK381" s="293"/>
      <c r="BM381" s="296"/>
      <c r="BN381" s="296"/>
      <c r="BO381" s="296"/>
      <c r="BP381" s="296"/>
      <c r="BQ381" s="296"/>
      <c r="BR381" s="296"/>
      <c r="BS381" s="296"/>
      <c r="BT381" s="296"/>
      <c r="BU381" s="296"/>
    </row>
    <row r="382" spans="1:73" s="292" customFormat="1" x14ac:dyDescent="0.25">
      <c r="A382" s="307"/>
      <c r="B382" s="307"/>
      <c r="C382" s="307">
        <v>8</v>
      </c>
      <c r="D382" s="304">
        <v>3856</v>
      </c>
      <c r="E382" s="47"/>
      <c r="F382" s="19"/>
      <c r="G382" s="19"/>
      <c r="J382" s="391"/>
      <c r="K382" s="391"/>
      <c r="L382" s="390"/>
      <c r="M382" s="390"/>
      <c r="N382" s="390"/>
      <c r="O382" s="391"/>
      <c r="P382" s="390"/>
      <c r="Q382" s="391"/>
      <c r="R382" s="391"/>
      <c r="S382" s="391"/>
      <c r="T382" s="391"/>
      <c r="U382" s="391"/>
      <c r="V382" s="391"/>
      <c r="W382" s="391"/>
      <c r="X382" s="391"/>
      <c r="Y382" s="391"/>
      <c r="Z382" s="391"/>
      <c r="AA382" s="391"/>
      <c r="AB382" s="391"/>
      <c r="AC382" s="391"/>
      <c r="AD382" s="390"/>
      <c r="AE382" s="308"/>
      <c r="AF382" s="308"/>
      <c r="AJ382" s="309"/>
      <c r="AK382" s="293"/>
      <c r="AL382" s="294"/>
      <c r="AM382" s="294"/>
      <c r="AP382" s="295"/>
      <c r="AU382" s="295"/>
      <c r="AZ382" s="295"/>
      <c r="BE382" s="295"/>
      <c r="BJ382" s="295"/>
      <c r="BK382" s="293"/>
      <c r="BM382" s="296"/>
      <c r="BN382" s="296"/>
      <c r="BO382" s="296"/>
      <c r="BP382" s="296"/>
      <c r="BQ382" s="296"/>
      <c r="BR382" s="296"/>
      <c r="BS382" s="296"/>
      <c r="BT382" s="296"/>
      <c r="BU382" s="296"/>
    </row>
    <row r="383" spans="1:73" s="292" customFormat="1" x14ac:dyDescent="0.25">
      <c r="A383" s="307"/>
      <c r="B383" s="307"/>
      <c r="C383" s="307">
        <v>9</v>
      </c>
      <c r="D383" s="304">
        <v>4216</v>
      </c>
      <c r="E383" s="47"/>
      <c r="F383" s="19"/>
      <c r="G383" s="19"/>
      <c r="J383" s="391"/>
      <c r="K383" s="391"/>
      <c r="L383" s="390"/>
      <c r="M383" s="390"/>
      <c r="N383" s="390"/>
      <c r="O383" s="391"/>
      <c r="P383" s="390"/>
      <c r="Q383" s="391"/>
      <c r="R383" s="391"/>
      <c r="S383" s="391"/>
      <c r="T383" s="391"/>
      <c r="U383" s="391"/>
      <c r="V383" s="391"/>
      <c r="W383" s="391"/>
      <c r="X383" s="391"/>
      <c r="Y383" s="391"/>
      <c r="Z383" s="391"/>
      <c r="AA383" s="391"/>
      <c r="AB383" s="391"/>
      <c r="AC383" s="391"/>
      <c r="AD383" s="390"/>
      <c r="AE383" s="308"/>
      <c r="AF383" s="308"/>
      <c r="AJ383" s="309"/>
      <c r="AK383" s="293"/>
      <c r="AL383" s="294"/>
      <c r="AM383" s="294"/>
      <c r="AP383" s="295"/>
      <c r="AU383" s="295"/>
      <c r="AZ383" s="295"/>
      <c r="BE383" s="295"/>
      <c r="BJ383" s="295"/>
      <c r="BK383" s="293"/>
      <c r="BM383" s="296"/>
      <c r="BN383" s="296"/>
      <c r="BO383" s="296"/>
      <c r="BP383" s="296"/>
      <c r="BQ383" s="296"/>
      <c r="BR383" s="296"/>
      <c r="BS383" s="296"/>
      <c r="BT383" s="296"/>
      <c r="BU383" s="296"/>
    </row>
    <row r="384" spans="1:73" s="292" customFormat="1" x14ac:dyDescent="0.25">
      <c r="A384" s="307"/>
      <c r="B384" s="307"/>
      <c r="C384" s="307">
        <v>10</v>
      </c>
      <c r="D384" s="304">
        <v>4577</v>
      </c>
      <c r="E384" s="47"/>
      <c r="F384" s="19"/>
      <c r="G384" s="19"/>
      <c r="J384" s="391"/>
      <c r="K384" s="391"/>
      <c r="L384" s="390"/>
      <c r="M384" s="390"/>
      <c r="N384" s="390"/>
      <c r="O384" s="391"/>
      <c r="P384" s="390"/>
      <c r="Q384" s="391"/>
      <c r="R384" s="391"/>
      <c r="S384" s="391"/>
      <c r="T384" s="391"/>
      <c r="U384" s="391"/>
      <c r="V384" s="391"/>
      <c r="W384" s="391"/>
      <c r="X384" s="391"/>
      <c r="Y384" s="391"/>
      <c r="Z384" s="391"/>
      <c r="AA384" s="391"/>
      <c r="AB384" s="391"/>
      <c r="AC384" s="391"/>
      <c r="AD384" s="390"/>
      <c r="AE384" s="308"/>
      <c r="AF384" s="308"/>
      <c r="AJ384" s="309"/>
      <c r="AK384" s="293"/>
      <c r="AL384" s="294"/>
      <c r="AM384" s="294"/>
      <c r="AP384" s="295"/>
      <c r="AU384" s="295"/>
      <c r="AZ384" s="295"/>
      <c r="BE384" s="295"/>
      <c r="BJ384" s="295"/>
      <c r="BK384" s="293"/>
      <c r="BM384" s="296"/>
      <c r="BN384" s="296"/>
      <c r="BO384" s="296"/>
      <c r="BP384" s="296"/>
      <c r="BQ384" s="296"/>
      <c r="BR384" s="296"/>
      <c r="BS384" s="296"/>
      <c r="BT384" s="296"/>
      <c r="BU384" s="296"/>
    </row>
    <row r="385" spans="1:73" s="292" customFormat="1" x14ac:dyDescent="0.25">
      <c r="A385" s="307"/>
      <c r="B385" s="307"/>
      <c r="C385" s="307">
        <v>11</v>
      </c>
      <c r="D385" s="304">
        <v>4937</v>
      </c>
      <c r="E385" s="47"/>
      <c r="F385" s="19"/>
      <c r="G385" s="19"/>
      <c r="J385" s="391"/>
      <c r="K385" s="391"/>
      <c r="L385" s="390"/>
      <c r="M385" s="390"/>
      <c r="N385" s="390"/>
      <c r="O385" s="391"/>
      <c r="P385" s="390"/>
      <c r="Q385" s="391"/>
      <c r="R385" s="391"/>
      <c r="S385" s="391"/>
      <c r="T385" s="391"/>
      <c r="U385" s="391"/>
      <c r="V385" s="391"/>
      <c r="W385" s="391"/>
      <c r="X385" s="391"/>
      <c r="Y385" s="391"/>
      <c r="Z385" s="391"/>
      <c r="AA385" s="391"/>
      <c r="AB385" s="391"/>
      <c r="AC385" s="391"/>
      <c r="AD385" s="390"/>
      <c r="AE385" s="308"/>
      <c r="AF385" s="308"/>
      <c r="AJ385" s="309"/>
      <c r="AK385" s="293"/>
      <c r="AL385" s="294"/>
      <c r="AM385" s="294"/>
      <c r="AP385" s="295"/>
      <c r="AU385" s="295"/>
      <c r="AZ385" s="295"/>
      <c r="BE385" s="295"/>
      <c r="BJ385" s="295"/>
      <c r="BK385" s="293"/>
      <c r="BM385" s="296"/>
      <c r="BN385" s="296"/>
      <c r="BO385" s="296"/>
      <c r="BP385" s="296"/>
      <c r="BQ385" s="296"/>
      <c r="BR385" s="296"/>
      <c r="BS385" s="296"/>
      <c r="BT385" s="296"/>
      <c r="BU385" s="296"/>
    </row>
    <row r="386" spans="1:73" s="292" customFormat="1" x14ac:dyDescent="0.25">
      <c r="A386" s="307"/>
      <c r="B386" s="307"/>
      <c r="C386" s="307">
        <v>12</v>
      </c>
      <c r="D386" s="304">
        <v>4297</v>
      </c>
      <c r="E386" s="47"/>
      <c r="F386" s="19"/>
      <c r="G386" s="19"/>
      <c r="J386" s="391"/>
      <c r="K386" s="391"/>
      <c r="L386" s="390"/>
      <c r="M386" s="390"/>
      <c r="N386" s="390"/>
      <c r="O386" s="391"/>
      <c r="P386" s="390"/>
      <c r="Q386" s="391"/>
      <c r="R386" s="391"/>
      <c r="S386" s="391"/>
      <c r="T386" s="391"/>
      <c r="U386" s="391"/>
      <c r="V386" s="391"/>
      <c r="W386" s="391"/>
      <c r="X386" s="391"/>
      <c r="Y386" s="391"/>
      <c r="Z386" s="391"/>
      <c r="AA386" s="391"/>
      <c r="AB386" s="391"/>
      <c r="AC386" s="391"/>
      <c r="AD386" s="390"/>
      <c r="AE386" s="308"/>
      <c r="AF386" s="308"/>
      <c r="AJ386" s="309"/>
      <c r="AK386" s="293"/>
      <c r="AL386" s="294"/>
      <c r="AM386" s="294"/>
      <c r="AP386" s="295"/>
      <c r="AU386" s="295"/>
      <c r="AZ386" s="295"/>
      <c r="BE386" s="295"/>
      <c r="BJ386" s="295"/>
      <c r="BK386" s="293"/>
      <c r="BM386" s="296"/>
      <c r="BN386" s="296"/>
      <c r="BO386" s="296"/>
      <c r="BP386" s="296"/>
      <c r="BQ386" s="296"/>
      <c r="BR386" s="296"/>
      <c r="BS386" s="296"/>
      <c r="BT386" s="296"/>
      <c r="BU386" s="296"/>
    </row>
    <row r="387" spans="1:73" s="292" customFormat="1" x14ac:dyDescent="0.25">
      <c r="A387" s="307"/>
      <c r="B387" s="307"/>
      <c r="C387" s="307"/>
      <c r="D387" s="304">
        <v>0</v>
      </c>
      <c r="E387" s="47"/>
      <c r="F387" s="19"/>
      <c r="G387" s="19"/>
      <c r="J387" s="391"/>
      <c r="K387" s="391"/>
      <c r="L387" s="390"/>
      <c r="M387" s="390"/>
      <c r="N387" s="390"/>
      <c r="O387" s="391"/>
      <c r="P387" s="390"/>
      <c r="Q387" s="391"/>
      <c r="R387" s="391"/>
      <c r="S387" s="391"/>
      <c r="T387" s="391"/>
      <c r="U387" s="391"/>
      <c r="V387" s="391"/>
      <c r="W387" s="391"/>
      <c r="X387" s="391"/>
      <c r="Y387" s="391"/>
      <c r="Z387" s="391"/>
      <c r="AA387" s="391"/>
      <c r="AB387" s="391"/>
      <c r="AC387" s="391"/>
      <c r="AD387" s="390"/>
      <c r="AE387" s="308"/>
      <c r="AF387" s="308"/>
      <c r="AJ387" s="309"/>
      <c r="AK387" s="293"/>
      <c r="AL387" s="294"/>
      <c r="AM387" s="294"/>
      <c r="AP387" s="295"/>
      <c r="AU387" s="295"/>
      <c r="AZ387" s="295"/>
      <c r="BE387" s="295"/>
      <c r="BJ387" s="295"/>
      <c r="BK387" s="293"/>
      <c r="BM387" s="296"/>
      <c r="BN387" s="296"/>
      <c r="BO387" s="296"/>
      <c r="BP387" s="296"/>
      <c r="BQ387" s="296"/>
      <c r="BR387" s="296"/>
      <c r="BS387" s="296"/>
      <c r="BT387" s="296"/>
      <c r="BU387" s="296"/>
    </row>
    <row r="388" spans="1:73" s="292" customFormat="1" x14ac:dyDescent="0.25">
      <c r="A388" s="307"/>
      <c r="B388" s="307"/>
      <c r="C388" s="307"/>
      <c r="D388" s="304">
        <v>0</v>
      </c>
      <c r="E388" s="47"/>
      <c r="F388" s="19"/>
      <c r="G388" s="19"/>
      <c r="J388" s="391"/>
      <c r="K388" s="391"/>
      <c r="L388" s="390"/>
      <c r="M388" s="390"/>
      <c r="N388" s="390"/>
      <c r="O388" s="391"/>
      <c r="P388" s="390"/>
      <c r="Q388" s="391"/>
      <c r="R388" s="391"/>
      <c r="S388" s="391"/>
      <c r="T388" s="391"/>
      <c r="U388" s="391"/>
      <c r="V388" s="391"/>
      <c r="W388" s="391"/>
      <c r="X388" s="391"/>
      <c r="Y388" s="391"/>
      <c r="Z388" s="391"/>
      <c r="AA388" s="391"/>
      <c r="AB388" s="391"/>
      <c r="AC388" s="391"/>
      <c r="AD388" s="390"/>
      <c r="AE388" s="308"/>
      <c r="AF388" s="308"/>
      <c r="AJ388" s="309"/>
      <c r="AK388" s="293"/>
      <c r="AL388" s="294"/>
      <c r="AM388" s="294"/>
      <c r="AP388" s="295"/>
      <c r="AU388" s="295"/>
      <c r="AZ388" s="295"/>
      <c r="BE388" s="295"/>
      <c r="BJ388" s="295"/>
      <c r="BK388" s="293"/>
      <c r="BM388" s="296"/>
      <c r="BN388" s="296"/>
      <c r="BO388" s="296"/>
      <c r="BP388" s="296"/>
      <c r="BQ388" s="296"/>
      <c r="BR388" s="296"/>
      <c r="BS388" s="296"/>
      <c r="BT388" s="296"/>
      <c r="BU388" s="296"/>
    </row>
    <row r="389" spans="1:73" s="292" customFormat="1" x14ac:dyDescent="0.25">
      <c r="A389" s="307"/>
      <c r="B389" s="307"/>
      <c r="C389" s="307"/>
      <c r="D389" s="305"/>
      <c r="E389" s="47"/>
      <c r="F389" s="19"/>
      <c r="G389" s="19"/>
      <c r="J389" s="391"/>
      <c r="K389" s="391"/>
      <c r="L389" s="390"/>
      <c r="M389" s="390"/>
      <c r="N389" s="390"/>
      <c r="O389" s="391"/>
      <c r="P389" s="390"/>
      <c r="Q389" s="391"/>
      <c r="R389" s="391"/>
      <c r="S389" s="391"/>
      <c r="T389" s="391"/>
      <c r="U389" s="391"/>
      <c r="V389" s="391"/>
      <c r="W389" s="391"/>
      <c r="X389" s="391"/>
      <c r="Y389" s="391"/>
      <c r="Z389" s="391"/>
      <c r="AA389" s="391"/>
      <c r="AB389" s="391"/>
      <c r="AC389" s="391"/>
      <c r="AD389" s="390"/>
      <c r="AE389" s="308"/>
      <c r="AF389" s="308"/>
      <c r="AJ389" s="309"/>
      <c r="AK389" s="293"/>
      <c r="AL389" s="294"/>
      <c r="AM389" s="294"/>
      <c r="AP389" s="295"/>
      <c r="AU389" s="295"/>
      <c r="AZ389" s="295"/>
      <c r="BE389" s="295"/>
      <c r="BJ389" s="295"/>
      <c r="BK389" s="293"/>
      <c r="BM389" s="296"/>
      <c r="BN389" s="296"/>
      <c r="BO389" s="296"/>
      <c r="BP389" s="296"/>
      <c r="BQ389" s="296"/>
      <c r="BR389" s="296"/>
      <c r="BS389" s="296"/>
      <c r="BT389" s="296"/>
      <c r="BU389" s="296"/>
    </row>
    <row r="390" spans="1:73" s="292" customFormat="1" x14ac:dyDescent="0.25">
      <c r="A390" s="307"/>
      <c r="B390" s="307"/>
      <c r="C390" s="307"/>
      <c r="D390" s="19" t="s">
        <v>120</v>
      </c>
      <c r="E390" s="19"/>
      <c r="F390" s="19"/>
      <c r="G390" s="19"/>
      <c r="J390" s="391"/>
      <c r="K390" s="391"/>
      <c r="L390" s="390"/>
      <c r="M390" s="390"/>
      <c r="N390" s="390"/>
      <c r="O390" s="391"/>
      <c r="P390" s="390"/>
      <c r="Q390" s="391"/>
      <c r="R390" s="391"/>
      <c r="S390" s="391"/>
      <c r="T390" s="391"/>
      <c r="U390" s="391"/>
      <c r="V390" s="391"/>
      <c r="W390" s="391"/>
      <c r="X390" s="391"/>
      <c r="Y390" s="391"/>
      <c r="Z390" s="391"/>
      <c r="AA390" s="391"/>
      <c r="AB390" s="391"/>
      <c r="AC390" s="391"/>
      <c r="AD390" s="390"/>
      <c r="AE390" s="308"/>
      <c r="AF390" s="308"/>
      <c r="AJ390" s="309"/>
      <c r="AK390" s="293"/>
      <c r="AL390" s="294"/>
      <c r="AM390" s="294"/>
      <c r="AP390" s="295"/>
      <c r="AU390" s="295"/>
      <c r="AZ390" s="295"/>
      <c r="BE390" s="295"/>
      <c r="BJ390" s="295"/>
      <c r="BK390" s="293"/>
      <c r="BM390" s="296"/>
      <c r="BN390" s="296"/>
      <c r="BO390" s="296"/>
      <c r="BP390" s="296"/>
      <c r="BQ390" s="296"/>
      <c r="BR390" s="296"/>
      <c r="BS390" s="296"/>
      <c r="BT390" s="296"/>
      <c r="BU390" s="296"/>
    </row>
    <row r="391" spans="1:73" s="292" customFormat="1" x14ac:dyDescent="0.25">
      <c r="A391" s="307"/>
      <c r="B391" s="307"/>
      <c r="C391" s="307"/>
      <c r="D391" s="19" t="s">
        <v>121</v>
      </c>
      <c r="E391" s="47"/>
      <c r="F391" s="19"/>
      <c r="G391" s="19"/>
      <c r="J391" s="391"/>
      <c r="K391" s="391"/>
      <c r="L391" s="390"/>
      <c r="M391" s="390"/>
      <c r="N391" s="390"/>
      <c r="O391" s="391"/>
      <c r="P391" s="390"/>
      <c r="Q391" s="391"/>
      <c r="R391" s="391"/>
      <c r="S391" s="391"/>
      <c r="T391" s="391"/>
      <c r="U391" s="391"/>
      <c r="V391" s="391"/>
      <c r="W391" s="391"/>
      <c r="X391" s="391"/>
      <c r="Y391" s="391"/>
      <c r="Z391" s="391"/>
      <c r="AA391" s="391"/>
      <c r="AB391" s="391"/>
      <c r="AC391" s="391"/>
      <c r="AD391" s="390"/>
      <c r="AE391" s="308"/>
      <c r="AF391" s="308"/>
      <c r="AJ391" s="309"/>
      <c r="AK391" s="293"/>
      <c r="AL391" s="294"/>
      <c r="AM391" s="294"/>
      <c r="AP391" s="295"/>
      <c r="AU391" s="295"/>
      <c r="AZ391" s="295"/>
      <c r="BE391" s="295"/>
      <c r="BJ391" s="295"/>
      <c r="BK391" s="293"/>
      <c r="BM391" s="296"/>
      <c r="BN391" s="296"/>
      <c r="BO391" s="296"/>
      <c r="BP391" s="296"/>
      <c r="BQ391" s="296"/>
      <c r="BR391" s="296"/>
      <c r="BS391" s="296"/>
      <c r="BT391" s="296"/>
      <c r="BU391" s="296"/>
    </row>
    <row r="392" spans="1:73" s="292" customFormat="1" x14ac:dyDescent="0.25">
      <c r="A392" s="307"/>
      <c r="B392" s="307"/>
      <c r="C392" s="307"/>
      <c r="D392" s="19"/>
      <c r="E392" s="19"/>
      <c r="F392" s="19"/>
      <c r="G392" s="19"/>
      <c r="J392" s="391"/>
      <c r="K392" s="391"/>
      <c r="L392" s="390"/>
      <c r="M392" s="390"/>
      <c r="N392" s="390"/>
      <c r="O392" s="391"/>
      <c r="P392" s="390"/>
      <c r="Q392" s="391"/>
      <c r="R392" s="391"/>
      <c r="S392" s="391"/>
      <c r="T392" s="391"/>
      <c r="U392" s="391"/>
      <c r="V392" s="391"/>
      <c r="W392" s="391"/>
      <c r="X392" s="391"/>
      <c r="Y392" s="391"/>
      <c r="Z392" s="391"/>
      <c r="AA392" s="391"/>
      <c r="AB392" s="391"/>
      <c r="AC392" s="391"/>
      <c r="AD392" s="390"/>
      <c r="AE392" s="308"/>
      <c r="AF392" s="308"/>
      <c r="AJ392" s="309"/>
      <c r="AK392" s="293"/>
      <c r="AL392" s="294"/>
      <c r="AM392" s="294"/>
      <c r="AP392" s="295"/>
      <c r="AU392" s="295"/>
      <c r="AZ392" s="295"/>
      <c r="BE392" s="295"/>
      <c r="BJ392" s="295"/>
      <c r="BK392" s="293"/>
      <c r="BM392" s="296"/>
      <c r="BN392" s="296"/>
      <c r="BO392" s="296"/>
      <c r="BP392" s="296"/>
      <c r="BQ392" s="296"/>
      <c r="BR392" s="296"/>
      <c r="BS392" s="296"/>
      <c r="BT392" s="296"/>
      <c r="BU392" s="296"/>
    </row>
    <row r="393" spans="1:73" s="292" customFormat="1" x14ac:dyDescent="0.25">
      <c r="A393" s="307"/>
      <c r="B393" s="307"/>
      <c r="C393" s="307"/>
      <c r="D393" s="19" t="s">
        <v>84</v>
      </c>
      <c r="E393" s="47"/>
      <c r="F393" s="19"/>
      <c r="G393" s="19"/>
      <c r="J393" s="391"/>
      <c r="K393" s="391"/>
      <c r="L393" s="390"/>
      <c r="M393" s="390"/>
      <c r="N393" s="390"/>
      <c r="O393" s="391"/>
      <c r="P393" s="390"/>
      <c r="Q393" s="391"/>
      <c r="R393" s="391"/>
      <c r="S393" s="391"/>
      <c r="T393" s="391"/>
      <c r="U393" s="391"/>
      <c r="V393" s="391"/>
      <c r="W393" s="391"/>
      <c r="X393" s="391"/>
      <c r="Y393" s="391"/>
      <c r="Z393" s="391"/>
      <c r="AA393" s="391"/>
      <c r="AB393" s="391"/>
      <c r="AC393" s="391"/>
      <c r="AD393" s="390"/>
      <c r="AE393" s="308"/>
      <c r="AF393" s="308"/>
      <c r="AJ393" s="309"/>
      <c r="AK393" s="293"/>
      <c r="AL393" s="294"/>
      <c r="AM393" s="294"/>
      <c r="AP393" s="295"/>
      <c r="AU393" s="295"/>
      <c r="AZ393" s="295"/>
      <c r="BE393" s="295"/>
      <c r="BJ393" s="295"/>
      <c r="BK393" s="293"/>
      <c r="BM393" s="296"/>
      <c r="BN393" s="296"/>
      <c r="BO393" s="296"/>
      <c r="BP393" s="296"/>
      <c r="BQ393" s="296"/>
      <c r="BR393" s="296"/>
      <c r="BS393" s="296"/>
      <c r="BT393" s="296"/>
      <c r="BU393" s="296"/>
    </row>
    <row r="394" spans="1:73" s="292" customFormat="1" x14ac:dyDescent="0.25">
      <c r="A394" s="307"/>
      <c r="B394" s="307"/>
      <c r="C394" s="307"/>
      <c r="D394" s="19" t="s">
        <v>83</v>
      </c>
      <c r="E394" s="19"/>
      <c r="F394" s="19"/>
      <c r="G394" s="19"/>
      <c r="J394" s="391"/>
      <c r="K394" s="391"/>
      <c r="L394" s="390"/>
      <c r="M394" s="390"/>
      <c r="N394" s="390"/>
      <c r="O394" s="391"/>
      <c r="P394" s="390"/>
      <c r="Q394" s="391"/>
      <c r="R394" s="391"/>
      <c r="S394" s="391"/>
      <c r="T394" s="391"/>
      <c r="U394" s="391"/>
      <c r="V394" s="391"/>
      <c r="W394" s="391"/>
      <c r="X394" s="391"/>
      <c r="Y394" s="391"/>
      <c r="Z394" s="391"/>
      <c r="AA394" s="391"/>
      <c r="AB394" s="391"/>
      <c r="AC394" s="391"/>
      <c r="AD394" s="390"/>
      <c r="AE394" s="308"/>
      <c r="AF394" s="308"/>
      <c r="AJ394" s="309"/>
      <c r="AK394" s="293"/>
      <c r="AL394" s="294"/>
      <c r="AM394" s="294"/>
      <c r="AP394" s="295"/>
      <c r="AU394" s="295"/>
      <c r="AZ394" s="295"/>
      <c r="BE394" s="295"/>
      <c r="BJ394" s="295"/>
      <c r="BK394" s="293"/>
      <c r="BM394" s="296"/>
      <c r="BN394" s="296"/>
      <c r="BO394" s="296"/>
      <c r="BP394" s="296"/>
      <c r="BQ394" s="296"/>
      <c r="BR394" s="296"/>
      <c r="BS394" s="296"/>
      <c r="BT394" s="296"/>
      <c r="BU394" s="296"/>
    </row>
    <row r="395" spans="1:73" s="292" customFormat="1" x14ac:dyDescent="0.25">
      <c r="A395" s="307"/>
      <c r="B395" s="307"/>
      <c r="C395" s="307"/>
      <c r="D395" s="19" t="s">
        <v>85</v>
      </c>
      <c r="E395" s="47"/>
      <c r="F395" s="19"/>
      <c r="G395" s="19"/>
      <c r="J395" s="391"/>
      <c r="K395" s="391"/>
      <c r="L395" s="390"/>
      <c r="M395" s="390"/>
      <c r="N395" s="390"/>
      <c r="O395" s="391"/>
      <c r="P395" s="390"/>
      <c r="Q395" s="391"/>
      <c r="R395" s="391"/>
      <c r="S395" s="391"/>
      <c r="T395" s="391"/>
      <c r="U395" s="391"/>
      <c r="V395" s="391"/>
      <c r="W395" s="391"/>
      <c r="X395" s="391"/>
      <c r="Y395" s="391"/>
      <c r="Z395" s="391"/>
      <c r="AA395" s="391"/>
      <c r="AB395" s="391"/>
      <c r="AC395" s="391"/>
      <c r="AD395" s="390"/>
      <c r="AE395" s="308"/>
      <c r="AF395" s="308"/>
      <c r="AJ395" s="309"/>
      <c r="AK395" s="293"/>
      <c r="AL395" s="294"/>
      <c r="AM395" s="294"/>
      <c r="AP395" s="295"/>
      <c r="AU395" s="295"/>
      <c r="AZ395" s="295"/>
      <c r="BE395" s="295"/>
      <c r="BJ395" s="295"/>
      <c r="BK395" s="293"/>
      <c r="BM395" s="296"/>
      <c r="BN395" s="296"/>
      <c r="BO395" s="296"/>
      <c r="BP395" s="296"/>
      <c r="BQ395" s="296"/>
      <c r="BR395" s="296"/>
      <c r="BS395" s="296"/>
      <c r="BT395" s="296"/>
      <c r="BU395" s="296"/>
    </row>
    <row r="396" spans="1:73" s="292" customFormat="1" x14ac:dyDescent="0.25">
      <c r="A396" s="307"/>
      <c r="B396" s="307"/>
      <c r="C396" s="307"/>
      <c r="D396" s="19"/>
      <c r="E396" s="19"/>
      <c r="F396" s="19"/>
      <c r="G396" s="19"/>
      <c r="J396" s="391"/>
      <c r="K396" s="391"/>
      <c r="L396" s="390"/>
      <c r="M396" s="390"/>
      <c r="N396" s="390"/>
      <c r="O396" s="391"/>
      <c r="P396" s="390"/>
      <c r="Q396" s="391"/>
      <c r="R396" s="391"/>
      <c r="S396" s="391"/>
      <c r="T396" s="391"/>
      <c r="U396" s="391"/>
      <c r="V396" s="391"/>
      <c r="W396" s="391"/>
      <c r="X396" s="391"/>
      <c r="Y396" s="391"/>
      <c r="Z396" s="391"/>
      <c r="AA396" s="391"/>
      <c r="AB396" s="391"/>
      <c r="AC396" s="391"/>
      <c r="AD396" s="390"/>
      <c r="AE396" s="308"/>
      <c r="AF396" s="308"/>
      <c r="AJ396" s="309"/>
      <c r="AK396" s="293"/>
      <c r="AL396" s="294"/>
      <c r="AM396" s="294"/>
      <c r="AP396" s="295"/>
      <c r="AU396" s="295"/>
      <c r="AZ396" s="295"/>
      <c r="BE396" s="295"/>
      <c r="BJ396" s="295"/>
      <c r="BK396" s="293"/>
      <c r="BM396" s="296"/>
      <c r="BN396" s="296"/>
      <c r="BO396" s="296"/>
      <c r="BP396" s="296"/>
      <c r="BQ396" s="296"/>
      <c r="BR396" s="296"/>
      <c r="BS396" s="296"/>
      <c r="BT396" s="296"/>
      <c r="BU396" s="296"/>
    </row>
    <row r="397" spans="1:73" x14ac:dyDescent="0.25">
      <c r="D397" s="28"/>
      <c r="E397" s="28"/>
      <c r="F397" s="28"/>
      <c r="G397" s="28"/>
      <c r="H397" s="28"/>
      <c r="I397" s="28"/>
      <c r="J397" s="321"/>
      <c r="K397" s="321"/>
    </row>
    <row r="398" spans="1:73" x14ac:dyDescent="0.25">
      <c r="D398" s="28"/>
      <c r="E398" s="28"/>
      <c r="F398" s="28"/>
      <c r="G398" s="28"/>
      <c r="H398" s="28"/>
      <c r="I398" s="28"/>
      <c r="J398" s="321"/>
      <c r="K398" s="321"/>
    </row>
    <row r="399" spans="1:73" x14ac:dyDescent="0.25">
      <c r="D399" s="28"/>
      <c r="E399" s="28"/>
      <c r="F399" s="28"/>
      <c r="G399" s="28"/>
      <c r="H399" s="28"/>
      <c r="I399" s="28"/>
      <c r="J399" s="321"/>
      <c r="K399" s="321"/>
    </row>
    <row r="400" spans="1:73" x14ac:dyDescent="0.25">
      <c r="D400" s="28"/>
      <c r="E400" s="28"/>
      <c r="F400" s="28"/>
      <c r="G400" s="28"/>
      <c r="H400" s="28"/>
      <c r="I400" s="28"/>
      <c r="J400" s="321"/>
      <c r="K400" s="321"/>
    </row>
    <row r="401" spans="1:73" x14ac:dyDescent="0.25">
      <c r="D401" s="28"/>
      <c r="E401" s="28"/>
      <c r="F401" s="28"/>
      <c r="G401" s="28"/>
      <c r="H401" s="28"/>
      <c r="I401" s="28"/>
      <c r="J401" s="321"/>
      <c r="K401" s="321"/>
    </row>
    <row r="402" spans="1:73" x14ac:dyDescent="0.25">
      <c r="D402" s="28"/>
      <c r="E402" s="28"/>
      <c r="F402" s="28"/>
      <c r="G402" s="28"/>
      <c r="H402" s="28"/>
      <c r="I402" s="28"/>
      <c r="J402" s="321"/>
      <c r="K402" s="321"/>
    </row>
    <row r="403" spans="1:73" x14ac:dyDescent="0.25">
      <c r="D403" s="28"/>
      <c r="E403" s="28"/>
      <c r="F403" s="28"/>
      <c r="G403" s="28"/>
      <c r="H403" s="28"/>
      <c r="I403" s="28"/>
      <c r="J403" s="321"/>
      <c r="K403" s="321"/>
    </row>
    <row r="404" spans="1:73" x14ac:dyDescent="0.25">
      <c r="D404" s="28"/>
      <c r="E404" s="28"/>
      <c r="F404" s="28"/>
      <c r="G404" s="28"/>
      <c r="H404" s="28"/>
      <c r="I404" s="28"/>
      <c r="J404" s="321"/>
      <c r="K404" s="321"/>
    </row>
    <row r="405" spans="1:73" x14ac:dyDescent="0.25">
      <c r="D405" s="28"/>
      <c r="F405" s="28"/>
      <c r="G405" s="28"/>
      <c r="H405" s="28"/>
      <c r="I405" s="28"/>
      <c r="J405" s="321"/>
      <c r="K405" s="321"/>
    </row>
    <row r="406" spans="1:73" x14ac:dyDescent="0.25">
      <c r="D406" s="28"/>
      <c r="F406" s="28"/>
      <c r="G406" s="28"/>
      <c r="H406" s="28"/>
      <c r="I406" s="28"/>
      <c r="J406" s="321"/>
      <c r="K406" s="321"/>
    </row>
    <row r="407" spans="1:73" x14ac:dyDescent="0.25">
      <c r="D407" s="28"/>
      <c r="F407" s="28"/>
      <c r="G407" s="28"/>
      <c r="H407" s="28"/>
      <c r="I407" s="28"/>
      <c r="J407" s="321"/>
      <c r="K407" s="321"/>
    </row>
    <row r="408" spans="1:73" x14ac:dyDescent="0.25">
      <c r="D408" s="28"/>
      <c r="F408" s="28"/>
      <c r="G408" s="28"/>
      <c r="H408" s="28"/>
      <c r="I408" s="28"/>
      <c r="J408" s="321"/>
      <c r="K408" s="321"/>
    </row>
    <row r="409" spans="1:73" s="292" customFormat="1" x14ac:dyDescent="0.25">
      <c r="A409" s="167"/>
      <c r="B409" s="167"/>
      <c r="C409" s="167"/>
      <c r="D409" s="28"/>
      <c r="E409" s="167"/>
      <c r="F409" s="260"/>
      <c r="G409" s="28"/>
      <c r="H409" s="28"/>
      <c r="I409" s="28"/>
      <c r="J409" s="321"/>
      <c r="K409" s="321"/>
      <c r="L409" s="320"/>
      <c r="M409" s="320"/>
      <c r="N409" s="320"/>
      <c r="O409" s="321"/>
      <c r="P409" s="320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  <c r="AA409" s="321"/>
      <c r="AB409" s="321"/>
      <c r="AC409" s="321"/>
      <c r="AD409" s="320"/>
      <c r="AE409" s="172"/>
      <c r="AF409" s="172"/>
      <c r="AG409" s="28"/>
      <c r="AH409" s="28"/>
      <c r="AI409" s="28"/>
      <c r="AJ409" s="60"/>
      <c r="AK409" s="293"/>
      <c r="AL409" s="294"/>
      <c r="AM409" s="294"/>
      <c r="AP409" s="295"/>
      <c r="AU409" s="295"/>
      <c r="AZ409" s="295"/>
      <c r="BE409" s="295"/>
      <c r="BJ409" s="295"/>
      <c r="BK409" s="293"/>
      <c r="BM409" s="296"/>
      <c r="BN409" s="296"/>
      <c r="BO409" s="296"/>
      <c r="BP409" s="296"/>
      <c r="BQ409" s="296"/>
      <c r="BR409" s="296"/>
      <c r="BS409" s="296"/>
      <c r="BT409" s="296"/>
      <c r="BU409" s="296"/>
    </row>
    <row r="410" spans="1:73" s="292" customFormat="1" x14ac:dyDescent="0.25">
      <c r="A410" s="167"/>
      <c r="B410" s="167"/>
      <c r="C410" s="167"/>
      <c r="D410" s="28"/>
      <c r="E410" s="167"/>
      <c r="F410" s="260"/>
      <c r="G410" s="28"/>
      <c r="H410" s="28"/>
      <c r="I410" s="28"/>
      <c r="J410" s="321"/>
      <c r="K410" s="321"/>
      <c r="L410" s="320"/>
      <c r="M410" s="320"/>
      <c r="N410" s="320"/>
      <c r="O410" s="321"/>
      <c r="P410" s="320"/>
      <c r="Q410" s="321"/>
      <c r="R410" s="321"/>
      <c r="S410" s="321"/>
      <c r="T410" s="321"/>
      <c r="U410" s="321"/>
      <c r="V410" s="321"/>
      <c r="W410" s="321"/>
      <c r="X410" s="321"/>
      <c r="Y410" s="321"/>
      <c r="Z410" s="321"/>
      <c r="AA410" s="321"/>
      <c r="AB410" s="321"/>
      <c r="AC410" s="321"/>
      <c r="AD410" s="320"/>
      <c r="AE410" s="172"/>
      <c r="AF410" s="172"/>
      <c r="AG410" s="28"/>
      <c r="AH410" s="28"/>
      <c r="AI410" s="28"/>
      <c r="AJ410" s="60"/>
      <c r="AK410" s="293"/>
      <c r="AL410" s="294"/>
      <c r="AM410" s="294"/>
      <c r="AP410" s="295"/>
      <c r="AU410" s="295"/>
      <c r="AZ410" s="295"/>
      <c r="BE410" s="295"/>
      <c r="BJ410" s="295"/>
      <c r="BK410" s="293"/>
      <c r="BM410" s="296"/>
      <c r="BN410" s="296"/>
      <c r="BO410" s="296"/>
      <c r="BP410" s="296"/>
      <c r="BQ410" s="296"/>
      <c r="BR410" s="296"/>
      <c r="BS410" s="296"/>
      <c r="BT410" s="296"/>
      <c r="BU410" s="296"/>
    </row>
    <row r="411" spans="1:73" s="292" customFormat="1" x14ac:dyDescent="0.25">
      <c r="A411" s="167"/>
      <c r="B411" s="167"/>
      <c r="C411" s="167"/>
      <c r="D411" s="28"/>
      <c r="E411" s="167"/>
      <c r="F411" s="260"/>
      <c r="G411" s="28"/>
      <c r="H411" s="28"/>
      <c r="I411" s="28"/>
      <c r="J411" s="321"/>
      <c r="K411" s="321"/>
      <c r="L411" s="320"/>
      <c r="M411" s="320"/>
      <c r="N411" s="320"/>
      <c r="O411" s="321"/>
      <c r="P411" s="320"/>
      <c r="Q411" s="321"/>
      <c r="R411" s="321"/>
      <c r="S411" s="321"/>
      <c r="T411" s="321"/>
      <c r="U411" s="321"/>
      <c r="V411" s="321"/>
      <c r="W411" s="321"/>
      <c r="X411" s="321"/>
      <c r="Y411" s="321"/>
      <c r="Z411" s="321"/>
      <c r="AA411" s="321"/>
      <c r="AB411" s="321"/>
      <c r="AC411" s="321"/>
      <c r="AD411" s="320"/>
      <c r="AE411" s="172"/>
      <c r="AF411" s="172"/>
      <c r="AG411" s="28"/>
      <c r="AH411" s="28"/>
      <c r="AI411" s="28"/>
      <c r="AJ411" s="60"/>
      <c r="AK411" s="293"/>
      <c r="AL411" s="294"/>
      <c r="AM411" s="294"/>
      <c r="AP411" s="295"/>
      <c r="AU411" s="295"/>
      <c r="AZ411" s="295"/>
      <c r="BE411" s="295"/>
      <c r="BJ411" s="295"/>
      <c r="BK411" s="293"/>
      <c r="BM411" s="296"/>
      <c r="BN411" s="296"/>
      <c r="BO411" s="296"/>
      <c r="BP411" s="296"/>
      <c r="BQ411" s="296"/>
      <c r="BR411" s="296"/>
      <c r="BS411" s="296"/>
      <c r="BT411" s="296"/>
      <c r="BU411" s="296"/>
    </row>
    <row r="412" spans="1:73" s="292" customFormat="1" x14ac:dyDescent="0.25">
      <c r="A412" s="167"/>
      <c r="B412" s="167"/>
      <c r="C412" s="167"/>
      <c r="D412" s="28"/>
      <c r="E412" s="167"/>
      <c r="F412" s="260"/>
      <c r="G412" s="28"/>
      <c r="H412" s="28"/>
      <c r="I412" s="28"/>
      <c r="J412" s="321"/>
      <c r="K412" s="321"/>
      <c r="L412" s="320"/>
      <c r="M412" s="320"/>
      <c r="N412" s="320"/>
      <c r="O412" s="321"/>
      <c r="P412" s="320"/>
      <c r="Q412" s="321"/>
      <c r="R412" s="321"/>
      <c r="S412" s="321"/>
      <c r="T412" s="321"/>
      <c r="U412" s="321"/>
      <c r="V412" s="321"/>
      <c r="W412" s="321"/>
      <c r="X412" s="321"/>
      <c r="Y412" s="321"/>
      <c r="Z412" s="321"/>
      <c r="AA412" s="321"/>
      <c r="AB412" s="321"/>
      <c r="AC412" s="321"/>
      <c r="AD412" s="320"/>
      <c r="AE412" s="172"/>
      <c r="AF412" s="172"/>
      <c r="AG412" s="28"/>
      <c r="AH412" s="28"/>
      <c r="AI412" s="28"/>
      <c r="AJ412" s="60"/>
      <c r="AK412" s="293"/>
      <c r="AL412" s="294"/>
      <c r="AM412" s="294"/>
      <c r="AP412" s="295"/>
      <c r="AU412" s="295"/>
      <c r="AZ412" s="295"/>
      <c r="BE412" s="295"/>
      <c r="BJ412" s="295"/>
      <c r="BK412" s="293"/>
      <c r="BM412" s="296"/>
      <c r="BN412" s="296"/>
      <c r="BO412" s="296"/>
      <c r="BP412" s="296"/>
      <c r="BQ412" s="296"/>
      <c r="BR412" s="296"/>
      <c r="BS412" s="296"/>
      <c r="BT412" s="296"/>
      <c r="BU412" s="296"/>
    </row>
    <row r="413" spans="1:73" s="292" customFormat="1" x14ac:dyDescent="0.25">
      <c r="A413" s="167"/>
      <c r="B413" s="167"/>
      <c r="C413" s="167"/>
      <c r="D413" s="28"/>
      <c r="E413" s="167"/>
      <c r="F413" s="260"/>
      <c r="G413" s="28"/>
      <c r="H413" s="28"/>
      <c r="I413" s="28"/>
      <c r="J413" s="321"/>
      <c r="K413" s="321"/>
      <c r="L413" s="320"/>
      <c r="M413" s="320"/>
      <c r="N413" s="320"/>
      <c r="O413" s="321"/>
      <c r="P413" s="320"/>
      <c r="Q413" s="321"/>
      <c r="R413" s="321"/>
      <c r="S413" s="321"/>
      <c r="T413" s="321"/>
      <c r="U413" s="321"/>
      <c r="V413" s="321"/>
      <c r="W413" s="321"/>
      <c r="X413" s="321"/>
      <c r="Y413" s="321"/>
      <c r="Z413" s="321"/>
      <c r="AA413" s="321"/>
      <c r="AB413" s="321"/>
      <c r="AC413" s="321"/>
      <c r="AD413" s="320"/>
      <c r="AE413" s="172"/>
      <c r="AF413" s="172"/>
      <c r="AG413" s="28"/>
      <c r="AH413" s="28"/>
      <c r="AI413" s="28"/>
      <c r="AJ413" s="60"/>
      <c r="AK413" s="293"/>
      <c r="AL413" s="294"/>
      <c r="AM413" s="294"/>
      <c r="AP413" s="295"/>
      <c r="AU413" s="295"/>
      <c r="AZ413" s="295"/>
      <c r="BE413" s="295"/>
      <c r="BJ413" s="295"/>
      <c r="BK413" s="293"/>
      <c r="BM413" s="296"/>
      <c r="BN413" s="296"/>
      <c r="BO413" s="296"/>
      <c r="BP413" s="296"/>
      <c r="BQ413" s="296"/>
      <c r="BR413" s="296"/>
      <c r="BS413" s="296"/>
      <c r="BT413" s="296"/>
      <c r="BU413" s="296"/>
    </row>
    <row r="414" spans="1:73" s="292" customFormat="1" x14ac:dyDescent="0.25">
      <c r="A414" s="167"/>
      <c r="B414" s="167"/>
      <c r="C414" s="167"/>
      <c r="D414" s="28"/>
      <c r="E414" s="167"/>
      <c r="F414" s="260"/>
      <c r="G414" s="28"/>
      <c r="H414" s="28"/>
      <c r="I414" s="28"/>
      <c r="J414" s="321"/>
      <c r="K414" s="321"/>
      <c r="L414" s="320"/>
      <c r="M414" s="320"/>
      <c r="N414" s="320"/>
      <c r="O414" s="321"/>
      <c r="P414" s="320"/>
      <c r="Q414" s="321"/>
      <c r="R414" s="321"/>
      <c r="S414" s="321"/>
      <c r="T414" s="321"/>
      <c r="U414" s="321"/>
      <c r="V414" s="321"/>
      <c r="W414" s="321"/>
      <c r="X414" s="321"/>
      <c r="Y414" s="321"/>
      <c r="Z414" s="321"/>
      <c r="AA414" s="321"/>
      <c r="AB414" s="321"/>
      <c r="AC414" s="321"/>
      <c r="AD414" s="320"/>
      <c r="AE414" s="172"/>
      <c r="AF414" s="172"/>
      <c r="AG414" s="28"/>
      <c r="AH414" s="28"/>
      <c r="AI414" s="28"/>
      <c r="AJ414" s="60"/>
      <c r="AK414" s="293"/>
      <c r="AL414" s="294"/>
      <c r="AM414" s="294"/>
      <c r="AP414" s="295"/>
      <c r="AU414" s="295"/>
      <c r="AZ414" s="295"/>
      <c r="BE414" s="295"/>
      <c r="BJ414" s="295"/>
      <c r="BK414" s="293"/>
      <c r="BM414" s="296"/>
      <c r="BN414" s="296"/>
      <c r="BO414" s="296"/>
      <c r="BP414" s="296"/>
      <c r="BQ414" s="296"/>
      <c r="BR414" s="296"/>
      <c r="BS414" s="296"/>
      <c r="BT414" s="296"/>
      <c r="BU414" s="296"/>
    </row>
    <row r="415" spans="1:73" s="292" customFormat="1" x14ac:dyDescent="0.25">
      <c r="A415" s="167"/>
      <c r="B415" s="167"/>
      <c r="C415" s="167"/>
      <c r="D415" s="28"/>
      <c r="E415" s="167"/>
      <c r="F415" s="260"/>
      <c r="G415" s="28"/>
      <c r="H415" s="28"/>
      <c r="I415" s="28"/>
      <c r="J415" s="321"/>
      <c r="K415" s="321"/>
      <c r="L415" s="320"/>
      <c r="M415" s="320"/>
      <c r="N415" s="320"/>
      <c r="O415" s="321"/>
      <c r="P415" s="320"/>
      <c r="Q415" s="321"/>
      <c r="R415" s="321"/>
      <c r="S415" s="321"/>
      <c r="T415" s="321"/>
      <c r="U415" s="321"/>
      <c r="V415" s="321"/>
      <c r="W415" s="321"/>
      <c r="X415" s="321"/>
      <c r="Y415" s="321"/>
      <c r="Z415" s="321"/>
      <c r="AA415" s="321"/>
      <c r="AB415" s="321"/>
      <c r="AC415" s="321"/>
      <c r="AD415" s="320"/>
      <c r="AE415" s="172"/>
      <c r="AF415" s="172"/>
      <c r="AG415" s="28"/>
      <c r="AH415" s="28"/>
      <c r="AI415" s="28"/>
      <c r="AJ415" s="60"/>
      <c r="AK415" s="293"/>
      <c r="AL415" s="294"/>
      <c r="AM415" s="294"/>
      <c r="AP415" s="295"/>
      <c r="AU415" s="295"/>
      <c r="AZ415" s="295"/>
      <c r="BE415" s="295"/>
      <c r="BJ415" s="295"/>
      <c r="BK415" s="293"/>
      <c r="BM415" s="296"/>
      <c r="BN415" s="296"/>
      <c r="BO415" s="296"/>
      <c r="BP415" s="296"/>
      <c r="BQ415" s="296"/>
      <c r="BR415" s="296"/>
      <c r="BS415" s="296"/>
      <c r="BT415" s="296"/>
      <c r="BU415" s="296"/>
    </row>
    <row r="416" spans="1:73" s="292" customFormat="1" x14ac:dyDescent="0.25">
      <c r="A416" s="167"/>
      <c r="B416" s="167"/>
      <c r="C416" s="167"/>
      <c r="D416" s="28"/>
      <c r="E416" s="167"/>
      <c r="F416" s="260"/>
      <c r="G416" s="28"/>
      <c r="H416" s="28"/>
      <c r="I416" s="28"/>
      <c r="J416" s="321"/>
      <c r="K416" s="321"/>
      <c r="L416" s="320"/>
      <c r="M416" s="320"/>
      <c r="N416" s="320"/>
      <c r="O416" s="321"/>
      <c r="P416" s="320"/>
      <c r="Q416" s="321"/>
      <c r="R416" s="321"/>
      <c r="S416" s="321"/>
      <c r="T416" s="321"/>
      <c r="U416" s="321"/>
      <c r="V416" s="321"/>
      <c r="W416" s="321"/>
      <c r="X416" s="321"/>
      <c r="Y416" s="321"/>
      <c r="Z416" s="321"/>
      <c r="AA416" s="321"/>
      <c r="AB416" s="321"/>
      <c r="AC416" s="321"/>
      <c r="AD416" s="320"/>
      <c r="AE416" s="172"/>
      <c r="AF416" s="172"/>
      <c r="AG416" s="28"/>
      <c r="AH416" s="28"/>
      <c r="AI416" s="28"/>
      <c r="AJ416" s="60"/>
      <c r="AK416" s="293"/>
      <c r="AL416" s="294"/>
      <c r="AM416" s="294"/>
      <c r="AP416" s="295"/>
      <c r="AU416" s="295"/>
      <c r="AZ416" s="295"/>
      <c r="BE416" s="295"/>
      <c r="BJ416" s="295"/>
      <c r="BK416" s="293"/>
      <c r="BM416" s="296"/>
      <c r="BN416" s="296"/>
      <c r="BO416" s="296"/>
      <c r="BP416" s="296"/>
      <c r="BQ416" s="296"/>
      <c r="BR416" s="296"/>
      <c r="BS416" s="296"/>
      <c r="BT416" s="296"/>
      <c r="BU416" s="296"/>
    </row>
    <row r="417" spans="1:73" s="292" customFormat="1" x14ac:dyDescent="0.25">
      <c r="A417" s="167"/>
      <c r="B417" s="167"/>
      <c r="C417" s="167"/>
      <c r="D417" s="28"/>
      <c r="E417" s="167"/>
      <c r="F417" s="260"/>
      <c r="G417" s="28"/>
      <c r="H417" s="28"/>
      <c r="I417" s="28"/>
      <c r="J417" s="321"/>
      <c r="K417" s="321"/>
      <c r="L417" s="320"/>
      <c r="M417" s="320"/>
      <c r="N417" s="320"/>
      <c r="O417" s="321"/>
      <c r="P417" s="320"/>
      <c r="Q417" s="321"/>
      <c r="R417" s="321"/>
      <c r="S417" s="321"/>
      <c r="T417" s="321"/>
      <c r="U417" s="321"/>
      <c r="V417" s="321"/>
      <c r="W417" s="321"/>
      <c r="X417" s="321"/>
      <c r="Y417" s="321"/>
      <c r="Z417" s="321"/>
      <c r="AA417" s="321"/>
      <c r="AB417" s="321"/>
      <c r="AC417" s="321"/>
      <c r="AD417" s="320"/>
      <c r="AE417" s="172"/>
      <c r="AF417" s="172"/>
      <c r="AG417" s="28"/>
      <c r="AH417" s="28"/>
      <c r="AI417" s="28"/>
      <c r="AJ417" s="60"/>
      <c r="AK417" s="293"/>
      <c r="AL417" s="294"/>
      <c r="AM417" s="294"/>
      <c r="AP417" s="295"/>
      <c r="AU417" s="295"/>
      <c r="AZ417" s="295"/>
      <c r="BE417" s="295"/>
      <c r="BJ417" s="295"/>
      <c r="BK417" s="293"/>
      <c r="BM417" s="296"/>
      <c r="BN417" s="296"/>
      <c r="BO417" s="296"/>
      <c r="BP417" s="296"/>
      <c r="BQ417" s="296"/>
      <c r="BR417" s="296"/>
      <c r="BS417" s="296"/>
      <c r="BT417" s="296"/>
      <c r="BU417" s="296"/>
    </row>
    <row r="418" spans="1:73" s="292" customFormat="1" x14ac:dyDescent="0.25">
      <c r="A418" s="167"/>
      <c r="B418" s="167"/>
      <c r="C418" s="167"/>
      <c r="D418" s="28"/>
      <c r="E418" s="167"/>
      <c r="F418" s="260"/>
      <c r="G418" s="28"/>
      <c r="H418" s="28"/>
      <c r="I418" s="28"/>
      <c r="J418" s="321"/>
      <c r="K418" s="321"/>
      <c r="L418" s="320"/>
      <c r="M418" s="320"/>
      <c r="N418" s="320"/>
      <c r="O418" s="321"/>
      <c r="P418" s="320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  <c r="AA418" s="321"/>
      <c r="AB418" s="321"/>
      <c r="AC418" s="321"/>
      <c r="AD418" s="320"/>
      <c r="AE418" s="172"/>
      <c r="AF418" s="172"/>
      <c r="AG418" s="28"/>
      <c r="AH418" s="28"/>
      <c r="AI418" s="28"/>
      <c r="AJ418" s="60"/>
      <c r="AK418" s="293"/>
      <c r="AL418" s="294"/>
      <c r="AM418" s="294"/>
      <c r="AP418" s="295"/>
      <c r="AU418" s="295"/>
      <c r="AZ418" s="295"/>
      <c r="BE418" s="295"/>
      <c r="BJ418" s="295"/>
      <c r="BK418" s="293"/>
      <c r="BM418" s="296"/>
      <c r="BN418" s="296"/>
      <c r="BO418" s="296"/>
      <c r="BP418" s="296"/>
      <c r="BQ418" s="296"/>
      <c r="BR418" s="296"/>
      <c r="BS418" s="296"/>
      <c r="BT418" s="296"/>
      <c r="BU418" s="296"/>
    </row>
    <row r="419" spans="1:73" s="292" customFormat="1" x14ac:dyDescent="0.25">
      <c r="A419" s="167"/>
      <c r="B419" s="167"/>
      <c r="C419" s="167"/>
      <c r="D419" s="28"/>
      <c r="E419" s="167"/>
      <c r="F419" s="260"/>
      <c r="G419" s="28"/>
      <c r="H419" s="28"/>
      <c r="I419" s="28"/>
      <c r="J419" s="321"/>
      <c r="K419" s="321"/>
      <c r="L419" s="320"/>
      <c r="M419" s="320"/>
      <c r="N419" s="320"/>
      <c r="O419" s="321"/>
      <c r="P419" s="320"/>
      <c r="Q419" s="321"/>
      <c r="R419" s="321"/>
      <c r="S419" s="321"/>
      <c r="T419" s="321"/>
      <c r="U419" s="321"/>
      <c r="V419" s="321"/>
      <c r="W419" s="321"/>
      <c r="X419" s="321"/>
      <c r="Y419" s="321"/>
      <c r="Z419" s="321"/>
      <c r="AA419" s="321"/>
      <c r="AB419" s="321"/>
      <c r="AC419" s="321"/>
      <c r="AD419" s="320"/>
      <c r="AE419" s="172"/>
      <c r="AF419" s="172"/>
      <c r="AG419" s="28"/>
      <c r="AH419" s="28"/>
      <c r="AI419" s="28"/>
      <c r="AJ419" s="60"/>
      <c r="AK419" s="293"/>
      <c r="AL419" s="294"/>
      <c r="AM419" s="294"/>
      <c r="AP419" s="295"/>
      <c r="AU419" s="295"/>
      <c r="AZ419" s="295"/>
      <c r="BE419" s="295"/>
      <c r="BJ419" s="295"/>
      <c r="BK419" s="293"/>
      <c r="BM419" s="296"/>
      <c r="BN419" s="296"/>
      <c r="BO419" s="296"/>
      <c r="BP419" s="296"/>
      <c r="BQ419" s="296"/>
      <c r="BR419" s="296"/>
      <c r="BS419" s="296"/>
      <c r="BT419" s="296"/>
      <c r="BU419" s="296"/>
    </row>
    <row r="420" spans="1:73" s="292" customFormat="1" x14ac:dyDescent="0.25">
      <c r="A420" s="167"/>
      <c r="B420" s="167"/>
      <c r="C420" s="167"/>
      <c r="D420" s="28"/>
      <c r="E420" s="382"/>
      <c r="F420" s="260"/>
      <c r="G420" s="28"/>
      <c r="H420" s="28"/>
      <c r="I420" s="28"/>
      <c r="J420" s="321"/>
      <c r="K420" s="321"/>
      <c r="L420" s="320"/>
      <c r="M420" s="320"/>
      <c r="N420" s="320"/>
      <c r="O420" s="321"/>
      <c r="P420" s="320"/>
      <c r="Q420" s="321"/>
      <c r="R420" s="321"/>
      <c r="S420" s="321"/>
      <c r="T420" s="321"/>
      <c r="U420" s="321"/>
      <c r="V420" s="321"/>
      <c r="W420" s="321"/>
      <c r="X420" s="321"/>
      <c r="Y420" s="321"/>
      <c r="Z420" s="321"/>
      <c r="AA420" s="321"/>
      <c r="AB420" s="321"/>
      <c r="AC420" s="321"/>
      <c r="AD420" s="320"/>
      <c r="AE420" s="172"/>
      <c r="AF420" s="172"/>
      <c r="AG420" s="28"/>
      <c r="AH420" s="28"/>
      <c r="AI420" s="28"/>
      <c r="AJ420" s="60"/>
      <c r="AK420" s="293"/>
      <c r="AL420" s="294"/>
      <c r="AM420" s="294"/>
      <c r="AP420" s="295"/>
      <c r="AU420" s="295"/>
      <c r="AZ420" s="295"/>
      <c r="BE420" s="295"/>
      <c r="BJ420" s="295"/>
      <c r="BK420" s="293"/>
      <c r="BM420" s="296"/>
      <c r="BN420" s="296"/>
      <c r="BO420" s="296"/>
      <c r="BP420" s="296"/>
      <c r="BQ420" s="296"/>
      <c r="BR420" s="296"/>
      <c r="BS420" s="296"/>
      <c r="BT420" s="296"/>
      <c r="BU420" s="296"/>
    </row>
    <row r="421" spans="1:73" s="292" customFormat="1" x14ac:dyDescent="0.25">
      <c r="A421" s="167"/>
      <c r="B421" s="167"/>
      <c r="C421" s="167"/>
      <c r="D421" s="28"/>
      <c r="E421" s="382"/>
      <c r="F421" s="260"/>
      <c r="G421" s="28"/>
      <c r="H421" s="28"/>
      <c r="I421" s="28"/>
      <c r="J421" s="321"/>
      <c r="K421" s="321"/>
      <c r="L421" s="320"/>
      <c r="M421" s="320"/>
      <c r="N421" s="320"/>
      <c r="O421" s="321"/>
      <c r="P421" s="320"/>
      <c r="Q421" s="321"/>
      <c r="R421" s="321"/>
      <c r="S421" s="321"/>
      <c r="T421" s="321"/>
      <c r="U421" s="321"/>
      <c r="V421" s="321"/>
      <c r="W421" s="321"/>
      <c r="X421" s="321"/>
      <c r="Y421" s="321"/>
      <c r="Z421" s="321"/>
      <c r="AA421" s="321"/>
      <c r="AB421" s="321"/>
      <c r="AC421" s="321"/>
      <c r="AD421" s="320"/>
      <c r="AE421" s="172"/>
      <c r="AF421" s="172"/>
      <c r="AG421" s="28"/>
      <c r="AH421" s="28"/>
      <c r="AI421" s="28"/>
      <c r="AJ421" s="60"/>
      <c r="AK421" s="293"/>
      <c r="AL421" s="294"/>
      <c r="AM421" s="294"/>
      <c r="AP421" s="295"/>
      <c r="AU421" s="295"/>
      <c r="AZ421" s="295"/>
      <c r="BE421" s="295"/>
      <c r="BJ421" s="295"/>
      <c r="BK421" s="293"/>
      <c r="BM421" s="296"/>
      <c r="BN421" s="296"/>
      <c r="BO421" s="296"/>
      <c r="BP421" s="296"/>
      <c r="BQ421" s="296"/>
      <c r="BR421" s="296"/>
      <c r="BS421" s="296"/>
      <c r="BT421" s="296"/>
      <c r="BU421" s="296"/>
    </row>
    <row r="422" spans="1:73" s="292" customFormat="1" x14ac:dyDescent="0.25">
      <c r="A422" s="167"/>
      <c r="B422" s="167"/>
      <c r="C422" s="167"/>
      <c r="D422" s="28"/>
      <c r="E422" s="28"/>
      <c r="F422" s="260"/>
      <c r="G422" s="28"/>
      <c r="H422" s="28"/>
      <c r="I422" s="28"/>
      <c r="J422" s="321"/>
      <c r="K422" s="321"/>
      <c r="L422" s="320"/>
      <c r="M422" s="320"/>
      <c r="N422" s="320"/>
      <c r="O422" s="321"/>
      <c r="P422" s="320"/>
      <c r="Q422" s="321"/>
      <c r="R422" s="321"/>
      <c r="S422" s="321"/>
      <c r="T422" s="321"/>
      <c r="U422" s="321"/>
      <c r="V422" s="321"/>
      <c r="W422" s="321"/>
      <c r="X422" s="321"/>
      <c r="Y422" s="321"/>
      <c r="Z422" s="321"/>
      <c r="AA422" s="321"/>
      <c r="AB422" s="321"/>
      <c r="AC422" s="321"/>
      <c r="AD422" s="320"/>
      <c r="AE422" s="172"/>
      <c r="AF422" s="172"/>
      <c r="AG422" s="28"/>
      <c r="AH422" s="28"/>
      <c r="AI422" s="28"/>
      <c r="AJ422" s="60"/>
      <c r="AK422" s="293"/>
      <c r="AL422" s="294"/>
      <c r="AM422" s="294"/>
      <c r="AP422" s="295"/>
      <c r="AU422" s="295"/>
      <c r="AZ422" s="295"/>
      <c r="BE422" s="295"/>
      <c r="BJ422" s="295"/>
      <c r="BK422" s="293"/>
      <c r="BM422" s="296"/>
      <c r="BN422" s="296"/>
      <c r="BO422" s="296"/>
      <c r="BP422" s="296"/>
      <c r="BQ422" s="296"/>
      <c r="BR422" s="296"/>
      <c r="BS422" s="296"/>
      <c r="BT422" s="296"/>
      <c r="BU422" s="296"/>
    </row>
    <row r="423" spans="1:73" s="292" customFormat="1" x14ac:dyDescent="0.25">
      <c r="A423" s="167"/>
      <c r="B423" s="167"/>
      <c r="C423" s="167"/>
      <c r="D423" s="28"/>
      <c r="E423" s="383"/>
      <c r="F423" s="260"/>
      <c r="G423" s="28"/>
      <c r="H423" s="28"/>
      <c r="I423" s="28"/>
      <c r="J423" s="321"/>
      <c r="K423" s="321"/>
      <c r="L423" s="320"/>
      <c r="M423" s="320"/>
      <c r="N423" s="320"/>
      <c r="O423" s="321"/>
      <c r="P423" s="320"/>
      <c r="Q423" s="321"/>
      <c r="R423" s="321"/>
      <c r="S423" s="321"/>
      <c r="T423" s="321"/>
      <c r="U423" s="321"/>
      <c r="V423" s="321"/>
      <c r="W423" s="321"/>
      <c r="X423" s="321"/>
      <c r="Y423" s="321"/>
      <c r="Z423" s="321"/>
      <c r="AA423" s="321"/>
      <c r="AB423" s="321"/>
      <c r="AC423" s="321"/>
      <c r="AD423" s="320"/>
      <c r="AE423" s="172"/>
      <c r="AF423" s="172"/>
      <c r="AG423" s="28"/>
      <c r="AH423" s="28"/>
      <c r="AI423" s="28"/>
      <c r="AJ423" s="60"/>
      <c r="AK423" s="293"/>
      <c r="AL423" s="294"/>
      <c r="AM423" s="294"/>
      <c r="AP423" s="295"/>
      <c r="AU423" s="295"/>
      <c r="AZ423" s="295"/>
      <c r="BE423" s="295"/>
      <c r="BJ423" s="295"/>
      <c r="BK423" s="293"/>
      <c r="BM423" s="296"/>
      <c r="BN423" s="296"/>
      <c r="BO423" s="296"/>
      <c r="BP423" s="296"/>
      <c r="BQ423" s="296"/>
      <c r="BR423" s="296"/>
      <c r="BS423" s="296"/>
      <c r="BT423" s="296"/>
      <c r="BU423" s="296"/>
    </row>
    <row r="424" spans="1:73" s="292" customFormat="1" x14ac:dyDescent="0.25">
      <c r="A424" s="167"/>
      <c r="B424" s="167"/>
      <c r="C424" s="167"/>
      <c r="D424" s="28"/>
      <c r="E424" s="383"/>
      <c r="F424" s="260"/>
      <c r="G424" s="28"/>
      <c r="H424" s="28"/>
      <c r="I424" s="28"/>
      <c r="J424" s="321"/>
      <c r="K424" s="321"/>
      <c r="L424" s="320"/>
      <c r="M424" s="320"/>
      <c r="N424" s="320"/>
      <c r="O424" s="321"/>
      <c r="P424" s="320"/>
      <c r="Q424" s="321"/>
      <c r="R424" s="321"/>
      <c r="S424" s="321"/>
      <c r="T424" s="321"/>
      <c r="U424" s="321"/>
      <c r="V424" s="321"/>
      <c r="W424" s="321"/>
      <c r="X424" s="321"/>
      <c r="Y424" s="321"/>
      <c r="Z424" s="321"/>
      <c r="AA424" s="321"/>
      <c r="AB424" s="321"/>
      <c r="AC424" s="321"/>
      <c r="AD424" s="320"/>
      <c r="AE424" s="172"/>
      <c r="AF424" s="172"/>
      <c r="AG424" s="28"/>
      <c r="AH424" s="28"/>
      <c r="AI424" s="28"/>
      <c r="AJ424" s="60"/>
      <c r="AK424" s="293"/>
      <c r="AL424" s="294"/>
      <c r="AM424" s="294"/>
      <c r="AP424" s="295"/>
      <c r="AU424" s="295"/>
      <c r="AZ424" s="295"/>
      <c r="BE424" s="295"/>
      <c r="BJ424" s="295"/>
      <c r="BK424" s="293"/>
      <c r="BM424" s="296"/>
      <c r="BN424" s="296"/>
      <c r="BO424" s="296"/>
      <c r="BP424" s="296"/>
      <c r="BQ424" s="296"/>
      <c r="BR424" s="296"/>
      <c r="BS424" s="296"/>
      <c r="BT424" s="296"/>
      <c r="BU424" s="296"/>
    </row>
    <row r="425" spans="1:73" s="292" customFormat="1" x14ac:dyDescent="0.25">
      <c r="A425" s="167"/>
      <c r="B425" s="167"/>
      <c r="C425" s="167"/>
      <c r="D425" s="28"/>
      <c r="E425" s="383"/>
      <c r="F425" s="260"/>
      <c r="G425" s="28"/>
      <c r="H425" s="28"/>
      <c r="I425" s="28"/>
      <c r="J425" s="321"/>
      <c r="K425" s="321"/>
      <c r="L425" s="320"/>
      <c r="M425" s="320"/>
      <c r="N425" s="320"/>
      <c r="O425" s="321"/>
      <c r="P425" s="320"/>
      <c r="Q425" s="321"/>
      <c r="R425" s="321"/>
      <c r="S425" s="321"/>
      <c r="T425" s="321"/>
      <c r="U425" s="321"/>
      <c r="V425" s="321"/>
      <c r="W425" s="321"/>
      <c r="X425" s="321"/>
      <c r="Y425" s="321"/>
      <c r="Z425" s="321"/>
      <c r="AA425" s="321"/>
      <c r="AB425" s="321"/>
      <c r="AC425" s="321"/>
      <c r="AD425" s="320"/>
      <c r="AE425" s="172"/>
      <c r="AF425" s="172"/>
      <c r="AG425" s="28"/>
      <c r="AH425" s="28"/>
      <c r="AI425" s="28"/>
      <c r="AJ425" s="60"/>
      <c r="AK425" s="293"/>
      <c r="AL425" s="294"/>
      <c r="AM425" s="294"/>
      <c r="AP425" s="295"/>
      <c r="AU425" s="295"/>
      <c r="AZ425" s="295"/>
      <c r="BE425" s="295"/>
      <c r="BJ425" s="295"/>
      <c r="BK425" s="293"/>
      <c r="BM425" s="296"/>
      <c r="BN425" s="296"/>
      <c r="BO425" s="296"/>
      <c r="BP425" s="296"/>
      <c r="BQ425" s="296"/>
      <c r="BR425" s="296"/>
      <c r="BS425" s="296"/>
      <c r="BT425" s="296"/>
      <c r="BU425" s="296"/>
    </row>
    <row r="426" spans="1:73" s="292" customFormat="1" x14ac:dyDescent="0.25">
      <c r="A426" s="167"/>
      <c r="B426" s="167"/>
      <c r="C426" s="167"/>
      <c r="D426" s="28"/>
      <c r="E426" s="383"/>
      <c r="F426" s="260"/>
      <c r="G426" s="28"/>
      <c r="H426" s="28"/>
      <c r="I426" s="28"/>
      <c r="J426" s="321"/>
      <c r="K426" s="321"/>
      <c r="L426" s="320"/>
      <c r="M426" s="320"/>
      <c r="N426" s="320"/>
      <c r="O426" s="321"/>
      <c r="P426" s="320"/>
      <c r="Q426" s="321"/>
      <c r="R426" s="321"/>
      <c r="S426" s="321"/>
      <c r="T426" s="321"/>
      <c r="U426" s="321"/>
      <c r="V426" s="321"/>
      <c r="W426" s="321"/>
      <c r="X426" s="321"/>
      <c r="Y426" s="321"/>
      <c r="Z426" s="321"/>
      <c r="AA426" s="321"/>
      <c r="AB426" s="321"/>
      <c r="AC426" s="321"/>
      <c r="AD426" s="320"/>
      <c r="AE426" s="172"/>
      <c r="AF426" s="172"/>
      <c r="AG426" s="28"/>
      <c r="AH426" s="28"/>
      <c r="AI426" s="28"/>
      <c r="AJ426" s="60"/>
      <c r="AK426" s="293"/>
      <c r="AL426" s="294"/>
      <c r="AM426" s="294"/>
      <c r="AP426" s="295"/>
      <c r="AU426" s="295"/>
      <c r="AZ426" s="295"/>
      <c r="BE426" s="295"/>
      <c r="BJ426" s="295"/>
      <c r="BK426" s="293"/>
      <c r="BM426" s="296"/>
      <c r="BN426" s="296"/>
      <c r="BO426" s="296"/>
      <c r="BP426" s="296"/>
      <c r="BQ426" s="296"/>
      <c r="BR426" s="296"/>
      <c r="BS426" s="296"/>
      <c r="BT426" s="296"/>
      <c r="BU426" s="296"/>
    </row>
    <row r="427" spans="1:73" s="292" customFormat="1" x14ac:dyDescent="0.25">
      <c r="A427" s="167"/>
      <c r="B427" s="167"/>
      <c r="C427" s="167"/>
      <c r="D427" s="28"/>
      <c r="E427" s="383"/>
      <c r="F427" s="260"/>
      <c r="G427" s="28"/>
      <c r="H427" s="28"/>
      <c r="I427" s="28"/>
      <c r="J427" s="321"/>
      <c r="K427" s="321"/>
      <c r="L427" s="320"/>
      <c r="M427" s="320"/>
      <c r="N427" s="320"/>
      <c r="O427" s="321"/>
      <c r="P427" s="320"/>
      <c r="Q427" s="321"/>
      <c r="R427" s="321"/>
      <c r="S427" s="321"/>
      <c r="T427" s="321"/>
      <c r="U427" s="321"/>
      <c r="V427" s="321"/>
      <c r="W427" s="321"/>
      <c r="X427" s="321"/>
      <c r="Y427" s="321"/>
      <c r="Z427" s="321"/>
      <c r="AA427" s="321"/>
      <c r="AB427" s="321"/>
      <c r="AC427" s="321"/>
      <c r="AD427" s="320"/>
      <c r="AE427" s="172"/>
      <c r="AF427" s="172"/>
      <c r="AG427" s="28"/>
      <c r="AH427" s="28"/>
      <c r="AI427" s="28"/>
      <c r="AJ427" s="60"/>
      <c r="AK427" s="293"/>
      <c r="AL427" s="294"/>
      <c r="AM427" s="294"/>
      <c r="AP427" s="295"/>
      <c r="AU427" s="295"/>
      <c r="AZ427" s="295"/>
      <c r="BE427" s="295"/>
      <c r="BJ427" s="295"/>
      <c r="BK427" s="293"/>
      <c r="BM427" s="296"/>
      <c r="BN427" s="296"/>
      <c r="BO427" s="296"/>
      <c r="BP427" s="296"/>
      <c r="BQ427" s="296"/>
      <c r="BR427" s="296"/>
      <c r="BS427" s="296"/>
      <c r="BT427" s="296"/>
      <c r="BU427" s="296"/>
    </row>
    <row r="428" spans="1:73" s="292" customFormat="1" x14ac:dyDescent="0.25">
      <c r="A428" s="167"/>
      <c r="B428" s="167"/>
      <c r="C428" s="167"/>
      <c r="D428" s="28"/>
      <c r="E428" s="383"/>
      <c r="F428" s="260"/>
      <c r="G428" s="28"/>
      <c r="H428" s="28"/>
      <c r="I428" s="28"/>
      <c r="J428" s="321"/>
      <c r="K428" s="321"/>
      <c r="L428" s="320"/>
      <c r="M428" s="320"/>
      <c r="N428" s="320"/>
      <c r="O428" s="321"/>
      <c r="P428" s="320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  <c r="AA428" s="321"/>
      <c r="AB428" s="321"/>
      <c r="AC428" s="321"/>
      <c r="AD428" s="320"/>
      <c r="AE428" s="172"/>
      <c r="AF428" s="172"/>
      <c r="AG428" s="28"/>
      <c r="AH428" s="28"/>
      <c r="AI428" s="28"/>
      <c r="AJ428" s="60"/>
      <c r="AK428" s="293"/>
      <c r="AL428" s="294"/>
      <c r="AM428" s="294"/>
      <c r="AP428" s="295"/>
      <c r="AU428" s="295"/>
      <c r="AZ428" s="295"/>
      <c r="BE428" s="295"/>
      <c r="BJ428" s="295"/>
      <c r="BK428" s="293"/>
      <c r="BM428" s="296"/>
      <c r="BN428" s="296"/>
      <c r="BO428" s="296"/>
      <c r="BP428" s="296"/>
      <c r="BQ428" s="296"/>
      <c r="BR428" s="296"/>
      <c r="BS428" s="296"/>
      <c r="BT428" s="296"/>
      <c r="BU428" s="296"/>
    </row>
    <row r="429" spans="1:73" s="292" customFormat="1" x14ac:dyDescent="0.25">
      <c r="A429" s="167"/>
      <c r="B429" s="167"/>
      <c r="C429" s="167"/>
      <c r="D429" s="28"/>
      <c r="E429" s="383"/>
      <c r="F429" s="260"/>
      <c r="G429" s="28"/>
      <c r="H429" s="28"/>
      <c r="I429" s="28"/>
      <c r="J429" s="321"/>
      <c r="K429" s="321"/>
      <c r="L429" s="320"/>
      <c r="M429" s="320"/>
      <c r="N429" s="320"/>
      <c r="O429" s="321"/>
      <c r="P429" s="320"/>
      <c r="Q429" s="321"/>
      <c r="R429" s="321"/>
      <c r="S429" s="321"/>
      <c r="T429" s="321"/>
      <c r="U429" s="321"/>
      <c r="V429" s="321"/>
      <c r="W429" s="321"/>
      <c r="X429" s="321"/>
      <c r="Y429" s="321"/>
      <c r="Z429" s="321"/>
      <c r="AA429" s="321"/>
      <c r="AB429" s="321"/>
      <c r="AC429" s="321"/>
      <c r="AD429" s="320"/>
      <c r="AE429" s="172"/>
      <c r="AF429" s="172"/>
      <c r="AG429" s="28"/>
      <c r="AH429" s="28"/>
      <c r="AI429" s="28"/>
      <c r="AJ429" s="60"/>
      <c r="AK429" s="293"/>
      <c r="AL429" s="294"/>
      <c r="AM429" s="294"/>
      <c r="AP429" s="295"/>
      <c r="AU429" s="295"/>
      <c r="AZ429" s="295"/>
      <c r="BE429" s="295"/>
      <c r="BJ429" s="295"/>
      <c r="BK429" s="293"/>
      <c r="BM429" s="296"/>
      <c r="BN429" s="296"/>
      <c r="BO429" s="296"/>
      <c r="BP429" s="296"/>
      <c r="BQ429" s="296"/>
      <c r="BR429" s="296"/>
      <c r="BS429" s="296"/>
      <c r="BT429" s="296"/>
      <c r="BU429" s="296"/>
    </row>
    <row r="430" spans="1:73" s="292" customFormat="1" x14ac:dyDescent="0.25">
      <c r="A430" s="167"/>
      <c r="B430" s="167"/>
      <c r="C430" s="167"/>
      <c r="D430" s="28"/>
      <c r="E430" s="383"/>
      <c r="F430" s="260"/>
      <c r="G430" s="28"/>
      <c r="H430" s="28"/>
      <c r="I430" s="28"/>
      <c r="J430" s="321"/>
      <c r="K430" s="321"/>
      <c r="L430" s="320"/>
      <c r="M430" s="320"/>
      <c r="N430" s="320"/>
      <c r="O430" s="321"/>
      <c r="P430" s="320"/>
      <c r="Q430" s="321"/>
      <c r="R430" s="321"/>
      <c r="S430" s="321"/>
      <c r="T430" s="321"/>
      <c r="U430" s="321"/>
      <c r="V430" s="321"/>
      <c r="W430" s="321"/>
      <c r="X430" s="321"/>
      <c r="Y430" s="321"/>
      <c r="Z430" s="321"/>
      <c r="AA430" s="321"/>
      <c r="AB430" s="321"/>
      <c r="AC430" s="321"/>
      <c r="AD430" s="320"/>
      <c r="AE430" s="172"/>
      <c r="AF430" s="172"/>
      <c r="AG430" s="28"/>
      <c r="AH430" s="28"/>
      <c r="AI430" s="28"/>
      <c r="AJ430" s="60"/>
      <c r="AK430" s="293"/>
      <c r="AL430" s="294"/>
      <c r="AM430" s="294"/>
      <c r="AP430" s="295"/>
      <c r="AU430" s="295"/>
      <c r="AZ430" s="295"/>
      <c r="BE430" s="295"/>
      <c r="BJ430" s="295"/>
      <c r="BK430" s="293"/>
      <c r="BM430" s="296"/>
      <c r="BN430" s="296"/>
      <c r="BO430" s="296"/>
      <c r="BP430" s="296"/>
      <c r="BQ430" s="296"/>
      <c r="BR430" s="296"/>
      <c r="BS430" s="296"/>
      <c r="BT430" s="296"/>
      <c r="BU430" s="296"/>
    </row>
    <row r="431" spans="1:73" s="292" customFormat="1" x14ac:dyDescent="0.25">
      <c r="A431" s="167"/>
      <c r="B431" s="167"/>
      <c r="C431" s="167"/>
      <c r="D431" s="28"/>
      <c r="E431" s="28"/>
      <c r="F431" s="260"/>
      <c r="G431" s="28"/>
      <c r="H431" s="28"/>
      <c r="I431" s="28"/>
      <c r="J431" s="321"/>
      <c r="K431" s="321"/>
      <c r="L431" s="320"/>
      <c r="M431" s="320"/>
      <c r="N431" s="320"/>
      <c r="O431" s="321"/>
      <c r="P431" s="320"/>
      <c r="Q431" s="321"/>
      <c r="R431" s="321"/>
      <c r="S431" s="321"/>
      <c r="T431" s="321"/>
      <c r="U431" s="321"/>
      <c r="V431" s="321"/>
      <c r="W431" s="321"/>
      <c r="X431" s="321"/>
      <c r="Y431" s="321"/>
      <c r="Z431" s="321"/>
      <c r="AA431" s="321"/>
      <c r="AB431" s="321"/>
      <c r="AC431" s="321"/>
      <c r="AD431" s="320"/>
      <c r="AE431" s="172"/>
      <c r="AF431" s="172"/>
      <c r="AG431" s="28"/>
      <c r="AH431" s="28"/>
      <c r="AI431" s="28"/>
      <c r="AJ431" s="60"/>
      <c r="AK431" s="293"/>
      <c r="AL431" s="294"/>
      <c r="AM431" s="294"/>
      <c r="AP431" s="295"/>
      <c r="AU431" s="295"/>
      <c r="AZ431" s="295"/>
      <c r="BE431" s="295"/>
      <c r="BJ431" s="295"/>
      <c r="BK431" s="293"/>
      <c r="BM431" s="296"/>
      <c r="BN431" s="296"/>
      <c r="BO431" s="296"/>
      <c r="BP431" s="296"/>
      <c r="BQ431" s="296"/>
      <c r="BR431" s="296"/>
      <c r="BS431" s="296"/>
      <c r="BT431" s="296"/>
      <c r="BU431" s="296"/>
    </row>
    <row r="432" spans="1:73" s="292" customFormat="1" x14ac:dyDescent="0.25">
      <c r="A432" s="167"/>
      <c r="B432" s="167"/>
      <c r="C432" s="167"/>
      <c r="D432" s="28"/>
      <c r="E432" s="28"/>
      <c r="F432" s="260"/>
      <c r="G432" s="28"/>
      <c r="H432" s="28"/>
      <c r="I432" s="28"/>
      <c r="J432" s="321"/>
      <c r="K432" s="321"/>
      <c r="L432" s="320"/>
      <c r="M432" s="320"/>
      <c r="N432" s="320"/>
      <c r="O432" s="321"/>
      <c r="P432" s="320"/>
      <c r="Q432" s="321"/>
      <c r="R432" s="321"/>
      <c r="S432" s="321"/>
      <c r="T432" s="321"/>
      <c r="U432" s="321"/>
      <c r="V432" s="321"/>
      <c r="W432" s="321"/>
      <c r="X432" s="321"/>
      <c r="Y432" s="321"/>
      <c r="Z432" s="321"/>
      <c r="AA432" s="321"/>
      <c r="AB432" s="321"/>
      <c r="AC432" s="321"/>
      <c r="AD432" s="320"/>
      <c r="AE432" s="172"/>
      <c r="AF432" s="172"/>
      <c r="AG432" s="28"/>
      <c r="AH432" s="28"/>
      <c r="AI432" s="28"/>
      <c r="AJ432" s="60"/>
      <c r="AK432" s="293"/>
      <c r="AL432" s="294"/>
      <c r="AM432" s="294"/>
      <c r="AP432" s="295"/>
      <c r="AU432" s="295"/>
      <c r="AZ432" s="295"/>
      <c r="BE432" s="295"/>
      <c r="BJ432" s="295"/>
      <c r="BK432" s="293"/>
      <c r="BM432" s="296"/>
      <c r="BN432" s="296"/>
      <c r="BO432" s="296"/>
      <c r="BP432" s="296"/>
      <c r="BQ432" s="296"/>
      <c r="BR432" s="296"/>
      <c r="BS432" s="296"/>
      <c r="BT432" s="296"/>
      <c r="BU432" s="296"/>
    </row>
    <row r="433" spans="1:73" s="292" customFormat="1" x14ac:dyDescent="0.25">
      <c r="A433" s="167"/>
      <c r="B433" s="167"/>
      <c r="C433" s="167"/>
      <c r="D433" s="28"/>
      <c r="E433" s="28"/>
      <c r="F433" s="260"/>
      <c r="G433" s="28"/>
      <c r="H433" s="28"/>
      <c r="I433" s="28"/>
      <c r="J433" s="321"/>
      <c r="K433" s="321"/>
      <c r="L433" s="320"/>
      <c r="M433" s="320"/>
      <c r="N433" s="320"/>
      <c r="O433" s="321"/>
      <c r="P433" s="320"/>
      <c r="Q433" s="321"/>
      <c r="R433" s="321"/>
      <c r="S433" s="321"/>
      <c r="T433" s="321"/>
      <c r="U433" s="321"/>
      <c r="V433" s="321"/>
      <c r="W433" s="321"/>
      <c r="X433" s="321"/>
      <c r="Y433" s="321"/>
      <c r="Z433" s="321"/>
      <c r="AA433" s="321"/>
      <c r="AB433" s="321"/>
      <c r="AC433" s="321"/>
      <c r="AD433" s="320"/>
      <c r="AE433" s="172"/>
      <c r="AF433" s="172"/>
      <c r="AG433" s="28"/>
      <c r="AH433" s="28"/>
      <c r="AI433" s="28"/>
      <c r="AJ433" s="60"/>
      <c r="AK433" s="293"/>
      <c r="AL433" s="294"/>
      <c r="AM433" s="294"/>
      <c r="AP433" s="295"/>
      <c r="AU433" s="295"/>
      <c r="AZ433" s="295"/>
      <c r="BE433" s="295"/>
      <c r="BJ433" s="295"/>
      <c r="BK433" s="293"/>
      <c r="BM433" s="296"/>
      <c r="BN433" s="296"/>
      <c r="BO433" s="296"/>
      <c r="BP433" s="296"/>
      <c r="BQ433" s="296"/>
      <c r="BR433" s="296"/>
      <c r="BS433" s="296"/>
      <c r="BT433" s="296"/>
      <c r="BU433" s="296"/>
    </row>
    <row r="434" spans="1:73" s="292" customFormat="1" x14ac:dyDescent="0.25">
      <c r="A434" s="167"/>
      <c r="B434" s="167"/>
      <c r="C434" s="167"/>
      <c r="D434" s="28"/>
      <c r="E434" s="28"/>
      <c r="F434" s="260"/>
      <c r="G434" s="28"/>
      <c r="H434" s="28"/>
      <c r="I434" s="28"/>
      <c r="J434" s="321"/>
      <c r="K434" s="321"/>
      <c r="L434" s="320"/>
      <c r="M434" s="320"/>
      <c r="N434" s="320"/>
      <c r="O434" s="321"/>
      <c r="P434" s="320"/>
      <c r="Q434" s="321"/>
      <c r="R434" s="321"/>
      <c r="S434" s="321"/>
      <c r="T434" s="321"/>
      <c r="U434" s="321"/>
      <c r="V434" s="321"/>
      <c r="W434" s="321"/>
      <c r="X434" s="321"/>
      <c r="Y434" s="321"/>
      <c r="Z434" s="321"/>
      <c r="AA434" s="321"/>
      <c r="AB434" s="321"/>
      <c r="AC434" s="321"/>
      <c r="AD434" s="320"/>
      <c r="AE434" s="172"/>
      <c r="AF434" s="172"/>
      <c r="AG434" s="28"/>
      <c r="AH434" s="28"/>
      <c r="AI434" s="28"/>
      <c r="AJ434" s="60"/>
      <c r="AK434" s="293"/>
      <c r="AL434" s="294"/>
      <c r="AM434" s="294"/>
      <c r="AP434" s="295"/>
      <c r="AU434" s="295"/>
      <c r="AZ434" s="295"/>
      <c r="BE434" s="295"/>
      <c r="BJ434" s="295"/>
      <c r="BK434" s="293"/>
      <c r="BM434" s="296"/>
      <c r="BN434" s="296"/>
      <c r="BO434" s="296"/>
      <c r="BP434" s="296"/>
      <c r="BQ434" s="296"/>
      <c r="BR434" s="296"/>
      <c r="BS434" s="296"/>
      <c r="BT434" s="296"/>
      <c r="BU434" s="296"/>
    </row>
    <row r="435" spans="1:73" s="292" customFormat="1" x14ac:dyDescent="0.25">
      <c r="A435" s="167"/>
      <c r="B435" s="167"/>
      <c r="C435" s="167"/>
      <c r="D435" s="28"/>
      <c r="E435" s="28"/>
      <c r="F435" s="260"/>
      <c r="G435" s="28"/>
      <c r="H435" s="28"/>
      <c r="I435" s="28"/>
      <c r="J435" s="321"/>
      <c r="K435" s="321"/>
      <c r="L435" s="320"/>
      <c r="M435" s="320"/>
      <c r="N435" s="320"/>
      <c r="O435" s="321"/>
      <c r="P435" s="320"/>
      <c r="Q435" s="321"/>
      <c r="R435" s="321"/>
      <c r="S435" s="321"/>
      <c r="T435" s="321"/>
      <c r="U435" s="321"/>
      <c r="V435" s="321"/>
      <c r="W435" s="321"/>
      <c r="X435" s="321"/>
      <c r="Y435" s="321"/>
      <c r="Z435" s="321"/>
      <c r="AA435" s="321"/>
      <c r="AB435" s="321"/>
      <c r="AC435" s="321"/>
      <c r="AD435" s="320"/>
      <c r="AE435" s="172"/>
      <c r="AF435" s="172"/>
      <c r="AG435" s="28"/>
      <c r="AH435" s="28"/>
      <c r="AI435" s="28"/>
      <c r="AJ435" s="60"/>
      <c r="AK435" s="293"/>
      <c r="AL435" s="294"/>
      <c r="AM435" s="294"/>
      <c r="AP435" s="295"/>
      <c r="AU435" s="295"/>
      <c r="AZ435" s="295"/>
      <c r="BE435" s="295"/>
      <c r="BJ435" s="295"/>
      <c r="BK435" s="293"/>
      <c r="BM435" s="296"/>
      <c r="BN435" s="296"/>
      <c r="BO435" s="296"/>
      <c r="BP435" s="296"/>
      <c r="BQ435" s="296"/>
      <c r="BR435" s="296"/>
      <c r="BS435" s="296"/>
      <c r="BT435" s="296"/>
      <c r="BU435" s="296"/>
    </row>
    <row r="436" spans="1:73" s="292" customFormat="1" x14ac:dyDescent="0.25">
      <c r="A436" s="167"/>
      <c r="B436" s="167"/>
      <c r="C436" s="167"/>
      <c r="D436" s="28"/>
      <c r="E436" s="28"/>
      <c r="F436" s="260"/>
      <c r="G436" s="28"/>
      <c r="H436" s="28"/>
      <c r="I436" s="28"/>
      <c r="J436" s="321"/>
      <c r="K436" s="321"/>
      <c r="L436" s="320"/>
      <c r="M436" s="320"/>
      <c r="N436" s="320"/>
      <c r="O436" s="321"/>
      <c r="P436" s="320"/>
      <c r="Q436" s="321"/>
      <c r="R436" s="321"/>
      <c r="S436" s="321"/>
      <c r="T436" s="321"/>
      <c r="U436" s="321"/>
      <c r="V436" s="321"/>
      <c r="W436" s="321"/>
      <c r="X436" s="321"/>
      <c r="Y436" s="321"/>
      <c r="Z436" s="321"/>
      <c r="AA436" s="321"/>
      <c r="AB436" s="321"/>
      <c r="AC436" s="321"/>
      <c r="AD436" s="320"/>
      <c r="AE436" s="172"/>
      <c r="AF436" s="172"/>
      <c r="AG436" s="28"/>
      <c r="AH436" s="28"/>
      <c r="AI436" s="28"/>
      <c r="AJ436" s="60"/>
      <c r="AK436" s="293"/>
      <c r="AL436" s="294"/>
      <c r="AM436" s="294"/>
      <c r="AP436" s="295"/>
      <c r="AU436" s="295"/>
      <c r="AZ436" s="295"/>
      <c r="BE436" s="295"/>
      <c r="BJ436" s="295"/>
      <c r="BK436" s="293"/>
      <c r="BM436" s="296"/>
      <c r="BN436" s="296"/>
      <c r="BO436" s="296"/>
      <c r="BP436" s="296"/>
      <c r="BQ436" s="296"/>
      <c r="BR436" s="296"/>
      <c r="BS436" s="296"/>
      <c r="BT436" s="296"/>
      <c r="BU436" s="296"/>
    </row>
    <row r="437" spans="1:73" s="292" customFormat="1" x14ac:dyDescent="0.25">
      <c r="A437" s="167"/>
      <c r="B437" s="167"/>
      <c r="C437" s="167"/>
      <c r="D437" s="28"/>
      <c r="E437" s="28"/>
      <c r="F437" s="260"/>
      <c r="G437" s="28"/>
      <c r="H437" s="28"/>
      <c r="I437" s="28"/>
      <c r="J437" s="321"/>
      <c r="K437" s="321"/>
      <c r="L437" s="320"/>
      <c r="M437" s="320"/>
      <c r="N437" s="320"/>
      <c r="O437" s="321"/>
      <c r="P437" s="320"/>
      <c r="Q437" s="321"/>
      <c r="R437" s="321"/>
      <c r="S437" s="321"/>
      <c r="T437" s="321"/>
      <c r="U437" s="321"/>
      <c r="V437" s="321"/>
      <c r="W437" s="321"/>
      <c r="X437" s="321"/>
      <c r="Y437" s="321"/>
      <c r="Z437" s="321"/>
      <c r="AA437" s="321"/>
      <c r="AB437" s="321"/>
      <c r="AC437" s="321"/>
      <c r="AD437" s="320"/>
      <c r="AE437" s="172"/>
      <c r="AF437" s="172"/>
      <c r="AG437" s="28"/>
      <c r="AH437" s="28"/>
      <c r="AI437" s="28"/>
      <c r="AJ437" s="60"/>
      <c r="AK437" s="293"/>
      <c r="AL437" s="294"/>
      <c r="AM437" s="294"/>
      <c r="AP437" s="295"/>
      <c r="AU437" s="295"/>
      <c r="AZ437" s="295"/>
      <c r="BE437" s="295"/>
      <c r="BJ437" s="295"/>
      <c r="BK437" s="293"/>
      <c r="BM437" s="296"/>
      <c r="BN437" s="296"/>
      <c r="BO437" s="296"/>
      <c r="BP437" s="296"/>
      <c r="BQ437" s="296"/>
      <c r="BR437" s="296"/>
      <c r="BS437" s="296"/>
      <c r="BT437" s="296"/>
      <c r="BU437" s="296"/>
    </row>
    <row r="438" spans="1:73" s="292" customFormat="1" x14ac:dyDescent="0.25">
      <c r="A438" s="167"/>
      <c r="B438" s="167"/>
      <c r="C438" s="167"/>
      <c r="D438" s="28"/>
      <c r="E438" s="28"/>
      <c r="F438" s="260"/>
      <c r="G438" s="28"/>
      <c r="H438" s="28"/>
      <c r="I438" s="28"/>
      <c r="J438" s="321"/>
      <c r="K438" s="321"/>
      <c r="L438" s="320"/>
      <c r="M438" s="320"/>
      <c r="N438" s="320"/>
      <c r="O438" s="321"/>
      <c r="P438" s="320"/>
      <c r="Q438" s="321"/>
      <c r="R438" s="321"/>
      <c r="S438" s="321"/>
      <c r="T438" s="321"/>
      <c r="U438" s="321"/>
      <c r="V438" s="321"/>
      <c r="W438" s="321"/>
      <c r="X438" s="321"/>
      <c r="Y438" s="321"/>
      <c r="Z438" s="321"/>
      <c r="AA438" s="321"/>
      <c r="AB438" s="321"/>
      <c r="AC438" s="321"/>
      <c r="AD438" s="320"/>
      <c r="AE438" s="172"/>
      <c r="AF438" s="172"/>
      <c r="AG438" s="28"/>
      <c r="AH438" s="28"/>
      <c r="AI438" s="28"/>
      <c r="AJ438" s="60"/>
      <c r="AK438" s="293"/>
      <c r="AL438" s="294"/>
      <c r="AM438" s="294"/>
      <c r="AP438" s="295"/>
      <c r="AU438" s="295"/>
      <c r="AZ438" s="295"/>
      <c r="BE438" s="295"/>
      <c r="BJ438" s="295"/>
      <c r="BK438" s="293"/>
      <c r="BM438" s="296"/>
      <c r="BN438" s="296"/>
      <c r="BO438" s="296"/>
      <c r="BP438" s="296"/>
      <c r="BQ438" s="296"/>
      <c r="BR438" s="296"/>
      <c r="BS438" s="296"/>
      <c r="BT438" s="296"/>
      <c r="BU438" s="296"/>
    </row>
    <row r="439" spans="1:73" s="292" customFormat="1" x14ac:dyDescent="0.25">
      <c r="A439" s="167"/>
      <c r="B439" s="167"/>
      <c r="C439" s="167"/>
      <c r="D439" s="28"/>
      <c r="E439" s="28"/>
      <c r="F439" s="260"/>
      <c r="G439" s="28"/>
      <c r="H439" s="28"/>
      <c r="I439" s="28"/>
      <c r="J439" s="321"/>
      <c r="K439" s="321"/>
      <c r="L439" s="320"/>
      <c r="M439" s="320"/>
      <c r="N439" s="320"/>
      <c r="O439" s="321"/>
      <c r="P439" s="320"/>
      <c r="Q439" s="321"/>
      <c r="R439" s="321"/>
      <c r="S439" s="321"/>
      <c r="T439" s="321"/>
      <c r="U439" s="321"/>
      <c r="V439" s="321"/>
      <c r="W439" s="321"/>
      <c r="X439" s="321"/>
      <c r="Y439" s="321"/>
      <c r="Z439" s="321"/>
      <c r="AA439" s="321"/>
      <c r="AB439" s="321"/>
      <c r="AC439" s="321"/>
      <c r="AD439" s="320"/>
      <c r="AE439" s="172"/>
      <c r="AF439" s="172"/>
      <c r="AG439" s="28"/>
      <c r="AH439" s="28"/>
      <c r="AI439" s="28"/>
      <c r="AJ439" s="60"/>
      <c r="AK439" s="293"/>
      <c r="AL439" s="294"/>
      <c r="AM439" s="294"/>
      <c r="AP439" s="295"/>
      <c r="AU439" s="295"/>
      <c r="AZ439" s="295"/>
      <c r="BE439" s="295"/>
      <c r="BJ439" s="295"/>
      <c r="BK439" s="293"/>
      <c r="BM439" s="296"/>
      <c r="BN439" s="296"/>
      <c r="BO439" s="296"/>
      <c r="BP439" s="296"/>
      <c r="BQ439" s="296"/>
      <c r="BR439" s="296"/>
      <c r="BS439" s="296"/>
      <c r="BT439" s="296"/>
      <c r="BU439" s="296"/>
    </row>
    <row r="440" spans="1:73" s="292" customFormat="1" x14ac:dyDescent="0.25">
      <c r="A440" s="167"/>
      <c r="B440" s="167"/>
      <c r="C440" s="167"/>
      <c r="D440" s="28"/>
      <c r="E440" s="28"/>
      <c r="F440" s="260"/>
      <c r="G440" s="28"/>
      <c r="H440" s="28"/>
      <c r="I440" s="28"/>
      <c r="J440" s="321"/>
      <c r="K440" s="321"/>
      <c r="L440" s="320"/>
      <c r="M440" s="320"/>
      <c r="N440" s="320"/>
      <c r="O440" s="321"/>
      <c r="P440" s="320"/>
      <c r="Q440" s="321"/>
      <c r="R440" s="321"/>
      <c r="S440" s="321"/>
      <c r="T440" s="321"/>
      <c r="U440" s="321"/>
      <c r="V440" s="321"/>
      <c r="W440" s="321"/>
      <c r="X440" s="321"/>
      <c r="Y440" s="321"/>
      <c r="Z440" s="321"/>
      <c r="AA440" s="321"/>
      <c r="AB440" s="321"/>
      <c r="AC440" s="321"/>
      <c r="AD440" s="320"/>
      <c r="AE440" s="172"/>
      <c r="AF440" s="172"/>
      <c r="AG440" s="28"/>
      <c r="AH440" s="28"/>
      <c r="AI440" s="28"/>
      <c r="AJ440" s="60"/>
      <c r="AK440" s="293"/>
      <c r="AL440" s="294"/>
      <c r="AM440" s="294"/>
      <c r="AP440" s="295"/>
      <c r="AU440" s="295"/>
      <c r="AZ440" s="295"/>
      <c r="BE440" s="295"/>
      <c r="BJ440" s="295"/>
      <c r="BK440" s="293"/>
      <c r="BM440" s="296"/>
      <c r="BN440" s="296"/>
      <c r="BO440" s="296"/>
      <c r="BP440" s="296"/>
      <c r="BQ440" s="296"/>
      <c r="BR440" s="296"/>
      <c r="BS440" s="296"/>
      <c r="BT440" s="296"/>
      <c r="BU440" s="296"/>
    </row>
    <row r="441" spans="1:73" s="292" customFormat="1" x14ac:dyDescent="0.25">
      <c r="A441" s="167"/>
      <c r="B441" s="167"/>
      <c r="C441" s="167"/>
      <c r="D441" s="28"/>
      <c r="E441" s="28"/>
      <c r="F441" s="260"/>
      <c r="G441" s="28"/>
      <c r="H441" s="28"/>
      <c r="I441" s="28"/>
      <c r="J441" s="321"/>
      <c r="K441" s="321"/>
      <c r="L441" s="320"/>
      <c r="M441" s="320"/>
      <c r="N441" s="320"/>
      <c r="O441" s="321"/>
      <c r="P441" s="320"/>
      <c r="Q441" s="321"/>
      <c r="R441" s="321"/>
      <c r="S441" s="321"/>
      <c r="T441" s="321"/>
      <c r="U441" s="321"/>
      <c r="V441" s="321"/>
      <c r="W441" s="321"/>
      <c r="X441" s="321"/>
      <c r="Y441" s="321"/>
      <c r="Z441" s="321"/>
      <c r="AA441" s="321"/>
      <c r="AB441" s="321"/>
      <c r="AC441" s="321"/>
      <c r="AD441" s="320"/>
      <c r="AE441" s="172"/>
      <c r="AF441" s="172"/>
      <c r="AG441" s="28"/>
      <c r="AH441" s="28"/>
      <c r="AI441" s="28"/>
      <c r="AJ441" s="60"/>
      <c r="AK441" s="293"/>
      <c r="AL441" s="294"/>
      <c r="AM441" s="294"/>
      <c r="AP441" s="295"/>
      <c r="AU441" s="295"/>
      <c r="AZ441" s="295"/>
      <c r="BE441" s="295"/>
      <c r="BJ441" s="295"/>
      <c r="BK441" s="293"/>
      <c r="BM441" s="296"/>
      <c r="BN441" s="296"/>
      <c r="BO441" s="296"/>
      <c r="BP441" s="296"/>
      <c r="BQ441" s="296"/>
      <c r="BR441" s="296"/>
      <c r="BS441" s="296"/>
      <c r="BT441" s="296"/>
      <c r="BU441" s="296"/>
    </row>
    <row r="442" spans="1:73" s="292" customFormat="1" x14ac:dyDescent="0.25">
      <c r="A442" s="167"/>
      <c r="B442" s="167"/>
      <c r="C442" s="167"/>
      <c r="D442" s="28"/>
      <c r="E442" s="28"/>
      <c r="F442" s="260"/>
      <c r="G442" s="28"/>
      <c r="H442" s="28"/>
      <c r="I442" s="28"/>
      <c r="J442" s="321"/>
      <c r="K442" s="321"/>
      <c r="L442" s="320"/>
      <c r="M442" s="320"/>
      <c r="N442" s="320"/>
      <c r="O442" s="321"/>
      <c r="P442" s="320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  <c r="AA442" s="321"/>
      <c r="AB442" s="321"/>
      <c r="AC442" s="321"/>
      <c r="AD442" s="320"/>
      <c r="AE442" s="172"/>
      <c r="AF442" s="172"/>
      <c r="AG442" s="28"/>
      <c r="AH442" s="28"/>
      <c r="AI442" s="28"/>
      <c r="AJ442" s="60"/>
      <c r="AK442" s="293"/>
      <c r="AL442" s="294"/>
      <c r="AM442" s="294"/>
      <c r="AP442" s="295"/>
      <c r="AU442" s="295"/>
      <c r="AZ442" s="295"/>
      <c r="BE442" s="295"/>
      <c r="BJ442" s="295"/>
      <c r="BK442" s="293"/>
      <c r="BM442" s="296"/>
      <c r="BN442" s="296"/>
      <c r="BO442" s="296"/>
      <c r="BP442" s="296"/>
      <c r="BQ442" s="296"/>
      <c r="BR442" s="296"/>
      <c r="BS442" s="296"/>
      <c r="BT442" s="296"/>
      <c r="BU442" s="296"/>
    </row>
    <row r="443" spans="1:73" s="292" customFormat="1" x14ac:dyDescent="0.25">
      <c r="A443" s="167"/>
      <c r="B443" s="167"/>
      <c r="C443" s="167"/>
      <c r="D443" s="28"/>
      <c r="E443" s="28"/>
      <c r="F443" s="260"/>
      <c r="G443" s="28"/>
      <c r="H443" s="28"/>
      <c r="I443" s="28"/>
      <c r="J443" s="321"/>
      <c r="K443" s="321"/>
      <c r="L443" s="320"/>
      <c r="M443" s="320"/>
      <c r="N443" s="320"/>
      <c r="O443" s="321"/>
      <c r="P443" s="320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  <c r="AA443" s="321"/>
      <c r="AB443" s="321"/>
      <c r="AC443" s="321"/>
      <c r="AD443" s="320"/>
      <c r="AE443" s="172"/>
      <c r="AF443" s="172"/>
      <c r="AG443" s="28"/>
      <c r="AH443" s="28"/>
      <c r="AI443" s="28"/>
      <c r="AJ443" s="60"/>
      <c r="AK443" s="293"/>
      <c r="AL443" s="294"/>
      <c r="AM443" s="294"/>
      <c r="AP443" s="295"/>
      <c r="AU443" s="295"/>
      <c r="AZ443" s="295"/>
      <c r="BE443" s="295"/>
      <c r="BJ443" s="295"/>
      <c r="BK443" s="293"/>
      <c r="BM443" s="296"/>
      <c r="BN443" s="296"/>
      <c r="BO443" s="296"/>
      <c r="BP443" s="296"/>
      <c r="BQ443" s="296"/>
      <c r="BR443" s="296"/>
      <c r="BS443" s="296"/>
      <c r="BT443" s="296"/>
      <c r="BU443" s="296"/>
    </row>
    <row r="444" spans="1:73" s="292" customFormat="1" x14ac:dyDescent="0.25">
      <c r="A444" s="167"/>
      <c r="B444" s="167"/>
      <c r="C444" s="167"/>
      <c r="D444" s="28"/>
      <c r="E444" s="28"/>
      <c r="F444" s="260"/>
      <c r="G444" s="28"/>
      <c r="H444" s="28"/>
      <c r="I444" s="28"/>
      <c r="J444" s="321"/>
      <c r="K444" s="321"/>
      <c r="L444" s="320"/>
      <c r="M444" s="320"/>
      <c r="N444" s="320"/>
      <c r="O444" s="321"/>
      <c r="P444" s="320"/>
      <c r="Q444" s="321"/>
      <c r="R444" s="321"/>
      <c r="S444" s="321"/>
      <c r="T444" s="321"/>
      <c r="U444" s="321"/>
      <c r="V444" s="321"/>
      <c r="W444" s="321"/>
      <c r="X444" s="321"/>
      <c r="Y444" s="321"/>
      <c r="Z444" s="321"/>
      <c r="AA444" s="321"/>
      <c r="AB444" s="321"/>
      <c r="AC444" s="321"/>
      <c r="AD444" s="320"/>
      <c r="AE444" s="172"/>
      <c r="AF444" s="172"/>
      <c r="AG444" s="28"/>
      <c r="AH444" s="28"/>
      <c r="AI444" s="28"/>
      <c r="AJ444" s="60"/>
      <c r="AK444" s="293"/>
      <c r="AL444" s="294"/>
      <c r="AM444" s="294"/>
      <c r="AP444" s="295"/>
      <c r="AU444" s="295"/>
      <c r="AZ444" s="295"/>
      <c r="BE444" s="295"/>
      <c r="BJ444" s="295"/>
      <c r="BK444" s="293"/>
      <c r="BM444" s="296"/>
      <c r="BN444" s="296"/>
      <c r="BO444" s="296"/>
      <c r="BP444" s="296"/>
      <c r="BQ444" s="296"/>
      <c r="BR444" s="296"/>
      <c r="BS444" s="296"/>
      <c r="BT444" s="296"/>
      <c r="BU444" s="296"/>
    </row>
    <row r="445" spans="1:73" s="292" customFormat="1" x14ac:dyDescent="0.25">
      <c r="A445" s="167"/>
      <c r="B445" s="167"/>
      <c r="C445" s="167"/>
      <c r="D445" s="28"/>
      <c r="E445" s="28"/>
      <c r="F445" s="260"/>
      <c r="G445" s="28"/>
      <c r="H445" s="28"/>
      <c r="I445" s="28"/>
      <c r="J445" s="321"/>
      <c r="K445" s="321"/>
      <c r="L445" s="320"/>
      <c r="M445" s="320"/>
      <c r="N445" s="320"/>
      <c r="O445" s="321"/>
      <c r="P445" s="320"/>
      <c r="Q445" s="321"/>
      <c r="R445" s="321"/>
      <c r="S445" s="321"/>
      <c r="T445" s="321"/>
      <c r="U445" s="321"/>
      <c r="V445" s="321"/>
      <c r="W445" s="321"/>
      <c r="X445" s="321"/>
      <c r="Y445" s="321"/>
      <c r="Z445" s="321"/>
      <c r="AA445" s="321"/>
      <c r="AB445" s="321"/>
      <c r="AC445" s="321"/>
      <c r="AD445" s="320"/>
      <c r="AE445" s="172"/>
      <c r="AF445" s="172"/>
      <c r="AG445" s="28"/>
      <c r="AH445" s="28"/>
      <c r="AI445" s="28"/>
      <c r="AJ445" s="60"/>
      <c r="AK445" s="293"/>
      <c r="AL445" s="294"/>
      <c r="AM445" s="294"/>
      <c r="AP445" s="295"/>
      <c r="AU445" s="295"/>
      <c r="AZ445" s="295"/>
      <c r="BE445" s="295"/>
      <c r="BJ445" s="295"/>
      <c r="BK445" s="293"/>
      <c r="BM445" s="296"/>
      <c r="BN445" s="296"/>
      <c r="BO445" s="296"/>
      <c r="BP445" s="296"/>
      <c r="BQ445" s="296"/>
      <c r="BR445" s="296"/>
      <c r="BS445" s="296"/>
      <c r="BT445" s="296"/>
      <c r="BU445" s="296"/>
    </row>
    <row r="446" spans="1:73" s="292" customFormat="1" x14ac:dyDescent="0.25">
      <c r="A446" s="167"/>
      <c r="B446" s="167"/>
      <c r="C446" s="167"/>
      <c r="D446" s="28"/>
      <c r="E446" s="28"/>
      <c r="F446" s="260"/>
      <c r="G446" s="28"/>
      <c r="H446" s="28"/>
      <c r="I446" s="28"/>
      <c r="J446" s="321"/>
      <c r="K446" s="321"/>
      <c r="L446" s="320"/>
      <c r="M446" s="320"/>
      <c r="N446" s="320"/>
      <c r="O446" s="321"/>
      <c r="P446" s="320"/>
      <c r="Q446" s="321"/>
      <c r="R446" s="321"/>
      <c r="S446" s="321"/>
      <c r="T446" s="321"/>
      <c r="U446" s="321"/>
      <c r="V446" s="321"/>
      <c r="W446" s="321"/>
      <c r="X446" s="321"/>
      <c r="Y446" s="321"/>
      <c r="Z446" s="321"/>
      <c r="AA446" s="321"/>
      <c r="AB446" s="321"/>
      <c r="AC446" s="321"/>
      <c r="AD446" s="320"/>
      <c r="AE446" s="172"/>
      <c r="AF446" s="172"/>
      <c r="AG446" s="28"/>
      <c r="AH446" s="28"/>
      <c r="AI446" s="28"/>
      <c r="AJ446" s="60"/>
      <c r="AK446" s="293"/>
      <c r="AL446" s="294"/>
      <c r="AM446" s="294"/>
      <c r="AP446" s="295"/>
      <c r="AU446" s="295"/>
      <c r="AZ446" s="295"/>
      <c r="BE446" s="295"/>
      <c r="BJ446" s="295"/>
      <c r="BK446" s="293"/>
      <c r="BM446" s="296"/>
      <c r="BN446" s="296"/>
      <c r="BO446" s="296"/>
      <c r="BP446" s="296"/>
      <c r="BQ446" s="296"/>
      <c r="BR446" s="296"/>
      <c r="BS446" s="296"/>
      <c r="BT446" s="296"/>
      <c r="BU446" s="296"/>
    </row>
    <row r="447" spans="1:73" s="292" customFormat="1" x14ac:dyDescent="0.25">
      <c r="A447" s="167"/>
      <c r="B447" s="167"/>
      <c r="C447" s="167"/>
      <c r="D447" s="28"/>
      <c r="E447" s="28"/>
      <c r="F447" s="260"/>
      <c r="G447" s="28"/>
      <c r="H447" s="28"/>
      <c r="I447" s="28"/>
      <c r="J447" s="321"/>
      <c r="K447" s="321"/>
      <c r="L447" s="320"/>
      <c r="M447" s="320"/>
      <c r="N447" s="320"/>
      <c r="O447" s="321"/>
      <c r="P447" s="320"/>
      <c r="Q447" s="321"/>
      <c r="R447" s="321"/>
      <c r="S447" s="321"/>
      <c r="T447" s="321"/>
      <c r="U447" s="321"/>
      <c r="V447" s="321"/>
      <c r="W447" s="321"/>
      <c r="X447" s="321"/>
      <c r="Y447" s="321"/>
      <c r="Z447" s="321"/>
      <c r="AA447" s="321"/>
      <c r="AB447" s="321"/>
      <c r="AC447" s="321"/>
      <c r="AD447" s="320"/>
      <c r="AE447" s="172"/>
      <c r="AF447" s="172"/>
      <c r="AG447" s="28"/>
      <c r="AH447" s="28"/>
      <c r="AI447" s="28"/>
      <c r="AJ447" s="60"/>
      <c r="AK447" s="293"/>
      <c r="AL447" s="294"/>
      <c r="AM447" s="294"/>
      <c r="AP447" s="295"/>
      <c r="AU447" s="295"/>
      <c r="AZ447" s="295"/>
      <c r="BE447" s="295"/>
      <c r="BJ447" s="295"/>
      <c r="BK447" s="293"/>
      <c r="BM447" s="296"/>
      <c r="BN447" s="296"/>
      <c r="BO447" s="296"/>
      <c r="BP447" s="296"/>
      <c r="BQ447" s="296"/>
      <c r="BR447" s="296"/>
      <c r="BS447" s="296"/>
      <c r="BT447" s="296"/>
      <c r="BU447" s="296"/>
    </row>
    <row r="448" spans="1:73" s="292" customFormat="1" x14ac:dyDescent="0.25">
      <c r="A448" s="167"/>
      <c r="B448" s="167"/>
      <c r="C448" s="167"/>
      <c r="D448" s="28"/>
      <c r="E448" s="28"/>
      <c r="F448" s="260"/>
      <c r="G448" s="28"/>
      <c r="H448" s="28"/>
      <c r="I448" s="28"/>
      <c r="J448" s="321"/>
      <c r="K448" s="321"/>
      <c r="L448" s="320"/>
      <c r="M448" s="320"/>
      <c r="N448" s="320"/>
      <c r="O448" s="321"/>
      <c r="P448" s="320"/>
      <c r="Q448" s="321"/>
      <c r="R448" s="321"/>
      <c r="S448" s="321"/>
      <c r="T448" s="321"/>
      <c r="U448" s="321"/>
      <c r="V448" s="321"/>
      <c r="W448" s="321"/>
      <c r="X448" s="321"/>
      <c r="Y448" s="321"/>
      <c r="Z448" s="321"/>
      <c r="AA448" s="321"/>
      <c r="AB448" s="321"/>
      <c r="AC448" s="321"/>
      <c r="AD448" s="320"/>
      <c r="AE448" s="172"/>
      <c r="AF448" s="172"/>
      <c r="AG448" s="28"/>
      <c r="AH448" s="28"/>
      <c r="AI448" s="28"/>
      <c r="AJ448" s="60"/>
      <c r="AK448" s="293"/>
      <c r="AL448" s="294"/>
      <c r="AM448" s="294"/>
      <c r="AP448" s="295"/>
      <c r="AU448" s="295"/>
      <c r="AZ448" s="295"/>
      <c r="BE448" s="295"/>
      <c r="BJ448" s="295"/>
      <c r="BK448" s="293"/>
      <c r="BM448" s="296"/>
      <c r="BN448" s="296"/>
      <c r="BO448" s="296"/>
      <c r="BP448" s="296"/>
      <c r="BQ448" s="296"/>
      <c r="BR448" s="296"/>
      <c r="BS448" s="296"/>
      <c r="BT448" s="296"/>
      <c r="BU448" s="296"/>
    </row>
    <row r="449" spans="1:73" s="292" customFormat="1" x14ac:dyDescent="0.25">
      <c r="A449" s="167"/>
      <c r="B449" s="167"/>
      <c r="C449" s="167"/>
      <c r="D449" s="28"/>
      <c r="E449" s="28"/>
      <c r="F449" s="260"/>
      <c r="G449" s="28"/>
      <c r="H449" s="28"/>
      <c r="I449" s="28"/>
      <c r="J449" s="321"/>
      <c r="K449" s="321"/>
      <c r="L449" s="320"/>
      <c r="M449" s="320"/>
      <c r="N449" s="320"/>
      <c r="O449" s="321"/>
      <c r="P449" s="320"/>
      <c r="Q449" s="321"/>
      <c r="R449" s="321"/>
      <c r="S449" s="321"/>
      <c r="T449" s="321"/>
      <c r="U449" s="321"/>
      <c r="V449" s="321"/>
      <c r="W449" s="321"/>
      <c r="X449" s="321"/>
      <c r="Y449" s="321"/>
      <c r="Z449" s="321"/>
      <c r="AA449" s="321"/>
      <c r="AB449" s="321"/>
      <c r="AC449" s="321"/>
      <c r="AD449" s="320"/>
      <c r="AE449" s="172"/>
      <c r="AF449" s="172"/>
      <c r="AG449" s="28"/>
      <c r="AH449" s="28"/>
      <c r="AI449" s="28"/>
      <c r="AJ449" s="60"/>
      <c r="AK449" s="293"/>
      <c r="AL449" s="294"/>
      <c r="AM449" s="294"/>
      <c r="AP449" s="295"/>
      <c r="AU449" s="295"/>
      <c r="AZ449" s="295"/>
      <c r="BE449" s="295"/>
      <c r="BJ449" s="295"/>
      <c r="BK449" s="293"/>
      <c r="BM449" s="296"/>
      <c r="BN449" s="296"/>
      <c r="BO449" s="296"/>
      <c r="BP449" s="296"/>
      <c r="BQ449" s="296"/>
      <c r="BR449" s="296"/>
      <c r="BS449" s="296"/>
      <c r="BT449" s="296"/>
      <c r="BU449" s="296"/>
    </row>
    <row r="450" spans="1:73" s="292" customFormat="1" x14ac:dyDescent="0.25">
      <c r="A450" s="167"/>
      <c r="B450" s="167"/>
      <c r="C450" s="167"/>
      <c r="D450" s="28"/>
      <c r="E450" s="28"/>
      <c r="F450" s="260"/>
      <c r="G450" s="28"/>
      <c r="H450" s="28"/>
      <c r="I450" s="28"/>
      <c r="J450" s="321"/>
      <c r="K450" s="321"/>
      <c r="L450" s="320"/>
      <c r="M450" s="320"/>
      <c r="N450" s="320"/>
      <c r="O450" s="321"/>
      <c r="P450" s="320"/>
      <c r="Q450" s="321"/>
      <c r="R450" s="321"/>
      <c r="S450" s="321"/>
      <c r="T450" s="321"/>
      <c r="U450" s="321"/>
      <c r="V450" s="321"/>
      <c r="W450" s="321"/>
      <c r="X450" s="321"/>
      <c r="Y450" s="321"/>
      <c r="Z450" s="321"/>
      <c r="AA450" s="321"/>
      <c r="AB450" s="321"/>
      <c r="AC450" s="321"/>
      <c r="AD450" s="320"/>
      <c r="AE450" s="172"/>
      <c r="AF450" s="172"/>
      <c r="AG450" s="28"/>
      <c r="AH450" s="28"/>
      <c r="AI450" s="28"/>
      <c r="AJ450" s="60"/>
      <c r="AK450" s="293"/>
      <c r="AL450" s="294"/>
      <c r="AM450" s="294"/>
      <c r="AP450" s="295"/>
      <c r="AU450" s="295"/>
      <c r="AZ450" s="295"/>
      <c r="BE450" s="295"/>
      <c r="BJ450" s="295"/>
      <c r="BK450" s="293"/>
      <c r="BM450" s="296"/>
      <c r="BN450" s="296"/>
      <c r="BO450" s="296"/>
      <c r="BP450" s="296"/>
      <c r="BQ450" s="296"/>
      <c r="BR450" s="296"/>
      <c r="BS450" s="296"/>
      <c r="BT450" s="296"/>
      <c r="BU450" s="296"/>
    </row>
    <row r="451" spans="1:73" s="292" customFormat="1" x14ac:dyDescent="0.25">
      <c r="A451" s="167"/>
      <c r="B451" s="167"/>
      <c r="C451" s="167"/>
      <c r="D451" s="28"/>
      <c r="E451" s="28"/>
      <c r="F451" s="260"/>
      <c r="G451" s="28"/>
      <c r="H451" s="28"/>
      <c r="I451" s="28"/>
      <c r="J451" s="321"/>
      <c r="K451" s="321"/>
      <c r="L451" s="320"/>
      <c r="M451" s="320"/>
      <c r="N451" s="320"/>
      <c r="O451" s="321"/>
      <c r="P451" s="320"/>
      <c r="Q451" s="321"/>
      <c r="R451" s="321"/>
      <c r="S451" s="321"/>
      <c r="T451" s="321"/>
      <c r="U451" s="321"/>
      <c r="V451" s="321"/>
      <c r="W451" s="321"/>
      <c r="X451" s="321"/>
      <c r="Y451" s="321"/>
      <c r="Z451" s="321"/>
      <c r="AA451" s="321"/>
      <c r="AB451" s="321"/>
      <c r="AC451" s="321"/>
      <c r="AD451" s="320"/>
      <c r="AE451" s="172"/>
      <c r="AF451" s="172"/>
      <c r="AG451" s="28"/>
      <c r="AH451" s="28"/>
      <c r="AI451" s="28"/>
      <c r="AJ451" s="60"/>
      <c r="AK451" s="293"/>
      <c r="AL451" s="294"/>
      <c r="AM451" s="294"/>
      <c r="AP451" s="295"/>
      <c r="AU451" s="295"/>
      <c r="AZ451" s="295"/>
      <c r="BE451" s="295"/>
      <c r="BJ451" s="295"/>
      <c r="BK451" s="293"/>
      <c r="BM451" s="296"/>
      <c r="BN451" s="296"/>
      <c r="BO451" s="296"/>
      <c r="BP451" s="296"/>
      <c r="BQ451" s="296"/>
      <c r="BR451" s="296"/>
      <c r="BS451" s="296"/>
      <c r="BT451" s="296"/>
      <c r="BU451" s="296"/>
    </row>
    <row r="452" spans="1:73" s="292" customFormat="1" x14ac:dyDescent="0.25">
      <c r="A452" s="167"/>
      <c r="B452" s="167"/>
      <c r="C452" s="167"/>
      <c r="D452" s="28"/>
      <c r="E452" s="28"/>
      <c r="F452" s="260"/>
      <c r="G452" s="28"/>
      <c r="H452" s="28"/>
      <c r="I452" s="28"/>
      <c r="J452" s="321"/>
      <c r="K452" s="321"/>
      <c r="L452" s="320"/>
      <c r="M452" s="320"/>
      <c r="N452" s="320"/>
      <c r="O452" s="321"/>
      <c r="P452" s="320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  <c r="AA452" s="321"/>
      <c r="AB452" s="321"/>
      <c r="AC452" s="321"/>
      <c r="AD452" s="320"/>
      <c r="AE452" s="172"/>
      <c r="AF452" s="172"/>
      <c r="AG452" s="28"/>
      <c r="AH452" s="28"/>
      <c r="AI452" s="28"/>
      <c r="AJ452" s="60"/>
      <c r="AK452" s="293"/>
      <c r="AL452" s="294"/>
      <c r="AM452" s="294"/>
      <c r="AP452" s="295"/>
      <c r="AU452" s="295"/>
      <c r="AZ452" s="295"/>
      <c r="BE452" s="295"/>
      <c r="BJ452" s="295"/>
      <c r="BK452" s="293"/>
      <c r="BM452" s="296"/>
      <c r="BN452" s="296"/>
      <c r="BO452" s="296"/>
      <c r="BP452" s="296"/>
      <c r="BQ452" s="296"/>
      <c r="BR452" s="296"/>
      <c r="BS452" s="296"/>
      <c r="BT452" s="296"/>
      <c r="BU452" s="296"/>
    </row>
    <row r="453" spans="1:73" s="292" customFormat="1" x14ac:dyDescent="0.25">
      <c r="A453" s="167"/>
      <c r="B453" s="167"/>
      <c r="C453" s="167"/>
      <c r="D453" s="28"/>
      <c r="E453" s="28"/>
      <c r="F453" s="260"/>
      <c r="G453" s="28"/>
      <c r="H453" s="28"/>
      <c r="I453" s="28"/>
      <c r="J453" s="321"/>
      <c r="K453" s="321"/>
      <c r="L453" s="320"/>
      <c r="M453" s="320"/>
      <c r="N453" s="320"/>
      <c r="O453" s="321"/>
      <c r="P453" s="320"/>
      <c r="Q453" s="321"/>
      <c r="R453" s="321"/>
      <c r="S453" s="321"/>
      <c r="T453" s="321"/>
      <c r="U453" s="321"/>
      <c r="V453" s="321"/>
      <c r="W453" s="321"/>
      <c r="X453" s="321"/>
      <c r="Y453" s="321"/>
      <c r="Z453" s="321"/>
      <c r="AA453" s="321"/>
      <c r="AB453" s="321"/>
      <c r="AC453" s="321"/>
      <c r="AD453" s="320"/>
      <c r="AE453" s="172"/>
      <c r="AF453" s="172"/>
      <c r="AG453" s="28"/>
      <c r="AH453" s="28"/>
      <c r="AI453" s="28"/>
      <c r="AJ453" s="60"/>
      <c r="AK453" s="293"/>
      <c r="AL453" s="294"/>
      <c r="AM453" s="294"/>
      <c r="AP453" s="295"/>
      <c r="AU453" s="295"/>
      <c r="AZ453" s="295"/>
      <c r="BE453" s="295"/>
      <c r="BJ453" s="295"/>
      <c r="BK453" s="293"/>
      <c r="BM453" s="296"/>
      <c r="BN453" s="296"/>
      <c r="BO453" s="296"/>
      <c r="BP453" s="296"/>
      <c r="BQ453" s="296"/>
      <c r="BR453" s="296"/>
      <c r="BS453" s="296"/>
      <c r="BT453" s="296"/>
      <c r="BU453" s="296"/>
    </row>
    <row r="454" spans="1:73" s="292" customFormat="1" x14ac:dyDescent="0.25">
      <c r="A454" s="167"/>
      <c r="B454" s="167"/>
      <c r="C454" s="167"/>
      <c r="D454" s="28"/>
      <c r="E454" s="28"/>
      <c r="F454" s="260"/>
      <c r="G454" s="28"/>
      <c r="H454" s="28"/>
      <c r="I454" s="28"/>
      <c r="J454" s="321"/>
      <c r="K454" s="321"/>
      <c r="L454" s="320"/>
      <c r="M454" s="320"/>
      <c r="N454" s="320"/>
      <c r="O454" s="321"/>
      <c r="P454" s="320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  <c r="AA454" s="321"/>
      <c r="AB454" s="321"/>
      <c r="AC454" s="321"/>
      <c r="AD454" s="320"/>
      <c r="AE454" s="172"/>
      <c r="AF454" s="172"/>
      <c r="AG454" s="28"/>
      <c r="AH454" s="28"/>
      <c r="AI454" s="28"/>
      <c r="AJ454" s="60"/>
      <c r="AK454" s="293"/>
      <c r="AL454" s="294"/>
      <c r="AM454" s="294"/>
      <c r="AP454" s="295"/>
      <c r="AU454" s="295"/>
      <c r="AZ454" s="295"/>
      <c r="BE454" s="295"/>
      <c r="BJ454" s="295"/>
      <c r="BK454" s="293"/>
      <c r="BM454" s="296"/>
      <c r="BN454" s="296"/>
      <c r="BO454" s="296"/>
      <c r="BP454" s="296"/>
      <c r="BQ454" s="296"/>
      <c r="BR454" s="296"/>
      <c r="BS454" s="296"/>
      <c r="BT454" s="296"/>
      <c r="BU454" s="296"/>
    </row>
    <row r="455" spans="1:73" s="292" customFormat="1" x14ac:dyDescent="0.25">
      <c r="A455" s="167"/>
      <c r="B455" s="167"/>
      <c r="C455" s="167"/>
      <c r="D455" s="28"/>
      <c r="E455" s="28"/>
      <c r="F455" s="260"/>
      <c r="G455" s="28"/>
      <c r="H455" s="28"/>
      <c r="I455" s="28"/>
      <c r="J455" s="321"/>
      <c r="K455" s="321"/>
      <c r="L455" s="320"/>
      <c r="M455" s="320"/>
      <c r="N455" s="320"/>
      <c r="O455" s="321"/>
      <c r="P455" s="320"/>
      <c r="Q455" s="321"/>
      <c r="R455" s="321"/>
      <c r="S455" s="321"/>
      <c r="T455" s="321"/>
      <c r="U455" s="321"/>
      <c r="V455" s="321"/>
      <c r="W455" s="321"/>
      <c r="X455" s="321"/>
      <c r="Y455" s="321"/>
      <c r="Z455" s="321"/>
      <c r="AA455" s="321"/>
      <c r="AB455" s="321"/>
      <c r="AC455" s="321"/>
      <c r="AD455" s="320"/>
      <c r="AE455" s="172"/>
      <c r="AF455" s="172"/>
      <c r="AG455" s="28"/>
      <c r="AH455" s="28"/>
      <c r="AI455" s="28"/>
      <c r="AJ455" s="60"/>
      <c r="AK455" s="293"/>
      <c r="AL455" s="294"/>
      <c r="AM455" s="294"/>
      <c r="AP455" s="295"/>
      <c r="AU455" s="295"/>
      <c r="AZ455" s="295"/>
      <c r="BE455" s="295"/>
      <c r="BJ455" s="295"/>
      <c r="BK455" s="293"/>
      <c r="BM455" s="296"/>
      <c r="BN455" s="296"/>
      <c r="BO455" s="296"/>
      <c r="BP455" s="296"/>
      <c r="BQ455" s="296"/>
      <c r="BR455" s="296"/>
      <c r="BS455" s="296"/>
      <c r="BT455" s="296"/>
      <c r="BU455" s="296"/>
    </row>
    <row r="456" spans="1:73" s="292" customFormat="1" x14ac:dyDescent="0.25">
      <c r="A456" s="167"/>
      <c r="B456" s="167"/>
      <c r="C456" s="167"/>
      <c r="D456" s="28"/>
      <c r="E456" s="28"/>
      <c r="F456" s="260"/>
      <c r="G456" s="28"/>
      <c r="H456" s="28"/>
      <c r="I456" s="28"/>
      <c r="J456" s="321"/>
      <c r="K456" s="321"/>
      <c r="L456" s="320"/>
      <c r="M456" s="320"/>
      <c r="N456" s="320"/>
      <c r="O456" s="321"/>
      <c r="P456" s="320"/>
      <c r="Q456" s="321"/>
      <c r="R456" s="321"/>
      <c r="S456" s="321"/>
      <c r="T456" s="321"/>
      <c r="U456" s="321"/>
      <c r="V456" s="321"/>
      <c r="W456" s="321"/>
      <c r="X456" s="321"/>
      <c r="Y456" s="321"/>
      <c r="Z456" s="321"/>
      <c r="AA456" s="321"/>
      <c r="AB456" s="321"/>
      <c r="AC456" s="321"/>
      <c r="AD456" s="320"/>
      <c r="AE456" s="172"/>
      <c r="AF456" s="172"/>
      <c r="AG456" s="28"/>
      <c r="AH456" s="28"/>
      <c r="AI456" s="28"/>
      <c r="AJ456" s="60"/>
      <c r="AK456" s="293"/>
      <c r="AL456" s="294"/>
      <c r="AM456" s="294"/>
      <c r="AP456" s="295"/>
      <c r="AU456" s="295"/>
      <c r="AZ456" s="295"/>
      <c r="BE456" s="295"/>
      <c r="BJ456" s="295"/>
      <c r="BK456" s="293"/>
      <c r="BM456" s="296"/>
      <c r="BN456" s="296"/>
      <c r="BO456" s="296"/>
      <c r="BP456" s="296"/>
      <c r="BQ456" s="296"/>
      <c r="BR456" s="296"/>
      <c r="BS456" s="296"/>
      <c r="BT456" s="296"/>
      <c r="BU456" s="296"/>
    </row>
    <row r="457" spans="1:73" s="292" customFormat="1" x14ac:dyDescent="0.25">
      <c r="A457" s="167"/>
      <c r="B457" s="167"/>
      <c r="C457" s="167"/>
      <c r="D457" s="28"/>
      <c r="E457" s="28"/>
      <c r="F457" s="260"/>
      <c r="G457" s="28"/>
      <c r="H457" s="28"/>
      <c r="I457" s="28"/>
      <c r="J457" s="321"/>
      <c r="K457" s="321"/>
      <c r="L457" s="320"/>
      <c r="M457" s="320"/>
      <c r="N457" s="320"/>
      <c r="O457" s="321"/>
      <c r="P457" s="320"/>
      <c r="Q457" s="321"/>
      <c r="R457" s="321"/>
      <c r="S457" s="321"/>
      <c r="T457" s="321"/>
      <c r="U457" s="321"/>
      <c r="V457" s="321"/>
      <c r="W457" s="321"/>
      <c r="X457" s="321"/>
      <c r="Y457" s="321"/>
      <c r="Z457" s="321"/>
      <c r="AA457" s="321"/>
      <c r="AB457" s="321"/>
      <c r="AC457" s="321"/>
      <c r="AD457" s="320"/>
      <c r="AE457" s="172"/>
      <c r="AF457" s="172"/>
      <c r="AG457" s="28"/>
      <c r="AH457" s="28"/>
      <c r="AI457" s="28"/>
      <c r="AJ457" s="60"/>
      <c r="AK457" s="293"/>
      <c r="AL457" s="294"/>
      <c r="AM457" s="294"/>
      <c r="AP457" s="295"/>
      <c r="AU457" s="295"/>
      <c r="AZ457" s="295"/>
      <c r="BE457" s="295"/>
      <c r="BJ457" s="295"/>
      <c r="BK457" s="293"/>
      <c r="BM457" s="296"/>
      <c r="BN457" s="296"/>
      <c r="BO457" s="296"/>
      <c r="BP457" s="296"/>
      <c r="BQ457" s="296"/>
      <c r="BR457" s="296"/>
      <c r="BS457" s="296"/>
      <c r="BT457" s="296"/>
      <c r="BU457" s="296"/>
    </row>
    <row r="458" spans="1:73" s="292" customFormat="1" x14ac:dyDescent="0.25">
      <c r="A458" s="167"/>
      <c r="B458" s="167"/>
      <c r="C458" s="167"/>
      <c r="D458" s="28"/>
      <c r="E458" s="28"/>
      <c r="F458" s="260"/>
      <c r="G458" s="28"/>
      <c r="H458" s="28"/>
      <c r="I458" s="28"/>
      <c r="J458" s="321"/>
      <c r="K458" s="321"/>
      <c r="L458" s="320"/>
      <c r="M458" s="320"/>
      <c r="N458" s="320"/>
      <c r="O458" s="321"/>
      <c r="P458" s="320"/>
      <c r="Q458" s="321"/>
      <c r="R458" s="321"/>
      <c r="S458" s="321"/>
      <c r="T458" s="321"/>
      <c r="U458" s="321"/>
      <c r="V458" s="321"/>
      <c r="W458" s="321"/>
      <c r="X458" s="321"/>
      <c r="Y458" s="321"/>
      <c r="Z458" s="321"/>
      <c r="AA458" s="321"/>
      <c r="AB458" s="321"/>
      <c r="AC458" s="321"/>
      <c r="AD458" s="320"/>
      <c r="AE458" s="172"/>
      <c r="AF458" s="172"/>
      <c r="AG458" s="28"/>
      <c r="AH458" s="28"/>
      <c r="AI458" s="28"/>
      <c r="AJ458" s="60"/>
      <c r="AK458" s="293"/>
      <c r="AL458" s="294"/>
      <c r="AM458" s="294"/>
      <c r="AP458" s="295"/>
      <c r="AU458" s="295"/>
      <c r="AZ458" s="295"/>
      <c r="BE458" s="295"/>
      <c r="BJ458" s="295"/>
      <c r="BK458" s="293"/>
      <c r="BM458" s="296"/>
      <c r="BN458" s="296"/>
      <c r="BO458" s="296"/>
      <c r="BP458" s="296"/>
      <c r="BQ458" s="296"/>
      <c r="BR458" s="296"/>
      <c r="BS458" s="296"/>
      <c r="BT458" s="296"/>
      <c r="BU458" s="296"/>
    </row>
    <row r="459" spans="1:73" s="292" customFormat="1" x14ac:dyDescent="0.25">
      <c r="A459" s="167"/>
      <c r="B459" s="167"/>
      <c r="C459" s="167"/>
      <c r="D459" s="28"/>
      <c r="E459" s="28"/>
      <c r="F459" s="260"/>
      <c r="G459" s="28"/>
      <c r="H459" s="28"/>
      <c r="I459" s="28"/>
      <c r="J459" s="321"/>
      <c r="K459" s="321"/>
      <c r="L459" s="320"/>
      <c r="M459" s="320"/>
      <c r="N459" s="320"/>
      <c r="O459" s="321"/>
      <c r="P459" s="320"/>
      <c r="Q459" s="321"/>
      <c r="R459" s="321"/>
      <c r="S459" s="321"/>
      <c r="T459" s="321"/>
      <c r="U459" s="321"/>
      <c r="V459" s="321"/>
      <c r="W459" s="321"/>
      <c r="X459" s="321"/>
      <c r="Y459" s="321"/>
      <c r="Z459" s="321"/>
      <c r="AA459" s="321"/>
      <c r="AB459" s="321"/>
      <c r="AC459" s="321"/>
      <c r="AD459" s="320"/>
      <c r="AE459" s="172"/>
      <c r="AF459" s="172"/>
      <c r="AG459" s="28"/>
      <c r="AH459" s="28"/>
      <c r="AI459" s="28"/>
      <c r="AJ459" s="60"/>
      <c r="AK459" s="293"/>
      <c r="AL459" s="294"/>
      <c r="AM459" s="294"/>
      <c r="AP459" s="295"/>
      <c r="AU459" s="295"/>
      <c r="AZ459" s="295"/>
      <c r="BE459" s="295"/>
      <c r="BJ459" s="295"/>
      <c r="BK459" s="293"/>
      <c r="BM459" s="296"/>
      <c r="BN459" s="296"/>
      <c r="BO459" s="296"/>
      <c r="BP459" s="296"/>
      <c r="BQ459" s="296"/>
      <c r="BR459" s="296"/>
      <c r="BS459" s="296"/>
      <c r="BT459" s="296"/>
      <c r="BU459" s="296"/>
    </row>
    <row r="460" spans="1:73" s="292" customFormat="1" x14ac:dyDescent="0.25">
      <c r="A460" s="167"/>
      <c r="B460" s="167"/>
      <c r="C460" s="167"/>
      <c r="D460" s="28"/>
      <c r="E460" s="28"/>
      <c r="F460" s="260"/>
      <c r="G460" s="28"/>
      <c r="H460" s="28"/>
      <c r="I460" s="28"/>
      <c r="J460" s="321"/>
      <c r="K460" s="321"/>
      <c r="L460" s="320"/>
      <c r="M460" s="320"/>
      <c r="N460" s="320"/>
      <c r="O460" s="321"/>
      <c r="P460" s="320"/>
      <c r="Q460" s="321"/>
      <c r="R460" s="321"/>
      <c r="S460" s="321"/>
      <c r="T460" s="321"/>
      <c r="U460" s="321"/>
      <c r="V460" s="321"/>
      <c r="W460" s="321"/>
      <c r="X460" s="321"/>
      <c r="Y460" s="321"/>
      <c r="Z460" s="321"/>
      <c r="AA460" s="321"/>
      <c r="AB460" s="321"/>
      <c r="AC460" s="321"/>
      <c r="AD460" s="320"/>
      <c r="AE460" s="172"/>
      <c r="AF460" s="172"/>
      <c r="AG460" s="28"/>
      <c r="AH460" s="28"/>
      <c r="AI460" s="28"/>
      <c r="AJ460" s="60"/>
      <c r="AK460" s="293"/>
      <c r="AL460" s="294"/>
      <c r="AM460" s="294"/>
      <c r="AP460" s="295"/>
      <c r="AU460" s="295"/>
      <c r="AZ460" s="295"/>
      <c r="BE460" s="295"/>
      <c r="BJ460" s="295"/>
      <c r="BK460" s="293"/>
      <c r="BM460" s="296"/>
      <c r="BN460" s="296"/>
      <c r="BO460" s="296"/>
      <c r="BP460" s="296"/>
      <c r="BQ460" s="296"/>
      <c r="BR460" s="296"/>
      <c r="BS460" s="296"/>
      <c r="BT460" s="296"/>
      <c r="BU460" s="296"/>
    </row>
    <row r="461" spans="1:73" s="292" customFormat="1" x14ac:dyDescent="0.25">
      <c r="A461" s="167"/>
      <c r="B461" s="167"/>
      <c r="C461" s="167"/>
      <c r="D461" s="28"/>
      <c r="E461" s="28"/>
      <c r="F461" s="260"/>
      <c r="G461" s="28"/>
      <c r="H461" s="28"/>
      <c r="I461" s="28"/>
      <c r="J461" s="321"/>
      <c r="K461" s="321"/>
      <c r="L461" s="320"/>
      <c r="M461" s="320"/>
      <c r="N461" s="320"/>
      <c r="O461" s="321"/>
      <c r="P461" s="320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  <c r="AA461" s="321"/>
      <c r="AB461" s="321"/>
      <c r="AC461" s="321"/>
      <c r="AD461" s="320"/>
      <c r="AE461" s="172"/>
      <c r="AF461" s="172"/>
      <c r="AG461" s="28"/>
      <c r="AH461" s="28"/>
      <c r="AI461" s="28"/>
      <c r="AJ461" s="60"/>
      <c r="AK461" s="293"/>
      <c r="AL461" s="294"/>
      <c r="AM461" s="294"/>
      <c r="AP461" s="295"/>
      <c r="AU461" s="295"/>
      <c r="AZ461" s="295"/>
      <c r="BE461" s="295"/>
      <c r="BJ461" s="295"/>
      <c r="BK461" s="293"/>
      <c r="BM461" s="296"/>
      <c r="BN461" s="296"/>
      <c r="BO461" s="296"/>
      <c r="BP461" s="296"/>
      <c r="BQ461" s="296"/>
      <c r="BR461" s="296"/>
      <c r="BS461" s="296"/>
      <c r="BT461" s="296"/>
      <c r="BU461" s="296"/>
    </row>
    <row r="462" spans="1:73" s="292" customFormat="1" x14ac:dyDescent="0.25">
      <c r="A462" s="167"/>
      <c r="B462" s="167"/>
      <c r="C462" s="167"/>
      <c r="D462" s="28"/>
      <c r="E462" s="28"/>
      <c r="F462" s="260"/>
      <c r="G462" s="28"/>
      <c r="H462" s="28"/>
      <c r="I462" s="28"/>
      <c r="J462" s="321"/>
      <c r="K462" s="321"/>
      <c r="L462" s="320"/>
      <c r="M462" s="320"/>
      <c r="N462" s="320"/>
      <c r="O462" s="321"/>
      <c r="P462" s="320"/>
      <c r="Q462" s="321"/>
      <c r="R462" s="321"/>
      <c r="S462" s="321"/>
      <c r="T462" s="321"/>
      <c r="U462" s="321"/>
      <c r="V462" s="321"/>
      <c r="W462" s="321"/>
      <c r="X462" s="321"/>
      <c r="Y462" s="321"/>
      <c r="Z462" s="321"/>
      <c r="AA462" s="321"/>
      <c r="AB462" s="321"/>
      <c r="AC462" s="321"/>
      <c r="AD462" s="320"/>
      <c r="AE462" s="172"/>
      <c r="AF462" s="172"/>
      <c r="AG462" s="28"/>
      <c r="AH462" s="28"/>
      <c r="AI462" s="28"/>
      <c r="AJ462" s="60"/>
      <c r="AK462" s="293"/>
      <c r="AL462" s="294"/>
      <c r="AM462" s="294"/>
      <c r="AP462" s="295"/>
      <c r="AU462" s="295"/>
      <c r="AZ462" s="295"/>
      <c r="BE462" s="295"/>
      <c r="BJ462" s="295"/>
      <c r="BK462" s="293"/>
      <c r="BM462" s="296"/>
      <c r="BN462" s="296"/>
      <c r="BO462" s="296"/>
      <c r="BP462" s="296"/>
      <c r="BQ462" s="296"/>
      <c r="BR462" s="296"/>
      <c r="BS462" s="296"/>
      <c r="BT462" s="296"/>
      <c r="BU462" s="296"/>
    </row>
    <row r="463" spans="1:73" s="292" customFormat="1" x14ac:dyDescent="0.25">
      <c r="A463" s="167"/>
      <c r="B463" s="167"/>
      <c r="C463" s="167"/>
      <c r="D463" s="28"/>
      <c r="E463" s="28"/>
      <c r="F463" s="260"/>
      <c r="G463" s="28"/>
      <c r="H463" s="28"/>
      <c r="I463" s="28"/>
      <c r="J463" s="321"/>
      <c r="K463" s="321"/>
      <c r="L463" s="320"/>
      <c r="M463" s="320"/>
      <c r="N463" s="320"/>
      <c r="O463" s="321"/>
      <c r="P463" s="320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  <c r="AA463" s="321"/>
      <c r="AB463" s="321"/>
      <c r="AC463" s="321"/>
      <c r="AD463" s="320"/>
      <c r="AE463" s="172"/>
      <c r="AF463" s="172"/>
      <c r="AG463" s="28"/>
      <c r="AH463" s="28"/>
      <c r="AI463" s="28"/>
      <c r="AJ463" s="60"/>
      <c r="AK463" s="293"/>
      <c r="AL463" s="294"/>
      <c r="AM463" s="294"/>
      <c r="AP463" s="295"/>
      <c r="AU463" s="295"/>
      <c r="AZ463" s="295"/>
      <c r="BE463" s="295"/>
      <c r="BJ463" s="295"/>
      <c r="BK463" s="293"/>
      <c r="BM463" s="296"/>
      <c r="BN463" s="296"/>
      <c r="BO463" s="296"/>
      <c r="BP463" s="296"/>
      <c r="BQ463" s="296"/>
      <c r="BR463" s="296"/>
      <c r="BS463" s="296"/>
      <c r="BT463" s="296"/>
      <c r="BU463" s="296"/>
    </row>
    <row r="464" spans="1:73" s="292" customFormat="1" x14ac:dyDescent="0.25">
      <c r="A464" s="167"/>
      <c r="B464" s="167"/>
      <c r="C464" s="167"/>
      <c r="D464" s="28"/>
      <c r="E464" s="28"/>
      <c r="F464" s="260"/>
      <c r="G464" s="28"/>
      <c r="H464" s="28"/>
      <c r="I464" s="28"/>
      <c r="J464" s="321"/>
      <c r="K464" s="321"/>
      <c r="L464" s="320"/>
      <c r="M464" s="320"/>
      <c r="N464" s="320"/>
      <c r="O464" s="321"/>
      <c r="P464" s="320"/>
      <c r="Q464" s="321"/>
      <c r="R464" s="321"/>
      <c r="S464" s="321"/>
      <c r="T464" s="321"/>
      <c r="U464" s="321"/>
      <c r="V464" s="321"/>
      <c r="W464" s="321"/>
      <c r="X464" s="321"/>
      <c r="Y464" s="321"/>
      <c r="Z464" s="321"/>
      <c r="AA464" s="321"/>
      <c r="AB464" s="321"/>
      <c r="AC464" s="321"/>
      <c r="AD464" s="320"/>
      <c r="AE464" s="172"/>
      <c r="AF464" s="172"/>
      <c r="AG464" s="28"/>
      <c r="AH464" s="28"/>
      <c r="AI464" s="28"/>
      <c r="AJ464" s="60"/>
      <c r="AK464" s="293"/>
      <c r="AL464" s="294"/>
      <c r="AM464" s="294"/>
      <c r="AP464" s="295"/>
      <c r="AU464" s="295"/>
      <c r="AZ464" s="295"/>
      <c r="BE464" s="295"/>
      <c r="BJ464" s="295"/>
      <c r="BK464" s="293"/>
      <c r="BM464" s="296"/>
      <c r="BN464" s="296"/>
      <c r="BO464" s="296"/>
      <c r="BP464" s="296"/>
      <c r="BQ464" s="296"/>
      <c r="BR464" s="296"/>
      <c r="BS464" s="296"/>
      <c r="BT464" s="296"/>
      <c r="BU464" s="296"/>
    </row>
    <row r="465" spans="1:73" s="292" customFormat="1" x14ac:dyDescent="0.25">
      <c r="A465" s="167"/>
      <c r="B465" s="167"/>
      <c r="C465" s="167"/>
      <c r="D465" s="28"/>
      <c r="E465" s="28"/>
      <c r="F465" s="260"/>
      <c r="G465" s="28"/>
      <c r="H465" s="28"/>
      <c r="I465" s="28"/>
      <c r="J465" s="321"/>
      <c r="K465" s="321"/>
      <c r="L465" s="320"/>
      <c r="M465" s="320"/>
      <c r="N465" s="320"/>
      <c r="O465" s="321"/>
      <c r="P465" s="320"/>
      <c r="Q465" s="321"/>
      <c r="R465" s="321"/>
      <c r="S465" s="321"/>
      <c r="T465" s="321"/>
      <c r="U465" s="321"/>
      <c r="V465" s="321"/>
      <c r="W465" s="321"/>
      <c r="X465" s="321"/>
      <c r="Y465" s="321"/>
      <c r="Z465" s="321"/>
      <c r="AA465" s="321"/>
      <c r="AB465" s="321"/>
      <c r="AC465" s="321"/>
      <c r="AD465" s="320"/>
      <c r="AE465" s="172"/>
      <c r="AF465" s="172"/>
      <c r="AG465" s="28"/>
      <c r="AH465" s="28"/>
      <c r="AI465" s="28"/>
      <c r="AJ465" s="60"/>
      <c r="AK465" s="293"/>
      <c r="AL465" s="294"/>
      <c r="AM465" s="294"/>
      <c r="AP465" s="295"/>
      <c r="AU465" s="295"/>
      <c r="AZ465" s="295"/>
      <c r="BE465" s="295"/>
      <c r="BJ465" s="295"/>
      <c r="BK465" s="293"/>
      <c r="BM465" s="296"/>
      <c r="BN465" s="296"/>
      <c r="BO465" s="296"/>
      <c r="BP465" s="296"/>
      <c r="BQ465" s="296"/>
      <c r="BR465" s="296"/>
      <c r="BS465" s="296"/>
      <c r="BT465" s="296"/>
      <c r="BU465" s="296"/>
    </row>
    <row r="466" spans="1:73" s="292" customFormat="1" x14ac:dyDescent="0.25">
      <c r="A466" s="167"/>
      <c r="B466" s="167"/>
      <c r="C466" s="167"/>
      <c r="D466" s="28"/>
      <c r="E466" s="28"/>
      <c r="F466" s="260"/>
      <c r="G466" s="28"/>
      <c r="H466" s="28"/>
      <c r="I466" s="28"/>
      <c r="J466" s="321"/>
      <c r="K466" s="321"/>
      <c r="L466" s="320"/>
      <c r="M466" s="320"/>
      <c r="N466" s="320"/>
      <c r="O466" s="321"/>
      <c r="P466" s="320"/>
      <c r="Q466" s="321"/>
      <c r="R466" s="321"/>
      <c r="S466" s="321"/>
      <c r="T466" s="321"/>
      <c r="U466" s="321"/>
      <c r="V466" s="321"/>
      <c r="W466" s="321"/>
      <c r="X466" s="321"/>
      <c r="Y466" s="321"/>
      <c r="Z466" s="321"/>
      <c r="AA466" s="321"/>
      <c r="AB466" s="321"/>
      <c r="AC466" s="321"/>
      <c r="AD466" s="320"/>
      <c r="AE466" s="172"/>
      <c r="AF466" s="172"/>
      <c r="AG466" s="28"/>
      <c r="AH466" s="28"/>
      <c r="AI466" s="28"/>
      <c r="AJ466" s="60"/>
      <c r="AK466" s="293"/>
      <c r="AL466" s="294"/>
      <c r="AM466" s="294"/>
      <c r="AP466" s="295"/>
      <c r="AU466" s="295"/>
      <c r="AZ466" s="295"/>
      <c r="BE466" s="295"/>
      <c r="BJ466" s="295"/>
      <c r="BK466" s="293"/>
      <c r="BM466" s="296"/>
      <c r="BN466" s="296"/>
      <c r="BO466" s="296"/>
      <c r="BP466" s="296"/>
      <c r="BQ466" s="296"/>
      <c r="BR466" s="296"/>
      <c r="BS466" s="296"/>
      <c r="BT466" s="296"/>
      <c r="BU466" s="296"/>
    </row>
    <row r="467" spans="1:73" x14ac:dyDescent="0.25">
      <c r="D467" s="28"/>
      <c r="E467" s="28"/>
      <c r="F467" s="260"/>
      <c r="G467" s="28"/>
      <c r="H467" s="28"/>
      <c r="I467" s="28"/>
      <c r="J467" s="321"/>
      <c r="K467" s="321"/>
    </row>
    <row r="468" spans="1:73" x14ac:dyDescent="0.25">
      <c r="D468" s="28"/>
      <c r="E468" s="28"/>
      <c r="F468" s="260"/>
      <c r="G468" s="28"/>
      <c r="H468" s="28"/>
      <c r="I468" s="28"/>
      <c r="J468" s="321"/>
      <c r="K468" s="321"/>
    </row>
    <row r="469" spans="1:73" x14ac:dyDescent="0.25">
      <c r="D469" s="28"/>
      <c r="E469" s="28"/>
      <c r="F469" s="260"/>
      <c r="G469" s="28"/>
      <c r="H469" s="28"/>
      <c r="I469" s="28"/>
      <c r="J469" s="321"/>
      <c r="K469" s="321"/>
    </row>
    <row r="470" spans="1:73" x14ac:dyDescent="0.25">
      <c r="D470" s="28"/>
      <c r="E470" s="28"/>
      <c r="F470" s="260"/>
      <c r="G470" s="28"/>
      <c r="H470" s="28"/>
      <c r="I470" s="28"/>
      <c r="J470" s="321"/>
      <c r="K470" s="321"/>
    </row>
    <row r="471" spans="1:73" x14ac:dyDescent="0.25">
      <c r="D471" s="28"/>
      <c r="E471" s="28"/>
      <c r="F471" s="260"/>
      <c r="G471" s="28"/>
      <c r="H471" s="28"/>
      <c r="I471" s="28"/>
      <c r="J471" s="321"/>
      <c r="K471" s="321"/>
    </row>
    <row r="472" spans="1:73" x14ac:dyDescent="0.25">
      <c r="D472" s="28"/>
      <c r="E472" s="28"/>
      <c r="F472" s="260"/>
      <c r="G472" s="28"/>
      <c r="H472" s="28"/>
      <c r="I472" s="28"/>
      <c r="J472" s="321"/>
      <c r="K472" s="321"/>
    </row>
    <row r="473" spans="1:73" x14ac:dyDescent="0.25">
      <c r="D473" s="28"/>
      <c r="E473" s="28"/>
      <c r="F473" s="260"/>
      <c r="G473" s="28"/>
      <c r="H473" s="28"/>
      <c r="I473" s="28"/>
      <c r="J473" s="321"/>
      <c r="K473" s="321"/>
    </row>
    <row r="474" spans="1:73" x14ac:dyDescent="0.25">
      <c r="G474" s="28"/>
      <c r="H474" s="28"/>
      <c r="I474" s="28"/>
      <c r="J474" s="321"/>
      <c r="K474" s="321"/>
    </row>
  </sheetData>
  <sheetProtection algorithmName="SHA-512" hashValue="6Th+iUetTmDYblk9eISy0AkQ5gGUA1dGB18aJJt2LIKEW+4C6g6Bad1UhyaCbS0dgfm8gvmLatX0TQ6qGjorvA==" saltValue="zyjQvhH3A+mYz0WKc+vfUQ==" spinCount="100000" sheet="1" formatCells="0" formatColumns="0" formatRows="0" insertColumns="0" insertRows="0" insertHyperlinks="0" sort="0" autoFilter="0" pivotTables="0"/>
  <sortState xmlns:xlrd2="http://schemas.microsoft.com/office/spreadsheetml/2017/richdata2" ref="D341:D363">
    <sortCondition ref="D341"/>
  </sortState>
  <customSheetViews>
    <customSheetView guid="{57C5C8F1-8001-4F07-BD71-B2E547A208C7}" printArea="1" filter="1" showAutoFilter="1" hiddenColumns="1">
      <selection activeCell="AG193" sqref="AG193"/>
      <pageMargins left="0.37" right="0.33" top="0.62" bottom="0.64" header="0.5" footer="0.5"/>
      <pageSetup scale="88" orientation="landscape" r:id="rId1"/>
      <headerFooter alignWithMargins="0"/>
      <autoFilter ref="AH16:AH183" xr:uid="{135FAF29-44FC-4243-AC1F-24FF8C7619B7}">
        <filterColumn colId="0">
          <filters>
            <filter val="TRUE"/>
          </filters>
        </filterColumn>
      </autoFilter>
    </customSheetView>
    <customSheetView guid="{EEFF5A2A-628E-4803-AAD1-B24B534F2503}" printArea="1" showAutoFilter="1" hiddenColumns="1">
      <selection activeCell="AG193" sqref="AG193"/>
      <pageMargins left="0.37" right="0.33" top="0.62" bottom="0.64" header="0.5" footer="0.5"/>
      <pageSetup scale="88" orientation="landscape" r:id="rId2"/>
      <headerFooter alignWithMargins="0"/>
      <autoFilter ref="AH16:AH183" xr:uid="{0A41A115-49BB-4BDD-9B81-3BF713A46085}"/>
    </customSheetView>
  </customSheetViews>
  <mergeCells count="16">
    <mergeCell ref="AM14:AU14"/>
    <mergeCell ref="I7:AA10"/>
    <mergeCell ref="AM10:AN10"/>
    <mergeCell ref="B5:M5"/>
    <mergeCell ref="E3:G3"/>
    <mergeCell ref="E4:G4"/>
    <mergeCell ref="AH12:AJ12"/>
    <mergeCell ref="AH13:AJ13"/>
    <mergeCell ref="AH11:AJ11"/>
    <mergeCell ref="I12:N12"/>
    <mergeCell ref="AM5:AO5"/>
    <mergeCell ref="BH17:BJ17"/>
    <mergeCell ref="AN17:AP17"/>
    <mergeCell ref="AS17:AU17"/>
    <mergeCell ref="AX17:AZ17"/>
    <mergeCell ref="BC17:BE17"/>
  </mergeCells>
  <phoneticPr fontId="0" type="noConversion"/>
  <dataValidations count="6">
    <dataValidation type="list" allowBlank="1" showInputMessage="1" showErrorMessage="1" sqref="A150:A212" xr:uid="{00000000-0002-0000-0000-000003000000}">
      <formula1>$D$337:$D$338</formula1>
    </dataValidation>
    <dataValidation type="list" allowBlank="1" showInputMessage="1" showErrorMessage="1" sqref="AK11:AK13 AI18:AI48" xr:uid="{00000000-0002-0000-0000-000001000000}">
      <formula1>$D$390:$D$391</formula1>
    </dataValidation>
    <dataValidation type="list" allowBlank="1" showInputMessage="1" showErrorMessage="1" sqref="AL18:AL68" xr:uid="{C8CFF264-395E-4251-BB1F-C4A9C0BC7A88}">
      <formula1>$D$393:$D$395</formula1>
    </dataValidation>
    <dataValidation type="list" allowBlank="1" showInputMessage="1" showErrorMessage="1" sqref="A17:A70" xr:uid="{00000000-0002-0000-0000-000002000000}">
      <formula1>$D$303:$D$318</formula1>
    </dataValidation>
    <dataValidation type="list" allowBlank="1" showInputMessage="1" showErrorMessage="1" sqref="A218:A226" xr:uid="{80055895-407A-4793-83D9-959687E9106E}">
      <formula1>$D$366:$D$371</formula1>
    </dataValidation>
    <dataValidation type="list" allowBlank="1" showInputMessage="1" showErrorMessage="1" sqref="A244:A270 A231:A242" xr:uid="{00000000-0002-0000-0000-000000000000}">
      <formula1>$D$340:$D$364</formula1>
    </dataValidation>
  </dataValidations>
  <hyperlinks>
    <hyperlink ref="D153" r:id="rId3" display="Lodging (GSA rate)" xr:uid="{8B410DF9-2D35-4791-89FD-18E4BA8DD854}"/>
    <hyperlink ref="D154" r:id="rId4" location="meal" xr:uid="{EC53F6F6-EC1B-4506-8F09-C6D27FE53E5D}"/>
    <hyperlink ref="D162" r:id="rId5" location="meal" xr:uid="{C64E68BD-5C2C-4B52-A28E-AD30C25CE07A}"/>
    <hyperlink ref="D170" r:id="rId6" location="meal" xr:uid="{E98D46F8-63AB-47C9-94AF-63FBAC354BDA}"/>
    <hyperlink ref="D178" r:id="rId7" location="meal" xr:uid="{97AFDF66-ED04-432A-B7B6-573D154F1DE1}"/>
    <hyperlink ref="D191" r:id="rId8" xr:uid="{967250CA-CCD9-4894-9CEA-0D0A4BDA3A2D}"/>
    <hyperlink ref="D199" r:id="rId9" xr:uid="{33353C0B-1F3C-4482-977A-A36A697E0F1A}"/>
    <hyperlink ref="D207" r:id="rId10" xr:uid="{79CC2D38-6145-4C32-83ED-B377BBAA28B2}"/>
    <hyperlink ref="D161" r:id="rId11" display="Lodging (GSA rate)" xr:uid="{69E11024-6ACC-4C67-9639-21D9E5609678}"/>
    <hyperlink ref="D169" r:id="rId12" display="Lodging (GSA rate)" xr:uid="{75D56DFA-C30F-4C8C-935E-0B6B6C877B0C}"/>
    <hyperlink ref="D177" r:id="rId13" display="Lodging (GSA rate)" xr:uid="{AE0BD293-F66F-4A85-93F5-65ED4DAF3B30}"/>
    <hyperlink ref="AH284" r:id="rId14" xr:uid="{28EC8729-3EB5-4895-8DEE-D859EEC38EA7}"/>
    <hyperlink ref="AK269" r:id="rId15" xr:uid="{65773BAE-704C-4561-8498-BB2CD5856016}"/>
    <hyperlink ref="AK270" r:id="rId16" xr:uid="{659F5444-D222-4763-989A-2C6D4EF68F5E}"/>
  </hyperlinks>
  <pageMargins left="0.37" right="0.33" top="0.62" bottom="0.64" header="0.5" footer="0.5"/>
  <pageSetup scale="78" orientation="landscape" r:id="rId17"/>
  <headerFooter alignWithMargins="0"/>
  <colBreaks count="1" manualBreakCount="1">
    <brk id="31" max="182" man="1"/>
  </colBreaks>
  <ignoredErrors>
    <ignoredError sqref="I270" evalError="1"/>
  </ignoredErrors>
  <drawing r:id="rId18"/>
  <legacyDrawing r:id="rId19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11421-5939-4280-8A5C-7FBBB9CB35C2}">
  <dimension ref="A1:BM384"/>
  <sheetViews>
    <sheetView topLeftCell="B227" workbookViewId="0">
      <selection activeCell="E3" sqref="E3:G3"/>
    </sheetView>
  </sheetViews>
  <sheetFormatPr defaultRowHeight="15.75" x14ac:dyDescent="0.25"/>
  <cols>
    <col min="1" max="1" width="19.5" customWidth="1"/>
    <col min="2" max="2" width="3.5" customWidth="1"/>
    <col min="3" max="3" width="6.375" customWidth="1"/>
    <col min="4" max="4" width="20.75" customWidth="1"/>
    <col min="6" max="6" width="5.625" customWidth="1"/>
    <col min="7" max="7" width="10.5" customWidth="1"/>
    <col min="8" max="8" width="12.875" customWidth="1"/>
    <col min="9" max="9" width="3.375" customWidth="1"/>
    <col min="11" max="11" width="2.875" customWidth="1"/>
    <col min="12" max="12" width="0" hidden="1" customWidth="1"/>
    <col min="13" max="13" width="2.875" hidden="1" customWidth="1"/>
    <col min="14" max="14" width="8.125" customWidth="1"/>
    <col min="15" max="15" width="1.875" customWidth="1"/>
    <col min="16" max="16" width="0" hidden="1" customWidth="1"/>
    <col min="17" max="17" width="2.75" hidden="1" customWidth="1"/>
    <col min="18" max="18" width="6.875" customWidth="1"/>
    <col min="19" max="19" width="3.25" customWidth="1"/>
    <col min="20" max="20" width="0" hidden="1" customWidth="1"/>
    <col min="21" max="21" width="3" hidden="1" customWidth="1"/>
    <col min="22" max="22" width="7.5" customWidth="1"/>
    <col min="23" max="23" width="3.125" customWidth="1"/>
    <col min="24" max="24" width="0" hidden="1" customWidth="1"/>
    <col min="25" max="25" width="2.625" hidden="1" customWidth="1"/>
    <col min="26" max="26" width="7.75" customWidth="1"/>
    <col min="27" max="27" width="2.25" customWidth="1"/>
    <col min="28" max="28" width="0" hidden="1" customWidth="1"/>
    <col min="29" max="29" width="2.875" hidden="1" customWidth="1"/>
    <col min="31" max="31" width="5" customWidth="1"/>
    <col min="32" max="33" width="0" hidden="1" customWidth="1"/>
    <col min="34" max="34" width="5.5" customWidth="1"/>
    <col min="35" max="35" width="7.875" customWidth="1"/>
    <col min="36" max="36" width="13.75" customWidth="1"/>
    <col min="39" max="39" width="7.875" customWidth="1"/>
    <col min="43" max="43" width="2.375" customWidth="1"/>
    <col min="48" max="48" width="3.75" customWidth="1"/>
    <col min="53" max="53" width="3.75" customWidth="1"/>
    <col min="58" max="58" width="3.125" customWidth="1"/>
    <col min="63" max="63" width="2.875" customWidth="1"/>
  </cols>
  <sheetData>
    <row r="1" spans="1:65" x14ac:dyDescent="0.25">
      <c r="A1" s="167"/>
      <c r="B1" s="167" t="s">
        <v>154</v>
      </c>
      <c r="C1" s="167"/>
      <c r="D1" s="167"/>
      <c r="E1" s="168">
        <f>Estimation!E1</f>
        <v>0</v>
      </c>
      <c r="F1" s="169"/>
      <c r="G1" s="169"/>
      <c r="H1" s="170"/>
      <c r="I1" s="171"/>
      <c r="J1" s="170"/>
      <c r="K1" s="170" t="s">
        <v>193</v>
      </c>
      <c r="L1" s="170"/>
      <c r="M1" s="170"/>
      <c r="N1" s="170"/>
      <c r="O1" s="28"/>
      <c r="P1" s="170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172"/>
      <c r="AE1" s="172"/>
      <c r="AF1" s="172"/>
      <c r="AG1" s="28"/>
      <c r="AH1" s="28"/>
      <c r="AI1" s="28"/>
      <c r="AJ1" s="60"/>
      <c r="AK1" s="45"/>
      <c r="AL1" s="173"/>
      <c r="AM1" s="173"/>
      <c r="AN1" s="28"/>
      <c r="AO1" s="28"/>
      <c r="AP1" s="41"/>
      <c r="AQ1" s="28"/>
      <c r="AR1" s="28"/>
      <c r="AS1" s="28"/>
      <c r="AT1" s="28"/>
      <c r="AU1" s="41"/>
      <c r="AV1" s="28"/>
      <c r="AW1" s="28"/>
      <c r="AX1" s="28"/>
      <c r="AY1" s="28"/>
      <c r="AZ1" s="41"/>
      <c r="BA1" s="28"/>
      <c r="BB1" s="28"/>
      <c r="BC1" s="28"/>
      <c r="BD1" s="28"/>
      <c r="BE1" s="41"/>
      <c r="BF1" s="28"/>
      <c r="BG1" s="28"/>
      <c r="BH1" s="28"/>
      <c r="BI1" s="28"/>
      <c r="BJ1" s="41"/>
      <c r="BK1" s="45"/>
      <c r="BL1" s="28"/>
      <c r="BM1" s="174"/>
    </row>
    <row r="2" spans="1:65" x14ac:dyDescent="0.25">
      <c r="A2" s="167"/>
      <c r="B2" s="167" t="s">
        <v>155</v>
      </c>
      <c r="C2" s="167"/>
      <c r="D2" s="167"/>
      <c r="E2" s="168">
        <f>Estimation!E2</f>
        <v>0</v>
      </c>
      <c r="F2" s="169"/>
      <c r="G2" s="169"/>
      <c r="H2" s="170"/>
      <c r="I2" s="170"/>
      <c r="J2" s="170"/>
      <c r="K2" s="170"/>
      <c r="L2" s="170"/>
      <c r="M2" s="170"/>
      <c r="N2" s="170"/>
      <c r="O2" s="28"/>
      <c r="P2" s="170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72"/>
      <c r="AE2" s="172"/>
      <c r="AF2" s="172"/>
      <c r="AG2" s="28"/>
      <c r="AH2" s="28"/>
      <c r="AI2" s="28"/>
      <c r="AJ2" s="60"/>
      <c r="AK2" s="45"/>
      <c r="AL2" s="173"/>
      <c r="AM2" s="173"/>
      <c r="AN2" s="28"/>
      <c r="AO2" s="28"/>
      <c r="AP2" s="41"/>
      <c r="AQ2" s="28"/>
      <c r="AR2" s="28"/>
      <c r="AS2" s="28"/>
      <c r="AT2" s="28"/>
      <c r="AU2" s="41"/>
      <c r="AV2" s="28"/>
      <c r="AW2" s="28"/>
      <c r="AX2" s="28"/>
      <c r="AY2" s="28"/>
      <c r="AZ2" s="41"/>
      <c r="BA2" s="28"/>
      <c r="BB2" s="28"/>
      <c r="BC2" s="28"/>
      <c r="BD2" s="28"/>
      <c r="BE2" s="41"/>
      <c r="BF2" s="28"/>
      <c r="BG2" s="28"/>
      <c r="BH2" s="28"/>
      <c r="BI2" s="28"/>
      <c r="BJ2" s="41"/>
      <c r="BK2" s="45"/>
      <c r="BL2" s="28"/>
      <c r="BM2" s="174"/>
    </row>
    <row r="3" spans="1:65" x14ac:dyDescent="0.25">
      <c r="A3" s="167"/>
      <c r="B3" s="167" t="s">
        <v>116</v>
      </c>
      <c r="C3" s="167"/>
      <c r="D3" s="167"/>
      <c r="E3" s="399">
        <f>Estimation!E3</f>
        <v>0</v>
      </c>
      <c r="F3" s="399"/>
      <c r="G3" s="399"/>
      <c r="H3" s="170"/>
      <c r="I3" s="170"/>
      <c r="J3" s="170"/>
      <c r="K3" s="170"/>
      <c r="L3" s="170"/>
      <c r="M3" s="170"/>
      <c r="N3" s="170"/>
      <c r="O3" s="28"/>
      <c r="P3" s="170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172"/>
      <c r="AE3" s="172"/>
      <c r="AF3" s="172"/>
      <c r="AG3" s="28"/>
      <c r="AH3" s="28"/>
      <c r="AI3" s="28"/>
      <c r="AJ3" s="261" t="s">
        <v>54</v>
      </c>
      <c r="AK3" s="312" t="s">
        <v>259</v>
      </c>
      <c r="AL3" s="173"/>
      <c r="AM3" s="173"/>
      <c r="AN3" s="28"/>
      <c r="AO3" s="28"/>
      <c r="AP3" s="41"/>
      <c r="AQ3" s="28"/>
      <c r="AR3" s="28"/>
      <c r="AS3" s="28"/>
      <c r="AT3" s="28"/>
      <c r="AU3" s="41"/>
      <c r="AV3" s="28"/>
      <c r="AW3" s="28"/>
      <c r="AX3" s="28"/>
      <c r="AY3" s="28"/>
      <c r="AZ3" s="41"/>
      <c r="BA3" s="28"/>
      <c r="BB3" s="28"/>
      <c r="BC3" s="28"/>
      <c r="BD3" s="28"/>
      <c r="BE3" s="41"/>
      <c r="BF3" s="28"/>
      <c r="BG3" s="28"/>
      <c r="BH3" s="28"/>
      <c r="BI3" s="28"/>
      <c r="BJ3" s="41"/>
      <c r="BK3" s="45"/>
      <c r="BL3" s="28"/>
      <c r="BM3" s="174"/>
    </row>
    <row r="4" spans="1:65" x14ac:dyDescent="0.25">
      <c r="A4" s="167"/>
      <c r="B4" s="167" t="s">
        <v>142</v>
      </c>
      <c r="C4" s="167"/>
      <c r="D4" s="167"/>
      <c r="E4" s="400">
        <f>Estimation!E4</f>
        <v>0</v>
      </c>
      <c r="F4" s="400"/>
      <c r="G4" s="400"/>
      <c r="H4" s="170"/>
      <c r="I4" s="170"/>
      <c r="J4" s="170"/>
      <c r="K4" s="170"/>
      <c r="L4" s="170"/>
      <c r="M4" s="170"/>
      <c r="N4" s="170"/>
      <c r="O4" s="28"/>
      <c r="P4" s="170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72"/>
      <c r="AE4" s="172"/>
      <c r="AF4" s="172"/>
      <c r="AG4" s="28"/>
      <c r="AH4" s="28"/>
      <c r="AI4" s="28"/>
      <c r="AJ4" s="262" t="s">
        <v>58</v>
      </c>
      <c r="AK4" s="263">
        <v>0.03</v>
      </c>
      <c r="AL4" s="173"/>
      <c r="AM4" s="173"/>
      <c r="AN4" s="28"/>
      <c r="AO4" s="28"/>
      <c r="AP4" s="41"/>
      <c r="AQ4" s="28"/>
      <c r="AR4" s="28"/>
      <c r="AS4" s="28"/>
      <c r="AT4" s="28"/>
      <c r="AU4" s="41"/>
      <c r="AV4" s="28"/>
      <c r="AW4" s="28"/>
      <c r="AX4" s="28"/>
      <c r="AY4" s="28"/>
      <c r="AZ4" s="41"/>
      <c r="BA4" s="28"/>
      <c r="BB4" s="28"/>
      <c r="BC4" s="28"/>
      <c r="BD4" s="28"/>
      <c r="BE4" s="41"/>
      <c r="BF4" s="28"/>
      <c r="BG4" s="28"/>
      <c r="BH4" s="28"/>
      <c r="BI4" s="28"/>
      <c r="BJ4" s="41"/>
      <c r="BK4" s="45"/>
      <c r="BL4" s="28"/>
      <c r="BM4" s="174"/>
    </row>
    <row r="5" spans="1:65" x14ac:dyDescent="0.25">
      <c r="A5" s="167"/>
      <c r="B5" s="27" t="s">
        <v>143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175"/>
      <c r="O5" s="173"/>
      <c r="P5" s="175"/>
      <c r="Q5" s="173"/>
      <c r="R5" s="28"/>
      <c r="S5" s="28"/>
      <c r="T5" s="28"/>
      <c r="U5" s="28"/>
      <c r="V5" s="176"/>
      <c r="W5" s="28"/>
      <c r="X5" s="176"/>
      <c r="Y5" s="28"/>
      <c r="Z5" s="28"/>
      <c r="AA5" s="28"/>
      <c r="AB5" s="28"/>
      <c r="AC5" s="28"/>
      <c r="AD5" s="172"/>
      <c r="AE5" s="172"/>
      <c r="AF5" s="172"/>
      <c r="AG5" s="28"/>
      <c r="AH5" s="28"/>
      <c r="AI5" s="28"/>
      <c r="AJ5" s="264" t="s">
        <v>6</v>
      </c>
      <c r="AK5" s="263">
        <v>0</v>
      </c>
      <c r="AL5" s="173"/>
      <c r="AM5" s="403" t="s">
        <v>229</v>
      </c>
      <c r="AN5" s="404"/>
      <c r="AO5" s="405"/>
      <c r="AP5" s="41"/>
      <c r="AQ5" s="28"/>
      <c r="AR5" s="28"/>
      <c r="AS5" s="28"/>
      <c r="AT5" s="28"/>
      <c r="AU5" s="41"/>
      <c r="AV5" s="28"/>
      <c r="AW5" s="28"/>
      <c r="AX5" s="28"/>
      <c r="AY5" s="28"/>
      <c r="AZ5" s="41"/>
      <c r="BA5" s="28"/>
      <c r="BB5" s="28"/>
      <c r="BC5" s="28"/>
      <c r="BD5" s="28"/>
      <c r="BE5" s="41"/>
      <c r="BF5" s="28"/>
      <c r="BG5" s="28"/>
      <c r="BH5" s="28"/>
      <c r="BI5" s="28"/>
      <c r="BJ5" s="41"/>
      <c r="BK5" s="45"/>
      <c r="BL5" s="28"/>
      <c r="BM5" s="174"/>
    </row>
    <row r="6" spans="1:65" x14ac:dyDescent="0.25">
      <c r="A6" s="167"/>
      <c r="B6" s="167" t="s">
        <v>50</v>
      </c>
      <c r="C6" s="167"/>
      <c r="D6" s="174"/>
      <c r="E6" s="177">
        <f>Estimation!E6</f>
        <v>0</v>
      </c>
      <c r="F6" s="177"/>
      <c r="G6" s="177"/>
      <c r="H6" s="170"/>
      <c r="I6" s="170"/>
      <c r="J6" s="372" t="s">
        <v>266</v>
      </c>
      <c r="K6" s="373"/>
      <c r="L6" s="373"/>
      <c r="M6" s="373"/>
      <c r="N6" s="373"/>
      <c r="O6" s="374"/>
      <c r="P6" s="373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28"/>
      <c r="AB6" s="28"/>
      <c r="AC6" s="28"/>
      <c r="AD6" s="172"/>
      <c r="AE6" s="172"/>
      <c r="AF6" s="172"/>
      <c r="AG6" s="28"/>
      <c r="AH6" s="28"/>
      <c r="AI6" s="28"/>
      <c r="AJ6" s="264" t="s">
        <v>55</v>
      </c>
      <c r="AK6" s="263">
        <v>0.03</v>
      </c>
      <c r="AL6" s="173"/>
      <c r="AM6" s="291" t="s">
        <v>216</v>
      </c>
      <c r="AN6" s="284"/>
      <c r="AO6" s="288">
        <f>(190/195)*9</f>
        <v>8.7692307692307701</v>
      </c>
      <c r="AP6" s="41"/>
      <c r="AQ6" s="28"/>
      <c r="AR6" s="28"/>
      <c r="AS6" s="28"/>
      <c r="AT6" s="28"/>
      <c r="AU6" s="41"/>
      <c r="AV6" s="28"/>
      <c r="AW6" s="28"/>
      <c r="AX6" s="28"/>
      <c r="AY6" s="28"/>
      <c r="AZ6" s="41"/>
      <c r="BA6" s="28"/>
      <c r="BB6" s="28"/>
      <c r="BC6" s="28"/>
      <c r="BD6" s="28"/>
      <c r="BE6" s="41"/>
      <c r="BF6" s="28"/>
      <c r="BG6" s="28"/>
      <c r="BH6" s="28"/>
      <c r="BI6" s="28"/>
      <c r="BJ6" s="41"/>
      <c r="BK6" s="45"/>
      <c r="BL6" s="28"/>
      <c r="BM6" s="174"/>
    </row>
    <row r="7" spans="1:65" x14ac:dyDescent="0.25">
      <c r="A7" s="167"/>
      <c r="B7" s="167" t="s">
        <v>51</v>
      </c>
      <c r="C7" s="167"/>
      <c r="D7" s="167"/>
      <c r="E7" s="177">
        <f>Estimation!E7</f>
        <v>0</v>
      </c>
      <c r="F7" s="177"/>
      <c r="G7" s="177"/>
      <c r="H7" s="167" t="s">
        <v>20</v>
      </c>
      <c r="I7" s="406" t="s">
        <v>274</v>
      </c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178"/>
      <c r="AC7" s="178"/>
      <c r="AD7" s="172"/>
      <c r="AE7" s="172"/>
      <c r="AF7" s="172"/>
      <c r="AG7" s="28"/>
      <c r="AH7" s="28"/>
      <c r="AI7" s="28"/>
      <c r="AJ7" s="264" t="s">
        <v>25</v>
      </c>
      <c r="AK7" s="265">
        <v>0.03</v>
      </c>
      <c r="AL7" s="173"/>
      <c r="AM7" s="291" t="s">
        <v>217</v>
      </c>
      <c r="AN7" s="284"/>
      <c r="AO7" s="289">
        <v>12</v>
      </c>
      <c r="AP7" s="41"/>
      <c r="AQ7" s="28"/>
      <c r="AR7" s="28"/>
      <c r="AS7" s="28"/>
      <c r="AT7" s="28"/>
      <c r="AU7" s="41"/>
      <c r="AV7" s="28"/>
      <c r="AW7" s="28"/>
      <c r="AX7" s="28"/>
      <c r="AY7" s="28"/>
      <c r="AZ7" s="41"/>
      <c r="BA7" s="28"/>
      <c r="BB7" s="28"/>
      <c r="BC7" s="28"/>
      <c r="BD7" s="28"/>
      <c r="BE7" s="41"/>
      <c r="BF7" s="28"/>
      <c r="BG7" s="28"/>
      <c r="BH7" s="28"/>
      <c r="BI7" s="28"/>
      <c r="BJ7" s="41"/>
      <c r="BK7" s="45"/>
      <c r="BL7" s="28"/>
      <c r="BM7" s="174"/>
    </row>
    <row r="8" spans="1:65" x14ac:dyDescent="0.25">
      <c r="A8" s="167"/>
      <c r="B8" s="167"/>
      <c r="C8" s="167"/>
      <c r="D8" s="167"/>
      <c r="E8" s="168"/>
      <c r="F8" s="177"/>
      <c r="G8" s="177"/>
      <c r="H8" s="170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  <c r="AB8" s="178"/>
      <c r="AC8" s="178"/>
      <c r="AD8" s="172"/>
      <c r="AE8" s="172"/>
      <c r="AF8" s="179"/>
      <c r="AG8" s="28"/>
      <c r="AH8" s="28"/>
      <c r="AI8" s="28"/>
      <c r="AJ8" s="266" t="s">
        <v>158</v>
      </c>
      <c r="AK8" s="267">
        <v>0.05</v>
      </c>
      <c r="AL8" s="173"/>
      <c r="AM8" s="285"/>
      <c r="AN8" s="284"/>
      <c r="AO8" s="289"/>
      <c r="AP8" s="41"/>
      <c r="AQ8" s="28"/>
      <c r="AR8" s="28"/>
      <c r="AS8" s="28"/>
      <c r="AT8" s="28"/>
      <c r="AU8" s="41"/>
      <c r="AV8" s="28"/>
      <c r="AW8" s="28"/>
      <c r="AX8" s="28"/>
      <c r="AY8" s="28"/>
      <c r="AZ8" s="41"/>
      <c r="BA8" s="28"/>
      <c r="BB8" s="28"/>
      <c r="BC8" s="28"/>
      <c r="BD8" s="28"/>
      <c r="BE8" s="41"/>
      <c r="BF8" s="28"/>
      <c r="BG8" s="28"/>
      <c r="BH8" s="28"/>
      <c r="BI8" s="28"/>
      <c r="BJ8" s="41"/>
      <c r="BK8" s="45"/>
      <c r="BL8" s="28"/>
      <c r="BM8" s="174"/>
    </row>
    <row r="9" spans="1:65" x14ac:dyDescent="0.25">
      <c r="A9" s="167"/>
      <c r="B9" s="167"/>
      <c r="C9" s="167"/>
      <c r="D9" s="167"/>
      <c r="E9" s="167"/>
      <c r="F9" s="81"/>
      <c r="G9" s="81"/>
      <c r="H9" s="170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178"/>
      <c r="AC9" s="178"/>
      <c r="AD9" s="172"/>
      <c r="AE9" s="172"/>
      <c r="AF9" s="179"/>
      <c r="AG9" s="28"/>
      <c r="AH9" s="28"/>
      <c r="AI9" s="28"/>
      <c r="AJ9" s="60"/>
      <c r="AK9" s="180"/>
      <c r="AL9" s="173"/>
      <c r="AM9" s="291" t="s">
        <v>214</v>
      </c>
      <c r="AN9" s="284"/>
      <c r="AO9" s="289">
        <v>190</v>
      </c>
      <c r="AP9" s="41"/>
      <c r="AQ9" s="28"/>
      <c r="AR9" s="28"/>
      <c r="AS9" s="28"/>
      <c r="AT9" s="28"/>
      <c r="AU9" s="41"/>
      <c r="AV9" s="28"/>
      <c r="AW9" s="28"/>
      <c r="AX9" s="28"/>
      <c r="AY9" s="28"/>
      <c r="AZ9" s="41"/>
      <c r="BA9" s="28"/>
      <c r="BB9" s="28"/>
      <c r="BC9" s="28"/>
      <c r="BD9" s="28"/>
      <c r="BE9" s="41"/>
      <c r="BF9" s="28"/>
      <c r="BG9" s="28"/>
      <c r="BH9" s="28"/>
      <c r="BI9" s="28"/>
      <c r="BJ9" s="41"/>
      <c r="BK9" s="45"/>
      <c r="BL9" s="28"/>
      <c r="BM9" s="174"/>
    </row>
    <row r="10" spans="1:65" x14ac:dyDescent="0.25">
      <c r="A10" s="167"/>
      <c r="B10" s="167"/>
      <c r="C10" s="167"/>
      <c r="D10" s="167"/>
      <c r="E10" s="167"/>
      <c r="F10" s="81"/>
      <c r="G10" s="81"/>
      <c r="H10" s="170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178"/>
      <c r="AC10" s="178"/>
      <c r="AD10" s="172"/>
      <c r="AE10" s="172"/>
      <c r="AF10" s="179"/>
      <c r="AG10" s="28"/>
      <c r="AH10" s="8"/>
      <c r="AI10" s="8"/>
      <c r="AJ10" s="282" t="s">
        <v>92</v>
      </c>
      <c r="AK10" s="182">
        <v>5</v>
      </c>
      <c r="AL10" s="173"/>
      <c r="AM10" s="396" t="s">
        <v>215</v>
      </c>
      <c r="AN10" s="397"/>
      <c r="AO10" s="289">
        <v>70</v>
      </c>
      <c r="AP10" s="41"/>
      <c r="AQ10" s="28"/>
      <c r="AR10" s="28"/>
      <c r="AS10" s="28"/>
      <c r="AT10" s="28"/>
      <c r="AU10" s="41"/>
      <c r="AV10" s="28"/>
      <c r="AW10" s="28"/>
      <c r="AX10" s="28"/>
      <c r="AY10" s="28"/>
      <c r="AZ10" s="41"/>
      <c r="BA10" s="28"/>
      <c r="BB10" s="28"/>
      <c r="BC10" s="28"/>
      <c r="BD10" s="28"/>
      <c r="BE10" s="41"/>
      <c r="BF10" s="28"/>
      <c r="BG10" s="28"/>
      <c r="BH10" s="28"/>
      <c r="BI10" s="28"/>
      <c r="BJ10" s="41"/>
      <c r="BK10" s="45"/>
      <c r="BL10" s="28"/>
      <c r="BM10" s="174"/>
    </row>
    <row r="11" spans="1:65" x14ac:dyDescent="0.25">
      <c r="A11" s="167"/>
      <c r="B11" s="167"/>
      <c r="C11" s="167"/>
      <c r="D11" s="167"/>
      <c r="E11" s="167"/>
      <c r="F11" s="81"/>
      <c r="G11" s="81"/>
      <c r="H11" s="170"/>
      <c r="I11" s="179"/>
      <c r="J11" s="183"/>
      <c r="K11" s="179"/>
      <c r="L11" s="183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28"/>
      <c r="AH11" s="401" t="s">
        <v>262</v>
      </c>
      <c r="AI11" s="401"/>
      <c r="AJ11" s="401"/>
      <c r="AK11" s="184" t="s">
        <v>120</v>
      </c>
      <c r="AL11" s="173"/>
      <c r="AM11" s="286" t="s">
        <v>227</v>
      </c>
      <c r="AN11" s="287"/>
      <c r="AO11" s="290">
        <f>260/12</f>
        <v>21.6666666666667</v>
      </c>
      <c r="AP11" s="41"/>
      <c r="AQ11" s="28"/>
      <c r="AR11" s="28"/>
      <c r="AS11" s="28"/>
      <c r="AT11" s="28"/>
      <c r="AU11" s="41"/>
      <c r="AV11" s="28"/>
      <c r="AW11" s="28"/>
      <c r="AX11" s="28"/>
      <c r="AY11" s="28"/>
      <c r="AZ11" s="41"/>
      <c r="BA11" s="28"/>
      <c r="BB11" s="28"/>
      <c r="BC11" s="28"/>
      <c r="BD11" s="28"/>
      <c r="BE11" s="41"/>
      <c r="BF11" s="28"/>
      <c r="BG11" s="28"/>
      <c r="BH11" s="28"/>
      <c r="BI11" s="28"/>
      <c r="BJ11" s="41"/>
      <c r="BK11" s="45"/>
      <c r="BL11" s="28"/>
      <c r="BM11" s="174"/>
    </row>
    <row r="12" spans="1:65" x14ac:dyDescent="0.25">
      <c r="A12" s="167"/>
      <c r="B12" s="167"/>
      <c r="C12" s="167"/>
      <c r="D12" s="167"/>
      <c r="E12" s="167"/>
      <c r="F12" s="81"/>
      <c r="G12" s="81"/>
      <c r="H12" s="175" t="s">
        <v>160</v>
      </c>
      <c r="I12" s="402">
        <f>Estimation!I12</f>
        <v>0</v>
      </c>
      <c r="J12" s="402"/>
      <c r="K12" s="402"/>
      <c r="L12" s="402"/>
      <c r="M12" s="402"/>
      <c r="N12" s="402"/>
      <c r="O12" s="81"/>
      <c r="P12" s="81"/>
      <c r="Q12" s="81"/>
      <c r="R12" s="81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172"/>
      <c r="AE12" s="172"/>
      <c r="AF12" s="172"/>
      <c r="AG12" s="28"/>
      <c r="AH12" s="401" t="s">
        <v>263</v>
      </c>
      <c r="AI12" s="401"/>
      <c r="AJ12" s="401"/>
      <c r="AK12" s="184" t="s">
        <v>121</v>
      </c>
      <c r="AL12" s="173"/>
      <c r="AM12" s="167"/>
      <c r="AN12" s="28"/>
      <c r="AO12" s="28"/>
      <c r="AP12" s="41"/>
      <c r="AQ12" s="28"/>
      <c r="AR12" s="28" t="s">
        <v>213</v>
      </c>
      <c r="AS12" s="28"/>
      <c r="AT12" s="28"/>
      <c r="AU12" s="41"/>
      <c r="AV12" s="28"/>
      <c r="AW12" s="28"/>
      <c r="AX12" s="28"/>
      <c r="AY12" s="28"/>
      <c r="AZ12" s="41"/>
      <c r="BA12" s="28"/>
      <c r="BB12" s="28"/>
      <c r="BC12" s="28"/>
      <c r="BD12" s="28"/>
      <c r="BE12" s="41"/>
      <c r="BF12" s="28"/>
      <c r="BG12" s="28"/>
      <c r="BH12" s="28"/>
      <c r="BI12" s="28"/>
      <c r="BJ12" s="41"/>
      <c r="BK12" s="45"/>
      <c r="BL12" s="28"/>
      <c r="BM12" s="174"/>
    </row>
    <row r="13" spans="1:65" x14ac:dyDescent="0.25">
      <c r="A13" s="167"/>
      <c r="B13" s="167"/>
      <c r="C13" s="167"/>
      <c r="D13" s="167"/>
      <c r="E13" s="167"/>
      <c r="F13" s="81"/>
      <c r="G13" s="81"/>
      <c r="H13" s="170"/>
      <c r="I13" s="170"/>
      <c r="J13" s="170"/>
      <c r="K13" s="170"/>
      <c r="L13" s="185" t="s">
        <v>56</v>
      </c>
      <c r="M13" s="170"/>
      <c r="N13" s="170"/>
      <c r="O13" s="28"/>
      <c r="P13" s="185" t="s">
        <v>56</v>
      </c>
      <c r="Q13" s="28"/>
      <c r="R13" s="28"/>
      <c r="S13" s="28"/>
      <c r="T13" s="185" t="s">
        <v>56</v>
      </c>
      <c r="U13" s="28"/>
      <c r="V13" s="28"/>
      <c r="W13" s="28"/>
      <c r="X13" s="185" t="s">
        <v>56</v>
      </c>
      <c r="Y13" s="28"/>
      <c r="Z13" s="28"/>
      <c r="AA13" s="28"/>
      <c r="AB13" s="185" t="s">
        <v>56</v>
      </c>
      <c r="AC13" s="28"/>
      <c r="AD13" s="172"/>
      <c r="AE13" s="172"/>
      <c r="AF13" s="185" t="s">
        <v>56</v>
      </c>
      <c r="AG13" s="163" t="s">
        <v>57</v>
      </c>
      <c r="AH13" s="401" t="s">
        <v>264</v>
      </c>
      <c r="AI13" s="401"/>
      <c r="AJ13" s="401"/>
      <c r="AK13" s="184" t="s">
        <v>121</v>
      </c>
      <c r="AL13" s="173"/>
      <c r="AM13" s="28" t="s">
        <v>254</v>
      </c>
      <c r="AN13" s="28"/>
      <c r="AO13" s="28"/>
      <c r="AP13" s="28"/>
      <c r="AQ13" s="28"/>
      <c r="AR13" s="28"/>
      <c r="AS13" s="28"/>
      <c r="AT13" s="28"/>
      <c r="AU13" s="41"/>
      <c r="AV13" s="28"/>
      <c r="AW13" s="28"/>
      <c r="AX13" s="28"/>
      <c r="AY13" s="28"/>
      <c r="AZ13" s="41"/>
      <c r="BA13" s="28"/>
      <c r="BB13" s="28"/>
      <c r="BC13" s="28"/>
      <c r="BD13" s="28"/>
      <c r="BE13" s="41"/>
      <c r="BF13" s="28"/>
      <c r="BG13" s="28"/>
      <c r="BH13" s="28"/>
      <c r="BI13" s="28"/>
      <c r="BJ13" s="41"/>
      <c r="BK13" s="45"/>
      <c r="BL13" s="28"/>
      <c r="BM13" s="174"/>
    </row>
    <row r="14" spans="1:65" x14ac:dyDescent="0.25">
      <c r="A14" s="167"/>
      <c r="B14" s="167"/>
      <c r="C14" s="167"/>
      <c r="D14" s="167"/>
      <c r="E14" s="167"/>
      <c r="F14" s="81"/>
      <c r="G14" s="81"/>
      <c r="H14" s="186"/>
      <c r="I14" s="170"/>
      <c r="J14" s="67" t="s">
        <v>0</v>
      </c>
      <c r="K14" s="67"/>
      <c r="L14" s="70" t="s">
        <v>0</v>
      </c>
      <c r="M14" s="67"/>
      <c r="N14" s="67" t="s">
        <v>1</v>
      </c>
      <c r="O14" s="10"/>
      <c r="P14" s="70" t="s">
        <v>1</v>
      </c>
      <c r="Q14" s="10"/>
      <c r="R14" s="67" t="s">
        <v>22</v>
      </c>
      <c r="S14" s="268"/>
      <c r="T14" s="70" t="s">
        <v>22</v>
      </c>
      <c r="U14" s="268"/>
      <c r="V14" s="67" t="s">
        <v>30</v>
      </c>
      <c r="W14" s="268"/>
      <c r="X14" s="70" t="s">
        <v>30</v>
      </c>
      <c r="Y14" s="268"/>
      <c r="Z14" s="67" t="s">
        <v>42</v>
      </c>
      <c r="AA14" s="268"/>
      <c r="AB14" s="70" t="s">
        <v>42</v>
      </c>
      <c r="AC14" s="268"/>
      <c r="AD14" s="269" t="s">
        <v>23</v>
      </c>
      <c r="AE14" s="269"/>
      <c r="AF14" s="270" t="s">
        <v>23</v>
      </c>
      <c r="AG14" s="271" t="s">
        <v>156</v>
      </c>
      <c r="AH14" s="8"/>
      <c r="AI14" s="8"/>
      <c r="AJ14" s="272" t="s">
        <v>117</v>
      </c>
      <c r="AK14" s="273"/>
      <c r="AL14" s="268"/>
      <c r="AM14" s="394" t="s">
        <v>251</v>
      </c>
      <c r="AN14" s="394"/>
      <c r="AO14" s="394"/>
      <c r="AP14" s="394"/>
      <c r="AQ14" s="394"/>
      <c r="AR14" s="394"/>
      <c r="AS14" s="394"/>
      <c r="AT14" s="394"/>
      <c r="AU14" s="394"/>
      <c r="AV14" s="8"/>
      <c r="AW14" s="8"/>
      <c r="AX14" s="8"/>
      <c r="AY14" s="8"/>
      <c r="AZ14" s="274"/>
      <c r="BA14" s="8"/>
      <c r="BB14" s="8"/>
      <c r="BC14" s="8"/>
      <c r="BD14" s="8"/>
      <c r="BE14" s="274"/>
      <c r="BF14" s="8"/>
      <c r="BG14" s="8"/>
      <c r="BH14" s="8"/>
      <c r="BI14" s="8"/>
      <c r="BJ14" s="274"/>
      <c r="BK14" s="273"/>
      <c r="BL14" s="8"/>
      <c r="BM14" s="174"/>
    </row>
    <row r="15" spans="1:65" x14ac:dyDescent="0.25">
      <c r="A15" s="167"/>
      <c r="B15" s="167"/>
      <c r="C15" s="167"/>
      <c r="D15" s="167"/>
      <c r="E15" s="167"/>
      <c r="F15" s="81"/>
      <c r="G15" s="81"/>
      <c r="H15" s="186"/>
      <c r="I15" s="170"/>
      <c r="J15" s="67"/>
      <c r="K15" s="67"/>
      <c r="L15" s="70"/>
      <c r="M15" s="67"/>
      <c r="N15" s="67"/>
      <c r="O15" s="10"/>
      <c r="P15" s="70"/>
      <c r="Q15" s="10"/>
      <c r="R15" s="67"/>
      <c r="S15" s="268"/>
      <c r="T15" s="70"/>
      <c r="U15" s="268"/>
      <c r="V15" s="67"/>
      <c r="W15" s="268"/>
      <c r="X15" s="70"/>
      <c r="Y15" s="268"/>
      <c r="Z15" s="67"/>
      <c r="AA15" s="268"/>
      <c r="AB15" s="70"/>
      <c r="AC15" s="268"/>
      <c r="AD15" s="269"/>
      <c r="AE15" s="269"/>
      <c r="AF15" s="270"/>
      <c r="AG15" s="271"/>
      <c r="AH15" s="8"/>
      <c r="AI15" s="8"/>
      <c r="AJ15" s="272"/>
      <c r="AK15" s="273"/>
      <c r="AL15" s="268"/>
      <c r="AM15" s="268"/>
      <c r="AN15" s="8"/>
      <c r="AO15" s="8"/>
      <c r="AP15" s="274"/>
      <c r="AQ15" s="8"/>
      <c r="AR15" s="8"/>
      <c r="AS15" s="8"/>
      <c r="AT15" s="8"/>
      <c r="AU15" s="274"/>
      <c r="AV15" s="8"/>
      <c r="AW15" s="8"/>
      <c r="AX15" s="8"/>
      <c r="AY15" s="8"/>
      <c r="AZ15" s="274"/>
      <c r="BA15" s="8"/>
      <c r="BB15" s="8"/>
      <c r="BC15" s="8"/>
      <c r="BD15" s="8"/>
      <c r="BE15" s="274"/>
      <c r="BF15" s="8"/>
      <c r="BG15" s="8"/>
      <c r="BH15" s="8"/>
      <c r="BI15" s="8"/>
      <c r="BJ15" s="274"/>
      <c r="BK15" s="273"/>
      <c r="BL15" s="8"/>
      <c r="BM15" s="174"/>
    </row>
    <row r="16" spans="1:65" x14ac:dyDescent="0.25">
      <c r="A16" s="187" t="s">
        <v>118</v>
      </c>
      <c r="B16" s="187" t="s">
        <v>2</v>
      </c>
      <c r="C16" s="187" t="s">
        <v>3</v>
      </c>
      <c r="D16" s="167"/>
      <c r="E16" s="167"/>
      <c r="F16" s="81"/>
      <c r="G16" s="81"/>
      <c r="H16" s="170"/>
      <c r="I16" s="188"/>
      <c r="J16" s="39"/>
      <c r="K16" s="39"/>
      <c r="L16" s="275"/>
      <c r="M16" s="39"/>
      <c r="N16" s="39"/>
      <c r="O16" s="8"/>
      <c r="P16" s="275"/>
      <c r="Q16" s="8"/>
      <c r="R16" s="39"/>
      <c r="S16" s="8"/>
      <c r="T16" s="69"/>
      <c r="U16" s="8"/>
      <c r="V16" s="39"/>
      <c r="W16" s="8"/>
      <c r="X16" s="69"/>
      <c r="Y16" s="8"/>
      <c r="Z16" s="39"/>
      <c r="AA16" s="8"/>
      <c r="AB16" s="69"/>
      <c r="AC16" s="8"/>
      <c r="AD16" s="276"/>
      <c r="AE16" s="276"/>
      <c r="AF16" s="277"/>
      <c r="AG16" s="8"/>
      <c r="AH16" s="8"/>
      <c r="AI16" s="8" t="s">
        <v>176</v>
      </c>
      <c r="AJ16" s="278" t="s">
        <v>60</v>
      </c>
      <c r="AK16" s="279" t="s">
        <v>65</v>
      </c>
      <c r="AL16" s="278" t="s">
        <v>61</v>
      </c>
      <c r="AM16" s="278" t="s">
        <v>172</v>
      </c>
      <c r="AN16" s="271" t="s">
        <v>62</v>
      </c>
      <c r="AO16" s="271" t="s">
        <v>63</v>
      </c>
      <c r="AP16" s="280" t="s">
        <v>64</v>
      </c>
      <c r="AQ16" s="271"/>
      <c r="AR16" s="271" t="s">
        <v>175</v>
      </c>
      <c r="AS16" s="271" t="s">
        <v>62</v>
      </c>
      <c r="AT16" s="271" t="s">
        <v>63</v>
      </c>
      <c r="AU16" s="280" t="s">
        <v>64</v>
      </c>
      <c r="AV16" s="271"/>
      <c r="AW16" s="271" t="s">
        <v>175</v>
      </c>
      <c r="AX16" s="271" t="s">
        <v>62</v>
      </c>
      <c r="AY16" s="271" t="s">
        <v>63</v>
      </c>
      <c r="AZ16" s="280" t="s">
        <v>64</v>
      </c>
      <c r="BA16" s="271"/>
      <c r="BB16" s="271" t="s">
        <v>175</v>
      </c>
      <c r="BC16" s="271" t="s">
        <v>62</v>
      </c>
      <c r="BD16" s="271" t="s">
        <v>63</v>
      </c>
      <c r="BE16" s="280" t="s">
        <v>64</v>
      </c>
      <c r="BF16" s="268"/>
      <c r="BG16" s="271" t="s">
        <v>175</v>
      </c>
      <c r="BH16" s="271" t="s">
        <v>62</v>
      </c>
      <c r="BI16" s="271" t="s">
        <v>63</v>
      </c>
      <c r="BJ16" s="280" t="s">
        <v>64</v>
      </c>
      <c r="BK16" s="279"/>
      <c r="BL16" s="271" t="s">
        <v>80</v>
      </c>
      <c r="BM16" s="174"/>
    </row>
    <row r="17" spans="1:65" x14ac:dyDescent="0.25">
      <c r="A17" s="168"/>
      <c r="B17" s="187"/>
      <c r="C17" s="167" t="str">
        <f>"PI: "&amp;E6</f>
        <v>PI: 0</v>
      </c>
      <c r="D17" s="167"/>
      <c r="E17" s="167"/>
      <c r="F17" s="81"/>
      <c r="G17" s="81"/>
      <c r="H17" s="191"/>
      <c r="I17" s="188"/>
      <c r="J17" s="39"/>
      <c r="K17" s="39"/>
      <c r="L17" s="275"/>
      <c r="M17" s="39"/>
      <c r="N17" s="39"/>
      <c r="O17" s="22"/>
      <c r="P17" s="275"/>
      <c r="Q17" s="22"/>
      <c r="R17" s="22"/>
      <c r="S17" s="22"/>
      <c r="T17" s="281"/>
      <c r="U17" s="22"/>
      <c r="V17" s="22"/>
      <c r="W17" s="22"/>
      <c r="X17" s="281"/>
      <c r="Y17" s="22"/>
      <c r="Z17" s="22"/>
      <c r="AA17" s="8"/>
      <c r="AB17" s="69"/>
      <c r="AC17" s="8"/>
      <c r="AD17" s="276"/>
      <c r="AE17" s="276"/>
      <c r="AF17" s="277"/>
      <c r="AG17" s="8"/>
      <c r="AH17" s="8"/>
      <c r="AI17" s="8" t="s">
        <v>252</v>
      </c>
      <c r="AJ17" s="37"/>
      <c r="AK17" s="273"/>
      <c r="AL17" s="10"/>
      <c r="AM17" s="10"/>
      <c r="AN17" s="393" t="s">
        <v>0</v>
      </c>
      <c r="AO17" s="393"/>
      <c r="AP17" s="393"/>
      <c r="AQ17" s="271"/>
      <c r="AR17" s="271"/>
      <c r="AS17" s="393" t="s">
        <v>1</v>
      </c>
      <c r="AT17" s="393"/>
      <c r="AU17" s="393"/>
      <c r="AV17" s="271"/>
      <c r="AW17" s="271"/>
      <c r="AX17" s="393" t="s">
        <v>22</v>
      </c>
      <c r="AY17" s="393"/>
      <c r="AZ17" s="393"/>
      <c r="BA17" s="271"/>
      <c r="BB17" s="271"/>
      <c r="BC17" s="393" t="s">
        <v>30</v>
      </c>
      <c r="BD17" s="393"/>
      <c r="BE17" s="393"/>
      <c r="BF17" s="8"/>
      <c r="BG17" s="8"/>
      <c r="BH17" s="393" t="s">
        <v>42</v>
      </c>
      <c r="BI17" s="393"/>
      <c r="BJ17" s="393"/>
      <c r="BK17" s="271"/>
      <c r="BL17" s="271" t="s">
        <v>23</v>
      </c>
      <c r="BM17" s="174"/>
    </row>
    <row r="18" spans="1:65" x14ac:dyDescent="0.25">
      <c r="A18" s="168" t="s">
        <v>167</v>
      </c>
      <c r="B18" s="187"/>
      <c r="C18" s="187"/>
      <c r="D18" s="193" t="str">
        <f>IF(AL18="Summer", (AM18)&amp;" days,"&amp;" Summer", ((AN18*100)&amp;"%"&amp;" time, "&amp;AO18&amp;" months, "&amp;AL18))</f>
        <v>0% time, 0 months, AY</v>
      </c>
      <c r="E18" s="193"/>
      <c r="F18" s="175"/>
      <c r="G18" s="175"/>
      <c r="H18" s="191"/>
      <c r="I18" s="188"/>
      <c r="J18" s="170">
        <f>IF($AK$13="No", IF(AP18=0,0,($AJ18/$AK18*AP18)), ($AJ18*(1+$AK$4)/$AK18*AP18))</f>
        <v>0</v>
      </c>
      <c r="K18" s="170"/>
      <c r="L18" s="189">
        <v>0</v>
      </c>
      <c r="M18" s="170"/>
      <c r="N18" s="170">
        <f>IF($AK$13="No",IF(AU18=0,0,($AJ18*(1+$AK$4)/$AK18*AU18)),($AJ18*(1+$AK$4)^2/$AK18*AU18))</f>
        <v>0</v>
      </c>
      <c r="O18" s="170"/>
      <c r="P18" s="189">
        <v>0</v>
      </c>
      <c r="Q18" s="81"/>
      <c r="R18" s="170">
        <f>IF($AK$13="No",IF(AZ18=0,0,($AJ18*(1+$AK$4)^2/$AK18*AZ18)),($AJ18*(1+$AK$4)^3/$AK18*AZ18))</f>
        <v>0</v>
      </c>
      <c r="S18" s="170"/>
      <c r="T18" s="189">
        <v>0</v>
      </c>
      <c r="U18" s="81"/>
      <c r="V18" s="170">
        <f>IF($AK$13="No",IF(BE18=0,0,($AJ18*(1+$AK$4)^3/$AK18*BE18)),($AJ18*(1+$AK$4)^4/$AK18*BE18))</f>
        <v>0</v>
      </c>
      <c r="W18" s="170"/>
      <c r="X18" s="189">
        <v>0</v>
      </c>
      <c r="Y18" s="81"/>
      <c r="Z18" s="170">
        <f>IF($AK$13="No", IF(BJ18=0,0,($AJ18*(1+$AK$4)^4/$AK18*BJ18)), ($AJ18*(1+$AK$4)^5/$AK18*BJ18))</f>
        <v>0</v>
      </c>
      <c r="AA18" s="170"/>
      <c r="AB18" s="189">
        <v>0</v>
      </c>
      <c r="AC18" s="81"/>
      <c r="AD18" s="170">
        <f t="shared" ref="AD18:AD50" si="0">J18+N18+R18+V18+Z18</f>
        <v>0</v>
      </c>
      <c r="AE18" s="170"/>
      <c r="AF18" s="189">
        <f t="shared" ref="AF18:AF50" si="1">L18+P18+T18+X18+AB18</f>
        <v>0</v>
      </c>
      <c r="AG18" s="28"/>
      <c r="AH18" s="28"/>
      <c r="AI18" s="194"/>
      <c r="AJ18" s="148">
        <v>0.01</v>
      </c>
      <c r="AK18" s="118">
        <f t="shared" ref="AK18:AK50" si="2">VLOOKUP(A18, $D$308:$H$322, 5, FALSE)</f>
        <v>8.77</v>
      </c>
      <c r="AL18" s="119" t="s">
        <v>84</v>
      </c>
      <c r="AM18" s="165"/>
      <c r="AN18" s="120">
        <v>0</v>
      </c>
      <c r="AO18" s="121">
        <v>0</v>
      </c>
      <c r="AP18" s="41">
        <f>IF($AL18="Summer",(AM18/$AO$9*AK18),AN18*AO18)</f>
        <v>0</v>
      </c>
      <c r="AQ18" s="28"/>
      <c r="AR18" s="121">
        <f>IF($AK$10=1,0,AM18)</f>
        <v>0</v>
      </c>
      <c r="AS18" s="120">
        <f>IF($AK$10=1, 0, AN18)</f>
        <v>0</v>
      </c>
      <c r="AT18" s="121">
        <f t="shared" ref="AT18:AT50" si="3">IF($AK$10=1,0,AO18)</f>
        <v>0</v>
      </c>
      <c r="AU18" s="41">
        <f>IF($AL18="Summer",(AR18/$AO$9*AK18),AS18*AT18)</f>
        <v>0</v>
      </c>
      <c r="AV18" s="28"/>
      <c r="AW18" s="121">
        <f t="shared" ref="AW18:AY33" si="4">IF($AK$10=2,0,AR18)</f>
        <v>0</v>
      </c>
      <c r="AX18" s="161">
        <f t="shared" si="4"/>
        <v>0</v>
      </c>
      <c r="AY18" s="159">
        <f t="shared" si="4"/>
        <v>0</v>
      </c>
      <c r="AZ18" s="41">
        <f>IF($AL18="Summer",(AW18/$AO$9*AK18),AX18*AY18)</f>
        <v>0</v>
      </c>
      <c r="BA18" s="28"/>
      <c r="BB18" s="121">
        <f t="shared" ref="BB18:BD33" si="5">IF($AK$10=3,0,AW18)</f>
        <v>0</v>
      </c>
      <c r="BC18" s="120">
        <f t="shared" si="5"/>
        <v>0</v>
      </c>
      <c r="BD18" s="121">
        <f t="shared" si="5"/>
        <v>0</v>
      </c>
      <c r="BE18" s="41">
        <f>IF($AL18="Summer",(BB18/$AO$9*AK18),BC18*BD18)</f>
        <v>0</v>
      </c>
      <c r="BF18" s="28"/>
      <c r="BG18" s="121">
        <f t="shared" ref="BG18:BI33" si="6">IF($AK$10=4,0,BB18)</f>
        <v>0</v>
      </c>
      <c r="BH18" s="120">
        <f t="shared" si="6"/>
        <v>0</v>
      </c>
      <c r="BI18" s="121">
        <f t="shared" si="6"/>
        <v>0</v>
      </c>
      <c r="BJ18" s="41">
        <f>IF($AL18="Summer",(BG18/$AO$9*AK18),BH18*BI18)</f>
        <v>0</v>
      </c>
      <c r="BK18" s="45"/>
      <c r="BL18" s="45">
        <f>BJ18+BE18+AZ18+AU18+AP18</f>
        <v>0</v>
      </c>
      <c r="BM18" s="174"/>
    </row>
    <row r="19" spans="1:65" x14ac:dyDescent="0.25">
      <c r="A19" s="168" t="s">
        <v>167</v>
      </c>
      <c r="B19" s="187"/>
      <c r="C19" s="187"/>
      <c r="D19" s="193" t="str">
        <f>IF(AL19="Summer", (AM19)&amp;" days,"&amp;" Summer", ((AN19*100)&amp;"%"&amp;" time, "&amp;AO19&amp;" months, "&amp;AL19))</f>
        <v>0 days, Summer</v>
      </c>
      <c r="E19" s="193"/>
      <c r="F19" s="175"/>
      <c r="G19" s="175"/>
      <c r="H19" s="191"/>
      <c r="I19" s="188"/>
      <c r="J19" s="170">
        <f>IF($AK$13="No", IF(AP19=0,0,($AJ19/$AK19*AP19)), ($AJ19*(1+$AK$4)/$AK19*AP19))</f>
        <v>0</v>
      </c>
      <c r="K19" s="170"/>
      <c r="L19" s="189">
        <v>0</v>
      </c>
      <c r="M19" s="170"/>
      <c r="N19" s="170">
        <f>IF($AK$13="No",IF(AU19=0,0,($AJ19*(1+$AK$4)/$AK19*AU19)),($AJ19*(1+$AK$4)^2/$AK19*AU19))</f>
        <v>0</v>
      </c>
      <c r="O19" s="170"/>
      <c r="P19" s="189">
        <v>0</v>
      </c>
      <c r="Q19" s="81"/>
      <c r="R19" s="170">
        <f>IF($AK$13="No",IF(AZ19=0,0,($AJ19*(1+$AK$4)^2/$AK19*AZ19)),($AJ19*(1+$AK$4)^3/$AK19*AZ19))</f>
        <v>0</v>
      </c>
      <c r="S19" s="170"/>
      <c r="T19" s="189">
        <v>0</v>
      </c>
      <c r="U19" s="81"/>
      <c r="V19" s="170">
        <f>IF($AK$13="No",IF(BE19=0,0,($AJ19*(1+$AK$4)^3/$AK19*BE19)),($AJ19*(1+$AK$4)^4/$AK19*BE19))</f>
        <v>0</v>
      </c>
      <c r="W19" s="170"/>
      <c r="X19" s="189">
        <v>0</v>
      </c>
      <c r="Y19" s="81"/>
      <c r="Z19" s="170">
        <f>IF($AK$13="No", IF(BJ19=0,0,($AJ19*(1+$AK$4)^4/$AK19*BJ19)), ($AJ19*(1+$AK$4)^5/$AK19*BJ19))</f>
        <v>0</v>
      </c>
      <c r="AA19" s="170"/>
      <c r="AB19" s="189">
        <v>0</v>
      </c>
      <c r="AC19" s="81"/>
      <c r="AD19" s="170">
        <f t="shared" si="0"/>
        <v>0</v>
      </c>
      <c r="AE19" s="170"/>
      <c r="AF19" s="189">
        <f t="shared" si="1"/>
        <v>0</v>
      </c>
      <c r="AG19" s="28"/>
      <c r="AH19" s="28"/>
      <c r="AI19" s="194"/>
      <c r="AJ19" s="148">
        <v>0.01</v>
      </c>
      <c r="AK19" s="118">
        <f t="shared" si="2"/>
        <v>8.77</v>
      </c>
      <c r="AL19" s="119" t="s">
        <v>85</v>
      </c>
      <c r="AM19" s="165">
        <v>0</v>
      </c>
      <c r="AN19" s="120">
        <v>0</v>
      </c>
      <c r="AO19" s="121">
        <v>0</v>
      </c>
      <c r="AP19" s="41">
        <f>IF($AL19="Summer",(AM19/$AO$9*AK19),AN19*AO19)</f>
        <v>0</v>
      </c>
      <c r="AQ19" s="28"/>
      <c r="AR19" s="121">
        <f>IF($AK$10=1,0,AM19)</f>
        <v>0</v>
      </c>
      <c r="AS19" s="120">
        <f>IF($AK$10=1, 0, AN19)</f>
        <v>0</v>
      </c>
      <c r="AT19" s="121">
        <f t="shared" si="3"/>
        <v>0</v>
      </c>
      <c r="AU19" s="41">
        <f>IF($AL19="Summer",(AR19/$AO$9*AK19),AS19*AT19)</f>
        <v>0</v>
      </c>
      <c r="AV19" s="28"/>
      <c r="AW19" s="121">
        <f t="shared" si="4"/>
        <v>0</v>
      </c>
      <c r="AX19" s="161">
        <f t="shared" si="4"/>
        <v>0</v>
      </c>
      <c r="AY19" s="159">
        <f t="shared" si="4"/>
        <v>0</v>
      </c>
      <c r="AZ19" s="41">
        <f>IF($AL19="Summer",(AW19/$AO$9*AK19),AX19*AY19)</f>
        <v>0</v>
      </c>
      <c r="BA19" s="28"/>
      <c r="BB19" s="121">
        <f t="shared" si="5"/>
        <v>0</v>
      </c>
      <c r="BC19" s="120">
        <f t="shared" si="5"/>
        <v>0</v>
      </c>
      <c r="BD19" s="121">
        <f t="shared" si="5"/>
        <v>0</v>
      </c>
      <c r="BE19" s="41">
        <f>IF($AL19="Summer",(BB19/$AO$9*AK19),BC19*BD19)</f>
        <v>0</v>
      </c>
      <c r="BF19" s="28"/>
      <c r="BG19" s="121">
        <f t="shared" si="6"/>
        <v>0</v>
      </c>
      <c r="BH19" s="120">
        <f t="shared" si="6"/>
        <v>0</v>
      </c>
      <c r="BI19" s="121">
        <f t="shared" si="6"/>
        <v>0</v>
      </c>
      <c r="BJ19" s="41">
        <f>IF($AL19="Summer",(BG19/$AO$9*AK19),BH19*BI19)</f>
        <v>0</v>
      </c>
      <c r="BK19" s="45"/>
      <c r="BL19" s="45">
        <f>BJ19+BE19+AZ19+AU19+AP19</f>
        <v>0</v>
      </c>
      <c r="BM19" s="174"/>
    </row>
    <row r="20" spans="1:65" x14ac:dyDescent="0.25">
      <c r="A20" s="195" t="s">
        <v>167</v>
      </c>
      <c r="B20" s="196"/>
      <c r="C20" s="167" t="str">
        <f>"Co-PI: "&amp;E7</f>
        <v>Co-PI: 0</v>
      </c>
      <c r="D20" s="197"/>
      <c r="E20" s="197"/>
      <c r="F20" s="198"/>
      <c r="G20" s="198"/>
      <c r="H20" s="199"/>
      <c r="I20" s="200"/>
      <c r="J20" s="201">
        <f t="shared" ref="J20:J48" si="7">IF($AK$13="No", IF(AP20=0,0,($AJ20/$AK20*AP20)), ($AJ20*(1+$AK$4)/$AK20*AP20))</f>
        <v>0</v>
      </c>
      <c r="K20" s="202"/>
      <c r="L20" s="189"/>
      <c r="M20" s="202"/>
      <c r="N20" s="202">
        <f t="shared" ref="N20:N48" si="8">IF($AK$13="No",IF(AU20=0,0,($AJ20*(1+$AK$4)/$AK20*AU20)),($AJ20*(1+$AK$4)^2/$AK20*AU20))</f>
        <v>0</v>
      </c>
      <c r="O20" s="202"/>
      <c r="P20" s="189"/>
      <c r="Q20" s="198"/>
      <c r="R20" s="202">
        <f t="shared" ref="R20:R48" si="9">IF($AK$13="No",IF(AZ20=0,0,($AJ20*(1+$AK$4)^2/$AK20*AZ20)),($AJ20*(1+$AK$4)^3/$AK20*AZ20))</f>
        <v>0</v>
      </c>
      <c r="S20" s="202"/>
      <c r="T20" s="189"/>
      <c r="U20" s="198"/>
      <c r="V20" s="202">
        <f t="shared" ref="V20:V48" si="10">IF($AK$13="No",IF(BE20=0,0,($AJ20*(1+$AK$4)^3/$AK20*BE20)),($AJ20*(1+$AK$4)^4/$AK20*BE20))</f>
        <v>0</v>
      </c>
      <c r="W20" s="202"/>
      <c r="X20" s="189"/>
      <c r="Y20" s="198"/>
      <c r="Z20" s="202">
        <f t="shared" ref="Z20:Z48" si="11">IF($AK$13="No", IF(BJ20=0,0,($AJ20*(1+$AK$4)^4/$AK20*BJ20)), ($AJ20*(1+$AK$4)^5/$AK20*BJ20))</f>
        <v>0</v>
      </c>
      <c r="AA20" s="202"/>
      <c r="AB20" s="189"/>
      <c r="AC20" s="198"/>
      <c r="AD20" s="202">
        <f t="shared" si="0"/>
        <v>0</v>
      </c>
      <c r="AE20" s="203"/>
      <c r="AF20" s="204">
        <f t="shared" si="1"/>
        <v>0</v>
      </c>
      <c r="AG20" s="156"/>
      <c r="AH20" s="156"/>
      <c r="AI20" s="205"/>
      <c r="AJ20" s="150">
        <v>0.01</v>
      </c>
      <c r="AK20" s="151">
        <f t="shared" si="2"/>
        <v>8.77</v>
      </c>
      <c r="AL20" s="152"/>
      <c r="AM20" s="166"/>
      <c r="AN20" s="153">
        <v>0</v>
      </c>
      <c r="AO20" s="154">
        <v>0</v>
      </c>
      <c r="AP20" s="155">
        <f t="shared" ref="AP20:AP48" si="12">IF($AL20="Summer",(AM20/$AO$9*AK20),AN20*AO20)</f>
        <v>0</v>
      </c>
      <c r="AQ20" s="156"/>
      <c r="AR20" s="154">
        <f>IF($AK$10=1,0,AM20)</f>
        <v>0</v>
      </c>
      <c r="AS20" s="153">
        <f>IF($AK$10=1, 0, AN20)</f>
        <v>0</v>
      </c>
      <c r="AT20" s="154">
        <f t="shared" si="3"/>
        <v>0</v>
      </c>
      <c r="AU20" s="155">
        <f t="shared" ref="AU20:AU48" si="13">IF($AL20="Summer",(AR20/$AO$9*AK20),AS20*AT20)</f>
        <v>0</v>
      </c>
      <c r="AV20" s="156"/>
      <c r="AW20" s="154">
        <f t="shared" si="4"/>
        <v>0</v>
      </c>
      <c r="AX20" s="162">
        <f t="shared" si="4"/>
        <v>0</v>
      </c>
      <c r="AY20" s="160">
        <f t="shared" si="4"/>
        <v>0</v>
      </c>
      <c r="AZ20" s="155">
        <f t="shared" ref="AZ20:AZ48" si="14">IF($AL20="Summer",(AW20/$AO$9*AK20),AX20*AY20)</f>
        <v>0</v>
      </c>
      <c r="BA20" s="156"/>
      <c r="BB20" s="154">
        <f t="shared" si="5"/>
        <v>0</v>
      </c>
      <c r="BC20" s="153">
        <f t="shared" si="5"/>
        <v>0</v>
      </c>
      <c r="BD20" s="154">
        <f t="shared" si="5"/>
        <v>0</v>
      </c>
      <c r="BE20" s="155">
        <f t="shared" ref="BE20:BE48" si="15">IF($AL20="Summer",(BB20/$AO$9*AK20),BC20*BD20)</f>
        <v>0</v>
      </c>
      <c r="BF20" s="156"/>
      <c r="BG20" s="154">
        <f t="shared" si="6"/>
        <v>0</v>
      </c>
      <c r="BH20" s="153">
        <f t="shared" si="6"/>
        <v>0</v>
      </c>
      <c r="BI20" s="154">
        <f t="shared" si="6"/>
        <v>0</v>
      </c>
      <c r="BJ20" s="155">
        <f t="shared" ref="BJ20:BJ48" si="16">IF($AL20="Summer",(BG20/$AO$9*AK20),BH20*BI20)</f>
        <v>0</v>
      </c>
      <c r="BK20" s="157"/>
      <c r="BL20" s="157">
        <f t="shared" ref="BL20:BL48" si="17">BJ20+BE20+AZ20+AU20+AP20</f>
        <v>0</v>
      </c>
      <c r="BM20" s="206"/>
    </row>
    <row r="21" spans="1:65" x14ac:dyDescent="0.25">
      <c r="A21" s="168" t="s">
        <v>167</v>
      </c>
      <c r="B21" s="187"/>
      <c r="C21" s="187"/>
      <c r="D21" s="193" t="str">
        <f>IF(AL21="Summer", (AM21)&amp;" days,"&amp;" Summer", ((AN21*100)&amp;"%"&amp;" time, "&amp;AO21&amp;" months, "&amp;AL21))</f>
        <v>0% time, 0 months, AY</v>
      </c>
      <c r="E21" s="193"/>
      <c r="F21" s="175"/>
      <c r="G21" s="175"/>
      <c r="H21" s="191"/>
      <c r="I21" s="188"/>
      <c r="J21" s="170">
        <f t="shared" si="7"/>
        <v>0</v>
      </c>
      <c r="K21" s="170"/>
      <c r="L21" s="189">
        <v>0</v>
      </c>
      <c r="M21" s="170"/>
      <c r="N21" s="170">
        <f t="shared" si="8"/>
        <v>0</v>
      </c>
      <c r="O21" s="170"/>
      <c r="P21" s="189">
        <v>0</v>
      </c>
      <c r="Q21" s="81"/>
      <c r="R21" s="170">
        <f t="shared" si="9"/>
        <v>0</v>
      </c>
      <c r="S21" s="170"/>
      <c r="T21" s="189">
        <v>0</v>
      </c>
      <c r="U21" s="81"/>
      <c r="V21" s="170">
        <f t="shared" si="10"/>
        <v>0</v>
      </c>
      <c r="W21" s="170"/>
      <c r="X21" s="189">
        <v>0</v>
      </c>
      <c r="Y21" s="81"/>
      <c r="Z21" s="170">
        <f t="shared" si="11"/>
        <v>0</v>
      </c>
      <c r="AA21" s="170"/>
      <c r="AB21" s="189">
        <v>0</v>
      </c>
      <c r="AC21" s="81"/>
      <c r="AD21" s="170">
        <f t="shared" si="0"/>
        <v>0</v>
      </c>
      <c r="AE21" s="170"/>
      <c r="AF21" s="189">
        <f t="shared" si="1"/>
        <v>0</v>
      </c>
      <c r="AG21" s="28"/>
      <c r="AH21" s="28"/>
      <c r="AI21" s="194"/>
      <c r="AJ21" s="148">
        <v>0.01</v>
      </c>
      <c r="AK21" s="118">
        <f t="shared" si="2"/>
        <v>8.77</v>
      </c>
      <c r="AL21" s="119" t="s">
        <v>84</v>
      </c>
      <c r="AM21" s="165"/>
      <c r="AN21" s="120">
        <v>0</v>
      </c>
      <c r="AO21" s="121">
        <v>0</v>
      </c>
      <c r="AP21" s="41">
        <f t="shared" si="12"/>
        <v>0</v>
      </c>
      <c r="AQ21" s="28"/>
      <c r="AR21" s="121">
        <f t="shared" ref="AR21:AS47" si="18">IF($AK$10=1,0,AM21)</f>
        <v>0</v>
      </c>
      <c r="AS21" s="120">
        <f t="shared" si="18"/>
        <v>0</v>
      </c>
      <c r="AT21" s="121">
        <f t="shared" si="3"/>
        <v>0</v>
      </c>
      <c r="AU21" s="41">
        <f t="shared" si="13"/>
        <v>0</v>
      </c>
      <c r="AV21" s="28"/>
      <c r="AW21" s="121">
        <f t="shared" si="4"/>
        <v>0</v>
      </c>
      <c r="AX21" s="120">
        <f t="shared" si="4"/>
        <v>0</v>
      </c>
      <c r="AY21" s="121">
        <f t="shared" si="4"/>
        <v>0</v>
      </c>
      <c r="AZ21" s="41">
        <f t="shared" si="14"/>
        <v>0</v>
      </c>
      <c r="BA21" s="28"/>
      <c r="BB21" s="121">
        <f t="shared" si="5"/>
        <v>0</v>
      </c>
      <c r="BC21" s="120">
        <f t="shared" si="5"/>
        <v>0</v>
      </c>
      <c r="BD21" s="121">
        <f t="shared" si="5"/>
        <v>0</v>
      </c>
      <c r="BE21" s="41">
        <f t="shared" si="15"/>
        <v>0</v>
      </c>
      <c r="BF21" s="28"/>
      <c r="BG21" s="121">
        <f t="shared" si="6"/>
        <v>0</v>
      </c>
      <c r="BH21" s="120">
        <f t="shared" si="6"/>
        <v>0</v>
      </c>
      <c r="BI21" s="121">
        <f t="shared" si="6"/>
        <v>0</v>
      </c>
      <c r="BJ21" s="41">
        <f t="shared" si="16"/>
        <v>0</v>
      </c>
      <c r="BK21" s="45"/>
      <c r="BL21" s="45">
        <f t="shared" si="17"/>
        <v>0</v>
      </c>
      <c r="BM21" s="174"/>
    </row>
    <row r="22" spans="1:65" x14ac:dyDescent="0.25">
      <c r="A22" s="168" t="s">
        <v>167</v>
      </c>
      <c r="B22" s="187"/>
      <c r="C22" s="187"/>
      <c r="D22" s="193" t="str">
        <f>IF(AL22="Summer", (AM22)&amp;" days,"&amp;" Summer", ((AN22*100)&amp;"%"&amp;" time, "&amp;AO22&amp;" months, "&amp;AL22))</f>
        <v>0 days, Summer</v>
      </c>
      <c r="E22" s="193"/>
      <c r="F22" s="175"/>
      <c r="G22" s="175"/>
      <c r="H22" s="191"/>
      <c r="I22" s="188"/>
      <c r="J22" s="170">
        <f t="shared" si="7"/>
        <v>0</v>
      </c>
      <c r="K22" s="170"/>
      <c r="L22" s="189">
        <v>0</v>
      </c>
      <c r="M22" s="170"/>
      <c r="N22" s="170">
        <f t="shared" si="8"/>
        <v>0</v>
      </c>
      <c r="O22" s="170"/>
      <c r="P22" s="189">
        <v>0</v>
      </c>
      <c r="Q22" s="81"/>
      <c r="R22" s="170">
        <f t="shared" si="9"/>
        <v>0</v>
      </c>
      <c r="S22" s="170"/>
      <c r="T22" s="189">
        <v>0</v>
      </c>
      <c r="U22" s="81"/>
      <c r="V22" s="170">
        <f t="shared" si="10"/>
        <v>0</v>
      </c>
      <c r="W22" s="170"/>
      <c r="X22" s="189">
        <v>0</v>
      </c>
      <c r="Y22" s="81"/>
      <c r="Z22" s="170">
        <f t="shared" si="11"/>
        <v>0</v>
      </c>
      <c r="AA22" s="170"/>
      <c r="AB22" s="189">
        <v>0</v>
      </c>
      <c r="AC22" s="81"/>
      <c r="AD22" s="170">
        <f t="shared" si="0"/>
        <v>0</v>
      </c>
      <c r="AE22" s="170"/>
      <c r="AF22" s="189">
        <f t="shared" si="1"/>
        <v>0</v>
      </c>
      <c r="AG22" s="28"/>
      <c r="AH22" s="28"/>
      <c r="AI22" s="194"/>
      <c r="AJ22" s="148">
        <v>0.01</v>
      </c>
      <c r="AK22" s="118">
        <f t="shared" si="2"/>
        <v>8.77</v>
      </c>
      <c r="AL22" s="119" t="s">
        <v>85</v>
      </c>
      <c r="AM22" s="165">
        <v>0</v>
      </c>
      <c r="AN22" s="120">
        <v>0</v>
      </c>
      <c r="AO22" s="121">
        <v>0</v>
      </c>
      <c r="AP22" s="41">
        <f t="shared" si="12"/>
        <v>0</v>
      </c>
      <c r="AQ22" s="28"/>
      <c r="AR22" s="121">
        <f t="shared" si="18"/>
        <v>0</v>
      </c>
      <c r="AS22" s="120">
        <f t="shared" si="18"/>
        <v>0</v>
      </c>
      <c r="AT22" s="121">
        <f t="shared" si="3"/>
        <v>0</v>
      </c>
      <c r="AU22" s="41">
        <f t="shared" si="13"/>
        <v>0</v>
      </c>
      <c r="AV22" s="28"/>
      <c r="AW22" s="121">
        <f t="shared" si="4"/>
        <v>0</v>
      </c>
      <c r="AX22" s="120">
        <f t="shared" si="4"/>
        <v>0</v>
      </c>
      <c r="AY22" s="121">
        <f t="shared" si="4"/>
        <v>0</v>
      </c>
      <c r="AZ22" s="41">
        <f t="shared" si="14"/>
        <v>0</v>
      </c>
      <c r="BA22" s="28"/>
      <c r="BB22" s="121">
        <f t="shared" si="5"/>
        <v>0</v>
      </c>
      <c r="BC22" s="120">
        <f t="shared" si="5"/>
        <v>0</v>
      </c>
      <c r="BD22" s="121">
        <f t="shared" si="5"/>
        <v>0</v>
      </c>
      <c r="BE22" s="41">
        <f t="shared" si="15"/>
        <v>0</v>
      </c>
      <c r="BF22" s="28"/>
      <c r="BG22" s="121">
        <f t="shared" si="6"/>
        <v>0</v>
      </c>
      <c r="BH22" s="120">
        <f t="shared" si="6"/>
        <v>0</v>
      </c>
      <c r="BI22" s="121">
        <f t="shared" si="6"/>
        <v>0</v>
      </c>
      <c r="BJ22" s="41">
        <f t="shared" si="16"/>
        <v>0</v>
      </c>
      <c r="BK22" s="45"/>
      <c r="BL22" s="45">
        <f t="shared" si="17"/>
        <v>0</v>
      </c>
      <c r="BM22" s="174"/>
    </row>
    <row r="23" spans="1:65" x14ac:dyDescent="0.25">
      <c r="A23" s="195" t="s">
        <v>167</v>
      </c>
      <c r="B23" s="187"/>
      <c r="C23" s="167" t="str">
        <f>"Co-PI: "&amp;E8</f>
        <v xml:space="preserve">Co-PI: </v>
      </c>
      <c r="D23" s="167"/>
      <c r="E23" s="197"/>
      <c r="F23" s="198"/>
      <c r="G23" s="198"/>
      <c r="H23" s="199"/>
      <c r="I23" s="200"/>
      <c r="J23" s="201">
        <f t="shared" si="7"/>
        <v>0</v>
      </c>
      <c r="K23" s="202"/>
      <c r="L23" s="189"/>
      <c r="M23" s="202"/>
      <c r="N23" s="202">
        <f t="shared" si="8"/>
        <v>0</v>
      </c>
      <c r="O23" s="202"/>
      <c r="P23" s="189"/>
      <c r="Q23" s="198"/>
      <c r="R23" s="202">
        <f t="shared" si="9"/>
        <v>0</v>
      </c>
      <c r="S23" s="202"/>
      <c r="T23" s="189"/>
      <c r="U23" s="198"/>
      <c r="V23" s="202">
        <f t="shared" si="10"/>
        <v>0</v>
      </c>
      <c r="W23" s="202"/>
      <c r="X23" s="189"/>
      <c r="Y23" s="198"/>
      <c r="Z23" s="202">
        <f t="shared" si="11"/>
        <v>0</v>
      </c>
      <c r="AA23" s="202"/>
      <c r="AB23" s="189"/>
      <c r="AC23" s="198"/>
      <c r="AD23" s="202">
        <f t="shared" si="0"/>
        <v>0</v>
      </c>
      <c r="AE23" s="202"/>
      <c r="AF23" s="204">
        <f t="shared" si="1"/>
        <v>0</v>
      </c>
      <c r="AG23" s="156"/>
      <c r="AH23" s="156"/>
      <c r="AI23" s="194"/>
      <c r="AJ23" s="150">
        <v>0.01</v>
      </c>
      <c r="AK23" s="151">
        <f t="shared" si="2"/>
        <v>8.77</v>
      </c>
      <c r="AL23" s="152"/>
      <c r="AM23" s="166"/>
      <c r="AN23" s="153">
        <v>0</v>
      </c>
      <c r="AO23" s="154">
        <v>0</v>
      </c>
      <c r="AP23" s="155">
        <f t="shared" si="12"/>
        <v>0</v>
      </c>
      <c r="AQ23" s="156"/>
      <c r="AR23" s="154">
        <f t="shared" si="18"/>
        <v>0</v>
      </c>
      <c r="AS23" s="153">
        <f t="shared" si="18"/>
        <v>0</v>
      </c>
      <c r="AT23" s="154">
        <f t="shared" si="3"/>
        <v>0</v>
      </c>
      <c r="AU23" s="155">
        <f t="shared" si="13"/>
        <v>0</v>
      </c>
      <c r="AV23" s="156"/>
      <c r="AW23" s="154">
        <f t="shared" si="4"/>
        <v>0</v>
      </c>
      <c r="AX23" s="153">
        <f t="shared" si="4"/>
        <v>0</v>
      </c>
      <c r="AY23" s="154">
        <f t="shared" si="4"/>
        <v>0</v>
      </c>
      <c r="AZ23" s="155">
        <f t="shared" si="14"/>
        <v>0</v>
      </c>
      <c r="BA23" s="156"/>
      <c r="BB23" s="154">
        <f t="shared" si="5"/>
        <v>0</v>
      </c>
      <c r="BC23" s="153">
        <f t="shared" si="5"/>
        <v>0</v>
      </c>
      <c r="BD23" s="154">
        <f t="shared" si="5"/>
        <v>0</v>
      </c>
      <c r="BE23" s="155">
        <f t="shared" si="15"/>
        <v>0</v>
      </c>
      <c r="BF23" s="156"/>
      <c r="BG23" s="154">
        <f t="shared" si="6"/>
        <v>0</v>
      </c>
      <c r="BH23" s="153">
        <f t="shared" si="6"/>
        <v>0</v>
      </c>
      <c r="BI23" s="154">
        <f t="shared" si="6"/>
        <v>0</v>
      </c>
      <c r="BJ23" s="155">
        <f t="shared" si="16"/>
        <v>0</v>
      </c>
      <c r="BK23" s="157"/>
      <c r="BL23" s="157">
        <f t="shared" si="17"/>
        <v>0</v>
      </c>
      <c r="BM23" s="206"/>
    </row>
    <row r="24" spans="1:65" x14ac:dyDescent="0.25">
      <c r="A24" s="168" t="s">
        <v>167</v>
      </c>
      <c r="B24" s="187"/>
      <c r="C24" s="167"/>
      <c r="D24" s="193" t="str">
        <f>IF(AL24="Summer", (AM24)&amp;" days,"&amp;" Summer", ((AN24*100)&amp;"%"&amp;" time, "&amp;AO24&amp;" months, "&amp;AL24))</f>
        <v>0% time, 0 months, AY</v>
      </c>
      <c r="E24" s="193"/>
      <c r="F24" s="81"/>
      <c r="G24" s="81"/>
      <c r="H24" s="191"/>
      <c r="I24" s="188"/>
      <c r="J24" s="170">
        <f t="shared" si="7"/>
        <v>0</v>
      </c>
      <c r="K24" s="170"/>
      <c r="L24" s="189">
        <v>0</v>
      </c>
      <c r="M24" s="170"/>
      <c r="N24" s="170">
        <f t="shared" si="8"/>
        <v>0</v>
      </c>
      <c r="O24" s="170"/>
      <c r="P24" s="189">
        <v>0</v>
      </c>
      <c r="Q24" s="81"/>
      <c r="R24" s="170">
        <f t="shared" si="9"/>
        <v>0</v>
      </c>
      <c r="S24" s="170"/>
      <c r="T24" s="189">
        <v>0</v>
      </c>
      <c r="U24" s="81"/>
      <c r="V24" s="170">
        <f t="shared" si="10"/>
        <v>0</v>
      </c>
      <c r="W24" s="170"/>
      <c r="X24" s="189">
        <v>0</v>
      </c>
      <c r="Y24" s="81"/>
      <c r="Z24" s="170">
        <f t="shared" si="11"/>
        <v>0</v>
      </c>
      <c r="AA24" s="170"/>
      <c r="AB24" s="189">
        <v>0</v>
      </c>
      <c r="AC24" s="81"/>
      <c r="AD24" s="170">
        <f t="shared" si="0"/>
        <v>0</v>
      </c>
      <c r="AE24" s="170"/>
      <c r="AF24" s="189">
        <f t="shared" si="1"/>
        <v>0</v>
      </c>
      <c r="AG24" s="28"/>
      <c r="AH24" s="28"/>
      <c r="AI24" s="194"/>
      <c r="AJ24" s="148">
        <v>0.01</v>
      </c>
      <c r="AK24" s="118">
        <f t="shared" si="2"/>
        <v>8.77</v>
      </c>
      <c r="AL24" s="119" t="s">
        <v>84</v>
      </c>
      <c r="AM24" s="165"/>
      <c r="AN24" s="120">
        <v>0</v>
      </c>
      <c r="AO24" s="121">
        <v>0</v>
      </c>
      <c r="AP24" s="41">
        <f t="shared" si="12"/>
        <v>0</v>
      </c>
      <c r="AQ24" s="28"/>
      <c r="AR24" s="121">
        <f t="shared" si="18"/>
        <v>0</v>
      </c>
      <c r="AS24" s="120">
        <f t="shared" si="18"/>
        <v>0</v>
      </c>
      <c r="AT24" s="121">
        <f t="shared" si="3"/>
        <v>0</v>
      </c>
      <c r="AU24" s="41">
        <f t="shared" si="13"/>
        <v>0</v>
      </c>
      <c r="AV24" s="28"/>
      <c r="AW24" s="121">
        <f t="shared" si="4"/>
        <v>0</v>
      </c>
      <c r="AX24" s="120">
        <f t="shared" si="4"/>
        <v>0</v>
      </c>
      <c r="AY24" s="121">
        <f t="shared" si="4"/>
        <v>0</v>
      </c>
      <c r="AZ24" s="41">
        <f t="shared" si="14"/>
        <v>0</v>
      </c>
      <c r="BA24" s="28"/>
      <c r="BB24" s="121">
        <f t="shared" si="5"/>
        <v>0</v>
      </c>
      <c r="BC24" s="120">
        <f t="shared" si="5"/>
        <v>0</v>
      </c>
      <c r="BD24" s="121">
        <f t="shared" si="5"/>
        <v>0</v>
      </c>
      <c r="BE24" s="41">
        <f t="shared" si="15"/>
        <v>0</v>
      </c>
      <c r="BF24" s="28"/>
      <c r="BG24" s="121">
        <f t="shared" si="6"/>
        <v>0</v>
      </c>
      <c r="BH24" s="120">
        <f t="shared" si="6"/>
        <v>0</v>
      </c>
      <c r="BI24" s="121">
        <f t="shared" si="6"/>
        <v>0</v>
      </c>
      <c r="BJ24" s="41">
        <f t="shared" si="16"/>
        <v>0</v>
      </c>
      <c r="BK24" s="45"/>
      <c r="BL24" s="45">
        <f t="shared" si="17"/>
        <v>0</v>
      </c>
      <c r="BM24" s="174"/>
    </row>
    <row r="25" spans="1:65" x14ac:dyDescent="0.25">
      <c r="A25" s="168" t="s">
        <v>167</v>
      </c>
      <c r="B25" s="187"/>
      <c r="C25" s="167"/>
      <c r="D25" s="193" t="str">
        <f>IF(AL25="Summer", (AM25)&amp;" days,"&amp;" Summer", ((AN25*100)&amp;"%"&amp;" time, "&amp;AO25&amp;" months, "&amp;AL25))</f>
        <v>0 days, Summer</v>
      </c>
      <c r="E25" s="193"/>
      <c r="F25" s="81"/>
      <c r="G25" s="81"/>
      <c r="H25" s="191"/>
      <c r="I25" s="188"/>
      <c r="J25" s="170">
        <f t="shared" si="7"/>
        <v>0</v>
      </c>
      <c r="K25" s="170"/>
      <c r="L25" s="189">
        <v>0</v>
      </c>
      <c r="M25" s="170"/>
      <c r="N25" s="170">
        <f t="shared" si="8"/>
        <v>0</v>
      </c>
      <c r="O25" s="170"/>
      <c r="P25" s="189">
        <v>0</v>
      </c>
      <c r="Q25" s="81"/>
      <c r="R25" s="170">
        <f t="shared" si="9"/>
        <v>0</v>
      </c>
      <c r="S25" s="170"/>
      <c r="T25" s="189">
        <v>0</v>
      </c>
      <c r="U25" s="81"/>
      <c r="V25" s="170">
        <f t="shared" si="10"/>
        <v>0</v>
      </c>
      <c r="W25" s="170"/>
      <c r="X25" s="189">
        <v>0</v>
      </c>
      <c r="Y25" s="81"/>
      <c r="Z25" s="170">
        <f t="shared" si="11"/>
        <v>0</v>
      </c>
      <c r="AA25" s="170"/>
      <c r="AB25" s="189">
        <v>0</v>
      </c>
      <c r="AC25" s="81"/>
      <c r="AD25" s="170">
        <f t="shared" si="0"/>
        <v>0</v>
      </c>
      <c r="AE25" s="170"/>
      <c r="AF25" s="189">
        <f t="shared" si="1"/>
        <v>0</v>
      </c>
      <c r="AG25" s="28"/>
      <c r="AH25" s="28"/>
      <c r="AI25" s="194"/>
      <c r="AJ25" s="148">
        <v>0.01</v>
      </c>
      <c r="AK25" s="118">
        <f t="shared" si="2"/>
        <v>8.77</v>
      </c>
      <c r="AL25" s="119" t="s">
        <v>85</v>
      </c>
      <c r="AM25" s="165">
        <v>0</v>
      </c>
      <c r="AN25" s="120">
        <v>0</v>
      </c>
      <c r="AO25" s="121">
        <v>0</v>
      </c>
      <c r="AP25" s="41">
        <f t="shared" si="12"/>
        <v>0</v>
      </c>
      <c r="AQ25" s="28"/>
      <c r="AR25" s="121">
        <f t="shared" si="18"/>
        <v>0</v>
      </c>
      <c r="AS25" s="120">
        <f t="shared" si="18"/>
        <v>0</v>
      </c>
      <c r="AT25" s="121">
        <f t="shared" si="3"/>
        <v>0</v>
      </c>
      <c r="AU25" s="41">
        <f t="shared" si="13"/>
        <v>0</v>
      </c>
      <c r="AV25" s="28"/>
      <c r="AW25" s="121">
        <f t="shared" si="4"/>
        <v>0</v>
      </c>
      <c r="AX25" s="120">
        <f t="shared" si="4"/>
        <v>0</v>
      </c>
      <c r="AY25" s="121">
        <f t="shared" si="4"/>
        <v>0</v>
      </c>
      <c r="AZ25" s="41">
        <f t="shared" si="14"/>
        <v>0</v>
      </c>
      <c r="BA25" s="28"/>
      <c r="BB25" s="121">
        <f t="shared" si="5"/>
        <v>0</v>
      </c>
      <c r="BC25" s="120">
        <f t="shared" si="5"/>
        <v>0</v>
      </c>
      <c r="BD25" s="121">
        <f t="shared" si="5"/>
        <v>0</v>
      </c>
      <c r="BE25" s="41">
        <f t="shared" si="15"/>
        <v>0</v>
      </c>
      <c r="BF25" s="28"/>
      <c r="BG25" s="121">
        <f t="shared" si="6"/>
        <v>0</v>
      </c>
      <c r="BH25" s="120">
        <f t="shared" si="6"/>
        <v>0</v>
      </c>
      <c r="BI25" s="121">
        <f t="shared" si="6"/>
        <v>0</v>
      </c>
      <c r="BJ25" s="41">
        <f t="shared" si="16"/>
        <v>0</v>
      </c>
      <c r="BK25" s="45"/>
      <c r="BL25" s="45">
        <f t="shared" si="17"/>
        <v>0</v>
      </c>
      <c r="BM25" s="174"/>
    </row>
    <row r="26" spans="1:65" x14ac:dyDescent="0.25">
      <c r="A26" s="195" t="s">
        <v>167</v>
      </c>
      <c r="B26" s="187"/>
      <c r="C26" s="167" t="s">
        <v>88</v>
      </c>
      <c r="D26" s="167"/>
      <c r="E26" s="197"/>
      <c r="F26" s="198"/>
      <c r="G26" s="198"/>
      <c r="H26" s="199"/>
      <c r="I26" s="200"/>
      <c r="J26" s="201">
        <f t="shared" si="7"/>
        <v>0</v>
      </c>
      <c r="K26" s="202"/>
      <c r="L26" s="189"/>
      <c r="M26" s="202"/>
      <c r="N26" s="202">
        <f t="shared" si="8"/>
        <v>0</v>
      </c>
      <c r="O26" s="202"/>
      <c r="P26" s="189"/>
      <c r="Q26" s="198"/>
      <c r="R26" s="202">
        <f t="shared" si="9"/>
        <v>0</v>
      </c>
      <c r="S26" s="202"/>
      <c r="T26" s="189"/>
      <c r="U26" s="198"/>
      <c r="V26" s="202">
        <f t="shared" si="10"/>
        <v>0</v>
      </c>
      <c r="W26" s="202"/>
      <c r="X26" s="189"/>
      <c r="Y26" s="198"/>
      <c r="Z26" s="202">
        <f t="shared" si="11"/>
        <v>0</v>
      </c>
      <c r="AA26" s="202"/>
      <c r="AB26" s="189"/>
      <c r="AC26" s="198"/>
      <c r="AD26" s="202">
        <f t="shared" si="0"/>
        <v>0</v>
      </c>
      <c r="AE26" s="202"/>
      <c r="AF26" s="204">
        <f t="shared" si="1"/>
        <v>0</v>
      </c>
      <c r="AG26" s="156"/>
      <c r="AH26" s="156"/>
      <c r="AI26" s="194"/>
      <c r="AJ26" s="150">
        <v>0.01</v>
      </c>
      <c r="AK26" s="151">
        <f t="shared" si="2"/>
        <v>8.77</v>
      </c>
      <c r="AL26" s="152"/>
      <c r="AM26" s="166"/>
      <c r="AN26" s="153">
        <v>0</v>
      </c>
      <c r="AO26" s="154">
        <v>0</v>
      </c>
      <c r="AP26" s="155">
        <f t="shared" si="12"/>
        <v>0</v>
      </c>
      <c r="AQ26" s="156"/>
      <c r="AR26" s="154">
        <f t="shared" si="18"/>
        <v>0</v>
      </c>
      <c r="AS26" s="153">
        <f t="shared" si="18"/>
        <v>0</v>
      </c>
      <c r="AT26" s="154">
        <f t="shared" si="3"/>
        <v>0</v>
      </c>
      <c r="AU26" s="155">
        <f t="shared" si="13"/>
        <v>0</v>
      </c>
      <c r="AV26" s="156"/>
      <c r="AW26" s="154">
        <f t="shared" si="4"/>
        <v>0</v>
      </c>
      <c r="AX26" s="153">
        <f t="shared" si="4"/>
        <v>0</v>
      </c>
      <c r="AY26" s="154">
        <f t="shared" si="4"/>
        <v>0</v>
      </c>
      <c r="AZ26" s="155">
        <f t="shared" si="14"/>
        <v>0</v>
      </c>
      <c r="BA26" s="156"/>
      <c r="BB26" s="154">
        <f t="shared" si="5"/>
        <v>0</v>
      </c>
      <c r="BC26" s="153">
        <f t="shared" si="5"/>
        <v>0</v>
      </c>
      <c r="BD26" s="154">
        <f t="shared" si="5"/>
        <v>0</v>
      </c>
      <c r="BE26" s="155">
        <f t="shared" si="15"/>
        <v>0</v>
      </c>
      <c r="BF26" s="156"/>
      <c r="BG26" s="154">
        <f t="shared" si="6"/>
        <v>0</v>
      </c>
      <c r="BH26" s="153">
        <f t="shared" si="6"/>
        <v>0</v>
      </c>
      <c r="BI26" s="154">
        <f t="shared" si="6"/>
        <v>0</v>
      </c>
      <c r="BJ26" s="155">
        <f t="shared" si="16"/>
        <v>0</v>
      </c>
      <c r="BK26" s="157"/>
      <c r="BL26" s="157">
        <f t="shared" si="17"/>
        <v>0</v>
      </c>
      <c r="BM26" s="206"/>
    </row>
    <row r="27" spans="1:65" x14ac:dyDescent="0.25">
      <c r="A27" s="168" t="s">
        <v>167</v>
      </c>
      <c r="B27" s="187"/>
      <c r="C27" s="167"/>
      <c r="D27" s="193" t="str">
        <f>IF(AL27="Summer", (AM27)&amp;" days,"&amp;" Summer", ((AN27*100)&amp;"%"&amp;" time, "&amp;AO27&amp;" months, "&amp;AL27))</f>
        <v>0% time, 0 months, AY</v>
      </c>
      <c r="E27" s="193"/>
      <c r="F27" s="81"/>
      <c r="G27" s="81"/>
      <c r="H27" s="191"/>
      <c r="I27" s="188"/>
      <c r="J27" s="170">
        <f t="shared" si="7"/>
        <v>0</v>
      </c>
      <c r="K27" s="170"/>
      <c r="L27" s="189">
        <v>0</v>
      </c>
      <c r="M27" s="170"/>
      <c r="N27" s="170">
        <f t="shared" si="8"/>
        <v>0</v>
      </c>
      <c r="O27" s="170"/>
      <c r="P27" s="189">
        <v>0</v>
      </c>
      <c r="Q27" s="81"/>
      <c r="R27" s="170">
        <f t="shared" si="9"/>
        <v>0</v>
      </c>
      <c r="S27" s="170"/>
      <c r="T27" s="189">
        <v>0</v>
      </c>
      <c r="U27" s="81"/>
      <c r="V27" s="170">
        <f t="shared" si="10"/>
        <v>0</v>
      </c>
      <c r="W27" s="170"/>
      <c r="X27" s="189">
        <v>0</v>
      </c>
      <c r="Y27" s="81"/>
      <c r="Z27" s="170">
        <f t="shared" si="11"/>
        <v>0</v>
      </c>
      <c r="AA27" s="170"/>
      <c r="AB27" s="189">
        <v>0</v>
      </c>
      <c r="AC27" s="81"/>
      <c r="AD27" s="170">
        <f t="shared" si="0"/>
        <v>0</v>
      </c>
      <c r="AE27" s="170"/>
      <c r="AF27" s="189">
        <f t="shared" si="1"/>
        <v>0</v>
      </c>
      <c r="AG27" s="28"/>
      <c r="AH27" s="28"/>
      <c r="AI27" s="194"/>
      <c r="AJ27" s="148">
        <v>0.01</v>
      </c>
      <c r="AK27" s="118">
        <f t="shared" si="2"/>
        <v>8.77</v>
      </c>
      <c r="AL27" s="119" t="s">
        <v>84</v>
      </c>
      <c r="AM27" s="165"/>
      <c r="AN27" s="120">
        <v>0</v>
      </c>
      <c r="AO27" s="121">
        <v>0</v>
      </c>
      <c r="AP27" s="41">
        <f t="shared" si="12"/>
        <v>0</v>
      </c>
      <c r="AQ27" s="28"/>
      <c r="AR27" s="121">
        <f t="shared" si="18"/>
        <v>0</v>
      </c>
      <c r="AS27" s="120">
        <f t="shared" si="18"/>
        <v>0</v>
      </c>
      <c r="AT27" s="121">
        <f t="shared" si="3"/>
        <v>0</v>
      </c>
      <c r="AU27" s="41">
        <f t="shared" si="13"/>
        <v>0</v>
      </c>
      <c r="AV27" s="28"/>
      <c r="AW27" s="121">
        <f t="shared" si="4"/>
        <v>0</v>
      </c>
      <c r="AX27" s="120">
        <f t="shared" si="4"/>
        <v>0</v>
      </c>
      <c r="AY27" s="121">
        <f t="shared" si="4"/>
        <v>0</v>
      </c>
      <c r="AZ27" s="41">
        <f t="shared" si="14"/>
        <v>0</v>
      </c>
      <c r="BA27" s="28"/>
      <c r="BB27" s="121">
        <f t="shared" si="5"/>
        <v>0</v>
      </c>
      <c r="BC27" s="120">
        <f t="shared" si="5"/>
        <v>0</v>
      </c>
      <c r="BD27" s="121">
        <f t="shared" si="5"/>
        <v>0</v>
      </c>
      <c r="BE27" s="41">
        <f t="shared" si="15"/>
        <v>0</v>
      </c>
      <c r="BF27" s="28"/>
      <c r="BG27" s="121">
        <f t="shared" si="6"/>
        <v>0</v>
      </c>
      <c r="BH27" s="120">
        <f t="shared" si="6"/>
        <v>0</v>
      </c>
      <c r="BI27" s="121">
        <f t="shared" si="6"/>
        <v>0</v>
      </c>
      <c r="BJ27" s="41">
        <f t="shared" si="16"/>
        <v>0</v>
      </c>
      <c r="BK27" s="45"/>
      <c r="BL27" s="45">
        <f t="shared" si="17"/>
        <v>0</v>
      </c>
      <c r="BM27" s="174"/>
    </row>
    <row r="28" spans="1:65" x14ac:dyDescent="0.25">
      <c r="A28" s="168" t="s">
        <v>167</v>
      </c>
      <c r="B28" s="187"/>
      <c r="C28" s="167"/>
      <c r="D28" s="193" t="str">
        <f>IF(AL28="Summer", (AM28)&amp;" days,"&amp;" Summer", ((AN28*100)&amp;"%"&amp;" time, "&amp;AO28&amp;" months, "&amp;AL28))</f>
        <v>0 days, Summer</v>
      </c>
      <c r="E28" s="193"/>
      <c r="F28" s="81"/>
      <c r="G28" s="81"/>
      <c r="H28" s="191"/>
      <c r="I28" s="188"/>
      <c r="J28" s="170">
        <f t="shared" si="7"/>
        <v>0</v>
      </c>
      <c r="K28" s="170"/>
      <c r="L28" s="189">
        <v>0</v>
      </c>
      <c r="M28" s="170"/>
      <c r="N28" s="170">
        <f t="shared" si="8"/>
        <v>0</v>
      </c>
      <c r="O28" s="170"/>
      <c r="P28" s="189">
        <v>0</v>
      </c>
      <c r="Q28" s="81"/>
      <c r="R28" s="170">
        <f t="shared" si="9"/>
        <v>0</v>
      </c>
      <c r="S28" s="170"/>
      <c r="T28" s="189">
        <v>0</v>
      </c>
      <c r="U28" s="81"/>
      <c r="V28" s="170">
        <f t="shared" si="10"/>
        <v>0</v>
      </c>
      <c r="W28" s="170"/>
      <c r="X28" s="189">
        <v>0</v>
      </c>
      <c r="Y28" s="81"/>
      <c r="Z28" s="170">
        <f t="shared" si="11"/>
        <v>0</v>
      </c>
      <c r="AA28" s="170"/>
      <c r="AB28" s="189">
        <v>0</v>
      </c>
      <c r="AC28" s="81"/>
      <c r="AD28" s="170">
        <f t="shared" si="0"/>
        <v>0</v>
      </c>
      <c r="AE28" s="170"/>
      <c r="AF28" s="189">
        <f t="shared" si="1"/>
        <v>0</v>
      </c>
      <c r="AG28" s="28"/>
      <c r="AH28" s="28"/>
      <c r="AI28" s="194"/>
      <c r="AJ28" s="148">
        <v>0.01</v>
      </c>
      <c r="AK28" s="118">
        <f t="shared" si="2"/>
        <v>8.77</v>
      </c>
      <c r="AL28" s="119" t="s">
        <v>85</v>
      </c>
      <c r="AM28" s="165">
        <v>0</v>
      </c>
      <c r="AN28" s="120">
        <v>0</v>
      </c>
      <c r="AO28" s="121">
        <v>0</v>
      </c>
      <c r="AP28" s="41">
        <f t="shared" si="12"/>
        <v>0</v>
      </c>
      <c r="AQ28" s="28"/>
      <c r="AR28" s="121">
        <f t="shared" si="18"/>
        <v>0</v>
      </c>
      <c r="AS28" s="120">
        <f t="shared" si="18"/>
        <v>0</v>
      </c>
      <c r="AT28" s="121">
        <f t="shared" si="3"/>
        <v>0</v>
      </c>
      <c r="AU28" s="41">
        <f t="shared" si="13"/>
        <v>0</v>
      </c>
      <c r="AV28" s="28"/>
      <c r="AW28" s="121">
        <f t="shared" si="4"/>
        <v>0</v>
      </c>
      <c r="AX28" s="120">
        <f t="shared" si="4"/>
        <v>0</v>
      </c>
      <c r="AY28" s="121">
        <f t="shared" si="4"/>
        <v>0</v>
      </c>
      <c r="AZ28" s="41">
        <f t="shared" si="14"/>
        <v>0</v>
      </c>
      <c r="BA28" s="28"/>
      <c r="BB28" s="121">
        <f t="shared" si="5"/>
        <v>0</v>
      </c>
      <c r="BC28" s="120">
        <f t="shared" si="5"/>
        <v>0</v>
      </c>
      <c r="BD28" s="121">
        <f t="shared" si="5"/>
        <v>0</v>
      </c>
      <c r="BE28" s="41">
        <f t="shared" si="15"/>
        <v>0</v>
      </c>
      <c r="BF28" s="28"/>
      <c r="BG28" s="121">
        <f t="shared" si="6"/>
        <v>0</v>
      </c>
      <c r="BH28" s="120">
        <f t="shared" si="6"/>
        <v>0</v>
      </c>
      <c r="BI28" s="121">
        <f t="shared" si="6"/>
        <v>0</v>
      </c>
      <c r="BJ28" s="41">
        <f t="shared" si="16"/>
        <v>0</v>
      </c>
      <c r="BK28" s="45"/>
      <c r="BL28" s="45">
        <f t="shared" si="17"/>
        <v>0</v>
      </c>
      <c r="BM28" s="174"/>
    </row>
    <row r="29" spans="1:65" x14ac:dyDescent="0.25">
      <c r="A29" s="195" t="s">
        <v>167</v>
      </c>
      <c r="B29" s="187"/>
      <c r="C29" s="167" t="s">
        <v>88</v>
      </c>
      <c r="D29" s="167"/>
      <c r="E29" s="197"/>
      <c r="F29" s="198"/>
      <c r="G29" s="198"/>
      <c r="H29" s="199"/>
      <c r="I29" s="200"/>
      <c r="J29" s="201">
        <f t="shared" si="7"/>
        <v>0</v>
      </c>
      <c r="K29" s="202"/>
      <c r="L29" s="189"/>
      <c r="M29" s="202"/>
      <c r="N29" s="202">
        <f t="shared" si="8"/>
        <v>0</v>
      </c>
      <c r="O29" s="202"/>
      <c r="P29" s="189"/>
      <c r="Q29" s="198"/>
      <c r="R29" s="202">
        <f t="shared" si="9"/>
        <v>0</v>
      </c>
      <c r="S29" s="202"/>
      <c r="T29" s="189"/>
      <c r="U29" s="198"/>
      <c r="V29" s="202">
        <f t="shared" si="10"/>
        <v>0</v>
      </c>
      <c r="W29" s="202"/>
      <c r="X29" s="189"/>
      <c r="Y29" s="198"/>
      <c r="Z29" s="202">
        <f t="shared" si="11"/>
        <v>0</v>
      </c>
      <c r="AA29" s="202"/>
      <c r="AB29" s="189"/>
      <c r="AC29" s="198"/>
      <c r="AD29" s="202">
        <f t="shared" si="0"/>
        <v>0</v>
      </c>
      <c r="AE29" s="202"/>
      <c r="AF29" s="204">
        <f t="shared" si="1"/>
        <v>0</v>
      </c>
      <c r="AG29" s="156"/>
      <c r="AH29" s="156"/>
      <c r="AI29" s="194"/>
      <c r="AJ29" s="150">
        <v>0.01</v>
      </c>
      <c r="AK29" s="151">
        <f t="shared" si="2"/>
        <v>8.77</v>
      </c>
      <c r="AL29" s="152"/>
      <c r="AM29" s="166"/>
      <c r="AN29" s="153">
        <v>0</v>
      </c>
      <c r="AO29" s="154">
        <v>0</v>
      </c>
      <c r="AP29" s="155">
        <f t="shared" si="12"/>
        <v>0</v>
      </c>
      <c r="AQ29" s="156"/>
      <c r="AR29" s="154">
        <f t="shared" si="18"/>
        <v>0</v>
      </c>
      <c r="AS29" s="153">
        <f t="shared" si="18"/>
        <v>0</v>
      </c>
      <c r="AT29" s="154">
        <f t="shared" si="3"/>
        <v>0</v>
      </c>
      <c r="AU29" s="155">
        <f t="shared" si="13"/>
        <v>0</v>
      </c>
      <c r="AV29" s="156"/>
      <c r="AW29" s="154">
        <f t="shared" si="4"/>
        <v>0</v>
      </c>
      <c r="AX29" s="153">
        <f t="shared" si="4"/>
        <v>0</v>
      </c>
      <c r="AY29" s="154">
        <f t="shared" si="4"/>
        <v>0</v>
      </c>
      <c r="AZ29" s="155">
        <f t="shared" si="14"/>
        <v>0</v>
      </c>
      <c r="BA29" s="156"/>
      <c r="BB29" s="154">
        <f t="shared" si="5"/>
        <v>0</v>
      </c>
      <c r="BC29" s="153">
        <f t="shared" si="5"/>
        <v>0</v>
      </c>
      <c r="BD29" s="154">
        <f t="shared" si="5"/>
        <v>0</v>
      </c>
      <c r="BE29" s="155">
        <f t="shared" si="15"/>
        <v>0</v>
      </c>
      <c r="BF29" s="156"/>
      <c r="BG29" s="154">
        <f t="shared" si="6"/>
        <v>0</v>
      </c>
      <c r="BH29" s="153">
        <f t="shared" si="6"/>
        <v>0</v>
      </c>
      <c r="BI29" s="154">
        <f t="shared" si="6"/>
        <v>0</v>
      </c>
      <c r="BJ29" s="155">
        <f t="shared" si="16"/>
        <v>0</v>
      </c>
      <c r="BK29" s="157"/>
      <c r="BL29" s="157">
        <f t="shared" si="17"/>
        <v>0</v>
      </c>
      <c r="BM29" s="206"/>
    </row>
    <row r="30" spans="1:65" x14ac:dyDescent="0.25">
      <c r="A30" s="168" t="s">
        <v>167</v>
      </c>
      <c r="B30" s="187"/>
      <c r="C30" s="167"/>
      <c r="D30" s="193" t="str">
        <f>IF(AL30="Summer", (AM30)&amp;" days,"&amp;" Summer", ((AN30*100)&amp;"%"&amp;" time, "&amp;AO30&amp;" months, "&amp;AL30))</f>
        <v>0% time, 0 months, AY</v>
      </c>
      <c r="E30" s="167"/>
      <c r="F30" s="81"/>
      <c r="G30" s="81"/>
      <c r="H30" s="191"/>
      <c r="I30" s="188"/>
      <c r="J30" s="170">
        <f t="shared" si="7"/>
        <v>0</v>
      </c>
      <c r="K30" s="170"/>
      <c r="L30" s="189">
        <v>0</v>
      </c>
      <c r="M30" s="170"/>
      <c r="N30" s="170">
        <f t="shared" si="8"/>
        <v>0</v>
      </c>
      <c r="O30" s="170"/>
      <c r="P30" s="189">
        <v>0</v>
      </c>
      <c r="Q30" s="81"/>
      <c r="R30" s="170">
        <f t="shared" si="9"/>
        <v>0</v>
      </c>
      <c r="S30" s="170"/>
      <c r="T30" s="189">
        <v>0</v>
      </c>
      <c r="U30" s="81"/>
      <c r="V30" s="170">
        <f t="shared" si="10"/>
        <v>0</v>
      </c>
      <c r="W30" s="170"/>
      <c r="X30" s="189">
        <v>0</v>
      </c>
      <c r="Y30" s="81"/>
      <c r="Z30" s="170">
        <f t="shared" si="11"/>
        <v>0</v>
      </c>
      <c r="AA30" s="170"/>
      <c r="AB30" s="189">
        <v>0</v>
      </c>
      <c r="AC30" s="81"/>
      <c r="AD30" s="170">
        <f t="shared" si="0"/>
        <v>0</v>
      </c>
      <c r="AE30" s="170"/>
      <c r="AF30" s="189">
        <f t="shared" si="1"/>
        <v>0</v>
      </c>
      <c r="AG30" s="28"/>
      <c r="AH30" s="28"/>
      <c r="AI30" s="194"/>
      <c r="AJ30" s="148">
        <v>0.01</v>
      </c>
      <c r="AK30" s="118">
        <f t="shared" si="2"/>
        <v>8.77</v>
      </c>
      <c r="AL30" s="119" t="s">
        <v>84</v>
      </c>
      <c r="AM30" s="165"/>
      <c r="AN30" s="120">
        <v>0</v>
      </c>
      <c r="AO30" s="121">
        <v>0</v>
      </c>
      <c r="AP30" s="41">
        <f t="shared" si="12"/>
        <v>0</v>
      </c>
      <c r="AQ30" s="28"/>
      <c r="AR30" s="121">
        <f t="shared" si="18"/>
        <v>0</v>
      </c>
      <c r="AS30" s="120">
        <f t="shared" si="18"/>
        <v>0</v>
      </c>
      <c r="AT30" s="121">
        <f t="shared" si="3"/>
        <v>0</v>
      </c>
      <c r="AU30" s="41">
        <f t="shared" si="13"/>
        <v>0</v>
      </c>
      <c r="AV30" s="28"/>
      <c r="AW30" s="121">
        <f t="shared" si="4"/>
        <v>0</v>
      </c>
      <c r="AX30" s="120">
        <f t="shared" si="4"/>
        <v>0</v>
      </c>
      <c r="AY30" s="121">
        <f t="shared" si="4"/>
        <v>0</v>
      </c>
      <c r="AZ30" s="41">
        <f t="shared" si="14"/>
        <v>0</v>
      </c>
      <c r="BA30" s="28"/>
      <c r="BB30" s="121">
        <f t="shared" si="5"/>
        <v>0</v>
      </c>
      <c r="BC30" s="120">
        <f t="shared" si="5"/>
        <v>0</v>
      </c>
      <c r="BD30" s="121">
        <f t="shared" si="5"/>
        <v>0</v>
      </c>
      <c r="BE30" s="41">
        <f t="shared" si="15"/>
        <v>0</v>
      </c>
      <c r="BF30" s="28"/>
      <c r="BG30" s="121">
        <f t="shared" si="6"/>
        <v>0</v>
      </c>
      <c r="BH30" s="120">
        <f t="shared" si="6"/>
        <v>0</v>
      </c>
      <c r="BI30" s="121">
        <f t="shared" si="6"/>
        <v>0</v>
      </c>
      <c r="BJ30" s="41">
        <f t="shared" si="16"/>
        <v>0</v>
      </c>
      <c r="BK30" s="45"/>
      <c r="BL30" s="45">
        <f t="shared" si="17"/>
        <v>0</v>
      </c>
      <c r="BM30" s="174"/>
    </row>
    <row r="31" spans="1:65" x14ac:dyDescent="0.25">
      <c r="A31" s="168" t="s">
        <v>167</v>
      </c>
      <c r="B31" s="187"/>
      <c r="C31" s="167"/>
      <c r="D31" s="193" t="str">
        <f>IF(AL31="Summer", (AM31)&amp;" days,"&amp;" Summer", ((AN31*100)&amp;"%"&amp;" time, "&amp;AO31&amp;" months, "&amp;AL31))</f>
        <v>0 days, Summer</v>
      </c>
      <c r="E31" s="193"/>
      <c r="F31" s="81"/>
      <c r="G31" s="81"/>
      <c r="H31" s="191"/>
      <c r="I31" s="188"/>
      <c r="J31" s="170">
        <f t="shared" si="7"/>
        <v>0</v>
      </c>
      <c r="K31" s="170"/>
      <c r="L31" s="189">
        <v>0</v>
      </c>
      <c r="M31" s="170"/>
      <c r="N31" s="170">
        <f t="shared" si="8"/>
        <v>0</v>
      </c>
      <c r="O31" s="170"/>
      <c r="P31" s="189">
        <v>0</v>
      </c>
      <c r="Q31" s="81"/>
      <c r="R31" s="170">
        <f t="shared" si="9"/>
        <v>0</v>
      </c>
      <c r="S31" s="170"/>
      <c r="T31" s="189">
        <v>0</v>
      </c>
      <c r="U31" s="81"/>
      <c r="V31" s="170">
        <f t="shared" si="10"/>
        <v>0</v>
      </c>
      <c r="W31" s="170"/>
      <c r="X31" s="189">
        <v>0</v>
      </c>
      <c r="Y31" s="81"/>
      <c r="Z31" s="170">
        <f t="shared" si="11"/>
        <v>0</v>
      </c>
      <c r="AA31" s="170"/>
      <c r="AB31" s="189">
        <v>0</v>
      </c>
      <c r="AC31" s="81"/>
      <c r="AD31" s="170">
        <f t="shared" si="0"/>
        <v>0</v>
      </c>
      <c r="AE31" s="170"/>
      <c r="AF31" s="189">
        <f t="shared" si="1"/>
        <v>0</v>
      </c>
      <c r="AG31" s="28"/>
      <c r="AH31" s="28"/>
      <c r="AI31" s="194"/>
      <c r="AJ31" s="148">
        <v>0.01</v>
      </c>
      <c r="AK31" s="118">
        <f t="shared" si="2"/>
        <v>8.77</v>
      </c>
      <c r="AL31" s="119" t="s">
        <v>85</v>
      </c>
      <c r="AM31" s="165">
        <v>0</v>
      </c>
      <c r="AN31" s="120">
        <v>0</v>
      </c>
      <c r="AO31" s="121">
        <v>0</v>
      </c>
      <c r="AP31" s="41">
        <f t="shared" si="12"/>
        <v>0</v>
      </c>
      <c r="AQ31" s="28"/>
      <c r="AR31" s="121">
        <f t="shared" si="18"/>
        <v>0</v>
      </c>
      <c r="AS31" s="120">
        <f t="shared" si="18"/>
        <v>0</v>
      </c>
      <c r="AT31" s="121">
        <f t="shared" si="3"/>
        <v>0</v>
      </c>
      <c r="AU31" s="41">
        <f t="shared" si="13"/>
        <v>0</v>
      </c>
      <c r="AV31" s="28"/>
      <c r="AW31" s="121">
        <f t="shared" si="4"/>
        <v>0</v>
      </c>
      <c r="AX31" s="120">
        <f t="shared" si="4"/>
        <v>0</v>
      </c>
      <c r="AY31" s="121">
        <f t="shared" si="4"/>
        <v>0</v>
      </c>
      <c r="AZ31" s="41">
        <f t="shared" si="14"/>
        <v>0</v>
      </c>
      <c r="BA31" s="28"/>
      <c r="BB31" s="121">
        <f t="shared" si="5"/>
        <v>0</v>
      </c>
      <c r="BC31" s="120">
        <f t="shared" si="5"/>
        <v>0</v>
      </c>
      <c r="BD31" s="121">
        <f t="shared" si="5"/>
        <v>0</v>
      </c>
      <c r="BE31" s="41">
        <f t="shared" si="15"/>
        <v>0</v>
      </c>
      <c r="BF31" s="28"/>
      <c r="BG31" s="121">
        <f t="shared" si="6"/>
        <v>0</v>
      </c>
      <c r="BH31" s="120">
        <f t="shared" si="6"/>
        <v>0</v>
      </c>
      <c r="BI31" s="121">
        <f t="shared" si="6"/>
        <v>0</v>
      </c>
      <c r="BJ31" s="41">
        <f t="shared" si="16"/>
        <v>0</v>
      </c>
      <c r="BK31" s="45"/>
      <c r="BL31" s="45">
        <f t="shared" si="17"/>
        <v>0</v>
      </c>
      <c r="BM31" s="174"/>
    </row>
    <row r="32" spans="1:65" x14ac:dyDescent="0.25">
      <c r="A32" s="195" t="s">
        <v>169</v>
      </c>
      <c r="B32" s="187"/>
      <c r="C32" s="167" t="s">
        <v>89</v>
      </c>
      <c r="D32" s="167"/>
      <c r="E32" s="197"/>
      <c r="F32" s="198"/>
      <c r="G32" s="198"/>
      <c r="H32" s="199"/>
      <c r="I32" s="200"/>
      <c r="J32" s="201">
        <f t="shared" si="7"/>
        <v>0</v>
      </c>
      <c r="K32" s="202"/>
      <c r="L32" s="189"/>
      <c r="M32" s="202"/>
      <c r="N32" s="202">
        <f t="shared" si="8"/>
        <v>0</v>
      </c>
      <c r="O32" s="202"/>
      <c r="P32" s="189"/>
      <c r="Q32" s="198"/>
      <c r="R32" s="202">
        <f t="shared" si="9"/>
        <v>0</v>
      </c>
      <c r="S32" s="202"/>
      <c r="T32" s="189"/>
      <c r="U32" s="198"/>
      <c r="V32" s="202">
        <f t="shared" si="10"/>
        <v>0</v>
      </c>
      <c r="W32" s="202"/>
      <c r="X32" s="189"/>
      <c r="Y32" s="198"/>
      <c r="Z32" s="202">
        <f t="shared" si="11"/>
        <v>0</v>
      </c>
      <c r="AA32" s="202"/>
      <c r="AB32" s="189"/>
      <c r="AC32" s="198"/>
      <c r="AD32" s="202">
        <f t="shared" si="0"/>
        <v>0</v>
      </c>
      <c r="AE32" s="202"/>
      <c r="AF32" s="204">
        <f t="shared" si="1"/>
        <v>0</v>
      </c>
      <c r="AG32" s="156"/>
      <c r="AH32" s="156"/>
      <c r="AI32" s="194"/>
      <c r="AJ32" s="150">
        <v>0.01</v>
      </c>
      <c r="AK32" s="151">
        <f t="shared" si="2"/>
        <v>12</v>
      </c>
      <c r="AL32" s="152"/>
      <c r="AM32" s="166"/>
      <c r="AN32" s="153">
        <v>0</v>
      </c>
      <c r="AO32" s="154">
        <v>0</v>
      </c>
      <c r="AP32" s="155">
        <f t="shared" si="12"/>
        <v>0</v>
      </c>
      <c r="AQ32" s="156"/>
      <c r="AR32" s="154">
        <f t="shared" si="18"/>
        <v>0</v>
      </c>
      <c r="AS32" s="153">
        <f t="shared" si="18"/>
        <v>0</v>
      </c>
      <c r="AT32" s="154">
        <f t="shared" si="3"/>
        <v>0</v>
      </c>
      <c r="AU32" s="155">
        <f t="shared" si="13"/>
        <v>0</v>
      </c>
      <c r="AV32" s="156"/>
      <c r="AW32" s="154">
        <f t="shared" si="4"/>
        <v>0</v>
      </c>
      <c r="AX32" s="153">
        <f t="shared" si="4"/>
        <v>0</v>
      </c>
      <c r="AY32" s="154">
        <f t="shared" si="4"/>
        <v>0</v>
      </c>
      <c r="AZ32" s="155">
        <f t="shared" si="14"/>
        <v>0</v>
      </c>
      <c r="BA32" s="156"/>
      <c r="BB32" s="154">
        <f t="shared" si="5"/>
        <v>0</v>
      </c>
      <c r="BC32" s="153">
        <f t="shared" si="5"/>
        <v>0</v>
      </c>
      <c r="BD32" s="154">
        <f t="shared" si="5"/>
        <v>0</v>
      </c>
      <c r="BE32" s="155">
        <f t="shared" si="15"/>
        <v>0</v>
      </c>
      <c r="BF32" s="156"/>
      <c r="BG32" s="154">
        <f t="shared" si="6"/>
        <v>0</v>
      </c>
      <c r="BH32" s="153">
        <f t="shared" si="6"/>
        <v>0</v>
      </c>
      <c r="BI32" s="154">
        <f t="shared" si="6"/>
        <v>0</v>
      </c>
      <c r="BJ32" s="155">
        <f t="shared" si="16"/>
        <v>0</v>
      </c>
      <c r="BK32" s="157"/>
      <c r="BL32" s="157">
        <f t="shared" si="17"/>
        <v>0</v>
      </c>
      <c r="BM32" s="206"/>
    </row>
    <row r="33" spans="1:65" x14ac:dyDescent="0.25">
      <c r="A33" s="168" t="s">
        <v>169</v>
      </c>
      <c r="B33" s="187"/>
      <c r="C33" s="167"/>
      <c r="D33" s="193" t="str">
        <f>IF(AL33="Summer", (AM33)&amp;" days,"&amp;" Summer", ((AN33*100)&amp;"%"&amp;" time, "&amp;AO33&amp;" months, "&amp;AL33))</f>
        <v>0% time, 0 months, CY</v>
      </c>
      <c r="E33" s="193"/>
      <c r="F33" s="81"/>
      <c r="G33" s="81"/>
      <c r="H33" s="191"/>
      <c r="I33" s="188"/>
      <c r="J33" s="170">
        <f t="shared" si="7"/>
        <v>0</v>
      </c>
      <c r="K33" s="170"/>
      <c r="L33" s="189">
        <v>0</v>
      </c>
      <c r="M33" s="170"/>
      <c r="N33" s="170">
        <f t="shared" si="8"/>
        <v>0</v>
      </c>
      <c r="O33" s="170"/>
      <c r="P33" s="189">
        <v>0</v>
      </c>
      <c r="Q33" s="81"/>
      <c r="R33" s="170">
        <f t="shared" si="9"/>
        <v>0</v>
      </c>
      <c r="S33" s="170"/>
      <c r="T33" s="189">
        <v>0</v>
      </c>
      <c r="U33" s="81"/>
      <c r="V33" s="170">
        <f t="shared" si="10"/>
        <v>0</v>
      </c>
      <c r="W33" s="170"/>
      <c r="X33" s="189">
        <v>0</v>
      </c>
      <c r="Y33" s="81"/>
      <c r="Z33" s="170">
        <f t="shared" si="11"/>
        <v>0</v>
      </c>
      <c r="AA33" s="170"/>
      <c r="AB33" s="189">
        <v>0</v>
      </c>
      <c r="AC33" s="81"/>
      <c r="AD33" s="170">
        <f t="shared" si="0"/>
        <v>0</v>
      </c>
      <c r="AE33" s="170"/>
      <c r="AF33" s="189">
        <f t="shared" si="1"/>
        <v>0</v>
      </c>
      <c r="AG33" s="28"/>
      <c r="AH33" s="81"/>
      <c r="AI33" s="194"/>
      <c r="AJ33" s="148">
        <v>0.01</v>
      </c>
      <c r="AK33" s="118">
        <f t="shared" si="2"/>
        <v>12</v>
      </c>
      <c r="AL33" s="119" t="s">
        <v>83</v>
      </c>
      <c r="AM33" s="165"/>
      <c r="AN33" s="120">
        <v>0</v>
      </c>
      <c r="AO33" s="121">
        <v>0</v>
      </c>
      <c r="AP33" s="41">
        <f t="shared" si="12"/>
        <v>0</v>
      </c>
      <c r="AQ33" s="28"/>
      <c r="AR33" s="121">
        <f t="shared" si="18"/>
        <v>0</v>
      </c>
      <c r="AS33" s="120">
        <f t="shared" si="18"/>
        <v>0</v>
      </c>
      <c r="AT33" s="121">
        <f t="shared" si="3"/>
        <v>0</v>
      </c>
      <c r="AU33" s="41">
        <f t="shared" si="13"/>
        <v>0</v>
      </c>
      <c r="AV33" s="28"/>
      <c r="AW33" s="121">
        <f t="shared" si="4"/>
        <v>0</v>
      </c>
      <c r="AX33" s="120">
        <f t="shared" si="4"/>
        <v>0</v>
      </c>
      <c r="AY33" s="121">
        <f t="shared" si="4"/>
        <v>0</v>
      </c>
      <c r="AZ33" s="41">
        <f t="shared" si="14"/>
        <v>0</v>
      </c>
      <c r="BA33" s="28"/>
      <c r="BB33" s="121">
        <f t="shared" si="5"/>
        <v>0</v>
      </c>
      <c r="BC33" s="120">
        <f t="shared" si="5"/>
        <v>0</v>
      </c>
      <c r="BD33" s="121">
        <f t="shared" si="5"/>
        <v>0</v>
      </c>
      <c r="BE33" s="41">
        <f t="shared" si="15"/>
        <v>0</v>
      </c>
      <c r="BF33" s="28"/>
      <c r="BG33" s="121">
        <f t="shared" si="6"/>
        <v>0</v>
      </c>
      <c r="BH33" s="120">
        <f t="shared" si="6"/>
        <v>0</v>
      </c>
      <c r="BI33" s="121">
        <f t="shared" si="6"/>
        <v>0</v>
      </c>
      <c r="BJ33" s="41">
        <f t="shared" si="16"/>
        <v>0</v>
      </c>
      <c r="BK33" s="45"/>
      <c r="BL33" s="45">
        <f t="shared" si="17"/>
        <v>0</v>
      </c>
      <c r="BM33" s="174"/>
    </row>
    <row r="34" spans="1:65" x14ac:dyDescent="0.25">
      <c r="A34" s="195" t="s">
        <v>169</v>
      </c>
      <c r="B34" s="187"/>
      <c r="C34" s="167" t="s">
        <v>89</v>
      </c>
      <c r="D34" s="167"/>
      <c r="E34" s="197"/>
      <c r="F34" s="198"/>
      <c r="G34" s="198"/>
      <c r="H34" s="199"/>
      <c r="I34" s="200"/>
      <c r="J34" s="201">
        <f t="shared" si="7"/>
        <v>0</v>
      </c>
      <c r="K34" s="202"/>
      <c r="L34" s="189"/>
      <c r="M34" s="202"/>
      <c r="N34" s="202">
        <f t="shared" si="8"/>
        <v>0</v>
      </c>
      <c r="O34" s="202"/>
      <c r="P34" s="189"/>
      <c r="Q34" s="198"/>
      <c r="R34" s="202">
        <f t="shared" si="9"/>
        <v>0</v>
      </c>
      <c r="S34" s="202"/>
      <c r="T34" s="189"/>
      <c r="U34" s="198"/>
      <c r="V34" s="202">
        <f t="shared" si="10"/>
        <v>0</v>
      </c>
      <c r="W34" s="202"/>
      <c r="X34" s="189"/>
      <c r="Y34" s="198"/>
      <c r="Z34" s="202">
        <f t="shared" si="11"/>
        <v>0</v>
      </c>
      <c r="AA34" s="202"/>
      <c r="AB34" s="189"/>
      <c r="AC34" s="198"/>
      <c r="AD34" s="202">
        <f t="shared" si="0"/>
        <v>0</v>
      </c>
      <c r="AE34" s="202"/>
      <c r="AF34" s="204">
        <f t="shared" si="1"/>
        <v>0</v>
      </c>
      <c r="AG34" s="156"/>
      <c r="AH34" s="156"/>
      <c r="AI34" s="194"/>
      <c r="AJ34" s="150">
        <v>0.01</v>
      </c>
      <c r="AK34" s="151">
        <f t="shared" si="2"/>
        <v>12</v>
      </c>
      <c r="AL34" s="152"/>
      <c r="AM34" s="166"/>
      <c r="AN34" s="153">
        <v>0</v>
      </c>
      <c r="AO34" s="154">
        <v>0</v>
      </c>
      <c r="AP34" s="155">
        <f t="shared" si="12"/>
        <v>0</v>
      </c>
      <c r="AQ34" s="156"/>
      <c r="AR34" s="154">
        <f t="shared" si="18"/>
        <v>0</v>
      </c>
      <c r="AS34" s="153">
        <f t="shared" si="18"/>
        <v>0</v>
      </c>
      <c r="AT34" s="154">
        <f t="shared" si="3"/>
        <v>0</v>
      </c>
      <c r="AU34" s="155">
        <f t="shared" si="13"/>
        <v>0</v>
      </c>
      <c r="AV34" s="156"/>
      <c r="AW34" s="154">
        <f t="shared" ref="AW34:AY49" si="19">IF($AK$10=2,0,AR34)</f>
        <v>0</v>
      </c>
      <c r="AX34" s="153">
        <f t="shared" si="19"/>
        <v>0</v>
      </c>
      <c r="AY34" s="154">
        <f t="shared" si="19"/>
        <v>0</v>
      </c>
      <c r="AZ34" s="155">
        <f t="shared" si="14"/>
        <v>0</v>
      </c>
      <c r="BA34" s="156"/>
      <c r="BB34" s="154">
        <f t="shared" ref="BB34:BD49" si="20">IF($AK$10=3,0,AW34)</f>
        <v>0</v>
      </c>
      <c r="BC34" s="153">
        <f t="shared" si="20"/>
        <v>0</v>
      </c>
      <c r="BD34" s="154">
        <f t="shared" si="20"/>
        <v>0</v>
      </c>
      <c r="BE34" s="155">
        <f t="shared" si="15"/>
        <v>0</v>
      </c>
      <c r="BF34" s="156"/>
      <c r="BG34" s="154">
        <f t="shared" ref="BG34:BI49" si="21">IF($AK$10=4,0,BB34)</f>
        <v>0</v>
      </c>
      <c r="BH34" s="153">
        <f t="shared" si="21"/>
        <v>0</v>
      </c>
      <c r="BI34" s="154">
        <f t="shared" si="21"/>
        <v>0</v>
      </c>
      <c r="BJ34" s="155">
        <f t="shared" si="16"/>
        <v>0</v>
      </c>
      <c r="BK34" s="157"/>
      <c r="BL34" s="157">
        <f t="shared" si="17"/>
        <v>0</v>
      </c>
      <c r="BM34" s="206"/>
    </row>
    <row r="35" spans="1:65" x14ac:dyDescent="0.25">
      <c r="A35" s="168" t="s">
        <v>169</v>
      </c>
      <c r="B35" s="187"/>
      <c r="C35" s="167"/>
      <c r="D35" s="193" t="str">
        <f>IF(AL35="Summer", (AM35)&amp;" days,"&amp;" Summer", ((AN35*100)&amp;"%"&amp;" time, "&amp;AO35&amp;" months, "&amp;AL35))</f>
        <v>0% time, 0 months, CY</v>
      </c>
      <c r="E35" s="193"/>
      <c r="F35" s="81"/>
      <c r="G35" s="81"/>
      <c r="H35" s="191"/>
      <c r="I35" s="188"/>
      <c r="J35" s="170">
        <f t="shared" si="7"/>
        <v>0</v>
      </c>
      <c r="K35" s="170"/>
      <c r="L35" s="189">
        <v>0</v>
      </c>
      <c r="M35" s="170"/>
      <c r="N35" s="170">
        <f t="shared" si="8"/>
        <v>0</v>
      </c>
      <c r="O35" s="170"/>
      <c r="P35" s="189">
        <v>0</v>
      </c>
      <c r="Q35" s="81"/>
      <c r="R35" s="170">
        <f t="shared" si="9"/>
        <v>0</v>
      </c>
      <c r="S35" s="170"/>
      <c r="T35" s="189">
        <v>0</v>
      </c>
      <c r="U35" s="81"/>
      <c r="V35" s="170">
        <f t="shared" si="10"/>
        <v>0</v>
      </c>
      <c r="W35" s="170"/>
      <c r="X35" s="189">
        <v>0</v>
      </c>
      <c r="Y35" s="81"/>
      <c r="Z35" s="170">
        <f t="shared" si="11"/>
        <v>0</v>
      </c>
      <c r="AA35" s="170"/>
      <c r="AB35" s="189">
        <v>0</v>
      </c>
      <c r="AC35" s="81"/>
      <c r="AD35" s="170">
        <f t="shared" si="0"/>
        <v>0</v>
      </c>
      <c r="AE35" s="170"/>
      <c r="AF35" s="189">
        <f t="shared" si="1"/>
        <v>0</v>
      </c>
      <c r="AG35" s="28"/>
      <c r="AH35" s="28"/>
      <c r="AI35" s="194"/>
      <c r="AJ35" s="148">
        <v>0.01</v>
      </c>
      <c r="AK35" s="118">
        <f t="shared" si="2"/>
        <v>12</v>
      </c>
      <c r="AL35" s="119" t="s">
        <v>83</v>
      </c>
      <c r="AM35" s="165"/>
      <c r="AN35" s="120">
        <v>0</v>
      </c>
      <c r="AO35" s="121">
        <v>0</v>
      </c>
      <c r="AP35" s="41">
        <f t="shared" si="12"/>
        <v>0</v>
      </c>
      <c r="AQ35" s="28"/>
      <c r="AR35" s="121">
        <f t="shared" si="18"/>
        <v>0</v>
      </c>
      <c r="AS35" s="120">
        <f t="shared" si="18"/>
        <v>0</v>
      </c>
      <c r="AT35" s="121">
        <f t="shared" si="3"/>
        <v>0</v>
      </c>
      <c r="AU35" s="41">
        <f t="shared" si="13"/>
        <v>0</v>
      </c>
      <c r="AV35" s="28"/>
      <c r="AW35" s="121">
        <f t="shared" si="19"/>
        <v>0</v>
      </c>
      <c r="AX35" s="120">
        <f t="shared" si="19"/>
        <v>0</v>
      </c>
      <c r="AY35" s="121">
        <f t="shared" si="19"/>
        <v>0</v>
      </c>
      <c r="AZ35" s="41">
        <f t="shared" si="14"/>
        <v>0</v>
      </c>
      <c r="BA35" s="28"/>
      <c r="BB35" s="121">
        <f t="shared" si="20"/>
        <v>0</v>
      </c>
      <c r="BC35" s="120">
        <f t="shared" si="20"/>
        <v>0</v>
      </c>
      <c r="BD35" s="121">
        <f t="shared" si="20"/>
        <v>0</v>
      </c>
      <c r="BE35" s="41">
        <f t="shared" si="15"/>
        <v>0</v>
      </c>
      <c r="BF35" s="28"/>
      <c r="BG35" s="121">
        <f t="shared" si="21"/>
        <v>0</v>
      </c>
      <c r="BH35" s="120">
        <f t="shared" si="21"/>
        <v>0</v>
      </c>
      <c r="BI35" s="121">
        <f t="shared" si="21"/>
        <v>0</v>
      </c>
      <c r="BJ35" s="41">
        <f t="shared" si="16"/>
        <v>0</v>
      </c>
      <c r="BK35" s="45"/>
      <c r="BL35" s="45">
        <f t="shared" si="17"/>
        <v>0</v>
      </c>
      <c r="BM35" s="174"/>
    </row>
    <row r="36" spans="1:65" x14ac:dyDescent="0.25">
      <c r="A36" s="195" t="s">
        <v>169</v>
      </c>
      <c r="B36" s="187"/>
      <c r="C36" s="167" t="s">
        <v>89</v>
      </c>
      <c r="D36" s="167"/>
      <c r="E36" s="197"/>
      <c r="F36" s="198"/>
      <c r="G36" s="198"/>
      <c r="H36" s="199"/>
      <c r="I36" s="200"/>
      <c r="J36" s="201">
        <f t="shared" si="7"/>
        <v>0</v>
      </c>
      <c r="K36" s="202"/>
      <c r="L36" s="189"/>
      <c r="M36" s="202"/>
      <c r="N36" s="202">
        <f t="shared" si="8"/>
        <v>0</v>
      </c>
      <c r="O36" s="202"/>
      <c r="P36" s="189"/>
      <c r="Q36" s="198"/>
      <c r="R36" s="202">
        <f t="shared" si="9"/>
        <v>0</v>
      </c>
      <c r="S36" s="202"/>
      <c r="T36" s="189"/>
      <c r="U36" s="198"/>
      <c r="V36" s="202">
        <f t="shared" si="10"/>
        <v>0</v>
      </c>
      <c r="W36" s="202"/>
      <c r="X36" s="189"/>
      <c r="Y36" s="198"/>
      <c r="Z36" s="202">
        <f t="shared" si="11"/>
        <v>0</v>
      </c>
      <c r="AA36" s="202"/>
      <c r="AB36" s="189"/>
      <c r="AC36" s="198"/>
      <c r="AD36" s="202">
        <f t="shared" si="0"/>
        <v>0</v>
      </c>
      <c r="AE36" s="202"/>
      <c r="AF36" s="204">
        <f t="shared" si="1"/>
        <v>0</v>
      </c>
      <c r="AG36" s="156"/>
      <c r="AH36" s="156"/>
      <c r="AI36" s="194"/>
      <c r="AJ36" s="150">
        <v>0.01</v>
      </c>
      <c r="AK36" s="151">
        <f t="shared" si="2"/>
        <v>12</v>
      </c>
      <c r="AL36" s="152"/>
      <c r="AM36" s="166"/>
      <c r="AN36" s="153">
        <v>0</v>
      </c>
      <c r="AO36" s="154">
        <v>0</v>
      </c>
      <c r="AP36" s="155">
        <f t="shared" si="12"/>
        <v>0</v>
      </c>
      <c r="AQ36" s="156"/>
      <c r="AR36" s="154">
        <f t="shared" si="18"/>
        <v>0</v>
      </c>
      <c r="AS36" s="153">
        <f t="shared" si="18"/>
        <v>0</v>
      </c>
      <c r="AT36" s="154">
        <f t="shared" si="3"/>
        <v>0</v>
      </c>
      <c r="AU36" s="155">
        <f t="shared" si="13"/>
        <v>0</v>
      </c>
      <c r="AV36" s="156"/>
      <c r="AW36" s="154">
        <f t="shared" si="19"/>
        <v>0</v>
      </c>
      <c r="AX36" s="153">
        <f t="shared" si="19"/>
        <v>0</v>
      </c>
      <c r="AY36" s="154">
        <f t="shared" si="19"/>
        <v>0</v>
      </c>
      <c r="AZ36" s="155">
        <f t="shared" si="14"/>
        <v>0</v>
      </c>
      <c r="BA36" s="156"/>
      <c r="BB36" s="154">
        <f t="shared" si="20"/>
        <v>0</v>
      </c>
      <c r="BC36" s="153">
        <f t="shared" si="20"/>
        <v>0</v>
      </c>
      <c r="BD36" s="154">
        <f t="shared" si="20"/>
        <v>0</v>
      </c>
      <c r="BE36" s="155">
        <f t="shared" si="15"/>
        <v>0</v>
      </c>
      <c r="BF36" s="156"/>
      <c r="BG36" s="154">
        <f t="shared" si="21"/>
        <v>0</v>
      </c>
      <c r="BH36" s="153">
        <f t="shared" si="21"/>
        <v>0</v>
      </c>
      <c r="BI36" s="154">
        <f t="shared" si="21"/>
        <v>0</v>
      </c>
      <c r="BJ36" s="155">
        <f t="shared" si="16"/>
        <v>0</v>
      </c>
      <c r="BK36" s="157"/>
      <c r="BL36" s="157">
        <f t="shared" si="17"/>
        <v>0</v>
      </c>
      <c r="BM36" s="206"/>
    </row>
    <row r="37" spans="1:65" x14ac:dyDescent="0.25">
      <c r="A37" s="168" t="s">
        <v>169</v>
      </c>
      <c r="B37" s="187"/>
      <c r="C37" s="167"/>
      <c r="D37" s="193" t="str">
        <f>IF(AL37="Summer", (AM37)&amp;" days,"&amp;" Summer", ((AN37*100)&amp;"%"&amp;" time, "&amp;AO37&amp;" months, "&amp;AL37))</f>
        <v>0% time, 0 months, CY</v>
      </c>
      <c r="E37" s="193"/>
      <c r="F37" s="81"/>
      <c r="G37" s="81"/>
      <c r="H37" s="191"/>
      <c r="I37" s="188"/>
      <c r="J37" s="170">
        <f t="shared" si="7"/>
        <v>0</v>
      </c>
      <c r="K37" s="170"/>
      <c r="L37" s="189">
        <v>0</v>
      </c>
      <c r="M37" s="170"/>
      <c r="N37" s="170">
        <f t="shared" si="8"/>
        <v>0</v>
      </c>
      <c r="O37" s="170"/>
      <c r="P37" s="189">
        <v>0</v>
      </c>
      <c r="Q37" s="81"/>
      <c r="R37" s="170">
        <f t="shared" si="9"/>
        <v>0</v>
      </c>
      <c r="S37" s="170"/>
      <c r="T37" s="189">
        <v>0</v>
      </c>
      <c r="U37" s="81"/>
      <c r="V37" s="170">
        <f t="shared" si="10"/>
        <v>0</v>
      </c>
      <c r="W37" s="170"/>
      <c r="X37" s="189">
        <v>0</v>
      </c>
      <c r="Y37" s="81"/>
      <c r="Z37" s="170">
        <f t="shared" si="11"/>
        <v>0</v>
      </c>
      <c r="AA37" s="170"/>
      <c r="AB37" s="189">
        <v>0</v>
      </c>
      <c r="AC37" s="81"/>
      <c r="AD37" s="170">
        <f t="shared" si="0"/>
        <v>0</v>
      </c>
      <c r="AE37" s="170"/>
      <c r="AF37" s="189">
        <f t="shared" si="1"/>
        <v>0</v>
      </c>
      <c r="AG37" s="28"/>
      <c r="AH37" s="28"/>
      <c r="AI37" s="194"/>
      <c r="AJ37" s="148">
        <v>0.01</v>
      </c>
      <c r="AK37" s="118">
        <f t="shared" si="2"/>
        <v>12</v>
      </c>
      <c r="AL37" s="119" t="s">
        <v>83</v>
      </c>
      <c r="AM37" s="165"/>
      <c r="AN37" s="120">
        <v>0</v>
      </c>
      <c r="AO37" s="121">
        <v>0</v>
      </c>
      <c r="AP37" s="41">
        <f t="shared" si="12"/>
        <v>0</v>
      </c>
      <c r="AQ37" s="28"/>
      <c r="AR37" s="121">
        <f t="shared" si="18"/>
        <v>0</v>
      </c>
      <c r="AS37" s="120">
        <f t="shared" si="18"/>
        <v>0</v>
      </c>
      <c r="AT37" s="121">
        <f t="shared" si="3"/>
        <v>0</v>
      </c>
      <c r="AU37" s="41">
        <f t="shared" si="13"/>
        <v>0</v>
      </c>
      <c r="AV37" s="28"/>
      <c r="AW37" s="121">
        <f t="shared" si="19"/>
        <v>0</v>
      </c>
      <c r="AX37" s="120">
        <f t="shared" si="19"/>
        <v>0</v>
      </c>
      <c r="AY37" s="121">
        <f t="shared" si="19"/>
        <v>0</v>
      </c>
      <c r="AZ37" s="41">
        <f t="shared" si="14"/>
        <v>0</v>
      </c>
      <c r="BA37" s="28"/>
      <c r="BB37" s="121">
        <f t="shared" si="20"/>
        <v>0</v>
      </c>
      <c r="BC37" s="120">
        <f t="shared" si="20"/>
        <v>0</v>
      </c>
      <c r="BD37" s="121">
        <f t="shared" si="20"/>
        <v>0</v>
      </c>
      <c r="BE37" s="41">
        <f t="shared" si="15"/>
        <v>0</v>
      </c>
      <c r="BF37" s="28"/>
      <c r="BG37" s="121">
        <f t="shared" si="21"/>
        <v>0</v>
      </c>
      <c r="BH37" s="120">
        <f t="shared" si="21"/>
        <v>0</v>
      </c>
      <c r="BI37" s="121">
        <f t="shared" si="21"/>
        <v>0</v>
      </c>
      <c r="BJ37" s="41">
        <f t="shared" si="16"/>
        <v>0</v>
      </c>
      <c r="BK37" s="45"/>
      <c r="BL37" s="45">
        <f t="shared" si="17"/>
        <v>0</v>
      </c>
      <c r="BM37" s="174"/>
    </row>
    <row r="38" spans="1:65" x14ac:dyDescent="0.25">
      <c r="A38" s="195" t="s">
        <v>171</v>
      </c>
      <c r="B38" s="187"/>
      <c r="C38" s="167" t="s">
        <v>90</v>
      </c>
      <c r="D38" s="167"/>
      <c r="E38" s="197"/>
      <c r="F38" s="198"/>
      <c r="G38" s="198"/>
      <c r="H38" s="199"/>
      <c r="I38" s="200"/>
      <c r="J38" s="201">
        <f t="shared" si="7"/>
        <v>0</v>
      </c>
      <c r="K38" s="202"/>
      <c r="L38" s="189"/>
      <c r="M38" s="202"/>
      <c r="N38" s="202">
        <f t="shared" si="8"/>
        <v>0</v>
      </c>
      <c r="O38" s="202"/>
      <c r="P38" s="189"/>
      <c r="Q38" s="198"/>
      <c r="R38" s="202">
        <f t="shared" si="9"/>
        <v>0</v>
      </c>
      <c r="S38" s="202"/>
      <c r="T38" s="189"/>
      <c r="U38" s="198"/>
      <c r="V38" s="202">
        <f t="shared" si="10"/>
        <v>0</v>
      </c>
      <c r="W38" s="202"/>
      <c r="X38" s="189"/>
      <c r="Y38" s="198"/>
      <c r="Z38" s="202">
        <f t="shared" si="11"/>
        <v>0</v>
      </c>
      <c r="AA38" s="202"/>
      <c r="AB38" s="189"/>
      <c r="AC38" s="198"/>
      <c r="AD38" s="202">
        <f t="shared" si="0"/>
        <v>0</v>
      </c>
      <c r="AE38" s="202"/>
      <c r="AF38" s="204">
        <f t="shared" si="1"/>
        <v>0</v>
      </c>
      <c r="AG38" s="156"/>
      <c r="AH38" s="156"/>
      <c r="AI38" s="194"/>
      <c r="AJ38" s="150">
        <v>0.01</v>
      </c>
      <c r="AK38" s="151">
        <f t="shared" si="2"/>
        <v>12</v>
      </c>
      <c r="AL38" s="152"/>
      <c r="AM38" s="166"/>
      <c r="AN38" s="153">
        <v>0</v>
      </c>
      <c r="AO38" s="154">
        <v>0</v>
      </c>
      <c r="AP38" s="155">
        <f t="shared" si="12"/>
        <v>0</v>
      </c>
      <c r="AQ38" s="156"/>
      <c r="AR38" s="154">
        <f t="shared" si="18"/>
        <v>0</v>
      </c>
      <c r="AS38" s="153">
        <f t="shared" si="18"/>
        <v>0</v>
      </c>
      <c r="AT38" s="154">
        <f t="shared" si="3"/>
        <v>0</v>
      </c>
      <c r="AU38" s="155">
        <f t="shared" si="13"/>
        <v>0</v>
      </c>
      <c r="AV38" s="156"/>
      <c r="AW38" s="154">
        <f t="shared" si="19"/>
        <v>0</v>
      </c>
      <c r="AX38" s="153">
        <f t="shared" si="19"/>
        <v>0</v>
      </c>
      <c r="AY38" s="154">
        <f t="shared" si="19"/>
        <v>0</v>
      </c>
      <c r="AZ38" s="155">
        <f t="shared" si="14"/>
        <v>0</v>
      </c>
      <c r="BA38" s="156"/>
      <c r="BB38" s="154">
        <f t="shared" si="20"/>
        <v>0</v>
      </c>
      <c r="BC38" s="153">
        <f t="shared" si="20"/>
        <v>0</v>
      </c>
      <c r="BD38" s="154">
        <f t="shared" si="20"/>
        <v>0</v>
      </c>
      <c r="BE38" s="155">
        <f t="shared" si="15"/>
        <v>0</v>
      </c>
      <c r="BF38" s="156"/>
      <c r="BG38" s="154">
        <f t="shared" si="21"/>
        <v>0</v>
      </c>
      <c r="BH38" s="153">
        <f t="shared" si="21"/>
        <v>0</v>
      </c>
      <c r="BI38" s="154">
        <f t="shared" si="21"/>
        <v>0</v>
      </c>
      <c r="BJ38" s="155">
        <f t="shared" si="16"/>
        <v>0</v>
      </c>
      <c r="BK38" s="157"/>
      <c r="BL38" s="157">
        <f t="shared" si="17"/>
        <v>0</v>
      </c>
      <c r="BM38" s="206"/>
    </row>
    <row r="39" spans="1:65" x14ac:dyDescent="0.25">
      <c r="A39" s="168" t="s">
        <v>171</v>
      </c>
      <c r="B39" s="187"/>
      <c r="C39" s="167"/>
      <c r="D39" s="193" t="str">
        <f>IF(AL39="Summer", (AM39)&amp;" days,"&amp;" Summer", ((AN39*100)&amp;"%"&amp;" time, "&amp;AO39&amp;" months, "&amp;AL39))</f>
        <v>0% time, 0 months, CY</v>
      </c>
      <c r="E39" s="193"/>
      <c r="F39" s="81"/>
      <c r="G39" s="81"/>
      <c r="H39" s="191"/>
      <c r="I39" s="188"/>
      <c r="J39" s="170">
        <f t="shared" si="7"/>
        <v>0</v>
      </c>
      <c r="K39" s="170"/>
      <c r="L39" s="189">
        <v>0</v>
      </c>
      <c r="M39" s="170"/>
      <c r="N39" s="170">
        <f t="shared" si="8"/>
        <v>0</v>
      </c>
      <c r="O39" s="170"/>
      <c r="P39" s="189">
        <v>0</v>
      </c>
      <c r="Q39" s="81"/>
      <c r="R39" s="170">
        <f t="shared" si="9"/>
        <v>0</v>
      </c>
      <c r="S39" s="170"/>
      <c r="T39" s="189">
        <v>0</v>
      </c>
      <c r="U39" s="81"/>
      <c r="V39" s="170">
        <f t="shared" si="10"/>
        <v>0</v>
      </c>
      <c r="W39" s="170"/>
      <c r="X39" s="189">
        <v>0</v>
      </c>
      <c r="Y39" s="81"/>
      <c r="Z39" s="170">
        <f t="shared" si="11"/>
        <v>0</v>
      </c>
      <c r="AA39" s="170"/>
      <c r="AB39" s="189">
        <v>0</v>
      </c>
      <c r="AC39" s="81"/>
      <c r="AD39" s="170">
        <f t="shared" si="0"/>
        <v>0</v>
      </c>
      <c r="AE39" s="170"/>
      <c r="AF39" s="189">
        <f t="shared" si="1"/>
        <v>0</v>
      </c>
      <c r="AG39" s="28"/>
      <c r="AH39" s="28"/>
      <c r="AI39" s="194"/>
      <c r="AJ39" s="148">
        <v>0.01</v>
      </c>
      <c r="AK39" s="118">
        <f t="shared" si="2"/>
        <v>12</v>
      </c>
      <c r="AL39" s="119" t="s">
        <v>83</v>
      </c>
      <c r="AM39" s="165"/>
      <c r="AN39" s="120">
        <v>0</v>
      </c>
      <c r="AO39" s="121">
        <v>0</v>
      </c>
      <c r="AP39" s="41">
        <f t="shared" si="12"/>
        <v>0</v>
      </c>
      <c r="AQ39" s="28"/>
      <c r="AR39" s="121">
        <f t="shared" si="18"/>
        <v>0</v>
      </c>
      <c r="AS39" s="120">
        <f t="shared" si="18"/>
        <v>0</v>
      </c>
      <c r="AT39" s="121">
        <f t="shared" si="3"/>
        <v>0</v>
      </c>
      <c r="AU39" s="41">
        <f t="shared" si="13"/>
        <v>0</v>
      </c>
      <c r="AV39" s="28"/>
      <c r="AW39" s="121">
        <f t="shared" si="19"/>
        <v>0</v>
      </c>
      <c r="AX39" s="120">
        <f t="shared" si="19"/>
        <v>0</v>
      </c>
      <c r="AY39" s="121">
        <f t="shared" si="19"/>
        <v>0</v>
      </c>
      <c r="AZ39" s="41">
        <f t="shared" si="14"/>
        <v>0</v>
      </c>
      <c r="BA39" s="28"/>
      <c r="BB39" s="121">
        <f t="shared" si="20"/>
        <v>0</v>
      </c>
      <c r="BC39" s="120">
        <f t="shared" si="20"/>
        <v>0</v>
      </c>
      <c r="BD39" s="121">
        <f t="shared" si="20"/>
        <v>0</v>
      </c>
      <c r="BE39" s="41">
        <f t="shared" si="15"/>
        <v>0</v>
      </c>
      <c r="BF39" s="28"/>
      <c r="BG39" s="121">
        <f t="shared" si="21"/>
        <v>0</v>
      </c>
      <c r="BH39" s="120">
        <f t="shared" si="21"/>
        <v>0</v>
      </c>
      <c r="BI39" s="121">
        <f t="shared" si="21"/>
        <v>0</v>
      </c>
      <c r="BJ39" s="41">
        <f t="shared" si="16"/>
        <v>0</v>
      </c>
      <c r="BK39" s="45"/>
      <c r="BL39" s="45">
        <f t="shared" si="17"/>
        <v>0</v>
      </c>
      <c r="BM39" s="174"/>
    </row>
    <row r="40" spans="1:65" x14ac:dyDescent="0.25">
      <c r="A40" s="195" t="s">
        <v>171</v>
      </c>
      <c r="B40" s="187"/>
      <c r="C40" s="167" t="s">
        <v>90</v>
      </c>
      <c r="D40" s="167"/>
      <c r="E40" s="197"/>
      <c r="F40" s="198"/>
      <c r="G40" s="198"/>
      <c r="H40" s="199"/>
      <c r="I40" s="200"/>
      <c r="J40" s="201">
        <f t="shared" si="7"/>
        <v>0</v>
      </c>
      <c r="K40" s="202"/>
      <c r="L40" s="189"/>
      <c r="M40" s="202"/>
      <c r="N40" s="202">
        <f t="shared" si="8"/>
        <v>0</v>
      </c>
      <c r="O40" s="202"/>
      <c r="P40" s="189"/>
      <c r="Q40" s="198"/>
      <c r="R40" s="202">
        <f t="shared" si="9"/>
        <v>0</v>
      </c>
      <c r="S40" s="202"/>
      <c r="T40" s="189"/>
      <c r="U40" s="198"/>
      <c r="V40" s="202">
        <f t="shared" si="10"/>
        <v>0</v>
      </c>
      <c r="W40" s="202"/>
      <c r="X40" s="189"/>
      <c r="Y40" s="198"/>
      <c r="Z40" s="202">
        <f t="shared" si="11"/>
        <v>0</v>
      </c>
      <c r="AA40" s="202"/>
      <c r="AB40" s="189"/>
      <c r="AC40" s="198"/>
      <c r="AD40" s="202">
        <f t="shared" si="0"/>
        <v>0</v>
      </c>
      <c r="AE40" s="202"/>
      <c r="AF40" s="204">
        <f t="shared" si="1"/>
        <v>0</v>
      </c>
      <c r="AG40" s="156"/>
      <c r="AH40" s="156"/>
      <c r="AI40" s="194"/>
      <c r="AJ40" s="150">
        <v>0.01</v>
      </c>
      <c r="AK40" s="151">
        <f t="shared" si="2"/>
        <v>12</v>
      </c>
      <c r="AL40" s="152"/>
      <c r="AM40" s="166"/>
      <c r="AN40" s="153">
        <v>0</v>
      </c>
      <c r="AO40" s="154">
        <v>0</v>
      </c>
      <c r="AP40" s="155">
        <f t="shared" si="12"/>
        <v>0</v>
      </c>
      <c r="AQ40" s="156"/>
      <c r="AR40" s="154">
        <f t="shared" si="18"/>
        <v>0</v>
      </c>
      <c r="AS40" s="153">
        <f t="shared" si="18"/>
        <v>0</v>
      </c>
      <c r="AT40" s="154">
        <f t="shared" si="3"/>
        <v>0</v>
      </c>
      <c r="AU40" s="155">
        <f t="shared" si="13"/>
        <v>0</v>
      </c>
      <c r="AV40" s="156"/>
      <c r="AW40" s="154">
        <f t="shared" si="19"/>
        <v>0</v>
      </c>
      <c r="AX40" s="153">
        <f t="shared" si="19"/>
        <v>0</v>
      </c>
      <c r="AY40" s="154">
        <f t="shared" si="19"/>
        <v>0</v>
      </c>
      <c r="AZ40" s="155">
        <f t="shared" si="14"/>
        <v>0</v>
      </c>
      <c r="BA40" s="156"/>
      <c r="BB40" s="154">
        <f t="shared" si="20"/>
        <v>0</v>
      </c>
      <c r="BC40" s="153">
        <f t="shared" si="20"/>
        <v>0</v>
      </c>
      <c r="BD40" s="154">
        <f t="shared" si="20"/>
        <v>0</v>
      </c>
      <c r="BE40" s="155">
        <f t="shared" si="15"/>
        <v>0</v>
      </c>
      <c r="BF40" s="156"/>
      <c r="BG40" s="154">
        <f t="shared" si="21"/>
        <v>0</v>
      </c>
      <c r="BH40" s="153">
        <f t="shared" si="21"/>
        <v>0</v>
      </c>
      <c r="BI40" s="154">
        <f t="shared" si="21"/>
        <v>0</v>
      </c>
      <c r="BJ40" s="155">
        <f t="shared" si="16"/>
        <v>0</v>
      </c>
      <c r="BK40" s="157"/>
      <c r="BL40" s="157">
        <f t="shared" si="17"/>
        <v>0</v>
      </c>
      <c r="BM40" s="206"/>
    </row>
    <row r="41" spans="1:65" x14ac:dyDescent="0.25">
      <c r="A41" s="168" t="s">
        <v>171</v>
      </c>
      <c r="B41" s="187"/>
      <c r="C41" s="167"/>
      <c r="D41" s="193" t="str">
        <f>IF(AL41="Summer", (AM41)&amp;" days,"&amp;" Summer", ((AN41*100)&amp;"%"&amp;" time, "&amp;AO41&amp;" months, "&amp;AL41))</f>
        <v>0% time, 0 months, CY</v>
      </c>
      <c r="E41" s="193"/>
      <c r="F41" s="81"/>
      <c r="G41" s="81"/>
      <c r="H41" s="191"/>
      <c r="I41" s="188"/>
      <c r="J41" s="170">
        <f t="shared" si="7"/>
        <v>0</v>
      </c>
      <c r="K41" s="170"/>
      <c r="L41" s="189">
        <v>0</v>
      </c>
      <c r="M41" s="170"/>
      <c r="N41" s="170">
        <f t="shared" si="8"/>
        <v>0</v>
      </c>
      <c r="O41" s="170"/>
      <c r="P41" s="189">
        <v>0</v>
      </c>
      <c r="Q41" s="81"/>
      <c r="R41" s="170">
        <f t="shared" si="9"/>
        <v>0</v>
      </c>
      <c r="S41" s="170"/>
      <c r="T41" s="189">
        <v>0</v>
      </c>
      <c r="U41" s="81"/>
      <c r="V41" s="170">
        <f t="shared" si="10"/>
        <v>0</v>
      </c>
      <c r="W41" s="170"/>
      <c r="X41" s="189">
        <v>0</v>
      </c>
      <c r="Y41" s="81"/>
      <c r="Z41" s="170">
        <f t="shared" si="11"/>
        <v>0</v>
      </c>
      <c r="AA41" s="170"/>
      <c r="AB41" s="189">
        <v>0</v>
      </c>
      <c r="AC41" s="81"/>
      <c r="AD41" s="170">
        <f t="shared" si="0"/>
        <v>0</v>
      </c>
      <c r="AE41" s="170"/>
      <c r="AF41" s="189">
        <f t="shared" si="1"/>
        <v>0</v>
      </c>
      <c r="AG41" s="28"/>
      <c r="AH41" s="28"/>
      <c r="AI41" s="194"/>
      <c r="AJ41" s="148">
        <v>0.01</v>
      </c>
      <c r="AK41" s="118">
        <f t="shared" si="2"/>
        <v>12</v>
      </c>
      <c r="AL41" s="119" t="s">
        <v>83</v>
      </c>
      <c r="AM41" s="165"/>
      <c r="AN41" s="120">
        <v>0</v>
      </c>
      <c r="AO41" s="121">
        <v>0</v>
      </c>
      <c r="AP41" s="41">
        <f t="shared" si="12"/>
        <v>0</v>
      </c>
      <c r="AQ41" s="28"/>
      <c r="AR41" s="121">
        <f t="shared" si="18"/>
        <v>0</v>
      </c>
      <c r="AS41" s="120">
        <f t="shared" si="18"/>
        <v>0</v>
      </c>
      <c r="AT41" s="121">
        <f t="shared" si="3"/>
        <v>0</v>
      </c>
      <c r="AU41" s="41">
        <f t="shared" si="13"/>
        <v>0</v>
      </c>
      <c r="AV41" s="28"/>
      <c r="AW41" s="121">
        <f t="shared" si="19"/>
        <v>0</v>
      </c>
      <c r="AX41" s="120">
        <f t="shared" si="19"/>
        <v>0</v>
      </c>
      <c r="AY41" s="121">
        <f t="shared" si="19"/>
        <v>0</v>
      </c>
      <c r="AZ41" s="41">
        <f t="shared" si="14"/>
        <v>0</v>
      </c>
      <c r="BA41" s="28"/>
      <c r="BB41" s="121">
        <f t="shared" si="20"/>
        <v>0</v>
      </c>
      <c r="BC41" s="120">
        <f t="shared" si="20"/>
        <v>0</v>
      </c>
      <c r="BD41" s="121">
        <f t="shared" si="20"/>
        <v>0</v>
      </c>
      <c r="BE41" s="41">
        <f t="shared" si="15"/>
        <v>0</v>
      </c>
      <c r="BF41" s="28"/>
      <c r="BG41" s="121">
        <f t="shared" si="21"/>
        <v>0</v>
      </c>
      <c r="BH41" s="120">
        <f t="shared" si="21"/>
        <v>0</v>
      </c>
      <c r="BI41" s="121">
        <f t="shared" si="21"/>
        <v>0</v>
      </c>
      <c r="BJ41" s="41">
        <f t="shared" si="16"/>
        <v>0</v>
      </c>
      <c r="BK41" s="45"/>
      <c r="BL41" s="45">
        <f t="shared" si="17"/>
        <v>0</v>
      </c>
      <c r="BM41" s="174"/>
    </row>
    <row r="42" spans="1:65" x14ac:dyDescent="0.25">
      <c r="A42" s="195" t="s">
        <v>171</v>
      </c>
      <c r="B42" s="187"/>
      <c r="C42" s="167" t="s">
        <v>90</v>
      </c>
      <c r="D42" s="167"/>
      <c r="E42" s="197"/>
      <c r="F42" s="198"/>
      <c r="G42" s="198"/>
      <c r="H42" s="199"/>
      <c r="I42" s="200"/>
      <c r="J42" s="201">
        <f t="shared" si="7"/>
        <v>0</v>
      </c>
      <c r="K42" s="202"/>
      <c r="L42" s="189"/>
      <c r="M42" s="202"/>
      <c r="N42" s="202">
        <f t="shared" si="8"/>
        <v>0</v>
      </c>
      <c r="O42" s="202"/>
      <c r="P42" s="189"/>
      <c r="Q42" s="198"/>
      <c r="R42" s="202">
        <f t="shared" si="9"/>
        <v>0</v>
      </c>
      <c r="S42" s="202"/>
      <c r="T42" s="189"/>
      <c r="U42" s="198"/>
      <c r="V42" s="202">
        <f t="shared" si="10"/>
        <v>0</v>
      </c>
      <c r="W42" s="202"/>
      <c r="X42" s="189"/>
      <c r="Y42" s="198"/>
      <c r="Z42" s="202">
        <f t="shared" si="11"/>
        <v>0</v>
      </c>
      <c r="AA42" s="202"/>
      <c r="AB42" s="189"/>
      <c r="AC42" s="198"/>
      <c r="AD42" s="202">
        <f t="shared" si="0"/>
        <v>0</v>
      </c>
      <c r="AE42" s="202"/>
      <c r="AF42" s="204">
        <f t="shared" si="1"/>
        <v>0</v>
      </c>
      <c r="AG42" s="156"/>
      <c r="AH42" s="156"/>
      <c r="AI42" s="194"/>
      <c r="AJ42" s="150">
        <v>0.01</v>
      </c>
      <c r="AK42" s="151">
        <f t="shared" si="2"/>
        <v>12</v>
      </c>
      <c r="AL42" s="152"/>
      <c r="AM42" s="166"/>
      <c r="AN42" s="153">
        <v>0</v>
      </c>
      <c r="AO42" s="154">
        <v>0</v>
      </c>
      <c r="AP42" s="155">
        <f t="shared" si="12"/>
        <v>0</v>
      </c>
      <c r="AQ42" s="156"/>
      <c r="AR42" s="154">
        <f t="shared" si="18"/>
        <v>0</v>
      </c>
      <c r="AS42" s="153">
        <f t="shared" si="18"/>
        <v>0</v>
      </c>
      <c r="AT42" s="154">
        <f t="shared" si="3"/>
        <v>0</v>
      </c>
      <c r="AU42" s="155">
        <f t="shared" si="13"/>
        <v>0</v>
      </c>
      <c r="AV42" s="156"/>
      <c r="AW42" s="154">
        <f t="shared" si="19"/>
        <v>0</v>
      </c>
      <c r="AX42" s="153">
        <f t="shared" si="19"/>
        <v>0</v>
      </c>
      <c r="AY42" s="154">
        <f t="shared" si="19"/>
        <v>0</v>
      </c>
      <c r="AZ42" s="155">
        <f t="shared" si="14"/>
        <v>0</v>
      </c>
      <c r="BA42" s="156"/>
      <c r="BB42" s="154">
        <f t="shared" si="20"/>
        <v>0</v>
      </c>
      <c r="BC42" s="153">
        <f t="shared" si="20"/>
        <v>0</v>
      </c>
      <c r="BD42" s="154">
        <f t="shared" si="20"/>
        <v>0</v>
      </c>
      <c r="BE42" s="155">
        <f t="shared" si="15"/>
        <v>0</v>
      </c>
      <c r="BF42" s="156"/>
      <c r="BG42" s="154">
        <f t="shared" si="21"/>
        <v>0</v>
      </c>
      <c r="BH42" s="153">
        <f t="shared" si="21"/>
        <v>0</v>
      </c>
      <c r="BI42" s="154">
        <f t="shared" si="21"/>
        <v>0</v>
      </c>
      <c r="BJ42" s="155">
        <f t="shared" si="16"/>
        <v>0</v>
      </c>
      <c r="BK42" s="157"/>
      <c r="BL42" s="157">
        <f t="shared" si="17"/>
        <v>0</v>
      </c>
      <c r="BM42" s="206"/>
    </row>
    <row r="43" spans="1:65" x14ac:dyDescent="0.25">
      <c r="A43" s="168" t="s">
        <v>171</v>
      </c>
      <c r="B43" s="187"/>
      <c r="C43" s="167"/>
      <c r="D43" s="193" t="str">
        <f>IF(AL43="Summer", (AM43)&amp;" days,"&amp;" Summer", ((AN43*100)&amp;"%"&amp;" time, "&amp;AO43&amp;" months, "&amp;AL43))</f>
        <v>0% time, 0 months, CY</v>
      </c>
      <c r="E43" s="193"/>
      <c r="F43" s="81"/>
      <c r="G43" s="81"/>
      <c r="H43" s="191"/>
      <c r="I43" s="188"/>
      <c r="J43" s="170">
        <f t="shared" si="7"/>
        <v>0</v>
      </c>
      <c r="K43" s="170"/>
      <c r="L43" s="189">
        <v>0</v>
      </c>
      <c r="M43" s="170"/>
      <c r="N43" s="170">
        <f t="shared" si="8"/>
        <v>0</v>
      </c>
      <c r="O43" s="170"/>
      <c r="P43" s="189">
        <v>0</v>
      </c>
      <c r="Q43" s="81"/>
      <c r="R43" s="170">
        <f t="shared" si="9"/>
        <v>0</v>
      </c>
      <c r="S43" s="170"/>
      <c r="T43" s="189">
        <v>0</v>
      </c>
      <c r="U43" s="81"/>
      <c r="V43" s="170">
        <f t="shared" si="10"/>
        <v>0</v>
      </c>
      <c r="W43" s="170"/>
      <c r="X43" s="189">
        <v>0</v>
      </c>
      <c r="Y43" s="81"/>
      <c r="Z43" s="170">
        <f t="shared" si="11"/>
        <v>0</v>
      </c>
      <c r="AA43" s="170"/>
      <c r="AB43" s="189">
        <v>0</v>
      </c>
      <c r="AC43" s="81"/>
      <c r="AD43" s="170">
        <f t="shared" si="0"/>
        <v>0</v>
      </c>
      <c r="AE43" s="170"/>
      <c r="AF43" s="189">
        <f t="shared" si="1"/>
        <v>0</v>
      </c>
      <c r="AG43" s="28"/>
      <c r="AH43" s="28"/>
      <c r="AI43" s="194"/>
      <c r="AJ43" s="148">
        <v>0.01</v>
      </c>
      <c r="AK43" s="118">
        <f t="shared" si="2"/>
        <v>12</v>
      </c>
      <c r="AL43" s="119" t="s">
        <v>83</v>
      </c>
      <c r="AM43" s="165"/>
      <c r="AN43" s="120">
        <v>0</v>
      </c>
      <c r="AO43" s="121">
        <v>0</v>
      </c>
      <c r="AP43" s="41">
        <f t="shared" si="12"/>
        <v>0</v>
      </c>
      <c r="AQ43" s="28"/>
      <c r="AR43" s="121">
        <f t="shared" si="18"/>
        <v>0</v>
      </c>
      <c r="AS43" s="120">
        <f t="shared" si="18"/>
        <v>0</v>
      </c>
      <c r="AT43" s="121">
        <f t="shared" si="3"/>
        <v>0</v>
      </c>
      <c r="AU43" s="41">
        <f t="shared" si="13"/>
        <v>0</v>
      </c>
      <c r="AV43" s="28"/>
      <c r="AW43" s="121">
        <f t="shared" si="19"/>
        <v>0</v>
      </c>
      <c r="AX43" s="120">
        <f t="shared" si="19"/>
        <v>0</v>
      </c>
      <c r="AY43" s="121">
        <f t="shared" si="19"/>
        <v>0</v>
      </c>
      <c r="AZ43" s="41">
        <f t="shared" si="14"/>
        <v>0</v>
      </c>
      <c r="BA43" s="28"/>
      <c r="BB43" s="121">
        <f t="shared" si="20"/>
        <v>0</v>
      </c>
      <c r="BC43" s="120">
        <f t="shared" si="20"/>
        <v>0</v>
      </c>
      <c r="BD43" s="121">
        <f t="shared" si="20"/>
        <v>0</v>
      </c>
      <c r="BE43" s="41">
        <f t="shared" si="15"/>
        <v>0</v>
      </c>
      <c r="BF43" s="28"/>
      <c r="BG43" s="121">
        <f t="shared" si="21"/>
        <v>0</v>
      </c>
      <c r="BH43" s="120">
        <f t="shared" si="21"/>
        <v>0</v>
      </c>
      <c r="BI43" s="121">
        <f t="shared" si="21"/>
        <v>0</v>
      </c>
      <c r="BJ43" s="41">
        <f t="shared" si="16"/>
        <v>0</v>
      </c>
      <c r="BK43" s="45"/>
      <c r="BL43" s="45">
        <f t="shared" si="17"/>
        <v>0</v>
      </c>
      <c r="BM43" s="174"/>
    </row>
    <row r="44" spans="1:65" x14ac:dyDescent="0.25">
      <c r="A44" s="195" t="s">
        <v>253</v>
      </c>
      <c r="B44" s="187"/>
      <c r="C44" s="167" t="s">
        <v>91</v>
      </c>
      <c r="D44" s="167"/>
      <c r="E44" s="197"/>
      <c r="F44" s="198"/>
      <c r="G44" s="198"/>
      <c r="H44" s="199"/>
      <c r="I44" s="200"/>
      <c r="J44" s="201">
        <f t="shared" si="7"/>
        <v>0</v>
      </c>
      <c r="K44" s="202"/>
      <c r="L44" s="189"/>
      <c r="M44" s="202"/>
      <c r="N44" s="202">
        <f>IF($AK$13="No",IF(AU44=0,0,($AJ44*(1+$AK$4)/$AK44*AU44)),($AJ44*(1+$AK$4)^2/$AK44*AU44))</f>
        <v>0</v>
      </c>
      <c r="O44" s="202"/>
      <c r="P44" s="189"/>
      <c r="Q44" s="198"/>
      <c r="R44" s="202">
        <f t="shared" si="9"/>
        <v>0</v>
      </c>
      <c r="S44" s="202"/>
      <c r="T44" s="189"/>
      <c r="U44" s="198"/>
      <c r="V44" s="202">
        <f t="shared" si="10"/>
        <v>0</v>
      </c>
      <c r="W44" s="202"/>
      <c r="X44" s="189"/>
      <c r="Y44" s="198"/>
      <c r="Z44" s="202">
        <f t="shared" si="11"/>
        <v>0</v>
      </c>
      <c r="AA44" s="202"/>
      <c r="AB44" s="189"/>
      <c r="AC44" s="198"/>
      <c r="AD44" s="202">
        <f t="shared" si="0"/>
        <v>0</v>
      </c>
      <c r="AE44" s="202"/>
      <c r="AF44" s="204">
        <f t="shared" si="1"/>
        <v>0</v>
      </c>
      <c r="AG44" s="156"/>
      <c r="AH44" s="156"/>
      <c r="AI44" s="194"/>
      <c r="AJ44" s="150">
        <v>0.01</v>
      </c>
      <c r="AK44" s="151">
        <f t="shared" si="2"/>
        <v>12</v>
      </c>
      <c r="AL44" s="152"/>
      <c r="AM44" s="166"/>
      <c r="AN44" s="153">
        <v>0</v>
      </c>
      <c r="AO44" s="154">
        <v>0</v>
      </c>
      <c r="AP44" s="155">
        <f t="shared" si="12"/>
        <v>0</v>
      </c>
      <c r="AQ44" s="156"/>
      <c r="AR44" s="154">
        <f t="shared" si="18"/>
        <v>0</v>
      </c>
      <c r="AS44" s="153">
        <f t="shared" si="18"/>
        <v>0</v>
      </c>
      <c r="AT44" s="154">
        <f t="shared" si="3"/>
        <v>0</v>
      </c>
      <c r="AU44" s="155">
        <f t="shared" si="13"/>
        <v>0</v>
      </c>
      <c r="AV44" s="156"/>
      <c r="AW44" s="154">
        <f t="shared" si="19"/>
        <v>0</v>
      </c>
      <c r="AX44" s="153">
        <f t="shared" si="19"/>
        <v>0</v>
      </c>
      <c r="AY44" s="154">
        <f t="shared" si="19"/>
        <v>0</v>
      </c>
      <c r="AZ44" s="155">
        <f t="shared" si="14"/>
        <v>0</v>
      </c>
      <c r="BA44" s="156"/>
      <c r="BB44" s="154">
        <f t="shared" si="20"/>
        <v>0</v>
      </c>
      <c r="BC44" s="153">
        <f t="shared" si="20"/>
        <v>0</v>
      </c>
      <c r="BD44" s="154">
        <f t="shared" si="20"/>
        <v>0</v>
      </c>
      <c r="BE44" s="155">
        <f t="shared" si="15"/>
        <v>0</v>
      </c>
      <c r="BF44" s="156"/>
      <c r="BG44" s="154">
        <f t="shared" si="21"/>
        <v>0</v>
      </c>
      <c r="BH44" s="153">
        <f t="shared" si="21"/>
        <v>0</v>
      </c>
      <c r="BI44" s="154">
        <f t="shared" si="21"/>
        <v>0</v>
      </c>
      <c r="BJ44" s="155">
        <f t="shared" si="16"/>
        <v>0</v>
      </c>
      <c r="BK44" s="157"/>
      <c r="BL44" s="157">
        <f t="shared" si="17"/>
        <v>0</v>
      </c>
      <c r="BM44" s="206"/>
    </row>
    <row r="45" spans="1:65" x14ac:dyDescent="0.25">
      <c r="A45" s="168" t="s">
        <v>253</v>
      </c>
      <c r="B45" s="187"/>
      <c r="C45" s="167"/>
      <c r="D45" s="193" t="str">
        <f>IF(AL45="Summer", (AM45)&amp;" days,"&amp;" Summer", ((AN45*100)&amp;"%"&amp;" time, "&amp;AO45&amp;" months, "&amp;AL45))</f>
        <v>0% time, 0 months, CY</v>
      </c>
      <c r="E45" s="193"/>
      <c r="F45" s="81"/>
      <c r="G45" s="81"/>
      <c r="H45" s="191"/>
      <c r="I45" s="188"/>
      <c r="J45" s="170">
        <f t="shared" si="7"/>
        <v>0</v>
      </c>
      <c r="K45" s="170"/>
      <c r="L45" s="189">
        <v>0</v>
      </c>
      <c r="M45" s="170"/>
      <c r="N45" s="170">
        <f t="shared" si="8"/>
        <v>0</v>
      </c>
      <c r="O45" s="170"/>
      <c r="P45" s="189">
        <v>0</v>
      </c>
      <c r="Q45" s="81"/>
      <c r="R45" s="170">
        <f t="shared" si="9"/>
        <v>0</v>
      </c>
      <c r="S45" s="170"/>
      <c r="T45" s="189">
        <v>0</v>
      </c>
      <c r="U45" s="81"/>
      <c r="V45" s="170">
        <f t="shared" si="10"/>
        <v>0</v>
      </c>
      <c r="W45" s="170"/>
      <c r="X45" s="189">
        <v>0</v>
      </c>
      <c r="Y45" s="81"/>
      <c r="Z45" s="170">
        <f t="shared" si="11"/>
        <v>0</v>
      </c>
      <c r="AA45" s="170"/>
      <c r="AB45" s="189">
        <v>0</v>
      </c>
      <c r="AC45" s="81"/>
      <c r="AD45" s="170">
        <f t="shared" si="0"/>
        <v>0</v>
      </c>
      <c r="AE45" s="170"/>
      <c r="AF45" s="189">
        <f t="shared" si="1"/>
        <v>0</v>
      </c>
      <c r="AG45" s="28"/>
      <c r="AH45" s="28"/>
      <c r="AI45" s="194"/>
      <c r="AJ45" s="148">
        <v>0.01</v>
      </c>
      <c r="AK45" s="118">
        <f t="shared" si="2"/>
        <v>12</v>
      </c>
      <c r="AL45" s="119" t="s">
        <v>83</v>
      </c>
      <c r="AM45" s="165"/>
      <c r="AN45" s="120">
        <v>0</v>
      </c>
      <c r="AO45" s="121">
        <v>0</v>
      </c>
      <c r="AP45" s="41">
        <f t="shared" si="12"/>
        <v>0</v>
      </c>
      <c r="AQ45" s="28"/>
      <c r="AR45" s="121">
        <f t="shared" si="18"/>
        <v>0</v>
      </c>
      <c r="AS45" s="120">
        <f t="shared" si="18"/>
        <v>0</v>
      </c>
      <c r="AT45" s="121">
        <f t="shared" si="3"/>
        <v>0</v>
      </c>
      <c r="AU45" s="41">
        <f t="shared" si="13"/>
        <v>0</v>
      </c>
      <c r="AV45" s="28"/>
      <c r="AW45" s="121">
        <f t="shared" si="19"/>
        <v>0</v>
      </c>
      <c r="AX45" s="120">
        <f t="shared" si="19"/>
        <v>0</v>
      </c>
      <c r="AY45" s="121">
        <f t="shared" si="19"/>
        <v>0</v>
      </c>
      <c r="AZ45" s="41">
        <f t="shared" si="14"/>
        <v>0</v>
      </c>
      <c r="BA45" s="28"/>
      <c r="BB45" s="121">
        <f t="shared" si="20"/>
        <v>0</v>
      </c>
      <c r="BC45" s="120">
        <f t="shared" si="20"/>
        <v>0</v>
      </c>
      <c r="BD45" s="121">
        <f t="shared" si="20"/>
        <v>0</v>
      </c>
      <c r="BE45" s="41">
        <f t="shared" si="15"/>
        <v>0</v>
      </c>
      <c r="BF45" s="28"/>
      <c r="BG45" s="121">
        <f t="shared" si="21"/>
        <v>0</v>
      </c>
      <c r="BH45" s="120">
        <f t="shared" si="21"/>
        <v>0</v>
      </c>
      <c r="BI45" s="121">
        <f t="shared" si="21"/>
        <v>0</v>
      </c>
      <c r="BJ45" s="41">
        <f t="shared" si="16"/>
        <v>0</v>
      </c>
      <c r="BK45" s="45"/>
      <c r="BL45" s="45">
        <f t="shared" si="17"/>
        <v>0</v>
      </c>
      <c r="BM45" s="174"/>
    </row>
    <row r="46" spans="1:65" x14ac:dyDescent="0.25">
      <c r="A46" s="195" t="s">
        <v>253</v>
      </c>
      <c r="B46" s="187"/>
      <c r="C46" s="167" t="s">
        <v>91</v>
      </c>
      <c r="D46" s="167"/>
      <c r="E46" s="197"/>
      <c r="F46" s="198"/>
      <c r="G46" s="198"/>
      <c r="H46" s="199"/>
      <c r="I46" s="200"/>
      <c r="J46" s="201">
        <f t="shared" si="7"/>
        <v>0</v>
      </c>
      <c r="K46" s="202"/>
      <c r="L46" s="189"/>
      <c r="M46" s="202"/>
      <c r="N46" s="202">
        <f t="shared" si="8"/>
        <v>0</v>
      </c>
      <c r="O46" s="202"/>
      <c r="P46" s="189"/>
      <c r="Q46" s="198"/>
      <c r="R46" s="202">
        <f t="shared" si="9"/>
        <v>0</v>
      </c>
      <c r="S46" s="202"/>
      <c r="T46" s="189"/>
      <c r="U46" s="198"/>
      <c r="V46" s="202">
        <f t="shared" si="10"/>
        <v>0</v>
      </c>
      <c r="W46" s="202"/>
      <c r="X46" s="189"/>
      <c r="Y46" s="198"/>
      <c r="Z46" s="202">
        <f t="shared" si="11"/>
        <v>0</v>
      </c>
      <c r="AA46" s="202"/>
      <c r="AB46" s="189"/>
      <c r="AC46" s="198"/>
      <c r="AD46" s="202">
        <f t="shared" si="0"/>
        <v>0</v>
      </c>
      <c r="AE46" s="202"/>
      <c r="AF46" s="204">
        <f t="shared" si="1"/>
        <v>0</v>
      </c>
      <c r="AG46" s="156"/>
      <c r="AH46" s="156"/>
      <c r="AI46" s="194"/>
      <c r="AJ46" s="150">
        <v>0.01</v>
      </c>
      <c r="AK46" s="151">
        <f t="shared" si="2"/>
        <v>12</v>
      </c>
      <c r="AL46" s="152"/>
      <c r="AM46" s="166"/>
      <c r="AN46" s="153">
        <v>0</v>
      </c>
      <c r="AO46" s="154">
        <v>0</v>
      </c>
      <c r="AP46" s="155">
        <f t="shared" si="12"/>
        <v>0</v>
      </c>
      <c r="AQ46" s="156"/>
      <c r="AR46" s="154">
        <f t="shared" si="18"/>
        <v>0</v>
      </c>
      <c r="AS46" s="153">
        <f t="shared" si="18"/>
        <v>0</v>
      </c>
      <c r="AT46" s="154">
        <f t="shared" si="3"/>
        <v>0</v>
      </c>
      <c r="AU46" s="155">
        <f t="shared" si="13"/>
        <v>0</v>
      </c>
      <c r="AV46" s="156"/>
      <c r="AW46" s="154">
        <f t="shared" si="19"/>
        <v>0</v>
      </c>
      <c r="AX46" s="153">
        <f t="shared" si="19"/>
        <v>0</v>
      </c>
      <c r="AY46" s="154">
        <f t="shared" si="19"/>
        <v>0</v>
      </c>
      <c r="AZ46" s="155">
        <f t="shared" si="14"/>
        <v>0</v>
      </c>
      <c r="BA46" s="156"/>
      <c r="BB46" s="154">
        <f t="shared" si="20"/>
        <v>0</v>
      </c>
      <c r="BC46" s="153">
        <f t="shared" si="20"/>
        <v>0</v>
      </c>
      <c r="BD46" s="154">
        <f t="shared" si="20"/>
        <v>0</v>
      </c>
      <c r="BE46" s="155">
        <f t="shared" si="15"/>
        <v>0</v>
      </c>
      <c r="BF46" s="156"/>
      <c r="BG46" s="154">
        <f t="shared" si="21"/>
        <v>0</v>
      </c>
      <c r="BH46" s="153">
        <f t="shared" si="21"/>
        <v>0</v>
      </c>
      <c r="BI46" s="154">
        <f t="shared" si="21"/>
        <v>0</v>
      </c>
      <c r="BJ46" s="155">
        <f t="shared" si="16"/>
        <v>0</v>
      </c>
      <c r="BK46" s="157"/>
      <c r="BL46" s="157">
        <f t="shared" si="17"/>
        <v>0</v>
      </c>
      <c r="BM46" s="206"/>
    </row>
    <row r="47" spans="1:65" x14ac:dyDescent="0.25">
      <c r="A47" s="168" t="s">
        <v>253</v>
      </c>
      <c r="B47" s="187"/>
      <c r="C47" s="167"/>
      <c r="D47" s="193" t="str">
        <f>IF(AL47="Summer", (AM47)&amp;" days,"&amp;" Summer", ((AN47*100)&amp;"%"&amp;" time, "&amp;AO47&amp;" months, "&amp;AL47))</f>
        <v>0% time, 0 months, CY</v>
      </c>
      <c r="E47" s="193"/>
      <c r="F47" s="81"/>
      <c r="G47" s="81"/>
      <c r="H47" s="191"/>
      <c r="I47" s="188"/>
      <c r="J47" s="170">
        <f t="shared" si="7"/>
        <v>0</v>
      </c>
      <c r="K47" s="170"/>
      <c r="L47" s="189">
        <v>0</v>
      </c>
      <c r="M47" s="170"/>
      <c r="N47" s="170">
        <f t="shared" si="8"/>
        <v>0</v>
      </c>
      <c r="O47" s="170"/>
      <c r="P47" s="189">
        <v>0</v>
      </c>
      <c r="Q47" s="81"/>
      <c r="R47" s="170">
        <f t="shared" si="9"/>
        <v>0</v>
      </c>
      <c r="S47" s="170"/>
      <c r="T47" s="189">
        <v>0</v>
      </c>
      <c r="U47" s="81"/>
      <c r="V47" s="170">
        <f t="shared" si="10"/>
        <v>0</v>
      </c>
      <c r="W47" s="170"/>
      <c r="X47" s="189">
        <v>0</v>
      </c>
      <c r="Y47" s="81"/>
      <c r="Z47" s="170">
        <f t="shared" si="11"/>
        <v>0</v>
      </c>
      <c r="AA47" s="170"/>
      <c r="AB47" s="189">
        <v>0</v>
      </c>
      <c r="AC47" s="81"/>
      <c r="AD47" s="170">
        <f t="shared" si="0"/>
        <v>0</v>
      </c>
      <c r="AE47" s="170"/>
      <c r="AF47" s="189">
        <f t="shared" si="1"/>
        <v>0</v>
      </c>
      <c r="AG47" s="28"/>
      <c r="AH47" s="81"/>
      <c r="AI47" s="194"/>
      <c r="AJ47" s="148">
        <v>0.01</v>
      </c>
      <c r="AK47" s="118">
        <f t="shared" si="2"/>
        <v>12</v>
      </c>
      <c r="AL47" s="119" t="s">
        <v>83</v>
      </c>
      <c r="AM47" s="165"/>
      <c r="AN47" s="120">
        <v>0</v>
      </c>
      <c r="AO47" s="121">
        <v>0</v>
      </c>
      <c r="AP47" s="41">
        <f t="shared" si="12"/>
        <v>0</v>
      </c>
      <c r="AQ47" s="28"/>
      <c r="AR47" s="121">
        <f t="shared" si="18"/>
        <v>0</v>
      </c>
      <c r="AS47" s="120">
        <f t="shared" si="18"/>
        <v>0</v>
      </c>
      <c r="AT47" s="121">
        <f t="shared" si="3"/>
        <v>0</v>
      </c>
      <c r="AU47" s="41">
        <f t="shared" si="13"/>
        <v>0</v>
      </c>
      <c r="AV47" s="28"/>
      <c r="AW47" s="121">
        <f t="shared" si="19"/>
        <v>0</v>
      </c>
      <c r="AX47" s="120">
        <f t="shared" si="19"/>
        <v>0</v>
      </c>
      <c r="AY47" s="121">
        <f t="shared" si="19"/>
        <v>0</v>
      </c>
      <c r="AZ47" s="41">
        <f t="shared" si="14"/>
        <v>0</v>
      </c>
      <c r="BA47" s="28"/>
      <c r="BB47" s="121">
        <f t="shared" si="20"/>
        <v>0</v>
      </c>
      <c r="BC47" s="120">
        <f t="shared" si="20"/>
        <v>0</v>
      </c>
      <c r="BD47" s="121">
        <f t="shared" si="20"/>
        <v>0</v>
      </c>
      <c r="BE47" s="41">
        <f t="shared" si="15"/>
        <v>0</v>
      </c>
      <c r="BF47" s="28"/>
      <c r="BG47" s="121">
        <f t="shared" si="21"/>
        <v>0</v>
      </c>
      <c r="BH47" s="120">
        <f t="shared" si="21"/>
        <v>0</v>
      </c>
      <c r="BI47" s="121">
        <f t="shared" si="21"/>
        <v>0</v>
      </c>
      <c r="BJ47" s="41">
        <f t="shared" si="16"/>
        <v>0</v>
      </c>
      <c r="BK47" s="45"/>
      <c r="BL47" s="45">
        <f t="shared" si="17"/>
        <v>0</v>
      </c>
      <c r="BM47" s="174"/>
    </row>
    <row r="48" spans="1:65" x14ac:dyDescent="0.25">
      <c r="A48" s="195" t="s">
        <v>190</v>
      </c>
      <c r="B48" s="187"/>
      <c r="C48" s="167" t="s">
        <v>52</v>
      </c>
      <c r="D48" s="167"/>
      <c r="E48" s="167"/>
      <c r="F48" s="81"/>
      <c r="G48" s="81"/>
      <c r="H48" s="191"/>
      <c r="I48" s="188"/>
      <c r="J48" s="201">
        <f t="shared" si="7"/>
        <v>0</v>
      </c>
      <c r="K48" s="202"/>
      <c r="L48" s="189"/>
      <c r="M48" s="202"/>
      <c r="N48" s="202">
        <f t="shared" si="8"/>
        <v>0</v>
      </c>
      <c r="O48" s="202"/>
      <c r="P48" s="189"/>
      <c r="Q48" s="198"/>
      <c r="R48" s="202">
        <f t="shared" si="9"/>
        <v>0</v>
      </c>
      <c r="S48" s="202"/>
      <c r="T48" s="189"/>
      <c r="U48" s="198"/>
      <c r="V48" s="202">
        <f t="shared" si="10"/>
        <v>0</v>
      </c>
      <c r="W48" s="202"/>
      <c r="X48" s="189"/>
      <c r="Y48" s="198"/>
      <c r="Z48" s="202">
        <f t="shared" si="11"/>
        <v>0</v>
      </c>
      <c r="AA48" s="202"/>
      <c r="AB48" s="189"/>
      <c r="AC48" s="198"/>
      <c r="AD48" s="202">
        <f t="shared" si="0"/>
        <v>0</v>
      </c>
      <c r="AE48" s="202"/>
      <c r="AF48" s="204">
        <f t="shared" si="1"/>
        <v>0</v>
      </c>
      <c r="AG48" s="156"/>
      <c r="AH48" s="156"/>
      <c r="AI48" s="194"/>
      <c r="AJ48" s="150">
        <v>0.01</v>
      </c>
      <c r="AK48" s="151">
        <f t="shared" si="2"/>
        <v>9</v>
      </c>
      <c r="AL48" s="152"/>
      <c r="AM48" s="166"/>
      <c r="AN48" s="153">
        <v>0</v>
      </c>
      <c r="AO48" s="154">
        <v>0</v>
      </c>
      <c r="AP48" s="155">
        <f t="shared" si="12"/>
        <v>0</v>
      </c>
      <c r="AQ48" s="156"/>
      <c r="AR48" s="154">
        <f t="shared" ref="AR48:AS50" si="22">IF($AK$10=1,0,AM48)</f>
        <v>0</v>
      </c>
      <c r="AS48" s="153">
        <f t="shared" si="22"/>
        <v>0</v>
      </c>
      <c r="AT48" s="154">
        <f t="shared" si="3"/>
        <v>0</v>
      </c>
      <c r="AU48" s="155">
        <f t="shared" si="13"/>
        <v>0</v>
      </c>
      <c r="AV48" s="156"/>
      <c r="AW48" s="154">
        <f t="shared" si="19"/>
        <v>0</v>
      </c>
      <c r="AX48" s="153">
        <f t="shared" si="19"/>
        <v>0</v>
      </c>
      <c r="AY48" s="154">
        <f t="shared" si="19"/>
        <v>0</v>
      </c>
      <c r="AZ48" s="155">
        <f t="shared" si="14"/>
        <v>0</v>
      </c>
      <c r="BA48" s="156"/>
      <c r="BB48" s="154">
        <f t="shared" si="20"/>
        <v>0</v>
      </c>
      <c r="BC48" s="153">
        <f t="shared" si="20"/>
        <v>0</v>
      </c>
      <c r="BD48" s="154">
        <f t="shared" si="20"/>
        <v>0</v>
      </c>
      <c r="BE48" s="155">
        <f t="shared" si="15"/>
        <v>0</v>
      </c>
      <c r="BF48" s="156"/>
      <c r="BG48" s="154">
        <f t="shared" si="21"/>
        <v>0</v>
      </c>
      <c r="BH48" s="153">
        <f t="shared" si="21"/>
        <v>0</v>
      </c>
      <c r="BI48" s="154">
        <f t="shared" si="21"/>
        <v>0</v>
      </c>
      <c r="BJ48" s="155">
        <f t="shared" si="16"/>
        <v>0</v>
      </c>
      <c r="BK48" s="157"/>
      <c r="BL48" s="157">
        <f t="shared" si="17"/>
        <v>0</v>
      </c>
      <c r="BM48" s="174"/>
    </row>
    <row r="49" spans="1:65" x14ac:dyDescent="0.25">
      <c r="A49" s="168" t="s">
        <v>190</v>
      </c>
      <c r="B49" s="187"/>
      <c r="C49" s="167"/>
      <c r="D49" s="193" t="str">
        <f>((AN49*100)&amp;"%"&amp;" time, "&amp;AO49&amp;" months, "&amp;AL49)</f>
        <v>50% time, 9 months, AY</v>
      </c>
      <c r="E49" s="193"/>
      <c r="F49" s="81"/>
      <c r="G49" s="81"/>
      <c r="H49" s="191"/>
      <c r="I49" s="188"/>
      <c r="J49" s="170">
        <f>IF($AK$13="No", IF(AP49=0,0,($AJ49/$AK49*AP49)), ($AJ49*(1+$AK$4)/$AK49*AP49))</f>
        <v>0</v>
      </c>
      <c r="K49" s="170"/>
      <c r="L49" s="189">
        <v>0</v>
      </c>
      <c r="M49" s="170"/>
      <c r="N49" s="170">
        <f>IF($AK$13="No",IF(AU49=0,0,(($AJ49)*(1+$AK$4)/$AK49*AU49)),(($AJ49)*(1+$AK$4)^2/$AK49*AU49))</f>
        <v>0</v>
      </c>
      <c r="O49" s="170"/>
      <c r="P49" s="189">
        <v>0</v>
      </c>
      <c r="Q49" s="81"/>
      <c r="R49" s="170">
        <f>IF($AK$13="No",IF(AZ49=0,0,(($AJ49)*(1+$AK$4)^2/$AK49*AZ49)),(($AJ49)*(1+$AK$4)^3/$AK49*AZ49))</f>
        <v>0</v>
      </c>
      <c r="S49" s="170"/>
      <c r="T49" s="189">
        <v>0</v>
      </c>
      <c r="U49" s="81"/>
      <c r="V49" s="170">
        <f>IF($AK$13="No",IF(BE49=0,0,(($AJ49)*(1+$AK$4)^3/$AK49*BE49)),(($AJ49)*(1+$AK$4)^4/$AK49*BE49))</f>
        <v>0</v>
      </c>
      <c r="W49" s="170"/>
      <c r="X49" s="189">
        <v>0</v>
      </c>
      <c r="Y49" s="81"/>
      <c r="Z49" s="170">
        <f>IF($AK$13="No", IF(BJ49=0,0,(($AJ49)*(1+$AK$4)^4/$AK49*BJ49)), (($AJ49)*(1+$AK$4)^5/$AK49*BJ49))</f>
        <v>0</v>
      </c>
      <c r="AA49" s="170"/>
      <c r="AB49" s="189">
        <v>0</v>
      </c>
      <c r="AC49" s="81"/>
      <c r="AD49" s="170">
        <f t="shared" si="0"/>
        <v>0</v>
      </c>
      <c r="AE49" s="170"/>
      <c r="AF49" s="189">
        <f t="shared" si="1"/>
        <v>0</v>
      </c>
      <c r="AG49" s="28"/>
      <c r="AH49" s="28"/>
      <c r="AI49" s="207"/>
      <c r="AJ49" s="148">
        <v>0.01</v>
      </c>
      <c r="AK49" s="118">
        <f t="shared" si="2"/>
        <v>9</v>
      </c>
      <c r="AL49" s="119" t="s">
        <v>84</v>
      </c>
      <c r="AM49" s="163"/>
      <c r="AN49" s="120">
        <v>0.5</v>
      </c>
      <c r="AO49" s="121">
        <v>9</v>
      </c>
      <c r="AP49" s="41">
        <f>AN49*AO49</f>
        <v>4.5</v>
      </c>
      <c r="AQ49" s="28"/>
      <c r="AR49" s="164"/>
      <c r="AS49" s="120">
        <f t="shared" si="22"/>
        <v>0.5</v>
      </c>
      <c r="AT49" s="121">
        <f t="shared" si="3"/>
        <v>9</v>
      </c>
      <c r="AU49" s="41">
        <f>AS49*AT49</f>
        <v>4.5</v>
      </c>
      <c r="AV49" s="28"/>
      <c r="AW49" s="28"/>
      <c r="AX49" s="120">
        <f t="shared" si="19"/>
        <v>0.5</v>
      </c>
      <c r="AY49" s="121">
        <f t="shared" si="19"/>
        <v>9</v>
      </c>
      <c r="AZ49" s="41">
        <f>AX49*AY49</f>
        <v>4.5</v>
      </c>
      <c r="BA49" s="28"/>
      <c r="BB49" s="28"/>
      <c r="BC49" s="120">
        <f t="shared" si="20"/>
        <v>0.5</v>
      </c>
      <c r="BD49" s="121">
        <f t="shared" si="20"/>
        <v>9</v>
      </c>
      <c r="BE49" s="41">
        <f>BC49*BD49</f>
        <v>4.5</v>
      </c>
      <c r="BF49" s="28"/>
      <c r="BG49" s="28"/>
      <c r="BH49" s="120">
        <f t="shared" si="21"/>
        <v>0.5</v>
      </c>
      <c r="BI49" s="121">
        <f t="shared" si="21"/>
        <v>9</v>
      </c>
      <c r="BJ49" s="41">
        <f>BH49*BI49</f>
        <v>4.5</v>
      </c>
      <c r="BK49" s="45"/>
      <c r="BL49" s="45">
        <f>BJ49+BE49+AZ49+AU49+AP49</f>
        <v>22.5</v>
      </c>
      <c r="BM49" s="174"/>
    </row>
    <row r="50" spans="1:65" x14ac:dyDescent="0.25">
      <c r="A50" s="168" t="s">
        <v>191</v>
      </c>
      <c r="B50" s="187"/>
      <c r="C50" s="167"/>
      <c r="D50" s="193" t="str">
        <f>((AN50*100)&amp;"%"&amp;" time, "&amp;AO50&amp;" months, "&amp;AL50)</f>
        <v>50% time, 3 months, Summer</v>
      </c>
      <c r="E50" s="193"/>
      <c r="F50" s="81"/>
      <c r="G50" s="81"/>
      <c r="H50" s="191"/>
      <c r="I50" s="188"/>
      <c r="J50" s="170">
        <f>IF($AK$13="No", IF(AP50=0,0,($AJ50/$AK50*AP50)), ($AJ50*(1+$AK$4)/$AK50*AP50))</f>
        <v>0</v>
      </c>
      <c r="K50" s="170"/>
      <c r="L50" s="189">
        <v>0</v>
      </c>
      <c r="M50" s="170"/>
      <c r="N50" s="170">
        <f>IF($AK$13="No",IF(AU50=0,0,(($AJ50)*(1+$AK$4)/$AK50*AU50)),(($AJ50)*(1+$AK$4)^2/$AK50*AU50))</f>
        <v>0</v>
      </c>
      <c r="O50" s="170"/>
      <c r="P50" s="189">
        <v>0</v>
      </c>
      <c r="Q50" s="81"/>
      <c r="R50" s="170">
        <f>IF($AK$13="No",IF(AZ50=0,0,(($AJ50)*(1+$AK$4)^2/$AK50*AZ50)),(($AJ50)*(1+$AK$4)^3/$AK50*AZ50))</f>
        <v>0</v>
      </c>
      <c r="S50" s="170"/>
      <c r="T50" s="189">
        <v>0</v>
      </c>
      <c r="U50" s="81"/>
      <c r="V50" s="170">
        <f>IF($AK$13="No",IF(BE50=0,0,(($AJ50)*(1+$AK$4)^3/$AK50*BE50)),(($AJ50)*(1+$AK$4)^4/$AK50*BE50))</f>
        <v>0</v>
      </c>
      <c r="W50" s="170"/>
      <c r="X50" s="189">
        <v>0</v>
      </c>
      <c r="Y50" s="81"/>
      <c r="Z50" s="170">
        <f>IF($AK$13="No", IF(BJ50=0,0,(($AJ50)*(1+$AK$4)^4/$AK50*BJ50)), (($AJ50)*(1+$AK$4)^5/$AK50*BJ50))</f>
        <v>0</v>
      </c>
      <c r="AA50" s="170"/>
      <c r="AB50" s="189">
        <v>0</v>
      </c>
      <c r="AC50" s="81"/>
      <c r="AD50" s="170">
        <f t="shared" si="0"/>
        <v>0</v>
      </c>
      <c r="AE50" s="170"/>
      <c r="AF50" s="189">
        <f t="shared" si="1"/>
        <v>0</v>
      </c>
      <c r="AG50" s="28"/>
      <c r="AH50" s="28"/>
      <c r="AI50" s="207"/>
      <c r="AJ50" s="148">
        <v>0.01</v>
      </c>
      <c r="AK50" s="118">
        <f t="shared" si="2"/>
        <v>9</v>
      </c>
      <c r="AL50" s="119" t="s">
        <v>85</v>
      </c>
      <c r="AM50" s="163"/>
      <c r="AN50" s="120">
        <v>0.5</v>
      </c>
      <c r="AO50" s="121">
        <v>3</v>
      </c>
      <c r="AP50" s="41">
        <f>AN50*AO50</f>
        <v>1.5</v>
      </c>
      <c r="AQ50" s="28"/>
      <c r="AR50" s="164"/>
      <c r="AS50" s="120">
        <f t="shared" si="22"/>
        <v>0.5</v>
      </c>
      <c r="AT50" s="121">
        <f t="shared" si="3"/>
        <v>3</v>
      </c>
      <c r="AU50" s="41">
        <f t="shared" ref="AU50:AU59" si="23">AS50*AT50</f>
        <v>1.5</v>
      </c>
      <c r="AV50" s="28"/>
      <c r="AW50" s="28"/>
      <c r="AX50" s="120">
        <f t="shared" ref="AX50:AY50" si="24">IF($AK$10=2,0,AS50)</f>
        <v>0.5</v>
      </c>
      <c r="AY50" s="121">
        <f t="shared" si="24"/>
        <v>3</v>
      </c>
      <c r="AZ50" s="41">
        <f t="shared" ref="AZ50:AZ59" si="25">AX50*AY50</f>
        <v>1.5</v>
      </c>
      <c r="BA50" s="28"/>
      <c r="BB50" s="28"/>
      <c r="BC50" s="120">
        <f t="shared" ref="BC50:BD50" si="26">IF($AK$10=3,0,AX50)</f>
        <v>0.5</v>
      </c>
      <c r="BD50" s="121">
        <f t="shared" si="26"/>
        <v>3</v>
      </c>
      <c r="BE50" s="41">
        <f t="shared" ref="BE50:BE59" si="27">BC50*BD50</f>
        <v>1.5</v>
      </c>
      <c r="BF50" s="28"/>
      <c r="BG50" s="28"/>
      <c r="BH50" s="120">
        <f t="shared" ref="BH50:BI50" si="28">IF($AK$10=4,0,BC50)</f>
        <v>0.5</v>
      </c>
      <c r="BI50" s="121">
        <f t="shared" si="28"/>
        <v>3</v>
      </c>
      <c r="BJ50" s="41">
        <f t="shared" ref="BJ50:BJ59" si="29">BH50*BI50</f>
        <v>1.5</v>
      </c>
      <c r="BK50" s="45"/>
      <c r="BL50" s="45">
        <f>BJ50+BE50+AZ50+AU50+AP50</f>
        <v>7.5</v>
      </c>
      <c r="BM50" s="174"/>
    </row>
    <row r="51" spans="1:65" x14ac:dyDescent="0.25">
      <c r="A51" s="195"/>
      <c r="B51" s="167"/>
      <c r="C51" s="167" t="s">
        <v>52</v>
      </c>
      <c r="D51" s="167"/>
      <c r="E51" s="167"/>
      <c r="F51" s="81"/>
      <c r="G51" s="81"/>
      <c r="H51" s="191"/>
      <c r="I51" s="188"/>
      <c r="J51" s="170"/>
      <c r="K51" s="170"/>
      <c r="L51" s="189"/>
      <c r="M51" s="170"/>
      <c r="N51" s="170"/>
      <c r="O51" s="170"/>
      <c r="P51" s="189"/>
      <c r="Q51" s="81"/>
      <c r="R51" s="170"/>
      <c r="S51" s="170"/>
      <c r="T51" s="189"/>
      <c r="U51" s="81"/>
      <c r="V51" s="170"/>
      <c r="W51" s="170"/>
      <c r="X51" s="189"/>
      <c r="Y51" s="81"/>
      <c r="Z51" s="170"/>
      <c r="AA51" s="170"/>
      <c r="AB51" s="189"/>
      <c r="AC51" s="81"/>
      <c r="AD51" s="170"/>
      <c r="AE51" s="172"/>
      <c r="AF51" s="190"/>
      <c r="AG51" s="28"/>
      <c r="AH51" s="28"/>
      <c r="AI51" s="207"/>
      <c r="AJ51" s="148"/>
      <c r="AK51" s="151"/>
      <c r="AL51" s="119"/>
      <c r="AM51" s="163"/>
      <c r="AN51" s="120"/>
      <c r="AO51" s="121"/>
      <c r="AP51" s="41"/>
      <c r="AQ51" s="28"/>
      <c r="AR51" s="164"/>
      <c r="AS51" s="120"/>
      <c r="AT51" s="121"/>
      <c r="AU51" s="41"/>
      <c r="AV51" s="28"/>
      <c r="AW51" s="28"/>
      <c r="AX51" s="120"/>
      <c r="AY51" s="121"/>
      <c r="AZ51" s="41"/>
      <c r="BA51" s="28"/>
      <c r="BB51" s="28"/>
      <c r="BC51" s="120"/>
      <c r="BD51" s="121"/>
      <c r="BE51" s="41"/>
      <c r="BF51" s="28"/>
      <c r="BG51" s="28"/>
      <c r="BH51" s="120"/>
      <c r="BI51" s="121"/>
      <c r="BJ51" s="41"/>
      <c r="BK51" s="45"/>
      <c r="BL51" s="45"/>
      <c r="BM51" s="174"/>
    </row>
    <row r="52" spans="1:65" x14ac:dyDescent="0.25">
      <c r="A52" s="168" t="s">
        <v>190</v>
      </c>
      <c r="B52" s="187"/>
      <c r="C52" s="167"/>
      <c r="D52" s="193" t="str">
        <f>((AN52*100)&amp;"%"&amp;" time, "&amp;AO52&amp;" months, "&amp;AL52)</f>
        <v>50% time, 9 months, AY</v>
      </c>
      <c r="E52" s="193"/>
      <c r="F52" s="81"/>
      <c r="G52" s="81"/>
      <c r="H52" s="191"/>
      <c r="I52" s="188"/>
      <c r="J52" s="170">
        <f>IF($AK$13="No", IF(AP52=0,0,($AJ52/$AK52*AP52)), ($AJ52*(1+$AK$4)/$AK52*AP52))</f>
        <v>0</v>
      </c>
      <c r="K52" s="170"/>
      <c r="L52" s="189">
        <v>0</v>
      </c>
      <c r="M52" s="170"/>
      <c r="N52" s="170">
        <f>IF($AK$13="No",IF(AU52=0,0,(($AJ52)*(1+$AK$4)/$AK52*AU52)),(($AJ52)*(1+$AK$4)^2/$AK52*AU52))</f>
        <v>0</v>
      </c>
      <c r="O52" s="170"/>
      <c r="P52" s="189">
        <v>0</v>
      </c>
      <c r="Q52" s="81"/>
      <c r="R52" s="170">
        <f>IF($AK$13="No",IF(AZ52=0,0,(($AJ52)*(1+$AK$4)^2/$AK52*AZ52)),(($AJ52)*(1+$AK$4)^3/$AK52*AZ52))</f>
        <v>0</v>
      </c>
      <c r="S52" s="170"/>
      <c r="T52" s="189">
        <v>0</v>
      </c>
      <c r="U52" s="81"/>
      <c r="V52" s="170">
        <f>IF($AK$13="No",IF(BE52=0,0,(($AJ52)*(1+$AK$4)^3/$AK52*BE52)),(($AJ52)*(1+$AK$4)^4/$AK52*BE52))</f>
        <v>0</v>
      </c>
      <c r="W52" s="170"/>
      <c r="X52" s="189">
        <v>0</v>
      </c>
      <c r="Y52" s="81"/>
      <c r="Z52" s="170">
        <f>IF($AK$13="No", IF(BJ52=0,0,(($AJ52)*(1+$AK$4)^4/$AK52*BJ52)), (($AJ52)*(1+$AK$4)^5/$AK52*BJ52))</f>
        <v>0</v>
      </c>
      <c r="AA52" s="170"/>
      <c r="AB52" s="189">
        <v>0</v>
      </c>
      <c r="AC52" s="81"/>
      <c r="AD52" s="170">
        <f>J52+N52+R52+V52+Z52</f>
        <v>0</v>
      </c>
      <c r="AE52" s="170"/>
      <c r="AF52" s="189">
        <f>L52+P52+T52+X52+AB52</f>
        <v>0</v>
      </c>
      <c r="AG52" s="28"/>
      <c r="AH52" s="28"/>
      <c r="AI52" s="207"/>
      <c r="AJ52" s="148">
        <v>0.01</v>
      </c>
      <c r="AK52" s="118">
        <f>VLOOKUP(A52, $D$308:$H$322, 5, FALSE)</f>
        <v>9</v>
      </c>
      <c r="AL52" s="119" t="s">
        <v>84</v>
      </c>
      <c r="AM52" s="163"/>
      <c r="AN52" s="120">
        <v>0.5</v>
      </c>
      <c r="AO52" s="121">
        <v>9</v>
      </c>
      <c r="AP52" s="41">
        <f t="shared" ref="AP52:AP59" si="30">AN52*AO52</f>
        <v>4.5</v>
      </c>
      <c r="AQ52" s="28"/>
      <c r="AR52" s="164"/>
      <c r="AS52" s="120">
        <f>IF($AK$10=1,0,AN52)</f>
        <v>0.5</v>
      </c>
      <c r="AT52" s="121">
        <f>IF($AK$10=1,0,AO52)</f>
        <v>9</v>
      </c>
      <c r="AU52" s="41">
        <f t="shared" si="23"/>
        <v>4.5</v>
      </c>
      <c r="AV52" s="28"/>
      <c r="AW52" s="28"/>
      <c r="AX52" s="120">
        <f>IF($AK$10=2,0,AS52)</f>
        <v>0.5</v>
      </c>
      <c r="AY52" s="121">
        <f>IF($AK$10=2,0,AT52)</f>
        <v>9</v>
      </c>
      <c r="AZ52" s="41">
        <f t="shared" si="25"/>
        <v>4.5</v>
      </c>
      <c r="BA52" s="28"/>
      <c r="BB52" s="28"/>
      <c r="BC52" s="120">
        <f>IF($AK$10=3,0,AX52)</f>
        <v>0.5</v>
      </c>
      <c r="BD52" s="121">
        <f>IF($AK$10=3,0,AY52)</f>
        <v>9</v>
      </c>
      <c r="BE52" s="41">
        <f t="shared" si="27"/>
        <v>4.5</v>
      </c>
      <c r="BF52" s="28"/>
      <c r="BG52" s="28"/>
      <c r="BH52" s="120">
        <f>IF($AK$10=4,0,BC52)</f>
        <v>0.5</v>
      </c>
      <c r="BI52" s="121">
        <f>IF($AK$10=4,0,BD52)</f>
        <v>9</v>
      </c>
      <c r="BJ52" s="41">
        <f t="shared" si="29"/>
        <v>4.5</v>
      </c>
      <c r="BK52" s="45"/>
      <c r="BL52" s="45">
        <f>BJ52+BE52+AZ52+AU52+AP52</f>
        <v>22.5</v>
      </c>
      <c r="BM52" s="174"/>
    </row>
    <row r="53" spans="1:65" x14ac:dyDescent="0.25">
      <c r="A53" s="168" t="s">
        <v>191</v>
      </c>
      <c r="B53" s="187"/>
      <c r="C53" s="167"/>
      <c r="D53" s="193" t="str">
        <f>((AN53*100)&amp;"%"&amp;" time, "&amp;AO53&amp;" months, "&amp;AL53)</f>
        <v>50% time, 3 months, Summer</v>
      </c>
      <c r="E53" s="193"/>
      <c r="F53" s="81"/>
      <c r="G53" s="81"/>
      <c r="H53" s="191"/>
      <c r="I53" s="188"/>
      <c r="J53" s="170">
        <f>IF($AK$13="No", IF(AP53=0,0,($AJ53/$AK53*AP53)), ($AJ53*(1+$AK$4)/$AK53*AP53))</f>
        <v>0</v>
      </c>
      <c r="K53" s="170"/>
      <c r="L53" s="189">
        <v>0</v>
      </c>
      <c r="M53" s="170"/>
      <c r="N53" s="170">
        <f>IF($AK$13="No",IF(AU53=0,0,(($AJ53)*(1+$AK$4)/$AK53*AU53)),(($AJ53)*(1+$AK$4)^2/$AK53*AU53))</f>
        <v>0</v>
      </c>
      <c r="O53" s="170"/>
      <c r="P53" s="189">
        <v>0</v>
      </c>
      <c r="Q53" s="81"/>
      <c r="R53" s="170">
        <f>IF($AK$13="No",IF(AZ53=0,0,(($AJ53)*(1+$AK$4)^2/$AK53*AZ53)),(($AJ53)*(1+$AK$4)^3/$AK53*AZ53))</f>
        <v>0</v>
      </c>
      <c r="S53" s="170"/>
      <c r="T53" s="189">
        <v>0</v>
      </c>
      <c r="U53" s="81"/>
      <c r="V53" s="170">
        <f>IF($AK$13="No",IF(BE53=0,0,(($AJ53)*(1+$AK$4)^3/$AK53*BE53)),(($AJ53)*(1+$AK$4)^4/$AK53*BE53))</f>
        <v>0</v>
      </c>
      <c r="W53" s="170"/>
      <c r="X53" s="189">
        <v>0</v>
      </c>
      <c r="Y53" s="81"/>
      <c r="Z53" s="170">
        <f>IF($AK$13="No", IF(BJ53=0,0,(($AJ53)*(1+$AK$4)^4/$AK53*BJ53)), (($AJ53)*(1+$AK$4)^5/$AK53*BJ53))</f>
        <v>0</v>
      </c>
      <c r="AA53" s="170"/>
      <c r="AB53" s="189">
        <v>0</v>
      </c>
      <c r="AC53" s="81"/>
      <c r="AD53" s="170">
        <f>J53+N53+R53+V53+Z53</f>
        <v>0</v>
      </c>
      <c r="AE53" s="170"/>
      <c r="AF53" s="189">
        <f>L53+P53+T53+X53+AB53</f>
        <v>0</v>
      </c>
      <c r="AG53" s="28"/>
      <c r="AH53" s="28"/>
      <c r="AI53" s="207"/>
      <c r="AJ53" s="148">
        <v>0.01</v>
      </c>
      <c r="AK53" s="118">
        <f>VLOOKUP(A53, $D$308:$H$322, 5, FALSE)</f>
        <v>9</v>
      </c>
      <c r="AL53" s="119" t="s">
        <v>85</v>
      </c>
      <c r="AM53" s="163"/>
      <c r="AN53" s="120">
        <v>0.5</v>
      </c>
      <c r="AO53" s="121">
        <v>3</v>
      </c>
      <c r="AP53" s="41">
        <f t="shared" si="30"/>
        <v>1.5</v>
      </c>
      <c r="AQ53" s="28"/>
      <c r="AR53" s="164"/>
      <c r="AS53" s="120">
        <f>IF($AK$10=1,0,AN53)</f>
        <v>0.5</v>
      </c>
      <c r="AT53" s="121">
        <f>IF($AK$10=1,0,AO53)</f>
        <v>3</v>
      </c>
      <c r="AU53" s="41">
        <f t="shared" si="23"/>
        <v>1.5</v>
      </c>
      <c r="AV53" s="28"/>
      <c r="AW53" s="28"/>
      <c r="AX53" s="120">
        <f>IF($AK$10=2,0,AS53)</f>
        <v>0.5</v>
      </c>
      <c r="AY53" s="121">
        <f>IF($AK$10=2,0,AT53)</f>
        <v>3</v>
      </c>
      <c r="AZ53" s="41">
        <f t="shared" si="25"/>
        <v>1.5</v>
      </c>
      <c r="BA53" s="28"/>
      <c r="BB53" s="28"/>
      <c r="BC53" s="120">
        <f>IF($AK$10=3,0,AX53)</f>
        <v>0.5</v>
      </c>
      <c r="BD53" s="121">
        <f>IF($AK$10=3,0,AY53)</f>
        <v>3</v>
      </c>
      <c r="BE53" s="41">
        <f t="shared" si="27"/>
        <v>1.5</v>
      </c>
      <c r="BF53" s="28"/>
      <c r="BG53" s="28"/>
      <c r="BH53" s="120">
        <f>IF($AK$10=4,0,BC53)</f>
        <v>0.5</v>
      </c>
      <c r="BI53" s="121">
        <f>IF($AK$10=4,0,BD53)</f>
        <v>3</v>
      </c>
      <c r="BJ53" s="41">
        <f t="shared" si="29"/>
        <v>1.5</v>
      </c>
      <c r="BK53" s="45"/>
      <c r="BL53" s="45">
        <f>BJ53+BE53+AZ53+AU53+AP53</f>
        <v>7.5</v>
      </c>
      <c r="BM53" s="174"/>
    </row>
    <row r="54" spans="1:65" x14ac:dyDescent="0.25">
      <c r="A54" s="195"/>
      <c r="B54" s="187"/>
      <c r="C54" s="167" t="s">
        <v>52</v>
      </c>
      <c r="D54" s="167"/>
      <c r="E54" s="167"/>
      <c r="F54" s="81"/>
      <c r="G54" s="81"/>
      <c r="H54" s="191"/>
      <c r="I54" s="188"/>
      <c r="J54" s="170"/>
      <c r="K54" s="170"/>
      <c r="L54" s="189"/>
      <c r="M54" s="170"/>
      <c r="N54" s="170"/>
      <c r="O54" s="170"/>
      <c r="P54" s="189"/>
      <c r="Q54" s="81"/>
      <c r="R54" s="170"/>
      <c r="S54" s="170"/>
      <c r="T54" s="189"/>
      <c r="U54" s="81"/>
      <c r="V54" s="170"/>
      <c r="W54" s="170"/>
      <c r="X54" s="189"/>
      <c r="Y54" s="81"/>
      <c r="Z54" s="170"/>
      <c r="AA54" s="170"/>
      <c r="AB54" s="189"/>
      <c r="AC54" s="81"/>
      <c r="AD54" s="170"/>
      <c r="AE54" s="170"/>
      <c r="AF54" s="189"/>
      <c r="AG54" s="28"/>
      <c r="AH54" s="28"/>
      <c r="AI54" s="207"/>
      <c r="AJ54" s="148"/>
      <c r="AK54" s="151"/>
      <c r="AL54" s="119"/>
      <c r="AM54" s="163"/>
      <c r="AN54" s="120"/>
      <c r="AO54" s="121"/>
      <c r="AP54" s="41"/>
      <c r="AQ54" s="28"/>
      <c r="AR54" s="164"/>
      <c r="AS54" s="120"/>
      <c r="AT54" s="121"/>
      <c r="AU54" s="41"/>
      <c r="AV54" s="28"/>
      <c r="AW54" s="28"/>
      <c r="AX54" s="120"/>
      <c r="AY54" s="121"/>
      <c r="AZ54" s="41"/>
      <c r="BA54" s="28"/>
      <c r="BB54" s="28"/>
      <c r="BC54" s="120"/>
      <c r="BD54" s="121"/>
      <c r="BE54" s="41"/>
      <c r="BF54" s="28"/>
      <c r="BG54" s="28"/>
      <c r="BH54" s="120"/>
      <c r="BI54" s="121"/>
      <c r="BJ54" s="41"/>
      <c r="BK54" s="45"/>
      <c r="BL54" s="28"/>
      <c r="BM54" s="174"/>
    </row>
    <row r="55" spans="1:65" x14ac:dyDescent="0.25">
      <c r="A55" s="168" t="s">
        <v>190</v>
      </c>
      <c r="B55" s="187"/>
      <c r="C55" s="167"/>
      <c r="D55" s="193" t="str">
        <f>((AN55*100)&amp;"%"&amp;" time, "&amp;AO55&amp;" months, "&amp;AL55)</f>
        <v>50% time, 9 months, AY</v>
      </c>
      <c r="E55" s="193"/>
      <c r="F55" s="81"/>
      <c r="G55" s="81"/>
      <c r="H55" s="191"/>
      <c r="I55" s="188"/>
      <c r="J55" s="170">
        <f>IF($AK$13="No", IF(AP55=0,0,($AJ55/$AK55*AP55)), ($AJ55*(1+$AK$4)/$AK55*AP55))</f>
        <v>0</v>
      </c>
      <c r="K55" s="170"/>
      <c r="L55" s="189">
        <v>0</v>
      </c>
      <c r="M55" s="170"/>
      <c r="N55" s="170">
        <f>IF($AK$13="No",IF(AU55=0,0,(($AJ55)*(1+$AK$4)/$AK55*AU55)),(($AJ55)*(1+$AK$4)^2/$AK55*AU55))</f>
        <v>0</v>
      </c>
      <c r="O55" s="170"/>
      <c r="P55" s="189">
        <v>0</v>
      </c>
      <c r="Q55" s="81"/>
      <c r="R55" s="170">
        <f>IF($AK$13="No",IF(AZ55=0,0,(($AJ55)*(1+$AK$4)^2/$AK55*AZ55)),(($AJ55)*(1+$AK$4)^3/$AK55*AZ55))</f>
        <v>0</v>
      </c>
      <c r="S55" s="170"/>
      <c r="T55" s="189">
        <v>0</v>
      </c>
      <c r="U55" s="81"/>
      <c r="V55" s="170">
        <f>IF($AK$13="No",IF(BE55=0,0,(($AJ55)*(1+$AK$4)^3/$AK55*BE55)),(($AJ55)*(1+$AK$4)^4/$AK55*BE55))</f>
        <v>0</v>
      </c>
      <c r="W55" s="170"/>
      <c r="X55" s="189">
        <v>0</v>
      </c>
      <c r="Y55" s="81"/>
      <c r="Z55" s="170">
        <f>IF($AK$13="No", IF(BJ55=0,0,(($AJ55)*(1+$AK$4)^4/$AK55*BJ55)), (($AJ55)*(1+$AK$4)^5/$AK55*BJ55))</f>
        <v>0</v>
      </c>
      <c r="AA55" s="170"/>
      <c r="AB55" s="189">
        <v>0</v>
      </c>
      <c r="AC55" s="81"/>
      <c r="AD55" s="170">
        <f>J55+N55+R55+V55+Z55</f>
        <v>0</v>
      </c>
      <c r="AE55" s="170"/>
      <c r="AF55" s="189">
        <f>L55+P55+T55+X55+AB55</f>
        <v>0</v>
      </c>
      <c r="AG55" s="28"/>
      <c r="AH55" s="28"/>
      <c r="AI55" s="207"/>
      <c r="AJ55" s="148">
        <v>0.01</v>
      </c>
      <c r="AK55" s="118">
        <f>VLOOKUP(A55, $D$308:$H$322, 5, FALSE)</f>
        <v>9</v>
      </c>
      <c r="AL55" s="119" t="s">
        <v>84</v>
      </c>
      <c r="AM55" s="163"/>
      <c r="AN55" s="120">
        <v>0.5</v>
      </c>
      <c r="AO55" s="121">
        <v>9</v>
      </c>
      <c r="AP55" s="41">
        <f t="shared" si="30"/>
        <v>4.5</v>
      </c>
      <c r="AQ55" s="28"/>
      <c r="AR55" s="164"/>
      <c r="AS55" s="120">
        <f>IF($AK$10=1,0,AN55)</f>
        <v>0.5</v>
      </c>
      <c r="AT55" s="121">
        <f>IF($AK$10=1,0,AO55)</f>
        <v>9</v>
      </c>
      <c r="AU55" s="41">
        <f t="shared" si="23"/>
        <v>4.5</v>
      </c>
      <c r="AV55" s="28"/>
      <c r="AW55" s="28"/>
      <c r="AX55" s="120">
        <f>IF($AK$10=2,0,AS55)</f>
        <v>0.5</v>
      </c>
      <c r="AY55" s="121">
        <f>IF($AK$10=2,0,AT55)</f>
        <v>9</v>
      </c>
      <c r="AZ55" s="41">
        <f t="shared" si="25"/>
        <v>4.5</v>
      </c>
      <c r="BA55" s="28"/>
      <c r="BB55" s="28"/>
      <c r="BC55" s="120">
        <f>IF($AK$10=3,0,AX55)</f>
        <v>0.5</v>
      </c>
      <c r="BD55" s="121">
        <f>IF($AK$10=3,0,AY55)</f>
        <v>9</v>
      </c>
      <c r="BE55" s="41">
        <f t="shared" si="27"/>
        <v>4.5</v>
      </c>
      <c r="BF55" s="28"/>
      <c r="BG55" s="28"/>
      <c r="BH55" s="120">
        <f>IF($AK$10=4,0,BC55)</f>
        <v>0.5</v>
      </c>
      <c r="BI55" s="121">
        <f>IF($AK$10=4,0,BD55)</f>
        <v>9</v>
      </c>
      <c r="BJ55" s="41">
        <f t="shared" si="29"/>
        <v>4.5</v>
      </c>
      <c r="BK55" s="45"/>
      <c r="BL55" s="45">
        <f>BJ55+BE55+AZ55+AU55+AP55</f>
        <v>22.5</v>
      </c>
      <c r="BM55" s="174"/>
    </row>
    <row r="56" spans="1:65" x14ac:dyDescent="0.25">
      <c r="A56" s="168" t="s">
        <v>191</v>
      </c>
      <c r="B56" s="187"/>
      <c r="C56" s="167"/>
      <c r="D56" s="193" t="str">
        <f>((AN56*100)&amp;"%"&amp;" time, "&amp;AO56&amp;" months, "&amp;AL56)</f>
        <v>50% time, 3 months, Summer</v>
      </c>
      <c r="E56" s="193"/>
      <c r="F56" s="81"/>
      <c r="G56" s="81"/>
      <c r="H56" s="191"/>
      <c r="I56" s="188"/>
      <c r="J56" s="170">
        <f>IF($AK$13="No", IF(AP56=0,0,($AJ56/$AK56*AP56)), ($AJ56*(1+$AK$4)/$AK56*AP56))</f>
        <v>0</v>
      </c>
      <c r="K56" s="170"/>
      <c r="L56" s="189">
        <v>0</v>
      </c>
      <c r="M56" s="170"/>
      <c r="N56" s="170">
        <f>IF($AK$13="No",IF(AU56=0,0,(($AJ56)*(1+$AK$4)/$AK56*AU56)),(($AJ56)*(1+$AK$4)^2/$AK56*AU56))</f>
        <v>0</v>
      </c>
      <c r="O56" s="170"/>
      <c r="P56" s="189">
        <v>0</v>
      </c>
      <c r="Q56" s="81"/>
      <c r="R56" s="170">
        <f>IF($AK$13="No",IF(AZ56=0,0,(($AJ56)*(1+$AK$4)^2/$AK56*AZ56)),(($AJ56)*(1+$AK$4)^3/$AK56*AZ56))</f>
        <v>0</v>
      </c>
      <c r="S56" s="170"/>
      <c r="T56" s="189">
        <v>0</v>
      </c>
      <c r="U56" s="81"/>
      <c r="V56" s="170">
        <f>IF($AK$13="No",IF(BE56=0,0,(($AJ56)*(1+$AK$4)^3/$AK56*BE56)),(($AJ56)*(1+$AK$4)^4/$AK56*BE56))</f>
        <v>0</v>
      </c>
      <c r="W56" s="170"/>
      <c r="X56" s="189">
        <v>0</v>
      </c>
      <c r="Y56" s="81"/>
      <c r="Z56" s="170">
        <f>IF($AK$13="No", IF(BJ56=0,0,(($AJ56)*(1+$AK$4)^4/$AK56*BJ56)), (($AJ56)*(1+$AK$4)^5/$AK56*BJ56))</f>
        <v>0</v>
      </c>
      <c r="AA56" s="170"/>
      <c r="AB56" s="189">
        <v>0</v>
      </c>
      <c r="AC56" s="81"/>
      <c r="AD56" s="170">
        <f>J56+N56+R56+V56+Z56</f>
        <v>0</v>
      </c>
      <c r="AE56" s="170"/>
      <c r="AF56" s="189">
        <f>L56+P56+T56+X56+AB56</f>
        <v>0</v>
      </c>
      <c r="AG56" s="28"/>
      <c r="AH56" s="28"/>
      <c r="AI56" s="207"/>
      <c r="AJ56" s="148">
        <v>0.01</v>
      </c>
      <c r="AK56" s="118">
        <f>VLOOKUP(A56, $D$308:$H$322, 5, FALSE)</f>
        <v>9</v>
      </c>
      <c r="AL56" s="119" t="s">
        <v>85</v>
      </c>
      <c r="AM56" s="163"/>
      <c r="AN56" s="120">
        <v>0.5</v>
      </c>
      <c r="AO56" s="121">
        <v>3</v>
      </c>
      <c r="AP56" s="41">
        <f t="shared" si="30"/>
        <v>1.5</v>
      </c>
      <c r="AQ56" s="28"/>
      <c r="AR56" s="164"/>
      <c r="AS56" s="120">
        <f>IF($AK$10=1,0,AN56)</f>
        <v>0.5</v>
      </c>
      <c r="AT56" s="121">
        <f>IF($AK$10=1,0,AO56)</f>
        <v>3</v>
      </c>
      <c r="AU56" s="41">
        <f t="shared" si="23"/>
        <v>1.5</v>
      </c>
      <c r="AV56" s="28"/>
      <c r="AW56" s="28"/>
      <c r="AX56" s="120">
        <f>IF($AK$10=2,0,AS56)</f>
        <v>0.5</v>
      </c>
      <c r="AY56" s="121">
        <f>IF($AK$10=2,0,AT56)</f>
        <v>3</v>
      </c>
      <c r="AZ56" s="41">
        <f t="shared" si="25"/>
        <v>1.5</v>
      </c>
      <c r="BA56" s="28"/>
      <c r="BB56" s="28"/>
      <c r="BC56" s="120">
        <f>IF($AK$10=3,0,AX56)</f>
        <v>0.5</v>
      </c>
      <c r="BD56" s="121">
        <f>IF($AK$10=3,0,AY56)</f>
        <v>3</v>
      </c>
      <c r="BE56" s="41">
        <f t="shared" si="27"/>
        <v>1.5</v>
      </c>
      <c r="BF56" s="28"/>
      <c r="BG56" s="28"/>
      <c r="BH56" s="120">
        <f>IF($AK$10=4,0,BC56)</f>
        <v>0.5</v>
      </c>
      <c r="BI56" s="121">
        <f>IF($AK$10=4,0,BD56)</f>
        <v>3</v>
      </c>
      <c r="BJ56" s="41">
        <f t="shared" si="29"/>
        <v>1.5</v>
      </c>
      <c r="BK56" s="45"/>
      <c r="BL56" s="45">
        <f>BJ56+BE56+AZ56+AU56+AP56</f>
        <v>7.5</v>
      </c>
      <c r="BM56" s="174"/>
    </row>
    <row r="57" spans="1:65" x14ac:dyDescent="0.25">
      <c r="A57" s="195"/>
      <c r="B57" s="167"/>
      <c r="C57" s="167" t="s">
        <v>52</v>
      </c>
      <c r="D57" s="167"/>
      <c r="E57" s="167"/>
      <c r="F57" s="81"/>
      <c r="G57" s="81"/>
      <c r="H57" s="191"/>
      <c r="I57" s="188"/>
      <c r="J57" s="170"/>
      <c r="K57" s="170"/>
      <c r="L57" s="189"/>
      <c r="M57" s="170"/>
      <c r="N57" s="170"/>
      <c r="O57" s="170"/>
      <c r="P57" s="189"/>
      <c r="Q57" s="81"/>
      <c r="R57" s="170"/>
      <c r="S57" s="170"/>
      <c r="T57" s="189"/>
      <c r="U57" s="81"/>
      <c r="V57" s="170"/>
      <c r="W57" s="170"/>
      <c r="X57" s="189"/>
      <c r="Y57" s="81"/>
      <c r="Z57" s="170"/>
      <c r="AA57" s="170"/>
      <c r="AB57" s="189"/>
      <c r="AC57" s="81"/>
      <c r="AD57" s="170"/>
      <c r="AE57" s="172"/>
      <c r="AF57" s="190"/>
      <c r="AG57" s="28"/>
      <c r="AH57" s="28"/>
      <c r="AI57" s="207"/>
      <c r="AJ57" s="148"/>
      <c r="AK57" s="151"/>
      <c r="AL57" s="119"/>
      <c r="AM57" s="163"/>
      <c r="AN57" s="120"/>
      <c r="AO57" s="121"/>
      <c r="AP57" s="41">
        <f t="shared" si="30"/>
        <v>0</v>
      </c>
      <c r="AQ57" s="28"/>
      <c r="AR57" s="164"/>
      <c r="AS57" s="120"/>
      <c r="AT57" s="121"/>
      <c r="AU57" s="41"/>
      <c r="AV57" s="28"/>
      <c r="AW57" s="28"/>
      <c r="AX57" s="120"/>
      <c r="AY57" s="121"/>
      <c r="AZ57" s="41"/>
      <c r="BA57" s="28"/>
      <c r="BB57" s="28"/>
      <c r="BC57" s="120"/>
      <c r="BD57" s="121"/>
      <c r="BE57" s="41"/>
      <c r="BF57" s="28"/>
      <c r="BG57" s="28"/>
      <c r="BH57" s="120"/>
      <c r="BI57" s="121"/>
      <c r="BJ57" s="41"/>
      <c r="BK57" s="45"/>
      <c r="BL57" s="45"/>
      <c r="BM57" s="174"/>
    </row>
    <row r="58" spans="1:65" x14ac:dyDescent="0.25">
      <c r="A58" s="168" t="s">
        <v>190</v>
      </c>
      <c r="B58" s="187"/>
      <c r="C58" s="167"/>
      <c r="D58" s="193" t="str">
        <f>((AN58*100)&amp;"%"&amp;" time, "&amp;AO58&amp;" months, "&amp;AL58)</f>
        <v>50% time, 9 months, AY</v>
      </c>
      <c r="E58" s="193"/>
      <c r="F58" s="81"/>
      <c r="G58" s="81"/>
      <c r="H58" s="191"/>
      <c r="I58" s="188"/>
      <c r="J58" s="170">
        <f>IF($AK$13="No", IF(AP58=0,0,($AJ58/$AK58*AP58)), ($AJ58*(1+$AK$4)/$AK58*AP58))</f>
        <v>0</v>
      </c>
      <c r="K58" s="170"/>
      <c r="L58" s="189">
        <v>0</v>
      </c>
      <c r="M58" s="170"/>
      <c r="N58" s="170">
        <f>IF($AK$13="No",IF(AU58=0,0,(($AJ58)*(1+$AK$4)/$AK58*AU58)),(($AJ58)*(1+$AK$4)^2/$AK58*AU58))</f>
        <v>0</v>
      </c>
      <c r="O58" s="170"/>
      <c r="P58" s="189">
        <v>0</v>
      </c>
      <c r="Q58" s="81"/>
      <c r="R58" s="170">
        <f>IF($AK$13="No",IF(AZ58=0,0,(($AJ58)*(1+$AK$4)^2/$AK58*AZ58)),(($AJ58)*(1+$AK$4)^3/$AK58*AZ58))</f>
        <v>0</v>
      </c>
      <c r="S58" s="170"/>
      <c r="T58" s="189">
        <v>0</v>
      </c>
      <c r="U58" s="81"/>
      <c r="V58" s="170">
        <f>IF($AK$13="No",IF(BE58=0,0,(($AJ58)*(1+$AK$4)^3/$AK58*BE58)),(($AJ58)*(1+$AK$4)^4/$AK58*BE58))</f>
        <v>0</v>
      </c>
      <c r="W58" s="170"/>
      <c r="X58" s="189">
        <v>0</v>
      </c>
      <c r="Y58" s="81"/>
      <c r="Z58" s="170">
        <f>IF($AK$13="No", IF(BJ58=0,0,(($AJ58)*(1+$AK$4)^4/$AK58*BJ58)), (($AJ58)*(1+$AK$4)^5/$AK58*BJ58))</f>
        <v>0</v>
      </c>
      <c r="AA58" s="170"/>
      <c r="AB58" s="189">
        <v>0</v>
      </c>
      <c r="AC58" s="81"/>
      <c r="AD58" s="170">
        <f>J58+N58+R58+V58+Z58</f>
        <v>0</v>
      </c>
      <c r="AE58" s="170"/>
      <c r="AF58" s="189">
        <f>L58+P58+T58+X58+AB58</f>
        <v>0</v>
      </c>
      <c r="AG58" s="28"/>
      <c r="AH58" s="28"/>
      <c r="AI58" s="207"/>
      <c r="AJ58" s="148">
        <v>0.01</v>
      </c>
      <c r="AK58" s="118">
        <f>VLOOKUP(A58, $D$308:$H$322, 5, FALSE)</f>
        <v>9</v>
      </c>
      <c r="AL58" s="119" t="s">
        <v>84</v>
      </c>
      <c r="AM58" s="163"/>
      <c r="AN58" s="120">
        <v>0.5</v>
      </c>
      <c r="AO58" s="121">
        <v>9</v>
      </c>
      <c r="AP58" s="41">
        <f t="shared" si="30"/>
        <v>4.5</v>
      </c>
      <c r="AQ58" s="28"/>
      <c r="AR58" s="164"/>
      <c r="AS58" s="120">
        <f>IF($AK$10=1,0,AN58)</f>
        <v>0.5</v>
      </c>
      <c r="AT58" s="121">
        <f>IF($AK$10=1,0,AO58)</f>
        <v>9</v>
      </c>
      <c r="AU58" s="41">
        <f t="shared" si="23"/>
        <v>4.5</v>
      </c>
      <c r="AV58" s="28"/>
      <c r="AW58" s="28"/>
      <c r="AX58" s="120">
        <f>IF($AK$10=2,0,AS58)</f>
        <v>0.5</v>
      </c>
      <c r="AY58" s="121">
        <f>IF($AK$10=2,0,AT58)</f>
        <v>9</v>
      </c>
      <c r="AZ58" s="41">
        <f t="shared" si="25"/>
        <v>4.5</v>
      </c>
      <c r="BA58" s="28"/>
      <c r="BB58" s="28"/>
      <c r="BC58" s="120">
        <f>IF($AK$10=3,0,AX58)</f>
        <v>0.5</v>
      </c>
      <c r="BD58" s="121">
        <f>IF($AK$10=3,0,AY58)</f>
        <v>9</v>
      </c>
      <c r="BE58" s="41">
        <f t="shared" si="27"/>
        <v>4.5</v>
      </c>
      <c r="BF58" s="28"/>
      <c r="BG58" s="28"/>
      <c r="BH58" s="120">
        <f>IF($AK$10=4,0,BC58)</f>
        <v>0.5</v>
      </c>
      <c r="BI58" s="121">
        <f>IF($AK$10=4,0,BD58)</f>
        <v>9</v>
      </c>
      <c r="BJ58" s="41">
        <f t="shared" si="29"/>
        <v>4.5</v>
      </c>
      <c r="BK58" s="45"/>
      <c r="BL58" s="45">
        <f>BJ58+BE58+AZ58+AU58+AP58</f>
        <v>22.5</v>
      </c>
      <c r="BM58" s="174"/>
    </row>
    <row r="59" spans="1:65" x14ac:dyDescent="0.25">
      <c r="A59" s="168" t="s">
        <v>191</v>
      </c>
      <c r="B59" s="187"/>
      <c r="C59" s="167"/>
      <c r="D59" s="193" t="str">
        <f>((AN59*100)&amp;"%"&amp;" time, "&amp;AO59&amp;" months, "&amp;"Summer")</f>
        <v>50% time, 3 months, Summer</v>
      </c>
      <c r="E59" s="193"/>
      <c r="F59" s="81"/>
      <c r="G59" s="81"/>
      <c r="H59" s="191"/>
      <c r="I59" s="188"/>
      <c r="J59" s="170">
        <f>IF($AK$13="No", IF(AP59=0,0,($AJ59/$AK59*AP59)), ($AJ59*(1+$AK$4)/$AK59*AP59))</f>
        <v>0</v>
      </c>
      <c r="K59" s="170"/>
      <c r="L59" s="189">
        <v>0</v>
      </c>
      <c r="M59" s="170"/>
      <c r="N59" s="170">
        <f>IF($AK$13="No",IF(AU59=0,0,(($AJ59)*(1+$AK$4)/$AK59*AU59)),(($AJ59)*(1+$AK$4)^2/$AK59*AU59))</f>
        <v>0</v>
      </c>
      <c r="O59" s="170"/>
      <c r="P59" s="189">
        <v>0</v>
      </c>
      <c r="Q59" s="81"/>
      <c r="R59" s="170">
        <f>IF($AK$13="No",IF(AZ59=0,0,(($AJ59)*(1+$AK$4)^2/$AK59*AZ59)),(($AJ59)*(1+$AK$4)^3/$AK59*AZ59))</f>
        <v>0</v>
      </c>
      <c r="S59" s="170"/>
      <c r="T59" s="189">
        <v>0</v>
      </c>
      <c r="U59" s="81"/>
      <c r="V59" s="170">
        <f>IF($AK$13="No",IF(BE59=0,0,(($AJ59)*(1+$AK$4)^3/$AK59*BE59)),(($AJ59)*(1+$AK$4)^4/$AK59*BE59))</f>
        <v>0</v>
      </c>
      <c r="W59" s="170"/>
      <c r="X59" s="189">
        <v>0</v>
      </c>
      <c r="Y59" s="81"/>
      <c r="Z59" s="170">
        <f>IF($AK$13="No", IF(BJ59=0,0,(($AJ59)*(1+$AK$4)^4/$AK59*BJ59)), (($AJ59)*(1+$AK$4)^5/$AK59*BJ59))</f>
        <v>0</v>
      </c>
      <c r="AA59" s="170"/>
      <c r="AB59" s="189">
        <v>0</v>
      </c>
      <c r="AC59" s="81"/>
      <c r="AD59" s="170">
        <f>J59+N59+R59+V59+Z59</f>
        <v>0</v>
      </c>
      <c r="AE59" s="170"/>
      <c r="AF59" s="189">
        <f>L59+P59+T59+X59+AB59</f>
        <v>0</v>
      </c>
      <c r="AG59" s="28"/>
      <c r="AH59" s="81"/>
      <c r="AI59" s="207"/>
      <c r="AJ59" s="148">
        <v>0.01</v>
      </c>
      <c r="AK59" s="118">
        <f>VLOOKUP(A59, $D$308:$H$322, 5, FALSE)</f>
        <v>9</v>
      </c>
      <c r="AL59" s="119" t="s">
        <v>85</v>
      </c>
      <c r="AM59" s="163"/>
      <c r="AN59" s="120">
        <v>0.5</v>
      </c>
      <c r="AO59" s="121">
        <v>3</v>
      </c>
      <c r="AP59" s="41">
        <f t="shared" si="30"/>
        <v>1.5</v>
      </c>
      <c r="AQ59" s="28"/>
      <c r="AR59" s="164"/>
      <c r="AS59" s="120">
        <f>IF($AK$10=1,0,AN59)</f>
        <v>0.5</v>
      </c>
      <c r="AT59" s="121">
        <f>IF($AK$10=1,0,AO59)</f>
        <v>3</v>
      </c>
      <c r="AU59" s="41">
        <f t="shared" si="23"/>
        <v>1.5</v>
      </c>
      <c r="AV59" s="28"/>
      <c r="AW59" s="28"/>
      <c r="AX59" s="120">
        <f>IF($AK$10=2,0,AS59)</f>
        <v>0.5</v>
      </c>
      <c r="AY59" s="121">
        <f>IF($AK$10=2,0,AT59)</f>
        <v>3</v>
      </c>
      <c r="AZ59" s="41">
        <f t="shared" si="25"/>
        <v>1.5</v>
      </c>
      <c r="BA59" s="28"/>
      <c r="BB59" s="28"/>
      <c r="BC59" s="120">
        <f>IF($AK$10=3,0,AX59)</f>
        <v>0.5</v>
      </c>
      <c r="BD59" s="121">
        <f>IF($AK$10=3,0,AY59)</f>
        <v>3</v>
      </c>
      <c r="BE59" s="41">
        <f t="shared" si="27"/>
        <v>1.5</v>
      </c>
      <c r="BF59" s="28"/>
      <c r="BG59" s="28"/>
      <c r="BH59" s="120">
        <f>IF($AK$10=4,0,BC59)</f>
        <v>0.5</v>
      </c>
      <c r="BI59" s="121">
        <f>IF($AK$10=4,0,BD59)</f>
        <v>3</v>
      </c>
      <c r="BJ59" s="41">
        <f t="shared" si="29"/>
        <v>1.5</v>
      </c>
      <c r="BK59" s="45"/>
      <c r="BL59" s="45">
        <f>BJ59+BE59+AZ59+AU59+AP59</f>
        <v>7.5</v>
      </c>
      <c r="BM59" s="174"/>
    </row>
    <row r="60" spans="1:65" x14ac:dyDescent="0.25">
      <c r="A60" s="168"/>
      <c r="B60" s="187"/>
      <c r="C60" s="167" t="s">
        <v>53</v>
      </c>
      <c r="D60" s="193"/>
      <c r="E60" s="167"/>
      <c r="F60" s="81"/>
      <c r="G60" s="81"/>
      <c r="H60" s="191"/>
      <c r="I60" s="188"/>
      <c r="J60" s="170"/>
      <c r="K60" s="170"/>
      <c r="L60" s="189"/>
      <c r="M60" s="170"/>
      <c r="N60" s="170"/>
      <c r="O60" s="81"/>
      <c r="P60" s="189"/>
      <c r="Q60" s="81"/>
      <c r="R60" s="170"/>
      <c r="S60" s="81"/>
      <c r="T60" s="189"/>
      <c r="U60" s="81"/>
      <c r="V60" s="170"/>
      <c r="W60" s="81"/>
      <c r="X60" s="189"/>
      <c r="Y60" s="81"/>
      <c r="Z60" s="170"/>
      <c r="AA60" s="81"/>
      <c r="AB60" s="189"/>
      <c r="AC60" s="81"/>
      <c r="AD60" s="170"/>
      <c r="AE60" s="170"/>
      <c r="AF60" s="189"/>
      <c r="AG60" s="28"/>
      <c r="AH60" s="28"/>
      <c r="AI60" s="207"/>
      <c r="AJ60" s="117" t="s">
        <v>188</v>
      </c>
      <c r="AK60" s="118"/>
      <c r="AL60" s="119"/>
      <c r="AM60" s="163"/>
      <c r="AN60" s="158" t="s">
        <v>189</v>
      </c>
      <c r="AO60" s="121"/>
      <c r="AP60" s="41"/>
      <c r="AQ60" s="28"/>
      <c r="AR60" s="164"/>
      <c r="AS60" s="120"/>
      <c r="AT60" s="121"/>
      <c r="AU60" s="41"/>
      <c r="AV60" s="28"/>
      <c r="AW60" s="28"/>
      <c r="AX60" s="120"/>
      <c r="AY60" s="121"/>
      <c r="AZ60" s="41"/>
      <c r="BA60" s="28"/>
      <c r="BB60" s="28"/>
      <c r="BC60" s="120"/>
      <c r="BD60" s="121"/>
      <c r="BE60" s="41"/>
      <c r="BF60" s="28"/>
      <c r="BG60" s="28"/>
      <c r="BH60" s="120"/>
      <c r="BI60" s="121"/>
      <c r="BJ60" s="41"/>
      <c r="BK60" s="45"/>
      <c r="BL60" s="28"/>
      <c r="BM60" s="174"/>
    </row>
    <row r="61" spans="1:65" x14ac:dyDescent="0.25">
      <c r="A61" s="168" t="s">
        <v>181</v>
      </c>
      <c r="B61" s="187"/>
      <c r="C61" s="167"/>
      <c r="D61" s="193" t="str">
        <f>("$"&amp;(AJ61)&amp;"/"&amp;"hour, "&amp;AN61&amp;" hours, " &amp;AL61)</f>
        <v>$0.01/hour, 0 hours, AY</v>
      </c>
      <c r="E61" s="193"/>
      <c r="F61" s="81"/>
      <c r="G61" s="81"/>
      <c r="H61" s="191"/>
      <c r="I61" s="188"/>
      <c r="J61" s="170">
        <f>IF($AK$13="No", AP61, (AP61)*(1+$AK$4))</f>
        <v>0</v>
      </c>
      <c r="K61" s="170"/>
      <c r="L61" s="189">
        <v>0</v>
      </c>
      <c r="M61" s="170"/>
      <c r="N61" s="170">
        <f>IF($AK$13="No",AU61*(1+$AK$4), AU61*(1+$AK$4)^2)</f>
        <v>0</v>
      </c>
      <c r="O61" s="81"/>
      <c r="P61" s="189">
        <v>0</v>
      </c>
      <c r="Q61" s="81"/>
      <c r="R61" s="170">
        <f>IF($AK$13="No",AZ61*(1+$AK$4)^2,AZ61*(1+$AK$4)^3)</f>
        <v>0</v>
      </c>
      <c r="S61" s="81"/>
      <c r="T61" s="189">
        <v>0</v>
      </c>
      <c r="U61" s="81"/>
      <c r="V61" s="170">
        <f>IF($AK$13="No",BE61*(1+$AK$4)^3,(BE61*(1+$AK$4)^4))</f>
        <v>0</v>
      </c>
      <c r="W61" s="81"/>
      <c r="X61" s="189">
        <v>0</v>
      </c>
      <c r="Y61" s="81"/>
      <c r="Z61" s="170">
        <f>IF($AK$13="No", BJ61*(1+$AK$4)^4, BJ61*(1+$AK$4)^5)</f>
        <v>0</v>
      </c>
      <c r="AA61" s="81"/>
      <c r="AB61" s="189">
        <v>0</v>
      </c>
      <c r="AC61" s="81"/>
      <c r="AD61" s="170">
        <f>J61+N61+R61+V61+Z61</f>
        <v>0</v>
      </c>
      <c r="AE61" s="170"/>
      <c r="AF61" s="189">
        <f>L61+P61+T61+X61+AB61</f>
        <v>0</v>
      </c>
      <c r="AG61" s="28"/>
      <c r="AH61" s="28"/>
      <c r="AI61" s="207"/>
      <c r="AJ61" s="148">
        <v>0.01</v>
      </c>
      <c r="AK61" s="118"/>
      <c r="AL61" s="119" t="s">
        <v>84</v>
      </c>
      <c r="AM61" s="163"/>
      <c r="AN61" s="149">
        <v>0</v>
      </c>
      <c r="AO61" s="121"/>
      <c r="AP61" s="41">
        <f>AJ61*AN61</f>
        <v>0</v>
      </c>
      <c r="AQ61" s="28"/>
      <c r="AR61" s="164"/>
      <c r="AS61" s="149">
        <f>IF($AK$10=1,0,AN61)</f>
        <v>0</v>
      </c>
      <c r="AT61" s="121"/>
      <c r="AU61" s="41">
        <f>AJ61*AS61</f>
        <v>0</v>
      </c>
      <c r="AV61" s="28"/>
      <c r="AW61" s="28"/>
      <c r="AX61" s="149">
        <f>IF($AK$10=2,0,AS61)</f>
        <v>0</v>
      </c>
      <c r="AY61" s="121"/>
      <c r="AZ61" s="41">
        <f>AJ61*AX61</f>
        <v>0</v>
      </c>
      <c r="BA61" s="28"/>
      <c r="BB61" s="28"/>
      <c r="BC61" s="149">
        <f>IF($AK$10=3,0,AX61)</f>
        <v>0</v>
      </c>
      <c r="BD61" s="121"/>
      <c r="BE61" s="41">
        <f>AJ61*BC61</f>
        <v>0</v>
      </c>
      <c r="BF61" s="28"/>
      <c r="BG61" s="28"/>
      <c r="BH61" s="149">
        <f>IF($AK$10=4,0,BC61)</f>
        <v>0</v>
      </c>
      <c r="BI61" s="121"/>
      <c r="BJ61" s="41">
        <f>AJ61*BH61</f>
        <v>0</v>
      </c>
      <c r="BK61" s="45"/>
      <c r="BL61" s="45">
        <f>BJ61+BE61+AZ61+AU61+AP61</f>
        <v>0</v>
      </c>
      <c r="BM61" s="174"/>
    </row>
    <row r="62" spans="1:65" x14ac:dyDescent="0.25">
      <c r="A62" s="168" t="s">
        <v>180</v>
      </c>
      <c r="B62" s="187"/>
      <c r="C62" s="167"/>
      <c r="D62" s="193" t="str">
        <f>("$"&amp;(AJ62)&amp;"/"&amp;"hour, "&amp;AN62&amp;" hours, " &amp;AL62)</f>
        <v>$0.01/hour, 0 hours, Summer</v>
      </c>
      <c r="E62" s="193"/>
      <c r="F62" s="81"/>
      <c r="G62" s="81"/>
      <c r="H62" s="191"/>
      <c r="I62" s="188"/>
      <c r="J62" s="170">
        <f>IF($AK$13="No", AP62, (AP62)*(1+$AK$4))</f>
        <v>0</v>
      </c>
      <c r="K62" s="170"/>
      <c r="L62" s="189">
        <v>0</v>
      </c>
      <c r="M62" s="170"/>
      <c r="N62" s="170">
        <f>IF($AK$13="No",AU62*(1+$AK$4), AU62*(1+$AK$4)^2)</f>
        <v>0</v>
      </c>
      <c r="O62" s="81"/>
      <c r="P62" s="189">
        <v>0</v>
      </c>
      <c r="Q62" s="81"/>
      <c r="R62" s="170">
        <f>IF($AK$13="No",AZ62*(1+$AK$4)^2,AZ62*(1+$AK$4)^3)</f>
        <v>0</v>
      </c>
      <c r="S62" s="81"/>
      <c r="T62" s="189">
        <v>0</v>
      </c>
      <c r="U62" s="81"/>
      <c r="V62" s="170">
        <f>IF($AK$13="No",BE62*(1+$AK$4)^3,(BE62*(1+$AK$4)^4))</f>
        <v>0</v>
      </c>
      <c r="W62" s="81"/>
      <c r="X62" s="189">
        <v>0</v>
      </c>
      <c r="Y62" s="81"/>
      <c r="Z62" s="170">
        <f>IF($AK$13="No", BJ62*(1+$AK$4)^4, BJ62*(1+$AK$4)^5)</f>
        <v>0</v>
      </c>
      <c r="AA62" s="81"/>
      <c r="AB62" s="189">
        <v>0</v>
      </c>
      <c r="AC62" s="81"/>
      <c r="AD62" s="170">
        <f>J62+N62+R62+V62+Z62</f>
        <v>0</v>
      </c>
      <c r="AE62" s="170"/>
      <c r="AF62" s="189">
        <f>L62+P62+T62+X62+AB62</f>
        <v>0</v>
      </c>
      <c r="AG62" s="28"/>
      <c r="AH62" s="28"/>
      <c r="AI62" s="207"/>
      <c r="AJ62" s="148">
        <v>0.01</v>
      </c>
      <c r="AK62" s="118"/>
      <c r="AL62" s="119" t="s">
        <v>85</v>
      </c>
      <c r="AM62" s="163"/>
      <c r="AN62" s="149">
        <v>0</v>
      </c>
      <c r="AO62" s="121"/>
      <c r="AP62" s="41">
        <f>AJ62*AN62</f>
        <v>0</v>
      </c>
      <c r="AQ62" s="28"/>
      <c r="AR62" s="164"/>
      <c r="AS62" s="149">
        <f>IF($AK$10=1,0,AN62)</f>
        <v>0</v>
      </c>
      <c r="AT62" s="121"/>
      <c r="AU62" s="41">
        <f>AJ62*AS62</f>
        <v>0</v>
      </c>
      <c r="AV62" s="28"/>
      <c r="AW62" s="28"/>
      <c r="AX62" s="149">
        <f>IF($AK$10=2,0,AS62)</f>
        <v>0</v>
      </c>
      <c r="AY62" s="121"/>
      <c r="AZ62" s="41">
        <f>AJ62*AX62</f>
        <v>0</v>
      </c>
      <c r="BA62" s="28"/>
      <c r="BB62" s="28"/>
      <c r="BC62" s="149">
        <f>IF($AK$10=3,0,AX62)</f>
        <v>0</v>
      </c>
      <c r="BD62" s="121"/>
      <c r="BE62" s="41">
        <f>AJ62*BC62</f>
        <v>0</v>
      </c>
      <c r="BF62" s="28"/>
      <c r="BG62" s="28"/>
      <c r="BH62" s="149">
        <f>IF($AK$10=4,0,BC62)</f>
        <v>0</v>
      </c>
      <c r="BI62" s="121"/>
      <c r="BJ62" s="41">
        <f>AJ62*BH62</f>
        <v>0</v>
      </c>
      <c r="BK62" s="45"/>
      <c r="BL62" s="45">
        <f>BJ62+BE62+AZ62+AU62+AP62</f>
        <v>0</v>
      </c>
      <c r="BM62" s="174"/>
    </row>
    <row r="63" spans="1:65" x14ac:dyDescent="0.25">
      <c r="A63" s="168"/>
      <c r="B63" s="187"/>
      <c r="C63" s="167" t="s">
        <v>53</v>
      </c>
      <c r="D63" s="167"/>
      <c r="E63" s="167"/>
      <c r="F63" s="81"/>
      <c r="G63" s="81"/>
      <c r="H63" s="191"/>
      <c r="I63" s="188"/>
      <c r="J63" s="170"/>
      <c r="K63" s="170"/>
      <c r="L63" s="189"/>
      <c r="M63" s="170"/>
      <c r="N63" s="170"/>
      <c r="O63" s="81"/>
      <c r="P63" s="189"/>
      <c r="Q63" s="81"/>
      <c r="R63" s="170"/>
      <c r="S63" s="81"/>
      <c r="T63" s="189"/>
      <c r="U63" s="81"/>
      <c r="V63" s="170"/>
      <c r="W63" s="81"/>
      <c r="X63" s="189"/>
      <c r="Y63" s="81"/>
      <c r="Z63" s="170"/>
      <c r="AA63" s="81"/>
      <c r="AB63" s="189"/>
      <c r="AC63" s="81"/>
      <c r="AD63" s="170"/>
      <c r="AE63" s="170"/>
      <c r="AF63" s="189"/>
      <c r="AG63" s="28"/>
      <c r="AH63" s="28"/>
      <c r="AI63" s="207"/>
      <c r="AJ63" s="148"/>
      <c r="AK63" s="118"/>
      <c r="AL63" s="119"/>
      <c r="AM63" s="163"/>
      <c r="AN63" s="149"/>
      <c r="AO63" s="121"/>
      <c r="AP63" s="41"/>
      <c r="AQ63" s="28"/>
      <c r="AR63" s="164"/>
      <c r="AS63" s="149"/>
      <c r="AT63" s="121"/>
      <c r="AU63" s="41"/>
      <c r="AV63" s="28"/>
      <c r="AW63" s="28"/>
      <c r="AX63" s="149"/>
      <c r="AY63" s="121"/>
      <c r="AZ63" s="41"/>
      <c r="BA63" s="28"/>
      <c r="BB63" s="28"/>
      <c r="BC63" s="149"/>
      <c r="BD63" s="121"/>
      <c r="BE63" s="41"/>
      <c r="BF63" s="28"/>
      <c r="BG63" s="28"/>
      <c r="BH63" s="149"/>
      <c r="BI63" s="121"/>
      <c r="BJ63" s="41"/>
      <c r="BK63" s="45"/>
      <c r="BL63" s="28"/>
      <c r="BM63" s="174"/>
    </row>
    <row r="64" spans="1:65" x14ac:dyDescent="0.25">
      <c r="A64" s="168" t="s">
        <v>181</v>
      </c>
      <c r="B64" s="187"/>
      <c r="C64" s="167"/>
      <c r="D64" s="193" t="str">
        <f>("$"&amp;(AJ64)&amp;"/"&amp;"hour, "&amp;AN64&amp;" hours, " &amp;AL64)</f>
        <v>$0.01/hour, 0 hours, AY</v>
      </c>
      <c r="E64" s="193"/>
      <c r="F64" s="81"/>
      <c r="G64" s="81"/>
      <c r="H64" s="191"/>
      <c r="I64" s="188"/>
      <c r="J64" s="170">
        <f>IF($AK$13="No", AP64, (AP64)*(1+$AK$4))</f>
        <v>0</v>
      </c>
      <c r="K64" s="170"/>
      <c r="L64" s="189">
        <v>0</v>
      </c>
      <c r="M64" s="170"/>
      <c r="N64" s="170">
        <f>IF($AK$13="No",AU64*(1+$AK$4), AU64*(1+$AK$4)^2)</f>
        <v>0</v>
      </c>
      <c r="O64" s="81"/>
      <c r="P64" s="189">
        <v>0</v>
      </c>
      <c r="Q64" s="81"/>
      <c r="R64" s="170">
        <f t="shared" ref="R64:R68" si="31">IF($AK$13="No",AZ64*(1+$AK$4)^2,AZ64*(1+$AK$4)^3)</f>
        <v>0</v>
      </c>
      <c r="S64" s="81"/>
      <c r="T64" s="189">
        <v>0</v>
      </c>
      <c r="U64" s="81"/>
      <c r="V64" s="170">
        <f t="shared" ref="V64:V68" si="32">IF($AK$13="No",BE64*(1+$AK$4)^3,(BE64*(1+$AK$4)^4))</f>
        <v>0</v>
      </c>
      <c r="W64" s="81"/>
      <c r="X64" s="189">
        <v>0</v>
      </c>
      <c r="Y64" s="81"/>
      <c r="Z64" s="170">
        <f t="shared" ref="Z64:Z68" si="33">IF($AK$13="No", BJ64*(1+$AK$4)^4, BJ64*(1+$AK$4)^5)</f>
        <v>0</v>
      </c>
      <c r="AA64" s="81"/>
      <c r="AB64" s="189">
        <v>0</v>
      </c>
      <c r="AC64" s="81"/>
      <c r="AD64" s="170">
        <f>J64+N64+R64+V64+Z64</f>
        <v>0</v>
      </c>
      <c r="AE64" s="170"/>
      <c r="AF64" s="189">
        <f>L64+P64+T64+X64+AB64</f>
        <v>0</v>
      </c>
      <c r="AG64" s="28"/>
      <c r="AH64" s="28"/>
      <c r="AI64" s="207"/>
      <c r="AJ64" s="148">
        <v>0.01</v>
      </c>
      <c r="AK64" s="118"/>
      <c r="AL64" s="119" t="s">
        <v>84</v>
      </c>
      <c r="AM64" s="163"/>
      <c r="AN64" s="149">
        <v>0</v>
      </c>
      <c r="AO64" s="121"/>
      <c r="AP64" s="41">
        <f t="shared" ref="AP64:AP68" si="34">AJ64*AN64</f>
        <v>0</v>
      </c>
      <c r="AQ64" s="28"/>
      <c r="AR64" s="164"/>
      <c r="AS64" s="149">
        <f>IF($AK$10=1,0,AN64)</f>
        <v>0</v>
      </c>
      <c r="AT64" s="121"/>
      <c r="AU64" s="41">
        <f t="shared" ref="AU64:AU68" si="35">AJ64*AS64</f>
        <v>0</v>
      </c>
      <c r="AV64" s="28"/>
      <c r="AW64" s="28"/>
      <c r="AX64" s="149">
        <f>IF($AK$10=2,0,AS64)</f>
        <v>0</v>
      </c>
      <c r="AY64" s="121"/>
      <c r="AZ64" s="41">
        <f t="shared" ref="AZ64:AZ68" si="36">AJ64*AX64</f>
        <v>0</v>
      </c>
      <c r="BA64" s="28"/>
      <c r="BB64" s="28"/>
      <c r="BC64" s="149">
        <f>IF($AK$10=3,0,AX64)</f>
        <v>0</v>
      </c>
      <c r="BD64" s="121"/>
      <c r="BE64" s="41">
        <f t="shared" ref="BE64:BE68" si="37">AJ64*BC64</f>
        <v>0</v>
      </c>
      <c r="BF64" s="28"/>
      <c r="BG64" s="28"/>
      <c r="BH64" s="149">
        <f>IF($AK$10=4,0,BC64)</f>
        <v>0</v>
      </c>
      <c r="BI64" s="121"/>
      <c r="BJ64" s="41">
        <f t="shared" ref="BJ64:BJ68" si="38">AJ64*BH64</f>
        <v>0</v>
      </c>
      <c r="BK64" s="45"/>
      <c r="BL64" s="45">
        <f>BJ64+BE64+AZ64+AU64+AP64</f>
        <v>0</v>
      </c>
      <c r="BM64" s="174"/>
    </row>
    <row r="65" spans="1:65" x14ac:dyDescent="0.25">
      <c r="A65" s="168" t="s">
        <v>180</v>
      </c>
      <c r="B65" s="187"/>
      <c r="C65" s="167"/>
      <c r="D65" s="193" t="str">
        <f>("$"&amp;(AJ65)&amp;"/"&amp;"hour, "&amp;AN65&amp;" hours, " &amp;AL65)</f>
        <v>$0.01/hour, 0 hours, Summer</v>
      </c>
      <c r="E65" s="193"/>
      <c r="F65" s="81"/>
      <c r="G65" s="81"/>
      <c r="H65" s="191"/>
      <c r="I65" s="188"/>
      <c r="J65" s="170">
        <f>IF($AK$13="No", AP65, (AP65)*(1+$AK$4))</f>
        <v>0</v>
      </c>
      <c r="K65" s="170"/>
      <c r="L65" s="189">
        <v>0</v>
      </c>
      <c r="M65" s="170"/>
      <c r="N65" s="170">
        <f>IF($AK$13="No",AU65*(1+$AK$4), AU65*(1+$AK$4)^2)</f>
        <v>0</v>
      </c>
      <c r="O65" s="81"/>
      <c r="P65" s="189">
        <v>0</v>
      </c>
      <c r="Q65" s="81"/>
      <c r="R65" s="170">
        <f t="shared" si="31"/>
        <v>0</v>
      </c>
      <c r="S65" s="81"/>
      <c r="T65" s="189">
        <v>0</v>
      </c>
      <c r="U65" s="81"/>
      <c r="V65" s="170">
        <f t="shared" si="32"/>
        <v>0</v>
      </c>
      <c r="W65" s="81"/>
      <c r="X65" s="189">
        <v>0</v>
      </c>
      <c r="Y65" s="81"/>
      <c r="Z65" s="170">
        <f t="shared" si="33"/>
        <v>0</v>
      </c>
      <c r="AA65" s="81"/>
      <c r="AB65" s="189">
        <v>0</v>
      </c>
      <c r="AC65" s="81"/>
      <c r="AD65" s="170">
        <f>J65+N65+R65+V65+Z65</f>
        <v>0</v>
      </c>
      <c r="AE65" s="170"/>
      <c r="AF65" s="189">
        <f>L65+P65+T65+X65+AB65</f>
        <v>0</v>
      </c>
      <c r="AG65" s="28"/>
      <c r="AH65" s="28"/>
      <c r="AI65" s="207"/>
      <c r="AJ65" s="148">
        <v>0.01</v>
      </c>
      <c r="AK65" s="118"/>
      <c r="AL65" s="119" t="s">
        <v>85</v>
      </c>
      <c r="AM65" s="163"/>
      <c r="AN65" s="149">
        <v>0</v>
      </c>
      <c r="AO65" s="121"/>
      <c r="AP65" s="41">
        <f t="shared" si="34"/>
        <v>0</v>
      </c>
      <c r="AQ65" s="28"/>
      <c r="AR65" s="164"/>
      <c r="AS65" s="149">
        <f>IF($AK$10=1,0,AN65)</f>
        <v>0</v>
      </c>
      <c r="AT65" s="121"/>
      <c r="AU65" s="41">
        <f t="shared" si="35"/>
        <v>0</v>
      </c>
      <c r="AV65" s="28"/>
      <c r="AW65" s="28"/>
      <c r="AX65" s="149">
        <f>IF($AK$10=2,0,AS65)</f>
        <v>0</v>
      </c>
      <c r="AY65" s="121"/>
      <c r="AZ65" s="41">
        <f t="shared" si="36"/>
        <v>0</v>
      </c>
      <c r="BA65" s="28"/>
      <c r="BB65" s="28"/>
      <c r="BC65" s="149">
        <f>IF($AK$10=3,0,AX65)</f>
        <v>0</v>
      </c>
      <c r="BD65" s="121"/>
      <c r="BE65" s="41">
        <f t="shared" si="37"/>
        <v>0</v>
      </c>
      <c r="BF65" s="28"/>
      <c r="BG65" s="28"/>
      <c r="BH65" s="149">
        <f>IF($AK$10=4,0,BC65)</f>
        <v>0</v>
      </c>
      <c r="BI65" s="121"/>
      <c r="BJ65" s="41">
        <f t="shared" si="38"/>
        <v>0</v>
      </c>
      <c r="BK65" s="45"/>
      <c r="BL65" s="45">
        <f>BJ65+BE65+AZ65+AU65+AP65</f>
        <v>0</v>
      </c>
      <c r="BM65" s="174"/>
    </row>
    <row r="66" spans="1:65" x14ac:dyDescent="0.25">
      <c r="A66" s="168"/>
      <c r="B66" s="187"/>
      <c r="C66" s="167" t="s">
        <v>53</v>
      </c>
      <c r="D66" s="167"/>
      <c r="E66" s="167"/>
      <c r="F66" s="81"/>
      <c r="G66" s="81"/>
      <c r="H66" s="191"/>
      <c r="I66" s="188"/>
      <c r="J66" s="170"/>
      <c r="K66" s="170"/>
      <c r="L66" s="189"/>
      <c r="M66" s="170"/>
      <c r="N66" s="170"/>
      <c r="O66" s="81"/>
      <c r="P66" s="189"/>
      <c r="Q66" s="81"/>
      <c r="R66" s="170"/>
      <c r="S66" s="81"/>
      <c r="T66" s="189"/>
      <c r="U66" s="81"/>
      <c r="V66" s="170"/>
      <c r="W66" s="81"/>
      <c r="X66" s="189"/>
      <c r="Y66" s="81"/>
      <c r="Z66" s="170"/>
      <c r="AA66" s="81"/>
      <c r="AB66" s="189"/>
      <c r="AC66" s="81"/>
      <c r="AD66" s="170"/>
      <c r="AE66" s="170"/>
      <c r="AF66" s="189"/>
      <c r="AG66" s="28"/>
      <c r="AH66" s="28"/>
      <c r="AI66" s="207"/>
      <c r="AJ66" s="148"/>
      <c r="AK66" s="118"/>
      <c r="AL66" s="119"/>
      <c r="AM66" s="163"/>
      <c r="AN66" s="149"/>
      <c r="AO66" s="121"/>
      <c r="AP66" s="41"/>
      <c r="AQ66" s="28"/>
      <c r="AR66" s="164"/>
      <c r="AS66" s="149"/>
      <c r="AT66" s="121"/>
      <c r="AU66" s="41"/>
      <c r="AV66" s="28"/>
      <c r="AW66" s="28"/>
      <c r="AX66" s="149"/>
      <c r="AY66" s="121"/>
      <c r="AZ66" s="41"/>
      <c r="BA66" s="28"/>
      <c r="BB66" s="28"/>
      <c r="BC66" s="149"/>
      <c r="BD66" s="121"/>
      <c r="BE66" s="41"/>
      <c r="BF66" s="28"/>
      <c r="BG66" s="28"/>
      <c r="BH66" s="149"/>
      <c r="BI66" s="121"/>
      <c r="BJ66" s="41"/>
      <c r="BK66" s="45"/>
      <c r="BL66" s="28"/>
      <c r="BM66" s="174"/>
    </row>
    <row r="67" spans="1:65" x14ac:dyDescent="0.25">
      <c r="A67" s="168" t="s">
        <v>181</v>
      </c>
      <c r="B67" s="187"/>
      <c r="C67" s="167"/>
      <c r="D67" s="193" t="str">
        <f>("$"&amp;(AJ67)&amp;"/"&amp;"hour, "&amp;AN67&amp;" hours, " &amp;AL67)</f>
        <v>$0.01/hour, 0 hours, AY</v>
      </c>
      <c r="E67" s="193"/>
      <c r="F67" s="81"/>
      <c r="G67" s="81"/>
      <c r="H67" s="191"/>
      <c r="I67" s="188"/>
      <c r="J67" s="170">
        <f>IF($AK$13="No", AP67, (AP67)*(1+$AK$4))</f>
        <v>0</v>
      </c>
      <c r="K67" s="170"/>
      <c r="L67" s="189">
        <v>0</v>
      </c>
      <c r="M67" s="170"/>
      <c r="N67" s="170">
        <f>IF($AK$13="No",AU67*(1+$AK$4), AU67*(1+$AK$4)^2)</f>
        <v>0</v>
      </c>
      <c r="O67" s="81"/>
      <c r="P67" s="189">
        <v>0</v>
      </c>
      <c r="Q67" s="81"/>
      <c r="R67" s="170">
        <f t="shared" si="31"/>
        <v>0</v>
      </c>
      <c r="S67" s="81"/>
      <c r="T67" s="189">
        <v>0</v>
      </c>
      <c r="U67" s="81"/>
      <c r="V67" s="170">
        <f t="shared" si="32"/>
        <v>0</v>
      </c>
      <c r="W67" s="81"/>
      <c r="X67" s="189">
        <v>0</v>
      </c>
      <c r="Y67" s="81"/>
      <c r="Z67" s="170">
        <f t="shared" si="33"/>
        <v>0</v>
      </c>
      <c r="AA67" s="81"/>
      <c r="AB67" s="189">
        <v>0</v>
      </c>
      <c r="AC67" s="81"/>
      <c r="AD67" s="170">
        <f>J67+N67+R67+V67+Z67</f>
        <v>0</v>
      </c>
      <c r="AE67" s="170"/>
      <c r="AF67" s="189">
        <f>L67+P67+T67+X67+AB67</f>
        <v>0</v>
      </c>
      <c r="AG67" s="28"/>
      <c r="AH67" s="28"/>
      <c r="AI67" s="207"/>
      <c r="AJ67" s="148">
        <v>0.01</v>
      </c>
      <c r="AK67" s="118"/>
      <c r="AL67" s="119" t="s">
        <v>84</v>
      </c>
      <c r="AM67" s="163"/>
      <c r="AN67" s="149">
        <v>0</v>
      </c>
      <c r="AO67" s="121"/>
      <c r="AP67" s="41">
        <f t="shared" si="34"/>
        <v>0</v>
      </c>
      <c r="AQ67" s="28"/>
      <c r="AR67" s="164"/>
      <c r="AS67" s="149">
        <f>IF($AK$10=1,0,AN67)</f>
        <v>0</v>
      </c>
      <c r="AT67" s="121"/>
      <c r="AU67" s="41">
        <f t="shared" si="35"/>
        <v>0</v>
      </c>
      <c r="AV67" s="28"/>
      <c r="AW67" s="28"/>
      <c r="AX67" s="149">
        <f>IF($AK$10=2,0,AS67)</f>
        <v>0</v>
      </c>
      <c r="AY67" s="121"/>
      <c r="AZ67" s="41">
        <f t="shared" si="36"/>
        <v>0</v>
      </c>
      <c r="BA67" s="28"/>
      <c r="BB67" s="28"/>
      <c r="BC67" s="149">
        <f>IF($AK$10=3,0,AX67)</f>
        <v>0</v>
      </c>
      <c r="BD67" s="121"/>
      <c r="BE67" s="41">
        <f t="shared" si="37"/>
        <v>0</v>
      </c>
      <c r="BF67" s="28"/>
      <c r="BG67" s="28"/>
      <c r="BH67" s="149">
        <f>IF($AK$10=4,0,BC67)</f>
        <v>0</v>
      </c>
      <c r="BI67" s="121"/>
      <c r="BJ67" s="41">
        <f t="shared" si="38"/>
        <v>0</v>
      </c>
      <c r="BK67" s="45"/>
      <c r="BL67" s="45">
        <f>BJ67+BE67+AZ67+AU67+AP67</f>
        <v>0</v>
      </c>
      <c r="BM67" s="174"/>
    </row>
    <row r="68" spans="1:65" x14ac:dyDescent="0.25">
      <c r="A68" s="168" t="s">
        <v>180</v>
      </c>
      <c r="B68" s="187"/>
      <c r="C68" s="167"/>
      <c r="D68" s="193" t="str">
        <f>("$"&amp;(AJ68)&amp;"/"&amp;"hour, "&amp;AN68&amp;" hours, " &amp;AL68)</f>
        <v>$0.01/hour, 0 hours, Summer</v>
      </c>
      <c r="E68" s="193"/>
      <c r="F68" s="81"/>
      <c r="G68" s="81"/>
      <c r="H68" s="191"/>
      <c r="I68" s="188"/>
      <c r="J68" s="170">
        <f>IF($AK$13="No", AP68, (AP68)*(1+$AK$4))</f>
        <v>0</v>
      </c>
      <c r="K68" s="170"/>
      <c r="L68" s="189">
        <v>0</v>
      </c>
      <c r="M68" s="170"/>
      <c r="N68" s="170">
        <f>IF($AK$13="No",AU68*(1+$AK$4), AU68*(1+$AK$4)^2)</f>
        <v>0</v>
      </c>
      <c r="O68" s="81"/>
      <c r="P68" s="189">
        <v>0</v>
      </c>
      <c r="Q68" s="81"/>
      <c r="R68" s="170">
        <f t="shared" si="31"/>
        <v>0</v>
      </c>
      <c r="S68" s="81"/>
      <c r="T68" s="189">
        <v>0</v>
      </c>
      <c r="U68" s="81"/>
      <c r="V68" s="170">
        <f t="shared" si="32"/>
        <v>0</v>
      </c>
      <c r="W68" s="81"/>
      <c r="X68" s="189">
        <v>0</v>
      </c>
      <c r="Y68" s="81"/>
      <c r="Z68" s="170">
        <f t="shared" si="33"/>
        <v>0</v>
      </c>
      <c r="AA68" s="81"/>
      <c r="AB68" s="189">
        <v>0</v>
      </c>
      <c r="AC68" s="81"/>
      <c r="AD68" s="170">
        <f>J68+N68+R68+V68+Z68</f>
        <v>0</v>
      </c>
      <c r="AE68" s="170"/>
      <c r="AF68" s="189">
        <f>L68+P68+T68+X68+AB68</f>
        <v>0</v>
      </c>
      <c r="AG68" s="28"/>
      <c r="AH68" s="28"/>
      <c r="AI68" s="28"/>
      <c r="AJ68" s="148">
        <v>0.01</v>
      </c>
      <c r="AK68" s="118"/>
      <c r="AL68" s="119" t="s">
        <v>85</v>
      </c>
      <c r="AM68" s="163"/>
      <c r="AN68" s="149">
        <v>0</v>
      </c>
      <c r="AO68" s="121"/>
      <c r="AP68" s="41">
        <f t="shared" si="34"/>
        <v>0</v>
      </c>
      <c r="AQ68" s="28"/>
      <c r="AR68" s="164"/>
      <c r="AS68" s="149">
        <f>IF($AK$10=1,0,AN68)</f>
        <v>0</v>
      </c>
      <c r="AT68" s="121"/>
      <c r="AU68" s="41">
        <f t="shared" si="35"/>
        <v>0</v>
      </c>
      <c r="AV68" s="28"/>
      <c r="AW68" s="28"/>
      <c r="AX68" s="149">
        <f>IF($AK$10=2,0,AS68)</f>
        <v>0</v>
      </c>
      <c r="AY68" s="121"/>
      <c r="AZ68" s="41">
        <f t="shared" si="36"/>
        <v>0</v>
      </c>
      <c r="BA68" s="28"/>
      <c r="BB68" s="28"/>
      <c r="BC68" s="149">
        <f>IF($AK$10=3,0,AX68)</f>
        <v>0</v>
      </c>
      <c r="BD68" s="121"/>
      <c r="BE68" s="41">
        <f t="shared" si="37"/>
        <v>0</v>
      </c>
      <c r="BF68" s="28"/>
      <c r="BG68" s="28"/>
      <c r="BH68" s="149">
        <f>IF($AK$10=4,0,BC68)</f>
        <v>0</v>
      </c>
      <c r="BI68" s="121"/>
      <c r="BJ68" s="41">
        <f t="shared" si="38"/>
        <v>0</v>
      </c>
      <c r="BK68" s="45"/>
      <c r="BL68" s="45">
        <f>BJ68+BE68+AZ68+AU68+AP68</f>
        <v>0</v>
      </c>
      <c r="BM68" s="174"/>
    </row>
    <row r="69" spans="1:65" x14ac:dyDescent="0.25">
      <c r="A69" s="168"/>
      <c r="B69" s="167"/>
      <c r="C69" s="167"/>
      <c r="D69" s="167"/>
      <c r="E69" s="167"/>
      <c r="F69" s="81"/>
      <c r="G69" s="81"/>
      <c r="H69" s="170"/>
      <c r="I69" s="188"/>
      <c r="J69" s="208"/>
      <c r="K69" s="170"/>
      <c r="L69" s="209"/>
      <c r="M69" s="170"/>
      <c r="N69" s="208"/>
      <c r="O69" s="81"/>
      <c r="P69" s="209"/>
      <c r="Q69" s="81"/>
      <c r="R69" s="210"/>
      <c r="S69" s="81"/>
      <c r="T69" s="211"/>
      <c r="U69" s="81"/>
      <c r="V69" s="210"/>
      <c r="W69" s="81"/>
      <c r="X69" s="211"/>
      <c r="Y69" s="81"/>
      <c r="Z69" s="210"/>
      <c r="AA69" s="81"/>
      <c r="AB69" s="211"/>
      <c r="AC69" s="81"/>
      <c r="AD69" s="208"/>
      <c r="AE69" s="172"/>
      <c r="AF69" s="212"/>
      <c r="AG69" s="28"/>
      <c r="AH69" s="28"/>
      <c r="AI69" s="28"/>
      <c r="AJ69" s="60"/>
      <c r="AK69" s="45"/>
      <c r="AL69" s="173"/>
      <c r="AM69" s="173"/>
      <c r="AN69" s="213"/>
      <c r="AO69" s="28"/>
      <c r="AP69" s="41"/>
      <c r="AQ69" s="28"/>
      <c r="AR69" s="28"/>
      <c r="AS69" s="213"/>
      <c r="AT69" s="28"/>
      <c r="AU69" s="41"/>
      <c r="AV69" s="28"/>
      <c r="AW69" s="28"/>
      <c r="AX69" s="213"/>
      <c r="AY69" s="28"/>
      <c r="AZ69" s="41"/>
      <c r="BA69" s="28"/>
      <c r="BB69" s="28"/>
      <c r="BC69" s="213"/>
      <c r="BD69" s="28"/>
      <c r="BE69" s="41"/>
      <c r="BF69" s="28"/>
      <c r="BG69" s="28"/>
      <c r="BH69" s="213"/>
      <c r="BI69" s="28"/>
      <c r="BJ69" s="41"/>
      <c r="BK69" s="45"/>
      <c r="BL69" s="28"/>
      <c r="BM69" s="174"/>
    </row>
    <row r="70" spans="1:65" x14ac:dyDescent="0.25">
      <c r="A70" s="168"/>
      <c r="B70" s="167"/>
      <c r="C70" s="167" t="s">
        <v>4</v>
      </c>
      <c r="D70" s="167"/>
      <c r="E70" s="167"/>
      <c r="F70" s="81"/>
      <c r="G70" s="81"/>
      <c r="H70" s="170"/>
      <c r="I70" s="188"/>
      <c r="J70" s="170">
        <f>SUM(J18:J69)</f>
        <v>0</v>
      </c>
      <c r="K70" s="170"/>
      <c r="L70" s="189">
        <f>SUM(L18:L68)</f>
        <v>0</v>
      </c>
      <c r="M70" s="170"/>
      <c r="N70" s="170">
        <f>SUM(N18:N68)</f>
        <v>0</v>
      </c>
      <c r="O70" s="81"/>
      <c r="P70" s="189">
        <f>SUM(P18:P68)</f>
        <v>0</v>
      </c>
      <c r="Q70" s="81"/>
      <c r="R70" s="170">
        <f>SUM(R18:R68)</f>
        <v>0</v>
      </c>
      <c r="S70" s="81"/>
      <c r="T70" s="189">
        <f>SUM(T18:T68)</f>
        <v>0</v>
      </c>
      <c r="U70" s="81"/>
      <c r="V70" s="170">
        <f>SUM(V18:V68)</f>
        <v>0</v>
      </c>
      <c r="W70" s="81"/>
      <c r="X70" s="189">
        <f>SUM(X18:X68)</f>
        <v>0</v>
      </c>
      <c r="Y70" s="81"/>
      <c r="Z70" s="170">
        <f>SUM(Z18:Z68)</f>
        <v>0</v>
      </c>
      <c r="AA70" s="81"/>
      <c r="AB70" s="189">
        <f>SUM(AB18:AB68)</f>
        <v>0</v>
      </c>
      <c r="AC70" s="81"/>
      <c r="AD70" s="170">
        <f>J70+N70+R70+V70+Z70</f>
        <v>0</v>
      </c>
      <c r="AE70" s="170"/>
      <c r="AF70" s="189">
        <f>L70+P70+T70+X70+AB70</f>
        <v>0</v>
      </c>
      <c r="AG70" s="28"/>
      <c r="AH70" s="28"/>
      <c r="AI70" s="28"/>
      <c r="AJ70" s="214" t="s">
        <v>131</v>
      </c>
      <c r="AK70" s="214">
        <f>AD275</f>
        <v>0</v>
      </c>
      <c r="AL70" s="173"/>
      <c r="AM70" s="173"/>
      <c r="AN70" s="213"/>
      <c r="AO70" s="28"/>
      <c r="AP70" s="41"/>
      <c r="AQ70" s="28"/>
      <c r="AR70" s="28"/>
      <c r="AS70" s="213"/>
      <c r="AT70" s="28"/>
      <c r="AU70" s="41"/>
      <c r="AV70" s="28"/>
      <c r="AW70" s="28"/>
      <c r="AX70" s="213"/>
      <c r="AY70" s="28"/>
      <c r="AZ70" s="41"/>
      <c r="BA70" s="28"/>
      <c r="BB70" s="28"/>
      <c r="BC70" s="213"/>
      <c r="BD70" s="28"/>
      <c r="BE70" s="41"/>
      <c r="BF70" s="28"/>
      <c r="BG70" s="28"/>
      <c r="BH70" s="213"/>
      <c r="BI70" s="28"/>
      <c r="BJ70" s="41"/>
      <c r="BK70" s="45"/>
      <c r="BL70" s="28"/>
      <c r="BM70" s="174"/>
    </row>
    <row r="71" spans="1:65" x14ac:dyDescent="0.25">
      <c r="A71" s="167"/>
      <c r="B71" s="167"/>
      <c r="C71" s="167"/>
      <c r="D71" s="167"/>
      <c r="E71" s="167"/>
      <c r="F71" s="81"/>
      <c r="G71" s="81"/>
      <c r="H71" s="186"/>
      <c r="I71" s="188"/>
      <c r="J71" s="170"/>
      <c r="K71" s="170"/>
      <c r="L71" s="189"/>
      <c r="M71" s="170"/>
      <c r="N71" s="170"/>
      <c r="O71" s="81"/>
      <c r="P71" s="189"/>
      <c r="Q71" s="81"/>
      <c r="R71" s="81"/>
      <c r="S71" s="81"/>
      <c r="T71" s="192"/>
      <c r="U71" s="81"/>
      <c r="V71" s="81"/>
      <c r="W71" s="81"/>
      <c r="X71" s="192"/>
      <c r="Y71" s="81"/>
      <c r="Z71" s="81"/>
      <c r="AA71" s="81"/>
      <c r="AB71" s="192"/>
      <c r="AC71" s="81"/>
      <c r="AD71" s="170"/>
      <c r="AE71" s="172"/>
      <c r="AF71" s="190"/>
      <c r="AG71" s="28"/>
      <c r="AH71" s="28"/>
      <c r="AI71" s="28"/>
      <c r="AJ71" s="214" t="s">
        <v>212</v>
      </c>
      <c r="AK71" s="214">
        <f>AD264</f>
        <v>0</v>
      </c>
      <c r="AL71" s="173"/>
      <c r="AM71" s="173"/>
      <c r="AN71" s="213"/>
      <c r="AO71" s="28"/>
      <c r="AP71" s="41"/>
      <c r="AQ71" s="28"/>
      <c r="AR71" s="28"/>
      <c r="AS71" s="213"/>
      <c r="AT71" s="28"/>
      <c r="AU71" s="41"/>
      <c r="AV71" s="28"/>
      <c r="AW71" s="28"/>
      <c r="AX71" s="213"/>
      <c r="AY71" s="28"/>
      <c r="AZ71" s="41"/>
      <c r="BA71" s="28"/>
      <c r="BB71" s="28"/>
      <c r="BC71" s="213"/>
      <c r="BD71" s="28"/>
      <c r="BE71" s="41"/>
      <c r="BF71" s="28"/>
      <c r="BG71" s="28"/>
      <c r="BH71" s="213"/>
      <c r="BI71" s="28"/>
      <c r="BJ71" s="41"/>
      <c r="BK71" s="45"/>
      <c r="BL71" s="28"/>
      <c r="BM71" s="174"/>
    </row>
    <row r="72" spans="1:65" x14ac:dyDescent="0.25">
      <c r="A72" s="167"/>
      <c r="B72" s="187" t="s">
        <v>5</v>
      </c>
      <c r="C72" s="187" t="s">
        <v>6</v>
      </c>
      <c r="D72" s="167"/>
      <c r="E72" s="167"/>
      <c r="F72" s="81"/>
      <c r="G72" s="81"/>
      <c r="H72" s="215" t="s">
        <v>31</v>
      </c>
      <c r="I72" s="188"/>
      <c r="J72" s="170"/>
      <c r="K72" s="170"/>
      <c r="L72" s="189"/>
      <c r="M72" s="170"/>
      <c r="N72" s="170"/>
      <c r="O72" s="81"/>
      <c r="P72" s="189"/>
      <c r="Q72" s="81"/>
      <c r="R72" s="81"/>
      <c r="S72" s="81"/>
      <c r="T72" s="192"/>
      <c r="U72" s="81"/>
      <c r="V72" s="81"/>
      <c r="W72" s="81"/>
      <c r="X72" s="192"/>
      <c r="Y72" s="81"/>
      <c r="Z72" s="81"/>
      <c r="AA72" s="81"/>
      <c r="AB72" s="192"/>
      <c r="AC72" s="81"/>
      <c r="AD72" s="170"/>
      <c r="AE72" s="172"/>
      <c r="AF72" s="190"/>
      <c r="AG72" s="28"/>
      <c r="AH72" s="28"/>
      <c r="AI72" s="28"/>
      <c r="AJ72" s="60"/>
      <c r="AK72" s="45"/>
      <c r="AL72" s="173"/>
      <c r="AM72" s="173"/>
      <c r="AN72" s="213"/>
      <c r="AO72" s="28"/>
      <c r="AP72" s="41"/>
      <c r="AQ72" s="28"/>
      <c r="AR72" s="28"/>
      <c r="AS72" s="213"/>
      <c r="AT72" s="28"/>
      <c r="AU72" s="41"/>
      <c r="AV72" s="28"/>
      <c r="AW72" s="28"/>
      <c r="AX72" s="213"/>
      <c r="AY72" s="28"/>
      <c r="AZ72" s="41"/>
      <c r="BA72" s="28"/>
      <c r="BB72" s="28"/>
      <c r="BC72" s="213"/>
      <c r="BD72" s="28"/>
      <c r="BE72" s="41"/>
      <c r="BF72" s="28"/>
      <c r="BG72" s="28"/>
      <c r="BH72" s="213"/>
      <c r="BI72" s="28"/>
      <c r="BJ72" s="41"/>
      <c r="BK72" s="45"/>
      <c r="BL72" s="28"/>
      <c r="BM72" s="174"/>
    </row>
    <row r="73" spans="1:65" x14ac:dyDescent="0.25">
      <c r="A73" s="168" t="str">
        <f>A18</f>
        <v>Faculty, Academic Year</v>
      </c>
      <c r="B73" s="187"/>
      <c r="C73" s="167" t="str">
        <f>C17</f>
        <v>PI: 0</v>
      </c>
      <c r="D73" s="167"/>
      <c r="E73" s="167"/>
      <c r="F73" s="81"/>
      <c r="G73" s="81"/>
      <c r="H73" s="216">
        <f t="shared" ref="H73:H104" si="39">VLOOKUP(A73,$D$308:$F$322,3, FALSE)</f>
        <v>0.25</v>
      </c>
      <c r="I73" s="188"/>
      <c r="J73" s="170">
        <f>IF($AK$12="Yes",$H73*J18*(1+$AK$5),$H73*J18)</f>
        <v>0</v>
      </c>
      <c r="K73" s="81"/>
      <c r="L73" s="189">
        <v>0</v>
      </c>
      <c r="M73" s="81"/>
      <c r="N73" s="170">
        <f>IF($AK$12="Yes",$H73*N18*(1+$AK$5)^2,$H73*N18*(1+$AK$5))</f>
        <v>0</v>
      </c>
      <c r="O73" s="81"/>
      <c r="P73" s="189">
        <v>0</v>
      </c>
      <c r="Q73" s="81"/>
      <c r="R73" s="170">
        <f>IF($AK$12="Yes",$H73*R18*(1+$AK$5)^3,$H73*R18*(1+$AK$5)^2)</f>
        <v>0</v>
      </c>
      <c r="S73" s="81"/>
      <c r="T73" s="189">
        <v>0</v>
      </c>
      <c r="U73" s="81"/>
      <c r="V73" s="170">
        <f>IF($AK$12="Yes",$H73*V18*(1+$AK$5)^4,$H73*V18*(1+$AK$5)^3)</f>
        <v>0</v>
      </c>
      <c r="W73" s="81"/>
      <c r="X73" s="189">
        <v>0</v>
      </c>
      <c r="Y73" s="81"/>
      <c r="Z73" s="170">
        <f>IF($AK$12="Yes",$H73*Z18*(1+$AK$5)^5,$H73*Z18*(1+$AK$5)^4)</f>
        <v>0</v>
      </c>
      <c r="AA73" s="81"/>
      <c r="AB73" s="189">
        <v>0</v>
      </c>
      <c r="AC73" s="81"/>
      <c r="AD73" s="170">
        <f t="shared" ref="AD73:AD104" si="40">J73+N73+R73+V73+Z73</f>
        <v>0</v>
      </c>
      <c r="AE73" s="170"/>
      <c r="AF73" s="189">
        <f t="shared" ref="AF73:AF104" si="41">L73+P73+T73+X73+AB73</f>
        <v>0</v>
      </c>
      <c r="AG73" s="28"/>
      <c r="AH73" s="28"/>
      <c r="AI73" s="28"/>
      <c r="AJ73" s="60"/>
      <c r="AK73" s="45"/>
      <c r="AL73" s="173"/>
      <c r="AM73" s="173"/>
      <c r="AN73" s="213"/>
      <c r="AO73" s="28"/>
      <c r="AP73" s="41"/>
      <c r="AQ73" s="28"/>
      <c r="AR73" s="28"/>
      <c r="AS73" s="213"/>
      <c r="AT73" s="28"/>
      <c r="AU73" s="41"/>
      <c r="AV73" s="28"/>
      <c r="AW73" s="28"/>
      <c r="AX73" s="213"/>
      <c r="AY73" s="28"/>
      <c r="AZ73" s="41"/>
      <c r="BA73" s="28"/>
      <c r="BB73" s="28"/>
      <c r="BC73" s="213"/>
      <c r="BD73" s="28"/>
      <c r="BE73" s="41"/>
      <c r="BF73" s="28"/>
      <c r="BG73" s="28"/>
      <c r="BH73" s="213"/>
      <c r="BI73" s="28"/>
      <c r="BJ73" s="41"/>
      <c r="BK73" s="45"/>
      <c r="BL73" s="28"/>
      <c r="BM73" s="174"/>
    </row>
    <row r="74" spans="1:65" x14ac:dyDescent="0.25">
      <c r="A74" s="168" t="str">
        <f>A19</f>
        <v>Faculty, Academic Year</v>
      </c>
      <c r="B74" s="187"/>
      <c r="C74" s="167"/>
      <c r="D74" s="167" t="s">
        <v>85</v>
      </c>
      <c r="E74" s="167"/>
      <c r="F74" s="81"/>
      <c r="G74" s="81"/>
      <c r="H74" s="216">
        <f t="shared" si="39"/>
        <v>0.25</v>
      </c>
      <c r="I74" s="188"/>
      <c r="J74" s="170">
        <f>IF($AK$12="Yes",$H74*J19*(1+$AK$5),$H74*J19)</f>
        <v>0</v>
      </c>
      <c r="K74" s="81"/>
      <c r="L74" s="189">
        <v>0</v>
      </c>
      <c r="M74" s="81"/>
      <c r="N74" s="170">
        <f>IF($AK$12="Yes",$H74*N19*(1+$AK$5)^2,$H74*N19*(1+$AK$5))</f>
        <v>0</v>
      </c>
      <c r="O74" s="81"/>
      <c r="P74" s="189">
        <v>0</v>
      </c>
      <c r="Q74" s="81"/>
      <c r="R74" s="170">
        <f>IF($AK$12="Yes",$H74*R19*(1+$AK$5)^3,$H74*R19*(1+$AK$5)^2)</f>
        <v>0</v>
      </c>
      <c r="S74" s="81"/>
      <c r="T74" s="189">
        <v>0</v>
      </c>
      <c r="U74" s="81"/>
      <c r="V74" s="170">
        <f>IF($AK$12="Yes",$H74*V19*(1+$AK$5)^4,$H74*V19*(1+$AK$5)^3)</f>
        <v>0</v>
      </c>
      <c r="W74" s="81"/>
      <c r="X74" s="189">
        <v>0</v>
      </c>
      <c r="Y74" s="81"/>
      <c r="Z74" s="170">
        <f>IF($AK$12="Yes",$H74*Z19*(1+$AK$5)^5,$H74*Z19*(1+$AK$5)^4)</f>
        <v>0</v>
      </c>
      <c r="AA74" s="81"/>
      <c r="AB74" s="189">
        <v>0</v>
      </c>
      <c r="AC74" s="81"/>
      <c r="AD74" s="170">
        <f t="shared" si="40"/>
        <v>0</v>
      </c>
      <c r="AE74" s="170"/>
      <c r="AF74" s="189">
        <f t="shared" si="41"/>
        <v>0</v>
      </c>
      <c r="AG74" s="28"/>
      <c r="AH74" s="28"/>
      <c r="AI74" s="28"/>
      <c r="AJ74" s="60"/>
      <c r="AK74" s="45"/>
      <c r="AL74" s="173"/>
      <c r="AM74" s="173"/>
      <c r="AN74" s="213"/>
      <c r="AO74" s="28"/>
      <c r="AP74" s="41"/>
      <c r="AQ74" s="28"/>
      <c r="AR74" s="28"/>
      <c r="AS74" s="213"/>
      <c r="AT74" s="28"/>
      <c r="AU74" s="41"/>
      <c r="AV74" s="28"/>
      <c r="AW74" s="28"/>
      <c r="AX74" s="213"/>
      <c r="AY74" s="28"/>
      <c r="AZ74" s="41"/>
      <c r="BA74" s="28"/>
      <c r="BB74" s="28"/>
      <c r="BC74" s="213"/>
      <c r="BD74" s="28"/>
      <c r="BE74" s="41"/>
      <c r="BF74" s="28"/>
      <c r="BG74" s="28"/>
      <c r="BH74" s="213"/>
      <c r="BI74" s="28"/>
      <c r="BJ74" s="41"/>
      <c r="BK74" s="45"/>
      <c r="BL74" s="28"/>
      <c r="BM74" s="174"/>
    </row>
    <row r="75" spans="1:65" x14ac:dyDescent="0.25">
      <c r="A75" s="168" t="str">
        <f>A21</f>
        <v>Faculty, Academic Year</v>
      </c>
      <c r="B75" s="187"/>
      <c r="C75" s="167" t="str">
        <f>C20</f>
        <v>Co-PI: 0</v>
      </c>
      <c r="D75" s="167"/>
      <c r="E75" s="167"/>
      <c r="F75" s="81"/>
      <c r="G75" s="81"/>
      <c r="H75" s="216">
        <f t="shared" si="39"/>
        <v>0.25</v>
      </c>
      <c r="I75" s="188"/>
      <c r="J75" s="170">
        <f>IF($AK$12="Yes",$H75*J21*(1+$AK$5),$H75*J21)</f>
        <v>0</v>
      </c>
      <c r="K75" s="81"/>
      <c r="L75" s="189">
        <v>0</v>
      </c>
      <c r="M75" s="81"/>
      <c r="N75" s="170">
        <f>IF($AK$12="Yes",$H75*N21*(1+$AK$5)^2,$H75*N21*(1+$AK$5))</f>
        <v>0</v>
      </c>
      <c r="O75" s="170"/>
      <c r="P75" s="189">
        <v>0</v>
      </c>
      <c r="Q75" s="170"/>
      <c r="R75" s="170">
        <f>IF($AK$12="Yes",$H75*R21*(1+$AK$5)^3,$H75*R21*(1+$AK$5)^2)</f>
        <v>0</v>
      </c>
      <c r="S75" s="170"/>
      <c r="T75" s="189">
        <v>0</v>
      </c>
      <c r="U75" s="170"/>
      <c r="V75" s="170">
        <f>IF($AK$12="Yes",$H75*V21*(1+$AK$5)^4,$H75*V21*(1+$AK$5)^3)</f>
        <v>0</v>
      </c>
      <c r="W75" s="170"/>
      <c r="X75" s="189">
        <v>0</v>
      </c>
      <c r="Y75" s="170"/>
      <c r="Z75" s="170">
        <f>IF($AK$12="Yes",$H75*Z21*(1+$AK$5)^5,$H75*Z21*(1+$AK$5)^4)</f>
        <v>0</v>
      </c>
      <c r="AA75" s="81"/>
      <c r="AB75" s="189">
        <v>0</v>
      </c>
      <c r="AC75" s="81"/>
      <c r="AD75" s="170">
        <f t="shared" si="40"/>
        <v>0</v>
      </c>
      <c r="AE75" s="170"/>
      <c r="AF75" s="189">
        <f t="shared" si="41"/>
        <v>0</v>
      </c>
      <c r="AG75" s="28"/>
      <c r="AH75" s="28"/>
      <c r="AI75" s="28"/>
      <c r="AJ75" s="60"/>
      <c r="AK75" s="45"/>
      <c r="AL75" s="173"/>
      <c r="AM75" s="173"/>
      <c r="AN75" s="213"/>
      <c r="AO75" s="28"/>
      <c r="AP75" s="41"/>
      <c r="AQ75" s="28"/>
      <c r="AR75" s="28"/>
      <c r="AS75" s="213"/>
      <c r="AT75" s="28"/>
      <c r="AU75" s="41"/>
      <c r="AV75" s="28"/>
      <c r="AW75" s="28"/>
      <c r="AX75" s="213"/>
      <c r="AY75" s="28"/>
      <c r="AZ75" s="41"/>
      <c r="BA75" s="28"/>
      <c r="BB75" s="28"/>
      <c r="BC75" s="213"/>
      <c r="BD75" s="28"/>
      <c r="BE75" s="41"/>
      <c r="BF75" s="28"/>
      <c r="BG75" s="28"/>
      <c r="BH75" s="213"/>
      <c r="BI75" s="28"/>
      <c r="BJ75" s="41"/>
      <c r="BK75" s="45"/>
      <c r="BL75" s="28"/>
      <c r="BM75" s="174"/>
    </row>
    <row r="76" spans="1:65" x14ac:dyDescent="0.25">
      <c r="A76" s="168" t="str">
        <f>A22</f>
        <v>Faculty, Academic Year</v>
      </c>
      <c r="B76" s="187"/>
      <c r="C76" s="167"/>
      <c r="D76" s="167" t="s">
        <v>85</v>
      </c>
      <c r="E76" s="167"/>
      <c r="F76" s="81"/>
      <c r="G76" s="81"/>
      <c r="H76" s="216">
        <f t="shared" si="39"/>
        <v>0.25</v>
      </c>
      <c r="I76" s="188"/>
      <c r="J76" s="170">
        <f>IF($AK$12="Yes",$H76*J22*(1+$AK$5),$H76*J22)</f>
        <v>0</v>
      </c>
      <c r="K76" s="170"/>
      <c r="L76" s="189">
        <v>0</v>
      </c>
      <c r="M76" s="170"/>
      <c r="N76" s="170">
        <f>IF($AK$12="Yes",$H76*N22*(1+$AK$5)^2,$H76*N22*(1+$AK$5))</f>
        <v>0</v>
      </c>
      <c r="O76" s="170"/>
      <c r="P76" s="189">
        <v>0</v>
      </c>
      <c r="Q76" s="170"/>
      <c r="R76" s="170">
        <f>IF($AK$12="Yes",$H76*R22*(1+$AK$5)^3,$H76*R22*(1+$AK$5)^2)</f>
        <v>0</v>
      </c>
      <c r="S76" s="170"/>
      <c r="T76" s="189">
        <v>0</v>
      </c>
      <c r="U76" s="170"/>
      <c r="V76" s="170">
        <f>IF($AK$12="Yes",$H76*V22*(1+$AK$5)^4,$H76*V22*(1+$AK$5)^3)</f>
        <v>0</v>
      </c>
      <c r="W76" s="170"/>
      <c r="X76" s="189">
        <v>0</v>
      </c>
      <c r="Y76" s="170"/>
      <c r="Z76" s="170">
        <f>IF($AK$12="Yes",$H76*Z22*(1+$AK$5)^5,$H76*Z22*(1+$AK$5)^4)</f>
        <v>0</v>
      </c>
      <c r="AA76" s="81"/>
      <c r="AB76" s="189">
        <v>0</v>
      </c>
      <c r="AC76" s="81"/>
      <c r="AD76" s="170">
        <f t="shared" si="40"/>
        <v>0</v>
      </c>
      <c r="AE76" s="170"/>
      <c r="AF76" s="189">
        <f t="shared" si="41"/>
        <v>0</v>
      </c>
      <c r="AG76" s="28"/>
      <c r="AH76" s="28"/>
      <c r="AI76" s="28"/>
      <c r="AJ76" s="60"/>
      <c r="AK76" s="45"/>
      <c r="AL76" s="173"/>
      <c r="AM76" s="173"/>
      <c r="AN76" s="213"/>
      <c r="AO76" s="28"/>
      <c r="AP76" s="41"/>
      <c r="AQ76" s="28"/>
      <c r="AR76" s="28"/>
      <c r="AS76" s="213"/>
      <c r="AT76" s="28"/>
      <c r="AU76" s="41"/>
      <c r="AV76" s="28"/>
      <c r="AW76" s="28"/>
      <c r="AX76" s="213"/>
      <c r="AY76" s="28"/>
      <c r="AZ76" s="41"/>
      <c r="BA76" s="28"/>
      <c r="BB76" s="28"/>
      <c r="BC76" s="213"/>
      <c r="BD76" s="28"/>
      <c r="BE76" s="41"/>
      <c r="BF76" s="28"/>
      <c r="BG76" s="28"/>
      <c r="BH76" s="213"/>
      <c r="BI76" s="28"/>
      <c r="BJ76" s="41"/>
      <c r="BK76" s="45"/>
      <c r="BL76" s="28"/>
      <c r="BM76" s="174"/>
    </row>
    <row r="77" spans="1:65" x14ac:dyDescent="0.25">
      <c r="A77" s="168" t="str">
        <f>A24</f>
        <v>Faculty, Academic Year</v>
      </c>
      <c r="B77" s="187"/>
      <c r="C77" s="167" t="str">
        <f>C23</f>
        <v xml:space="preserve">Co-PI: </v>
      </c>
      <c r="D77" s="167"/>
      <c r="E77" s="167"/>
      <c r="F77" s="81"/>
      <c r="G77" s="81"/>
      <c r="H77" s="216">
        <f t="shared" si="39"/>
        <v>0.25</v>
      </c>
      <c r="I77" s="188"/>
      <c r="J77" s="170">
        <f>IF($AK$12="Yes",$H77*J24*(1+$AK$5),$H77*J24)</f>
        <v>0</v>
      </c>
      <c r="K77" s="170"/>
      <c r="L77" s="189">
        <v>0</v>
      </c>
      <c r="M77" s="170"/>
      <c r="N77" s="170">
        <f>IF($AK$12="Yes",$H77*N24*(1+$AK$5)^2,$H77*N24*(1+$AK$5))</f>
        <v>0</v>
      </c>
      <c r="O77" s="170"/>
      <c r="P77" s="189">
        <v>0</v>
      </c>
      <c r="Q77" s="170"/>
      <c r="R77" s="170">
        <f>IF($AK$12="Yes",$H77*R24*(1+$AK$5)^3,$H77*R24*(1+$AK$5)^2)</f>
        <v>0</v>
      </c>
      <c r="S77" s="170"/>
      <c r="T77" s="189">
        <v>0</v>
      </c>
      <c r="U77" s="170"/>
      <c r="V77" s="170">
        <f>IF($AK$12="Yes",$H77*V24*(1+$AK$5)^4,$H77*V24*(1+$AK$5)^3)</f>
        <v>0</v>
      </c>
      <c r="W77" s="170"/>
      <c r="X77" s="189">
        <v>0</v>
      </c>
      <c r="Y77" s="170"/>
      <c r="Z77" s="170">
        <f>IF($AK$12="Yes",$H77*Z24*(1+$AK$5)^5,$H77*Z24*(1+$AK$5)^4)</f>
        <v>0</v>
      </c>
      <c r="AA77" s="81"/>
      <c r="AB77" s="189">
        <v>0</v>
      </c>
      <c r="AC77" s="81"/>
      <c r="AD77" s="170">
        <f t="shared" si="40"/>
        <v>0</v>
      </c>
      <c r="AE77" s="170"/>
      <c r="AF77" s="189">
        <f t="shared" si="41"/>
        <v>0</v>
      </c>
      <c r="AG77" s="28"/>
      <c r="AH77" s="28"/>
      <c r="AI77" s="28"/>
      <c r="AJ77" s="60"/>
      <c r="AK77" s="45"/>
      <c r="AL77" s="173"/>
      <c r="AM77" s="173"/>
      <c r="AN77" s="213"/>
      <c r="AO77" s="28"/>
      <c r="AP77" s="41"/>
      <c r="AQ77" s="28"/>
      <c r="AR77" s="28"/>
      <c r="AS77" s="213"/>
      <c r="AT77" s="28"/>
      <c r="AU77" s="41"/>
      <c r="AV77" s="28"/>
      <c r="AW77" s="28"/>
      <c r="AX77" s="213"/>
      <c r="AY77" s="28"/>
      <c r="AZ77" s="41"/>
      <c r="BA77" s="28"/>
      <c r="BB77" s="28"/>
      <c r="BC77" s="213"/>
      <c r="BD77" s="28"/>
      <c r="BE77" s="41"/>
      <c r="BF77" s="28"/>
      <c r="BG77" s="28"/>
      <c r="BH77" s="213"/>
      <c r="BI77" s="28"/>
      <c r="BJ77" s="41"/>
      <c r="BK77" s="45"/>
      <c r="BL77" s="28"/>
      <c r="BM77" s="174"/>
    </row>
    <row r="78" spans="1:65" x14ac:dyDescent="0.25">
      <c r="A78" s="168" t="str">
        <f>A25</f>
        <v>Faculty, Academic Year</v>
      </c>
      <c r="B78" s="187"/>
      <c r="C78" s="167"/>
      <c r="D78" s="167" t="s">
        <v>85</v>
      </c>
      <c r="E78" s="167"/>
      <c r="F78" s="81"/>
      <c r="G78" s="81"/>
      <c r="H78" s="216">
        <f t="shared" si="39"/>
        <v>0.25</v>
      </c>
      <c r="I78" s="188"/>
      <c r="J78" s="170">
        <f>IF($AK$12="Yes",$H78*J25*(1+$AK$5),$H78*J25)</f>
        <v>0</v>
      </c>
      <c r="K78" s="170"/>
      <c r="L78" s="189">
        <v>0</v>
      </c>
      <c r="M78" s="170"/>
      <c r="N78" s="170">
        <f>IF($AK$12="Yes",$H78*N25*(1+$AK$5)^2,$H78*N25*(1+$AK$5))</f>
        <v>0</v>
      </c>
      <c r="O78" s="170"/>
      <c r="P78" s="189">
        <v>0</v>
      </c>
      <c r="Q78" s="170"/>
      <c r="R78" s="170">
        <f>IF($AK$12="Yes",$H78*R25*(1+$AK$5)^3,$H78*R25*(1+$AK$5)^2)</f>
        <v>0</v>
      </c>
      <c r="S78" s="170"/>
      <c r="T78" s="189">
        <v>0</v>
      </c>
      <c r="U78" s="170"/>
      <c r="V78" s="170">
        <f>IF($AK$12="Yes",$H78*V25*(1+$AK$5)^4,$H78*V25*(1+$AK$5)^3)</f>
        <v>0</v>
      </c>
      <c r="W78" s="170"/>
      <c r="X78" s="189">
        <v>0</v>
      </c>
      <c r="Y78" s="170"/>
      <c r="Z78" s="170">
        <f>IF($AK$12="Yes",$H78*Z25*(1+$AK$5)^5,$H78*Z25*(1+$AK$5)^4)</f>
        <v>0</v>
      </c>
      <c r="AA78" s="81"/>
      <c r="AB78" s="189">
        <v>0</v>
      </c>
      <c r="AC78" s="81"/>
      <c r="AD78" s="170">
        <f t="shared" si="40"/>
        <v>0</v>
      </c>
      <c r="AE78" s="170"/>
      <c r="AF78" s="189">
        <f t="shared" si="41"/>
        <v>0</v>
      </c>
      <c r="AG78" s="28"/>
      <c r="AH78" s="28"/>
      <c r="AI78" s="28"/>
      <c r="AJ78" s="60"/>
      <c r="AK78" s="45"/>
      <c r="AL78" s="173"/>
      <c r="AM78" s="173"/>
      <c r="AN78" s="213"/>
      <c r="AO78" s="28"/>
      <c r="AP78" s="41"/>
      <c r="AQ78" s="28"/>
      <c r="AR78" s="28"/>
      <c r="AS78" s="213"/>
      <c r="AT78" s="28"/>
      <c r="AU78" s="41"/>
      <c r="AV78" s="28"/>
      <c r="AW78" s="28"/>
      <c r="AX78" s="213"/>
      <c r="AY78" s="28"/>
      <c r="AZ78" s="41"/>
      <c r="BA78" s="28"/>
      <c r="BB78" s="28"/>
      <c r="BC78" s="213"/>
      <c r="BD78" s="28"/>
      <c r="BE78" s="41"/>
      <c r="BF78" s="28"/>
      <c r="BG78" s="28"/>
      <c r="BH78" s="213"/>
      <c r="BI78" s="28"/>
      <c r="BJ78" s="41"/>
      <c r="BK78" s="45"/>
      <c r="BL78" s="28"/>
      <c r="BM78" s="174"/>
    </row>
    <row r="79" spans="1:65" x14ac:dyDescent="0.25">
      <c r="A79" s="168" t="str">
        <f>A27</f>
        <v>Faculty, Academic Year</v>
      </c>
      <c r="B79" s="187"/>
      <c r="C79" s="167" t="str">
        <f>C26</f>
        <v xml:space="preserve">Co-PI: </v>
      </c>
      <c r="D79" s="167"/>
      <c r="E79" s="167"/>
      <c r="F79" s="81"/>
      <c r="G79" s="81"/>
      <c r="H79" s="216">
        <f t="shared" si="39"/>
        <v>0.25</v>
      </c>
      <c r="I79" s="188"/>
      <c r="J79" s="170">
        <f>IF($AK$12="Yes",$H79*J27*(1+$AK$5),$H79*J27)</f>
        <v>0</v>
      </c>
      <c r="K79" s="170"/>
      <c r="L79" s="189">
        <v>0</v>
      </c>
      <c r="M79" s="170"/>
      <c r="N79" s="170">
        <f>IF($AK$12="Yes",$H79*N27*(1+$AK$5)^2,$H79*N27*(1+$AK$5))</f>
        <v>0</v>
      </c>
      <c r="O79" s="170"/>
      <c r="P79" s="189">
        <v>0</v>
      </c>
      <c r="Q79" s="170"/>
      <c r="R79" s="170">
        <f>IF($AK$12="Yes",$H79*R27*(1+$AK$5)^3,$H79*R27*(1+$AK$5)^2)</f>
        <v>0</v>
      </c>
      <c r="S79" s="170"/>
      <c r="T79" s="189">
        <v>0</v>
      </c>
      <c r="U79" s="170"/>
      <c r="V79" s="170">
        <f>IF($AK$12="Yes",$H79*V27*(1+$AK$5)^4,$H79*V27*(1+$AK$5)^3)</f>
        <v>0</v>
      </c>
      <c r="W79" s="170"/>
      <c r="X79" s="189">
        <v>0</v>
      </c>
      <c r="Y79" s="170"/>
      <c r="Z79" s="170">
        <f>IF($AK$12="Yes",$H79*Z27*(1+$AK$5)^5,$H79*Z27*(1+$AK$5)^4)</f>
        <v>0</v>
      </c>
      <c r="AA79" s="81"/>
      <c r="AB79" s="189">
        <v>0</v>
      </c>
      <c r="AC79" s="81"/>
      <c r="AD79" s="170">
        <f t="shared" si="40"/>
        <v>0</v>
      </c>
      <c r="AE79" s="170"/>
      <c r="AF79" s="189">
        <f t="shared" si="41"/>
        <v>0</v>
      </c>
      <c r="AG79" s="28"/>
      <c r="AH79" s="28"/>
      <c r="AI79" s="28"/>
      <c r="AJ79" s="60"/>
      <c r="AK79" s="45"/>
      <c r="AL79" s="173"/>
      <c r="AM79" s="173"/>
      <c r="AN79" s="213"/>
      <c r="AO79" s="28"/>
      <c r="AP79" s="41"/>
      <c r="AQ79" s="28"/>
      <c r="AR79" s="28"/>
      <c r="AS79" s="213"/>
      <c r="AT79" s="28"/>
      <c r="AU79" s="41"/>
      <c r="AV79" s="28"/>
      <c r="AW79" s="28"/>
      <c r="AX79" s="213"/>
      <c r="AY79" s="28"/>
      <c r="AZ79" s="41"/>
      <c r="BA79" s="28"/>
      <c r="BB79" s="28"/>
      <c r="BC79" s="213"/>
      <c r="BD79" s="28"/>
      <c r="BE79" s="41"/>
      <c r="BF79" s="28"/>
      <c r="BG79" s="28"/>
      <c r="BH79" s="213"/>
      <c r="BI79" s="28"/>
      <c r="BJ79" s="41"/>
      <c r="BK79" s="45"/>
      <c r="BL79" s="28"/>
      <c r="BM79" s="174"/>
    </row>
    <row r="80" spans="1:65" x14ac:dyDescent="0.25">
      <c r="A80" s="168" t="str">
        <f>A28</f>
        <v>Faculty, Academic Year</v>
      </c>
      <c r="B80" s="187"/>
      <c r="C80" s="167"/>
      <c r="D80" s="167" t="s">
        <v>85</v>
      </c>
      <c r="E80" s="167"/>
      <c r="F80" s="81"/>
      <c r="G80" s="81"/>
      <c r="H80" s="216">
        <f t="shared" si="39"/>
        <v>0.25</v>
      </c>
      <c r="I80" s="188"/>
      <c r="J80" s="170">
        <f>IF($AK$12="Yes",$H80*J28*(1+$AK$5),$H80*J28)</f>
        <v>0</v>
      </c>
      <c r="K80" s="170"/>
      <c r="L80" s="189">
        <v>0</v>
      </c>
      <c r="M80" s="170"/>
      <c r="N80" s="170">
        <f>IF($AK$12="Yes",$H80*N28*(1+$AK$5)^2,$H80*N28*(1+$AK$5))</f>
        <v>0</v>
      </c>
      <c r="O80" s="170"/>
      <c r="P80" s="189">
        <v>0</v>
      </c>
      <c r="Q80" s="170"/>
      <c r="R80" s="170">
        <f>IF($AK$12="Yes",$H80*R28*(1+$AK$5)^3,$H80*R28*(1+$AK$5)^2)</f>
        <v>0</v>
      </c>
      <c r="S80" s="170"/>
      <c r="T80" s="189">
        <v>0</v>
      </c>
      <c r="U80" s="170"/>
      <c r="V80" s="170">
        <f>IF($AK$12="Yes",$H80*V28*(1+$AK$5)^4,$H80*V28*(1+$AK$5)^3)</f>
        <v>0</v>
      </c>
      <c r="W80" s="170"/>
      <c r="X80" s="189">
        <v>0</v>
      </c>
      <c r="Y80" s="170"/>
      <c r="Z80" s="170">
        <f>IF($AK$12="Yes",$H80*Z28*(1+$AK$5)^5,$H80*Z28*(1+$AK$5)^4)</f>
        <v>0</v>
      </c>
      <c r="AA80" s="81"/>
      <c r="AB80" s="189">
        <v>0</v>
      </c>
      <c r="AC80" s="81"/>
      <c r="AD80" s="170">
        <f t="shared" si="40"/>
        <v>0</v>
      </c>
      <c r="AE80" s="170"/>
      <c r="AF80" s="189">
        <f t="shared" si="41"/>
        <v>0</v>
      </c>
      <c r="AG80" s="28"/>
      <c r="AH80" s="28"/>
      <c r="AI80" s="28"/>
      <c r="AJ80" s="60"/>
      <c r="AK80" s="45"/>
      <c r="AL80" s="173"/>
      <c r="AM80" s="173"/>
      <c r="AN80" s="213"/>
      <c r="AO80" s="28"/>
      <c r="AP80" s="41"/>
      <c r="AQ80" s="28"/>
      <c r="AR80" s="28"/>
      <c r="AS80" s="213"/>
      <c r="AT80" s="28"/>
      <c r="AU80" s="41"/>
      <c r="AV80" s="28"/>
      <c r="AW80" s="28"/>
      <c r="AX80" s="213"/>
      <c r="AY80" s="28"/>
      <c r="AZ80" s="41"/>
      <c r="BA80" s="28"/>
      <c r="BB80" s="28"/>
      <c r="BC80" s="213"/>
      <c r="BD80" s="28"/>
      <c r="BE80" s="41"/>
      <c r="BF80" s="28"/>
      <c r="BG80" s="28"/>
      <c r="BH80" s="213"/>
      <c r="BI80" s="28"/>
      <c r="BJ80" s="41"/>
      <c r="BK80" s="45"/>
      <c r="BL80" s="28"/>
      <c r="BM80" s="174"/>
    </row>
    <row r="81" spans="1:65" x14ac:dyDescent="0.25">
      <c r="A81" s="168" t="str">
        <f>A30</f>
        <v>Faculty, Academic Year</v>
      </c>
      <c r="B81" s="187"/>
      <c r="C81" s="167" t="str">
        <f>C29</f>
        <v xml:space="preserve">Co-PI: </v>
      </c>
      <c r="D81" s="167"/>
      <c r="E81" s="167"/>
      <c r="F81" s="81"/>
      <c r="G81" s="81"/>
      <c r="H81" s="216">
        <f t="shared" si="39"/>
        <v>0.25</v>
      </c>
      <c r="I81" s="188"/>
      <c r="J81" s="170">
        <f>IF($AK$12="Yes",$H81*J30*(1+$AK$5),$H81*J30)</f>
        <v>0</v>
      </c>
      <c r="K81" s="170"/>
      <c r="L81" s="189">
        <v>0</v>
      </c>
      <c r="M81" s="170"/>
      <c r="N81" s="170">
        <f>IF($AK$12="Yes",$H81*N30*(1+$AK$5)^2,$H81*N30*(1+$AK$5))</f>
        <v>0</v>
      </c>
      <c r="O81" s="170"/>
      <c r="P81" s="189">
        <v>0</v>
      </c>
      <c r="Q81" s="170"/>
      <c r="R81" s="170">
        <f>IF($AK$12="Yes",$H81*R30*(1+$AK$5)^3,$H81*R30*(1+$AK$5)^2)</f>
        <v>0</v>
      </c>
      <c r="S81" s="170"/>
      <c r="T81" s="189">
        <v>0</v>
      </c>
      <c r="U81" s="170"/>
      <c r="V81" s="170">
        <f>IF($AK$12="Yes",$H81*V30*(1+$AK$5)^4,$H81*V30*(1+$AK$5)^3)</f>
        <v>0</v>
      </c>
      <c r="W81" s="170"/>
      <c r="X81" s="189">
        <v>0</v>
      </c>
      <c r="Y81" s="170"/>
      <c r="Z81" s="170">
        <f>IF($AK$12="Yes",$H81*Z30*(1+$AK$5)^5,$H81*Z30*(1+$AK$5)^4)</f>
        <v>0</v>
      </c>
      <c r="AA81" s="81"/>
      <c r="AB81" s="189">
        <v>0</v>
      </c>
      <c r="AC81" s="81"/>
      <c r="AD81" s="170">
        <f t="shared" si="40"/>
        <v>0</v>
      </c>
      <c r="AE81" s="170"/>
      <c r="AF81" s="189">
        <f t="shared" si="41"/>
        <v>0</v>
      </c>
      <c r="AG81" s="28"/>
      <c r="AH81" s="28"/>
      <c r="AI81" s="28"/>
      <c r="AJ81" s="60"/>
      <c r="AK81" s="45"/>
      <c r="AL81" s="173"/>
      <c r="AM81" s="173"/>
      <c r="AN81" s="213"/>
      <c r="AO81" s="28"/>
      <c r="AP81" s="41"/>
      <c r="AQ81" s="28"/>
      <c r="AR81" s="28"/>
      <c r="AS81" s="213"/>
      <c r="AT81" s="28"/>
      <c r="AU81" s="41"/>
      <c r="AV81" s="28"/>
      <c r="AW81" s="28"/>
      <c r="AX81" s="213"/>
      <c r="AY81" s="28"/>
      <c r="AZ81" s="41"/>
      <c r="BA81" s="28"/>
      <c r="BB81" s="28"/>
      <c r="BC81" s="213"/>
      <c r="BD81" s="28"/>
      <c r="BE81" s="41"/>
      <c r="BF81" s="28"/>
      <c r="BG81" s="28"/>
      <c r="BH81" s="213"/>
      <c r="BI81" s="28"/>
      <c r="BJ81" s="41"/>
      <c r="BK81" s="45"/>
      <c r="BL81" s="28"/>
      <c r="BM81" s="174"/>
    </row>
    <row r="82" spans="1:65" x14ac:dyDescent="0.25">
      <c r="A82" s="168" t="str">
        <f>A31</f>
        <v>Faculty, Academic Year</v>
      </c>
      <c r="B82" s="187"/>
      <c r="C82" s="167"/>
      <c r="D82" s="167" t="s">
        <v>85</v>
      </c>
      <c r="E82" s="167"/>
      <c r="F82" s="81"/>
      <c r="G82" s="81"/>
      <c r="H82" s="216">
        <f t="shared" si="39"/>
        <v>0.25</v>
      </c>
      <c r="I82" s="188"/>
      <c r="J82" s="170">
        <f>IF($AK$12="Yes",$H82*J31*(1+$AK$5),$H82*J362)</f>
        <v>0</v>
      </c>
      <c r="K82" s="170"/>
      <c r="L82" s="189">
        <v>0</v>
      </c>
      <c r="M82" s="170"/>
      <c r="N82" s="170">
        <f>IF($AK$12="Yes",$H82*N31*(1+$AK$5)^2,$H82*N31*(1+$AK$5))</f>
        <v>0</v>
      </c>
      <c r="O82" s="170"/>
      <c r="P82" s="189">
        <v>0</v>
      </c>
      <c r="Q82" s="170"/>
      <c r="R82" s="170">
        <f>IF($AK$12="Yes",$H82*R31*(1+$AK$5)^3,$H82*R31*(1+$AK$5)^2)</f>
        <v>0</v>
      </c>
      <c r="S82" s="170"/>
      <c r="T82" s="189">
        <v>0</v>
      </c>
      <c r="U82" s="170"/>
      <c r="V82" s="170">
        <f>IF($AK$12="Yes",$H82*V31*(1+$AK$5)^4,$H82*V31*(1+$AK$5)^3)</f>
        <v>0</v>
      </c>
      <c r="W82" s="170"/>
      <c r="X82" s="189">
        <v>0</v>
      </c>
      <c r="Y82" s="170"/>
      <c r="Z82" s="170">
        <f>IF($AK$12="Yes",$H82*Z31*(1+$AK$5)^5,$H82*Z31*(1+$AK$5)^4)</f>
        <v>0</v>
      </c>
      <c r="AA82" s="81"/>
      <c r="AB82" s="189">
        <v>0</v>
      </c>
      <c r="AC82" s="81"/>
      <c r="AD82" s="170">
        <f t="shared" si="40"/>
        <v>0</v>
      </c>
      <c r="AE82" s="170"/>
      <c r="AF82" s="189">
        <f t="shared" si="41"/>
        <v>0</v>
      </c>
      <c r="AG82" s="28"/>
      <c r="AH82" s="28"/>
      <c r="AI82" s="28"/>
      <c r="AJ82" s="60"/>
      <c r="AK82" s="45"/>
      <c r="AL82" s="173"/>
      <c r="AM82" s="173"/>
      <c r="AN82" s="213"/>
      <c r="AO82" s="28"/>
      <c r="AP82" s="41"/>
      <c r="AQ82" s="28"/>
      <c r="AR82" s="28"/>
      <c r="AS82" s="213"/>
      <c r="AT82" s="28"/>
      <c r="AU82" s="41"/>
      <c r="AV82" s="28"/>
      <c r="AW82" s="28"/>
      <c r="AX82" s="213"/>
      <c r="AY82" s="28"/>
      <c r="AZ82" s="41"/>
      <c r="BA82" s="28"/>
      <c r="BB82" s="28"/>
      <c r="BC82" s="213"/>
      <c r="BD82" s="28"/>
      <c r="BE82" s="41"/>
      <c r="BF82" s="28"/>
      <c r="BG82" s="28"/>
      <c r="BH82" s="213"/>
      <c r="BI82" s="28"/>
      <c r="BJ82" s="41"/>
      <c r="BK82" s="45"/>
      <c r="BL82" s="28"/>
      <c r="BM82" s="174"/>
    </row>
    <row r="83" spans="1:65" x14ac:dyDescent="0.25">
      <c r="A83" s="168" t="str">
        <f>A33</f>
        <v>Research Associate LOA</v>
      </c>
      <c r="B83" s="187"/>
      <c r="C83" s="167" t="str">
        <f>C32</f>
        <v>Research Associate:</v>
      </c>
      <c r="D83" s="167"/>
      <c r="E83" s="167"/>
      <c r="F83" s="81"/>
      <c r="G83" s="81"/>
      <c r="H83" s="216">
        <f t="shared" si="39"/>
        <v>0.315</v>
      </c>
      <c r="I83" s="188"/>
      <c r="J83" s="170">
        <f>IF($AK$12="Yes",$H83*J33*(1+$AK$5),$H83*J33)</f>
        <v>0</v>
      </c>
      <c r="K83" s="81"/>
      <c r="L83" s="189">
        <v>0</v>
      </c>
      <c r="M83" s="81"/>
      <c r="N83" s="170">
        <f>IF($AK$12="Yes",$H83*N33*(1+$AK$5)^2,$H83*N33*(1+$AK$5))</f>
        <v>0</v>
      </c>
      <c r="O83" s="81"/>
      <c r="P83" s="189">
        <v>0</v>
      </c>
      <c r="Q83" s="81"/>
      <c r="R83" s="170">
        <f>IF($AK$12="Yes",$H83*R33*(1+$AK$5)^3,$H83*R33*(1+$AK$5)^2)</f>
        <v>0</v>
      </c>
      <c r="S83" s="81"/>
      <c r="T83" s="189">
        <v>0</v>
      </c>
      <c r="U83" s="81"/>
      <c r="V83" s="170">
        <f>IF($AK$12="Yes",$H83*V33*(1+$AK$5)^4,$H83*V33*(1+$AK$5)^3)</f>
        <v>0</v>
      </c>
      <c r="W83" s="81"/>
      <c r="X83" s="189">
        <v>0</v>
      </c>
      <c r="Y83" s="81"/>
      <c r="Z83" s="170">
        <f>IF($AK$12="Yes",$H83*Z33*(1+$AK$5)^5,$H83*Z33*(1+$AK$5)^4)</f>
        <v>0</v>
      </c>
      <c r="AA83" s="81"/>
      <c r="AB83" s="189">
        <v>0</v>
      </c>
      <c r="AC83" s="81"/>
      <c r="AD83" s="170">
        <f t="shared" si="40"/>
        <v>0</v>
      </c>
      <c r="AE83" s="170"/>
      <c r="AF83" s="189">
        <f t="shared" si="41"/>
        <v>0</v>
      </c>
      <c r="AG83" s="28"/>
      <c r="AH83" s="28"/>
      <c r="AI83" s="28"/>
      <c r="AJ83" s="60"/>
      <c r="AK83" s="45"/>
      <c r="AL83" s="173"/>
      <c r="AM83" s="173"/>
      <c r="AN83" s="213"/>
      <c r="AO83" s="28"/>
      <c r="AP83" s="41"/>
      <c r="AQ83" s="28"/>
      <c r="AR83" s="28"/>
      <c r="AS83" s="213"/>
      <c r="AT83" s="28"/>
      <c r="AU83" s="41"/>
      <c r="AV83" s="28"/>
      <c r="AW83" s="28"/>
      <c r="AX83" s="213"/>
      <c r="AY83" s="28"/>
      <c r="AZ83" s="41"/>
      <c r="BA83" s="28"/>
      <c r="BB83" s="28"/>
      <c r="BC83" s="213"/>
      <c r="BD83" s="28"/>
      <c r="BE83" s="41"/>
      <c r="BF83" s="28"/>
      <c r="BG83" s="28"/>
      <c r="BH83" s="213"/>
      <c r="BI83" s="28"/>
      <c r="BJ83" s="41"/>
      <c r="BK83" s="45"/>
      <c r="BL83" s="28"/>
      <c r="BM83" s="174"/>
    </row>
    <row r="84" spans="1:65" x14ac:dyDescent="0.25">
      <c r="A84" s="168" t="str">
        <f>A35</f>
        <v>Research Associate LOA</v>
      </c>
      <c r="B84" s="187"/>
      <c r="C84" s="167" t="str">
        <f>C34</f>
        <v>Research Associate:</v>
      </c>
      <c r="D84" s="167"/>
      <c r="E84" s="167"/>
      <c r="F84" s="81"/>
      <c r="G84" s="81"/>
      <c r="H84" s="216">
        <f t="shared" si="39"/>
        <v>0.315</v>
      </c>
      <c r="I84" s="188"/>
      <c r="J84" s="170">
        <f>IF($AK$12="Yes",$H84*J35*(1+$AK$5),$H84*J35)</f>
        <v>0</v>
      </c>
      <c r="K84" s="81"/>
      <c r="L84" s="189">
        <v>0</v>
      </c>
      <c r="M84" s="81"/>
      <c r="N84" s="170">
        <f>IF($AK$12="Yes",$H84*N35*(1+$AK$5)^2,$H84*N35*(1+$AK$5))</f>
        <v>0</v>
      </c>
      <c r="O84" s="81"/>
      <c r="P84" s="189">
        <v>0</v>
      </c>
      <c r="Q84" s="81"/>
      <c r="R84" s="170">
        <f>IF($AK$12="Yes",$H84*R35*(1+$AK$5)^3,$H84*R35*(1+$AK$5)^2)</f>
        <v>0</v>
      </c>
      <c r="S84" s="81"/>
      <c r="T84" s="189">
        <v>0</v>
      </c>
      <c r="U84" s="81"/>
      <c r="V84" s="170">
        <f>IF($AK$12="Yes",$H84*V35*(1+$AK$5)^4,$H84*V35*(1+$AK$5)^3)</f>
        <v>0</v>
      </c>
      <c r="W84" s="81"/>
      <c r="X84" s="189">
        <v>0</v>
      </c>
      <c r="Y84" s="81"/>
      <c r="Z84" s="170">
        <f>IF($AK$12="Yes",$H84*Z35*(1+$AK$5)^5,$H84*Z35*(1+$AK$5)^4)</f>
        <v>0</v>
      </c>
      <c r="AA84" s="81"/>
      <c r="AB84" s="189">
        <v>0</v>
      </c>
      <c r="AC84" s="81"/>
      <c r="AD84" s="170">
        <f t="shared" si="40"/>
        <v>0</v>
      </c>
      <c r="AE84" s="170"/>
      <c r="AF84" s="189">
        <f t="shared" si="41"/>
        <v>0</v>
      </c>
      <c r="AG84" s="28"/>
      <c r="AH84" s="28"/>
      <c r="AI84" s="28"/>
      <c r="AJ84" s="60"/>
      <c r="AK84" s="45"/>
      <c r="AL84" s="173"/>
      <c r="AM84" s="173"/>
      <c r="AN84" s="213"/>
      <c r="AO84" s="28"/>
      <c r="AP84" s="41"/>
      <c r="AQ84" s="28"/>
      <c r="AR84" s="28"/>
      <c r="AS84" s="213"/>
      <c r="AT84" s="28"/>
      <c r="AU84" s="41"/>
      <c r="AV84" s="28"/>
      <c r="AW84" s="28"/>
      <c r="AX84" s="213"/>
      <c r="AY84" s="28"/>
      <c r="AZ84" s="41"/>
      <c r="BA84" s="28"/>
      <c r="BB84" s="28"/>
      <c r="BC84" s="213"/>
      <c r="BD84" s="28"/>
      <c r="BE84" s="41"/>
      <c r="BF84" s="28"/>
      <c r="BG84" s="28"/>
      <c r="BH84" s="213"/>
      <c r="BI84" s="28"/>
      <c r="BJ84" s="41"/>
      <c r="BK84" s="45"/>
      <c r="BL84" s="28"/>
      <c r="BM84" s="174"/>
    </row>
    <row r="85" spans="1:65" x14ac:dyDescent="0.25">
      <c r="A85" s="168" t="str">
        <f>A37</f>
        <v>Research Associate LOA</v>
      </c>
      <c r="B85" s="187"/>
      <c r="C85" s="167" t="str">
        <f>C36</f>
        <v>Research Associate:</v>
      </c>
      <c r="D85" s="167"/>
      <c r="E85" s="167"/>
      <c r="F85" s="81"/>
      <c r="G85" s="81"/>
      <c r="H85" s="216">
        <f t="shared" si="39"/>
        <v>0.315</v>
      </c>
      <c r="I85" s="188"/>
      <c r="J85" s="170">
        <f>IF($AK$12="Yes",$H85*J37*(1+$AK$5),$H85*J37)</f>
        <v>0</v>
      </c>
      <c r="K85" s="81"/>
      <c r="L85" s="189">
        <v>0</v>
      </c>
      <c r="M85" s="81"/>
      <c r="N85" s="170">
        <f>IF($AK$12="Yes",$H85*N37*(1+$AK$5)^2,$H85*N37*(1+$AK$5))</f>
        <v>0</v>
      </c>
      <c r="O85" s="81"/>
      <c r="P85" s="189">
        <v>0</v>
      </c>
      <c r="Q85" s="81"/>
      <c r="R85" s="170">
        <f>IF($AK$12="Yes",$H85*R37*(1+$AK$5)^3,$H85*R37*(1+$AK$5)^2)</f>
        <v>0</v>
      </c>
      <c r="S85" s="81"/>
      <c r="T85" s="189">
        <v>0</v>
      </c>
      <c r="U85" s="81"/>
      <c r="V85" s="170">
        <f>IF($AK$12="Yes",$H85*V37*(1+$AK$5)^4,$H85*V37*(1+$AK$5)^3)</f>
        <v>0</v>
      </c>
      <c r="W85" s="81"/>
      <c r="X85" s="189">
        <v>0</v>
      </c>
      <c r="Y85" s="81"/>
      <c r="Z85" s="170">
        <f>IF($AK$12="Yes",$H85*Z37*(1+$AK$5)^5,$H85*Z37*(1+$AK$5)^4)</f>
        <v>0</v>
      </c>
      <c r="AA85" s="81"/>
      <c r="AB85" s="189">
        <v>0</v>
      </c>
      <c r="AC85" s="81"/>
      <c r="AD85" s="170">
        <f t="shared" si="40"/>
        <v>0</v>
      </c>
      <c r="AE85" s="170"/>
      <c r="AF85" s="189">
        <f t="shared" si="41"/>
        <v>0</v>
      </c>
      <c r="AG85" s="28"/>
      <c r="AH85" s="28"/>
      <c r="AI85" s="28"/>
      <c r="AJ85" s="60"/>
      <c r="AK85" s="45"/>
      <c r="AL85" s="173"/>
      <c r="AM85" s="173"/>
      <c r="AN85" s="213"/>
      <c r="AO85" s="28"/>
      <c r="AP85" s="41"/>
      <c r="AQ85" s="28"/>
      <c r="AR85" s="28"/>
      <c r="AS85" s="213"/>
      <c r="AT85" s="28"/>
      <c r="AU85" s="41"/>
      <c r="AV85" s="28"/>
      <c r="AW85" s="28"/>
      <c r="AX85" s="213"/>
      <c r="AY85" s="28"/>
      <c r="AZ85" s="41"/>
      <c r="BA85" s="28"/>
      <c r="BB85" s="28"/>
      <c r="BC85" s="213"/>
      <c r="BD85" s="28"/>
      <c r="BE85" s="41"/>
      <c r="BF85" s="28"/>
      <c r="BG85" s="28"/>
      <c r="BH85" s="213"/>
      <c r="BI85" s="28"/>
      <c r="BJ85" s="41"/>
      <c r="BK85" s="45"/>
      <c r="BL85" s="28"/>
      <c r="BM85" s="174"/>
    </row>
    <row r="86" spans="1:65" x14ac:dyDescent="0.25">
      <c r="A86" s="168" t="str">
        <f>A39</f>
        <v>Senior Personnel LOA</v>
      </c>
      <c r="B86" s="187"/>
      <c r="C86" s="167" t="str">
        <f>C38</f>
        <v>Senior Personnel:</v>
      </c>
      <c r="D86" s="167"/>
      <c r="E86" s="167"/>
      <c r="F86" s="81"/>
      <c r="G86" s="81"/>
      <c r="H86" s="216">
        <f t="shared" si="39"/>
        <v>0.315</v>
      </c>
      <c r="I86" s="188"/>
      <c r="J86" s="170">
        <f>IF($AK$12="Yes",$H86*J39*(1+$AK$5),$H86*J39)</f>
        <v>0</v>
      </c>
      <c r="K86" s="81"/>
      <c r="L86" s="189">
        <v>0</v>
      </c>
      <c r="M86" s="81"/>
      <c r="N86" s="170">
        <f>IF($AK$12="Yes",$H86*N39*(1+$AK$5)^2,$H86*N39*(1+$AK$5))</f>
        <v>0</v>
      </c>
      <c r="O86" s="81"/>
      <c r="P86" s="189">
        <v>0</v>
      </c>
      <c r="Q86" s="81"/>
      <c r="R86" s="170">
        <f>IF($AK$12="Yes",$H86*R39*(1+$AK$5)^3,$H86*R39*(1+$AK$5)^2)</f>
        <v>0</v>
      </c>
      <c r="S86" s="81"/>
      <c r="T86" s="189">
        <v>0</v>
      </c>
      <c r="U86" s="81"/>
      <c r="V86" s="170">
        <f>IF($AK$12="Yes",$H86*V39*(1+$AK$5)^4,$H86*V39*(1+$AK$5)^3)</f>
        <v>0</v>
      </c>
      <c r="W86" s="81"/>
      <c r="X86" s="189">
        <v>0</v>
      </c>
      <c r="Y86" s="81"/>
      <c r="Z86" s="170">
        <f>IF($AK$12="Yes",$H86*Z39*(1+$AK$5)^5,$H86*Z39*(1+$AK$5)^4)</f>
        <v>0</v>
      </c>
      <c r="AA86" s="81"/>
      <c r="AB86" s="189">
        <v>0</v>
      </c>
      <c r="AC86" s="81"/>
      <c r="AD86" s="170">
        <f t="shared" si="40"/>
        <v>0</v>
      </c>
      <c r="AE86" s="170"/>
      <c r="AF86" s="189">
        <f t="shared" si="41"/>
        <v>0</v>
      </c>
      <c r="AG86" s="28"/>
      <c r="AH86" s="28"/>
      <c r="AI86" s="28"/>
      <c r="AJ86" s="60"/>
      <c r="AK86" s="45"/>
      <c r="AL86" s="173"/>
      <c r="AM86" s="173"/>
      <c r="AN86" s="213"/>
      <c r="AO86" s="28"/>
      <c r="AP86" s="41"/>
      <c r="AQ86" s="28"/>
      <c r="AR86" s="28"/>
      <c r="AS86" s="213"/>
      <c r="AT86" s="28"/>
      <c r="AU86" s="41"/>
      <c r="AV86" s="28"/>
      <c r="AW86" s="28"/>
      <c r="AX86" s="213"/>
      <c r="AY86" s="28"/>
      <c r="AZ86" s="41"/>
      <c r="BA86" s="28"/>
      <c r="BB86" s="28"/>
      <c r="BC86" s="213"/>
      <c r="BD86" s="28"/>
      <c r="BE86" s="41"/>
      <c r="BF86" s="28"/>
      <c r="BG86" s="28"/>
      <c r="BH86" s="213"/>
      <c r="BI86" s="28"/>
      <c r="BJ86" s="41"/>
      <c r="BK86" s="45"/>
      <c r="BL86" s="28"/>
      <c r="BM86" s="174"/>
    </row>
    <row r="87" spans="1:65" x14ac:dyDescent="0.25">
      <c r="A87" s="168" t="str">
        <f>A41</f>
        <v>Senior Personnel LOA</v>
      </c>
      <c r="B87" s="187"/>
      <c r="C87" s="167" t="str">
        <f>C40</f>
        <v>Senior Personnel:</v>
      </c>
      <c r="D87" s="167"/>
      <c r="E87" s="167"/>
      <c r="F87" s="81"/>
      <c r="G87" s="81"/>
      <c r="H87" s="216">
        <f t="shared" si="39"/>
        <v>0.315</v>
      </c>
      <c r="I87" s="188"/>
      <c r="J87" s="170">
        <f>IF($AK$12="Yes",$H87*J41*(1+$AK$5),$H87*J41)</f>
        <v>0</v>
      </c>
      <c r="K87" s="81"/>
      <c r="L87" s="189">
        <v>0</v>
      </c>
      <c r="M87" s="81"/>
      <c r="N87" s="170">
        <f>IF($AK$12="Yes",$H87*N41*(1+$AK$5)^2,$H87*N41*(1+$AK$5))</f>
        <v>0</v>
      </c>
      <c r="O87" s="81"/>
      <c r="P87" s="189">
        <v>0</v>
      </c>
      <c r="Q87" s="81"/>
      <c r="R87" s="170">
        <f>IF($AK$12="Yes",$H87*R41*(1+$AK$5)^3,$H87*R41*(1+$AK$5)^2)</f>
        <v>0</v>
      </c>
      <c r="S87" s="81"/>
      <c r="T87" s="189">
        <v>0</v>
      </c>
      <c r="U87" s="81"/>
      <c r="V87" s="170">
        <f>IF($AK$12="Yes",$H87*V41*(1+$AK$5)^4,$H87*V41*(1+$AK$5)^3)</f>
        <v>0</v>
      </c>
      <c r="W87" s="81"/>
      <c r="X87" s="189">
        <v>0</v>
      </c>
      <c r="Y87" s="81"/>
      <c r="Z87" s="170">
        <f>IF($AK$12="Yes",$H87*Z41*(1+$AK$5)^5,$H87*Z41*(1+$AK$5)^4)</f>
        <v>0</v>
      </c>
      <c r="AA87" s="81"/>
      <c r="AB87" s="189">
        <v>0</v>
      </c>
      <c r="AC87" s="81"/>
      <c r="AD87" s="170">
        <f t="shared" si="40"/>
        <v>0</v>
      </c>
      <c r="AE87" s="170"/>
      <c r="AF87" s="189">
        <f t="shared" si="41"/>
        <v>0</v>
      </c>
      <c r="AG87" s="28"/>
      <c r="AH87" s="28"/>
      <c r="AI87" s="28"/>
      <c r="AJ87" s="60"/>
      <c r="AK87" s="45"/>
      <c r="AL87" s="173"/>
      <c r="AM87" s="173"/>
      <c r="AN87" s="213"/>
      <c r="AO87" s="28"/>
      <c r="AP87" s="41"/>
      <c r="AQ87" s="28"/>
      <c r="AR87" s="28"/>
      <c r="AS87" s="213"/>
      <c r="AT87" s="28"/>
      <c r="AU87" s="41"/>
      <c r="AV87" s="28"/>
      <c r="AW87" s="28"/>
      <c r="AX87" s="213"/>
      <c r="AY87" s="28"/>
      <c r="AZ87" s="41"/>
      <c r="BA87" s="28"/>
      <c r="BB87" s="28"/>
      <c r="BC87" s="213"/>
      <c r="BD87" s="28"/>
      <c r="BE87" s="41"/>
      <c r="BF87" s="28"/>
      <c r="BG87" s="28"/>
      <c r="BH87" s="213"/>
      <c r="BI87" s="28"/>
      <c r="BJ87" s="41"/>
      <c r="BK87" s="45"/>
      <c r="BL87" s="28"/>
      <c r="BM87" s="174"/>
    </row>
    <row r="88" spans="1:65" x14ac:dyDescent="0.25">
      <c r="A88" s="168" t="str">
        <f>A43</f>
        <v>Senior Personnel LOA</v>
      </c>
      <c r="B88" s="167"/>
      <c r="C88" s="167" t="str">
        <f>C42</f>
        <v>Senior Personnel:</v>
      </c>
      <c r="D88" s="167"/>
      <c r="E88" s="167"/>
      <c r="F88" s="81"/>
      <c r="G88" s="81"/>
      <c r="H88" s="216">
        <f t="shared" si="39"/>
        <v>0.315</v>
      </c>
      <c r="I88" s="188"/>
      <c r="J88" s="170">
        <f>IF($AK$12="Yes",$H88*J43*(1+$AK$5),$H88*J43)</f>
        <v>0</v>
      </c>
      <c r="K88" s="81"/>
      <c r="L88" s="189">
        <v>0</v>
      </c>
      <c r="M88" s="81"/>
      <c r="N88" s="170">
        <f>IF($AK$12="Yes",$H88*N43*(1+$AK$5)^2,$H88*N43*(1+$AK$5))</f>
        <v>0</v>
      </c>
      <c r="O88" s="81"/>
      <c r="P88" s="189">
        <v>0</v>
      </c>
      <c r="Q88" s="81"/>
      <c r="R88" s="170">
        <f>IF($AK$12="Yes",$H88*R43*(1+$AK$5)^3,$H88*R43*(1+$AK$5)^2)</f>
        <v>0</v>
      </c>
      <c r="S88" s="81"/>
      <c r="T88" s="189">
        <v>0</v>
      </c>
      <c r="U88" s="81"/>
      <c r="V88" s="170">
        <f>IF($AK$12="Yes",$H88*V43*(1+$AK$5)^4,$H88*V43*(1+$AK$5)^3)</f>
        <v>0</v>
      </c>
      <c r="W88" s="81"/>
      <c r="X88" s="189">
        <v>0</v>
      </c>
      <c r="Y88" s="81"/>
      <c r="Z88" s="170">
        <f>IF($AK$12="Yes",$H88*Z43*(1+$AK$5)^5,$H88*Z43*(1+$AK$5)^4)</f>
        <v>0</v>
      </c>
      <c r="AA88" s="81"/>
      <c r="AB88" s="189">
        <v>0</v>
      </c>
      <c r="AC88" s="81"/>
      <c r="AD88" s="170">
        <f t="shared" si="40"/>
        <v>0</v>
      </c>
      <c r="AE88" s="170"/>
      <c r="AF88" s="189">
        <f t="shared" si="41"/>
        <v>0</v>
      </c>
      <c r="AG88" s="28"/>
      <c r="AH88" s="28"/>
      <c r="AI88" s="28"/>
      <c r="AJ88" s="60"/>
      <c r="AK88" s="45"/>
      <c r="AL88" s="173"/>
      <c r="AM88" s="173"/>
      <c r="AN88" s="213"/>
      <c r="AO88" s="28"/>
      <c r="AP88" s="41"/>
      <c r="AQ88" s="28"/>
      <c r="AR88" s="28"/>
      <c r="AS88" s="213"/>
      <c r="AT88" s="28"/>
      <c r="AU88" s="41"/>
      <c r="AV88" s="28"/>
      <c r="AW88" s="28"/>
      <c r="AX88" s="213"/>
      <c r="AY88" s="28"/>
      <c r="AZ88" s="41"/>
      <c r="BA88" s="28"/>
      <c r="BB88" s="28"/>
      <c r="BC88" s="213"/>
      <c r="BD88" s="28"/>
      <c r="BE88" s="41"/>
      <c r="BF88" s="28"/>
      <c r="BG88" s="28"/>
      <c r="BH88" s="213"/>
      <c r="BI88" s="28"/>
      <c r="BJ88" s="41"/>
      <c r="BK88" s="45"/>
      <c r="BL88" s="28"/>
      <c r="BM88" s="174"/>
    </row>
    <row r="89" spans="1:65" x14ac:dyDescent="0.25">
      <c r="A89" s="168" t="str">
        <f>A45</f>
        <v>Classified Staff</v>
      </c>
      <c r="B89" s="187"/>
      <c r="C89" s="167" t="str">
        <f>C44</f>
        <v>Administrative Assistant:</v>
      </c>
      <c r="D89" s="167"/>
      <c r="E89" s="167"/>
      <c r="F89" s="81"/>
      <c r="G89" s="81"/>
      <c r="H89" s="216">
        <f t="shared" si="39"/>
        <v>0.28899999999999998</v>
      </c>
      <c r="I89" s="188"/>
      <c r="J89" s="170">
        <f>IF($AK$12="Yes",$H89*J45*(1+$AK$5),$H89*J45)</f>
        <v>0</v>
      </c>
      <c r="K89" s="81"/>
      <c r="L89" s="189">
        <v>0</v>
      </c>
      <c r="M89" s="81"/>
      <c r="N89" s="170">
        <f>IF($AK$12="Yes",$H89*N45*(1+$AK$5)^2,$H89*N45*(1+$AK$5))</f>
        <v>0</v>
      </c>
      <c r="O89" s="81"/>
      <c r="P89" s="189">
        <v>0</v>
      </c>
      <c r="Q89" s="81"/>
      <c r="R89" s="170">
        <f>IF($AK$12="Yes",$H89*R45*(1+$AK$5)^3,$H89*R45*(1+$AK$5)^2)</f>
        <v>0</v>
      </c>
      <c r="S89" s="81"/>
      <c r="T89" s="189">
        <v>0</v>
      </c>
      <c r="U89" s="81"/>
      <c r="V89" s="170">
        <f>IF($AK$12="Yes",$H89*V45*(1+$AK$5)^4,$H89*V45*(1+$AK$5)^3)</f>
        <v>0</v>
      </c>
      <c r="W89" s="81"/>
      <c r="X89" s="189">
        <v>0</v>
      </c>
      <c r="Y89" s="81"/>
      <c r="Z89" s="170">
        <f>IF($AK$12="Yes",$H89*Z45*(1+$AK$5)^5,$H89*Z45*(1+$AK$5)^4)</f>
        <v>0</v>
      </c>
      <c r="AA89" s="81"/>
      <c r="AB89" s="189">
        <v>0</v>
      </c>
      <c r="AC89" s="81"/>
      <c r="AD89" s="170">
        <f t="shared" si="40"/>
        <v>0</v>
      </c>
      <c r="AE89" s="170"/>
      <c r="AF89" s="189">
        <f t="shared" si="41"/>
        <v>0</v>
      </c>
      <c r="AG89" s="28"/>
      <c r="AH89" s="28"/>
      <c r="AI89" s="28"/>
      <c r="AJ89" s="60"/>
      <c r="AK89" s="45"/>
      <c r="AL89" s="173"/>
      <c r="AM89" s="173"/>
      <c r="AN89" s="213"/>
      <c r="AO89" s="28"/>
      <c r="AP89" s="41"/>
      <c r="AQ89" s="28"/>
      <c r="AR89" s="28"/>
      <c r="AS89" s="213"/>
      <c r="AT89" s="28"/>
      <c r="AU89" s="41"/>
      <c r="AV89" s="28"/>
      <c r="AW89" s="28"/>
      <c r="AX89" s="213"/>
      <c r="AY89" s="28"/>
      <c r="AZ89" s="41"/>
      <c r="BA89" s="28"/>
      <c r="BB89" s="28"/>
      <c r="BC89" s="213"/>
      <c r="BD89" s="28"/>
      <c r="BE89" s="41"/>
      <c r="BF89" s="28"/>
      <c r="BG89" s="28"/>
      <c r="BH89" s="213"/>
      <c r="BI89" s="28"/>
      <c r="BJ89" s="41"/>
      <c r="BK89" s="45"/>
      <c r="BL89" s="28"/>
      <c r="BM89" s="174"/>
    </row>
    <row r="90" spans="1:65" x14ac:dyDescent="0.25">
      <c r="A90" s="168" t="str">
        <f>A47</f>
        <v>Classified Staff</v>
      </c>
      <c r="B90" s="187"/>
      <c r="C90" s="167" t="str">
        <f>C46</f>
        <v>Administrative Assistant:</v>
      </c>
      <c r="D90" s="167"/>
      <c r="E90" s="167"/>
      <c r="F90" s="81"/>
      <c r="G90" s="81"/>
      <c r="H90" s="216">
        <f t="shared" si="39"/>
        <v>0.28899999999999998</v>
      </c>
      <c r="I90" s="188"/>
      <c r="J90" s="170">
        <f>IF($AK$12="Yes",$H90*J47*(1+$AK$5),$H90*J47)</f>
        <v>0</v>
      </c>
      <c r="K90" s="81"/>
      <c r="L90" s="189">
        <v>0</v>
      </c>
      <c r="M90" s="81"/>
      <c r="N90" s="170">
        <f>IF($AK$12="Yes",$H90*N47*(1+$AK$5)^2,$H90*N47*(1+$AK$5))</f>
        <v>0</v>
      </c>
      <c r="O90" s="81"/>
      <c r="P90" s="189">
        <v>0</v>
      </c>
      <c r="Q90" s="81"/>
      <c r="R90" s="170">
        <f>IF($AK$12="Yes",$H90*R47*(1+$AK$5)^3,$H90*R47*(1+$AK$5)^2)</f>
        <v>0</v>
      </c>
      <c r="S90" s="81"/>
      <c r="T90" s="189">
        <v>0</v>
      </c>
      <c r="U90" s="81"/>
      <c r="V90" s="170">
        <f>IF($AK$12="Yes",$H90*V47*(1+$AK$5)^4,$H90*V47*(1+$AK$5)^3)</f>
        <v>0</v>
      </c>
      <c r="W90" s="81"/>
      <c r="X90" s="189">
        <v>0</v>
      </c>
      <c r="Y90" s="81"/>
      <c r="Z90" s="170">
        <f>IF($AK$12="Yes",$H90*Z47*(1+$AK$5)^5,$H90*Z47*(1+$AK$5)^4)</f>
        <v>0</v>
      </c>
      <c r="AA90" s="81"/>
      <c r="AB90" s="189">
        <v>0</v>
      </c>
      <c r="AC90" s="81"/>
      <c r="AD90" s="170">
        <f t="shared" si="40"/>
        <v>0</v>
      </c>
      <c r="AE90" s="170"/>
      <c r="AF90" s="189">
        <f t="shared" si="41"/>
        <v>0</v>
      </c>
      <c r="AG90" s="28"/>
      <c r="AH90" s="28"/>
      <c r="AI90" s="28"/>
      <c r="AJ90" s="60"/>
      <c r="AK90" s="45"/>
      <c r="AL90" s="173"/>
      <c r="AM90" s="173"/>
      <c r="AN90" s="213"/>
      <c r="AO90" s="28"/>
      <c r="AP90" s="41"/>
      <c r="AQ90" s="28"/>
      <c r="AR90" s="28"/>
      <c r="AS90" s="213"/>
      <c r="AT90" s="28"/>
      <c r="AU90" s="41"/>
      <c r="AV90" s="28"/>
      <c r="AW90" s="28"/>
      <c r="AX90" s="213"/>
      <c r="AY90" s="28"/>
      <c r="AZ90" s="41"/>
      <c r="BA90" s="28"/>
      <c r="BB90" s="28"/>
      <c r="BC90" s="213"/>
      <c r="BD90" s="28"/>
      <c r="BE90" s="41"/>
      <c r="BF90" s="28"/>
      <c r="BG90" s="28"/>
      <c r="BH90" s="213"/>
      <c r="BI90" s="28"/>
      <c r="BJ90" s="41"/>
      <c r="BK90" s="45"/>
      <c r="BL90" s="28"/>
      <c r="BM90" s="174"/>
    </row>
    <row r="91" spans="1:65" x14ac:dyDescent="0.25">
      <c r="A91" s="168" t="str">
        <f>A49</f>
        <v>GRA AY</v>
      </c>
      <c r="B91" s="167"/>
      <c r="C91" s="167" t="str">
        <f>C48</f>
        <v>Graduate Research Assistant</v>
      </c>
      <c r="D91" s="167"/>
      <c r="E91" s="167"/>
      <c r="F91" s="81"/>
      <c r="G91" s="81"/>
      <c r="H91" s="216">
        <f t="shared" si="39"/>
        <v>2.9000000000000001E-2</v>
      </c>
      <c r="I91" s="188"/>
      <c r="J91" s="170">
        <f>IF($AK$12="Yes",$H91*SUM(J49)*(1+$AK$5), $H91*SUM(J49))</f>
        <v>0</v>
      </c>
      <c r="K91" s="170"/>
      <c r="L91" s="189">
        <v>0</v>
      </c>
      <c r="M91" s="170"/>
      <c r="N91" s="170">
        <f>IF($AK$12="Yes",$H91*N49*(1+$AK$5)^2,$H91*N49*(1+$AK$5))</f>
        <v>0</v>
      </c>
      <c r="O91" s="170"/>
      <c r="P91" s="189">
        <v>0</v>
      </c>
      <c r="Q91" s="170"/>
      <c r="R91" s="170">
        <f>IF($AK$12="Yes",$H91*SUM(R49)*(1+$AK$5), $H91*SUM(R49))</f>
        <v>0</v>
      </c>
      <c r="S91" s="170"/>
      <c r="T91" s="189">
        <v>0</v>
      </c>
      <c r="U91" s="170"/>
      <c r="V91" s="170">
        <f>IF($AK$12="Yes",$H91*SUM(V49)*(1+$AK$5), $H91*SUM(V49))</f>
        <v>0</v>
      </c>
      <c r="W91" s="170"/>
      <c r="X91" s="189">
        <v>0</v>
      </c>
      <c r="Y91" s="170"/>
      <c r="Z91" s="170">
        <f>IF($AK$12="Yes",$H91*SUM(Z49)*(1+$AK$5), $H91*SUM(Z49))</f>
        <v>0</v>
      </c>
      <c r="AA91" s="170"/>
      <c r="AB91" s="189">
        <v>0</v>
      </c>
      <c r="AC91" s="170"/>
      <c r="AD91" s="170">
        <f t="shared" si="40"/>
        <v>0</v>
      </c>
      <c r="AE91" s="170"/>
      <c r="AF91" s="189">
        <f t="shared" si="41"/>
        <v>0</v>
      </c>
      <c r="AG91" s="28"/>
      <c r="AH91" s="28"/>
      <c r="AI91" s="28"/>
      <c r="AJ91" s="60"/>
      <c r="AK91" s="45"/>
      <c r="AL91" s="173"/>
      <c r="AM91" s="173"/>
      <c r="AN91" s="213"/>
      <c r="AO91" s="28"/>
      <c r="AP91" s="41"/>
      <c r="AQ91" s="28"/>
      <c r="AR91" s="28"/>
      <c r="AS91" s="213"/>
      <c r="AT91" s="28"/>
      <c r="AU91" s="41"/>
      <c r="AV91" s="28"/>
      <c r="AW91" s="28"/>
      <c r="AX91" s="213"/>
      <c r="AY91" s="28"/>
      <c r="AZ91" s="41"/>
      <c r="BA91" s="28"/>
      <c r="BB91" s="28"/>
      <c r="BC91" s="213"/>
      <c r="BD91" s="28"/>
      <c r="BE91" s="41"/>
      <c r="BF91" s="28"/>
      <c r="BG91" s="28"/>
      <c r="BH91" s="213"/>
      <c r="BI91" s="28"/>
      <c r="BJ91" s="41"/>
      <c r="BK91" s="45"/>
      <c r="BL91" s="28"/>
      <c r="BM91" s="174"/>
    </row>
    <row r="92" spans="1:65" x14ac:dyDescent="0.25">
      <c r="A92" s="168" t="str">
        <f>A50</f>
        <v>GRA Summer</v>
      </c>
      <c r="B92" s="167"/>
      <c r="C92" s="167"/>
      <c r="D92" s="167" t="s">
        <v>85</v>
      </c>
      <c r="E92" s="167"/>
      <c r="F92" s="81"/>
      <c r="G92" s="81"/>
      <c r="H92" s="216">
        <f t="shared" si="39"/>
        <v>0.109</v>
      </c>
      <c r="I92" s="188"/>
      <c r="J92" s="170">
        <f>IF($AK$12="Yes",$H92*SUM(J50)*(1+$AK$5), $H92*SUM(J50))</f>
        <v>0</v>
      </c>
      <c r="K92" s="170"/>
      <c r="L92" s="189">
        <v>0</v>
      </c>
      <c r="M92" s="170"/>
      <c r="N92" s="170">
        <f>IF($AK$12="Yes",$H92*N50*(1+$AK$5)^2,$H92*N50*(1+$AK$5))</f>
        <v>0</v>
      </c>
      <c r="O92" s="170"/>
      <c r="P92" s="189">
        <v>0</v>
      </c>
      <c r="Q92" s="170"/>
      <c r="R92" s="170">
        <f>IF($AK$12="Yes",$H92*SUM(R50)*(1+$AK$5), $H92*SUM(R50))</f>
        <v>0</v>
      </c>
      <c r="S92" s="170"/>
      <c r="T92" s="189">
        <v>0</v>
      </c>
      <c r="U92" s="170"/>
      <c r="V92" s="170">
        <f>IF($AK$12="Yes",$H92*SUM(V50)*(1+$AK$5), $H92*SUM(V50))</f>
        <v>0</v>
      </c>
      <c r="W92" s="170"/>
      <c r="X92" s="189">
        <v>0</v>
      </c>
      <c r="Y92" s="170"/>
      <c r="Z92" s="170">
        <f>IF($AK$12="Yes",$H92*SUM(Z50)*(1+$AK$5), $H92*SUM(Z50))</f>
        <v>0</v>
      </c>
      <c r="AA92" s="170"/>
      <c r="AB92" s="189">
        <v>0</v>
      </c>
      <c r="AC92" s="170"/>
      <c r="AD92" s="170">
        <f t="shared" si="40"/>
        <v>0</v>
      </c>
      <c r="AE92" s="170"/>
      <c r="AF92" s="189">
        <f t="shared" si="41"/>
        <v>0</v>
      </c>
      <c r="AG92" s="28"/>
      <c r="AH92" s="28"/>
      <c r="AI92" s="28"/>
      <c r="AJ92" s="60"/>
      <c r="AK92" s="45"/>
      <c r="AL92" s="173"/>
      <c r="AM92" s="173"/>
      <c r="AN92" s="213"/>
      <c r="AO92" s="28"/>
      <c r="AP92" s="41"/>
      <c r="AQ92" s="28"/>
      <c r="AR92" s="28"/>
      <c r="AS92" s="213"/>
      <c r="AT92" s="28"/>
      <c r="AU92" s="41"/>
      <c r="AV92" s="28"/>
      <c r="AW92" s="28"/>
      <c r="AX92" s="213"/>
      <c r="AY92" s="28"/>
      <c r="AZ92" s="41"/>
      <c r="BA92" s="28"/>
      <c r="BB92" s="28"/>
      <c r="BC92" s="213"/>
      <c r="BD92" s="28"/>
      <c r="BE92" s="41"/>
      <c r="BF92" s="28"/>
      <c r="BG92" s="28"/>
      <c r="BH92" s="213"/>
      <c r="BI92" s="28"/>
      <c r="BJ92" s="41"/>
      <c r="BK92" s="45"/>
      <c r="BL92" s="28"/>
      <c r="BM92" s="174"/>
    </row>
    <row r="93" spans="1:65" x14ac:dyDescent="0.25">
      <c r="A93" s="168" t="str">
        <f>A52</f>
        <v>GRA AY</v>
      </c>
      <c r="B93" s="167"/>
      <c r="C93" s="167" t="str">
        <f>C51</f>
        <v>Graduate Research Assistant</v>
      </c>
      <c r="D93" s="167"/>
      <c r="E93" s="167"/>
      <c r="F93" s="81"/>
      <c r="G93" s="81"/>
      <c r="H93" s="216">
        <f t="shared" si="39"/>
        <v>2.9000000000000001E-2</v>
      </c>
      <c r="I93" s="188"/>
      <c r="J93" s="170">
        <f>IF($AK$12="Yes",$H93*SUM(J52)*(1+$AK$5), $H93*SUM(J52))</f>
        <v>0</v>
      </c>
      <c r="K93" s="170"/>
      <c r="L93" s="189">
        <v>0</v>
      </c>
      <c r="M93" s="170"/>
      <c r="N93" s="170">
        <f>IF($AK$12="Yes",$H93*N52*(1+$AK$5)^2,$H93*N52*(1+$AK$5))</f>
        <v>0</v>
      </c>
      <c r="O93" s="170"/>
      <c r="P93" s="189">
        <v>0</v>
      </c>
      <c r="Q93" s="170"/>
      <c r="R93" s="170">
        <f>IF($AK$12="Yes",$H93*SUM(R52)*(1+$AK$5), $H93*SUM(R52))</f>
        <v>0</v>
      </c>
      <c r="S93" s="170"/>
      <c r="T93" s="189">
        <v>0</v>
      </c>
      <c r="U93" s="170"/>
      <c r="V93" s="170">
        <f>IF($AK$12="Yes",$H93*SUM(V52)*(1+$AK$5), $H93*SUM(V52))</f>
        <v>0</v>
      </c>
      <c r="W93" s="170"/>
      <c r="X93" s="189">
        <v>0</v>
      </c>
      <c r="Y93" s="170"/>
      <c r="Z93" s="170">
        <f>IF($AK$12="Yes",$H93*SUM(Z52)*(1+$AK$5), $H93*SUM(Z52))</f>
        <v>0</v>
      </c>
      <c r="AA93" s="170"/>
      <c r="AB93" s="189">
        <v>0</v>
      </c>
      <c r="AC93" s="170"/>
      <c r="AD93" s="170">
        <f t="shared" si="40"/>
        <v>0</v>
      </c>
      <c r="AE93" s="170"/>
      <c r="AF93" s="189">
        <f t="shared" si="41"/>
        <v>0</v>
      </c>
      <c r="AG93" s="28"/>
      <c r="AH93" s="28"/>
      <c r="AI93" s="28"/>
      <c r="AJ93" s="60"/>
      <c r="AK93" s="45"/>
      <c r="AL93" s="173"/>
      <c r="AM93" s="173"/>
      <c r="AN93" s="213"/>
      <c r="AO93" s="28"/>
      <c r="AP93" s="41"/>
      <c r="AQ93" s="28"/>
      <c r="AR93" s="28"/>
      <c r="AS93" s="213"/>
      <c r="AT93" s="28"/>
      <c r="AU93" s="41"/>
      <c r="AV93" s="28"/>
      <c r="AW93" s="28"/>
      <c r="AX93" s="213"/>
      <c r="AY93" s="28"/>
      <c r="AZ93" s="41"/>
      <c r="BA93" s="28"/>
      <c r="BB93" s="28"/>
      <c r="BC93" s="213"/>
      <c r="BD93" s="28"/>
      <c r="BE93" s="41"/>
      <c r="BF93" s="28"/>
      <c r="BG93" s="28"/>
      <c r="BH93" s="213"/>
      <c r="BI93" s="28"/>
      <c r="BJ93" s="41"/>
      <c r="BK93" s="45"/>
      <c r="BL93" s="28"/>
      <c r="BM93" s="174"/>
    </row>
    <row r="94" spans="1:65" x14ac:dyDescent="0.25">
      <c r="A94" s="168" t="str">
        <f>A53</f>
        <v>GRA Summer</v>
      </c>
      <c r="B94" s="167"/>
      <c r="C94" s="167"/>
      <c r="D94" s="167" t="s">
        <v>85</v>
      </c>
      <c r="E94" s="167"/>
      <c r="F94" s="81"/>
      <c r="G94" s="81"/>
      <c r="H94" s="216">
        <f t="shared" si="39"/>
        <v>0.109</v>
      </c>
      <c r="I94" s="188"/>
      <c r="J94" s="170">
        <f>IF($AK$12="Yes",$H94*SUM(J53)*(1+$AK$5), $H94*SUM(J53))</f>
        <v>0</v>
      </c>
      <c r="K94" s="170"/>
      <c r="L94" s="189">
        <v>0</v>
      </c>
      <c r="M94" s="170"/>
      <c r="N94" s="170">
        <f>IF($AK$12="Yes",$H94*N53*(1+$AK$5)^2,$H94*N53*(1+$AK$5))</f>
        <v>0</v>
      </c>
      <c r="O94" s="170"/>
      <c r="P94" s="189">
        <v>0</v>
      </c>
      <c r="Q94" s="170"/>
      <c r="R94" s="170">
        <f>IF($AK$12="Yes",$H94*SUM(R53)*(1+$AK$5), $H94*SUM(R53))</f>
        <v>0</v>
      </c>
      <c r="S94" s="170"/>
      <c r="T94" s="189">
        <v>0</v>
      </c>
      <c r="U94" s="170"/>
      <c r="V94" s="170">
        <f>IF($AK$12="Yes",$H94*SUM(V53)*(1+$AK$5), $H94*SUM(V53))</f>
        <v>0</v>
      </c>
      <c r="W94" s="170"/>
      <c r="X94" s="189">
        <v>0</v>
      </c>
      <c r="Y94" s="170"/>
      <c r="Z94" s="170">
        <f>IF($AK$12="Yes",$H94*SUM(Z53)*(1+$AK$5), $H94*SUM(Z53))</f>
        <v>0</v>
      </c>
      <c r="AA94" s="170"/>
      <c r="AB94" s="189">
        <v>0</v>
      </c>
      <c r="AC94" s="170"/>
      <c r="AD94" s="170">
        <f t="shared" si="40"/>
        <v>0</v>
      </c>
      <c r="AE94" s="170"/>
      <c r="AF94" s="189">
        <f t="shared" si="41"/>
        <v>0</v>
      </c>
      <c r="AG94" s="28"/>
      <c r="AH94" s="28"/>
      <c r="AI94" s="28"/>
      <c r="AJ94" s="60"/>
      <c r="AK94" s="45"/>
      <c r="AL94" s="173"/>
      <c r="AM94" s="173"/>
      <c r="AN94" s="213"/>
      <c r="AO94" s="28"/>
      <c r="AP94" s="41"/>
      <c r="AQ94" s="28"/>
      <c r="AR94" s="28"/>
      <c r="AS94" s="213"/>
      <c r="AT94" s="28"/>
      <c r="AU94" s="41"/>
      <c r="AV94" s="28"/>
      <c r="AW94" s="28"/>
      <c r="AX94" s="213"/>
      <c r="AY94" s="28"/>
      <c r="AZ94" s="41"/>
      <c r="BA94" s="28"/>
      <c r="BB94" s="28"/>
      <c r="BC94" s="213"/>
      <c r="BD94" s="28"/>
      <c r="BE94" s="41"/>
      <c r="BF94" s="28"/>
      <c r="BG94" s="28"/>
      <c r="BH94" s="213"/>
      <c r="BI94" s="28"/>
      <c r="BJ94" s="41"/>
      <c r="BK94" s="45"/>
      <c r="BL94" s="28"/>
      <c r="BM94" s="174"/>
    </row>
    <row r="95" spans="1:65" x14ac:dyDescent="0.25">
      <c r="A95" s="168" t="str">
        <f>A55</f>
        <v>GRA AY</v>
      </c>
      <c r="B95" s="167"/>
      <c r="C95" s="167" t="str">
        <f>C54</f>
        <v>Graduate Research Assistant</v>
      </c>
      <c r="D95" s="167"/>
      <c r="E95" s="167"/>
      <c r="F95" s="81"/>
      <c r="G95" s="81"/>
      <c r="H95" s="216">
        <f t="shared" si="39"/>
        <v>2.9000000000000001E-2</v>
      </c>
      <c r="I95" s="188"/>
      <c r="J95" s="170">
        <f>IF($AK$12="Yes",$H95*SUM(J55)*(1+$AK$5), $H95*SUM(J55))</f>
        <v>0</v>
      </c>
      <c r="K95" s="170"/>
      <c r="L95" s="189">
        <v>0</v>
      </c>
      <c r="M95" s="170"/>
      <c r="N95" s="170">
        <f>IF($AK$12="Yes",$H95*N55*(1+$AK$5)^2,$H95*N55*(1+$AK$5))</f>
        <v>0</v>
      </c>
      <c r="O95" s="170"/>
      <c r="P95" s="189">
        <v>0</v>
      </c>
      <c r="Q95" s="170"/>
      <c r="R95" s="170">
        <f>IF($AK$12="Yes",$H95*SUM(R55)*(1+$AK$5), $H95*SUM(R55))</f>
        <v>0</v>
      </c>
      <c r="S95" s="170"/>
      <c r="T95" s="189">
        <v>0</v>
      </c>
      <c r="U95" s="170"/>
      <c r="V95" s="170">
        <f>IF($AK$12="Yes",$H95*SUM(V55)*(1+$AK$5), $H95*SUM(V55))</f>
        <v>0</v>
      </c>
      <c r="W95" s="170"/>
      <c r="X95" s="189">
        <v>0</v>
      </c>
      <c r="Y95" s="170"/>
      <c r="Z95" s="170">
        <f>IF($AK$12="Yes",$H95*SUM(Z55)*(1+$AK$5), $H95*SUM(Z55))</f>
        <v>0</v>
      </c>
      <c r="AA95" s="170"/>
      <c r="AB95" s="189">
        <v>0</v>
      </c>
      <c r="AC95" s="170"/>
      <c r="AD95" s="170">
        <f t="shared" si="40"/>
        <v>0</v>
      </c>
      <c r="AE95" s="170"/>
      <c r="AF95" s="189">
        <f t="shared" si="41"/>
        <v>0</v>
      </c>
      <c r="AG95" s="28"/>
      <c r="AH95" s="28"/>
      <c r="AI95" s="28"/>
      <c r="AJ95" s="60"/>
      <c r="AK95" s="45"/>
      <c r="AL95" s="173"/>
      <c r="AM95" s="173"/>
      <c r="AN95" s="213"/>
      <c r="AO95" s="28"/>
      <c r="AP95" s="41"/>
      <c r="AQ95" s="28"/>
      <c r="AR95" s="28"/>
      <c r="AS95" s="213"/>
      <c r="AT95" s="28"/>
      <c r="AU95" s="41"/>
      <c r="AV95" s="28"/>
      <c r="AW95" s="28"/>
      <c r="AX95" s="213"/>
      <c r="AY95" s="28"/>
      <c r="AZ95" s="41"/>
      <c r="BA95" s="28"/>
      <c r="BB95" s="28"/>
      <c r="BC95" s="213"/>
      <c r="BD95" s="28"/>
      <c r="BE95" s="41"/>
      <c r="BF95" s="28"/>
      <c r="BG95" s="28"/>
      <c r="BH95" s="213"/>
      <c r="BI95" s="28"/>
      <c r="BJ95" s="41"/>
      <c r="BK95" s="45"/>
      <c r="BL95" s="28"/>
      <c r="BM95" s="174"/>
    </row>
    <row r="96" spans="1:65" x14ac:dyDescent="0.25">
      <c r="A96" s="168" t="str">
        <f>A56</f>
        <v>GRA Summer</v>
      </c>
      <c r="B96" s="167"/>
      <c r="C96" s="167"/>
      <c r="D96" s="167" t="s">
        <v>85</v>
      </c>
      <c r="E96" s="167"/>
      <c r="F96" s="81"/>
      <c r="G96" s="81"/>
      <c r="H96" s="216">
        <f t="shared" si="39"/>
        <v>0.109</v>
      </c>
      <c r="I96" s="188"/>
      <c r="J96" s="170">
        <f>IF($AK$12="Yes",$H96*SUM(J56)*(1+$AK$5), $H96*SUM(J56))</f>
        <v>0</v>
      </c>
      <c r="K96" s="170"/>
      <c r="L96" s="189">
        <v>0</v>
      </c>
      <c r="M96" s="170"/>
      <c r="N96" s="170">
        <f>IF($AK$12="Yes",$H96*N56*(1+$AK$5)^2,$H96*N56*(1+$AK$5))</f>
        <v>0</v>
      </c>
      <c r="O96" s="170"/>
      <c r="P96" s="189">
        <v>0</v>
      </c>
      <c r="Q96" s="170"/>
      <c r="R96" s="170">
        <f>IF($AK$12="Yes",$H96*SUM(R56)*(1+$AK$5), $H96*SUM(R56))</f>
        <v>0</v>
      </c>
      <c r="S96" s="170"/>
      <c r="T96" s="189">
        <v>0</v>
      </c>
      <c r="U96" s="170"/>
      <c r="V96" s="170">
        <f>IF($AK$12="Yes",$H96*SUM(V56)*(1+$AK$5), $H96*SUM(V56))</f>
        <v>0</v>
      </c>
      <c r="W96" s="170"/>
      <c r="X96" s="189">
        <v>0</v>
      </c>
      <c r="Y96" s="170"/>
      <c r="Z96" s="170">
        <f>IF($AK$12="Yes",$H96*SUM(Z56)*(1+$AK$5), $H96*SUM(Z56))</f>
        <v>0</v>
      </c>
      <c r="AA96" s="170"/>
      <c r="AB96" s="189">
        <v>0</v>
      </c>
      <c r="AC96" s="170"/>
      <c r="AD96" s="170">
        <f t="shared" si="40"/>
        <v>0</v>
      </c>
      <c r="AE96" s="170"/>
      <c r="AF96" s="189">
        <f t="shared" si="41"/>
        <v>0</v>
      </c>
      <c r="AG96" s="28"/>
      <c r="AH96" s="28"/>
      <c r="AI96" s="28"/>
      <c r="AJ96" s="60"/>
      <c r="AK96" s="45"/>
      <c r="AL96" s="173"/>
      <c r="AM96" s="173"/>
      <c r="AN96" s="213"/>
      <c r="AO96" s="28"/>
      <c r="AP96" s="41"/>
      <c r="AQ96" s="28"/>
      <c r="AR96" s="28"/>
      <c r="AS96" s="213"/>
      <c r="AT96" s="28"/>
      <c r="AU96" s="41"/>
      <c r="AV96" s="28"/>
      <c r="AW96" s="28"/>
      <c r="AX96" s="213"/>
      <c r="AY96" s="28"/>
      <c r="AZ96" s="41"/>
      <c r="BA96" s="28"/>
      <c r="BB96" s="28"/>
      <c r="BC96" s="213"/>
      <c r="BD96" s="28"/>
      <c r="BE96" s="41"/>
      <c r="BF96" s="28"/>
      <c r="BG96" s="28"/>
      <c r="BH96" s="213"/>
      <c r="BI96" s="28"/>
      <c r="BJ96" s="41"/>
      <c r="BK96" s="45"/>
      <c r="BL96" s="28"/>
      <c r="BM96" s="174"/>
    </row>
    <row r="97" spans="1:65" x14ac:dyDescent="0.25">
      <c r="A97" s="168" t="str">
        <f>A58</f>
        <v>GRA AY</v>
      </c>
      <c r="B97" s="167"/>
      <c r="C97" s="167" t="str">
        <f>C57</f>
        <v>Graduate Research Assistant</v>
      </c>
      <c r="D97" s="167"/>
      <c r="E97" s="167"/>
      <c r="F97" s="81"/>
      <c r="G97" s="81"/>
      <c r="H97" s="216">
        <f t="shared" si="39"/>
        <v>2.9000000000000001E-2</v>
      </c>
      <c r="I97" s="188"/>
      <c r="J97" s="170">
        <f>IF($AK$12="Yes",$H97*SUM(J58)*(1+$AK$5), $H97*SUM(J58))</f>
        <v>0</v>
      </c>
      <c r="K97" s="170"/>
      <c r="L97" s="189">
        <v>0</v>
      </c>
      <c r="M97" s="170"/>
      <c r="N97" s="170">
        <f>IF($AK$12="Yes",$H97*N58*(1+$AK$5)^2,$H97*N58*(1+$AK$5))</f>
        <v>0</v>
      </c>
      <c r="O97" s="170"/>
      <c r="P97" s="189">
        <v>0</v>
      </c>
      <c r="Q97" s="170"/>
      <c r="R97" s="170">
        <f>IF($AK$12="Yes",$H97*SUM(R58)*(1+$AK$5), $H97*SUM(R58))</f>
        <v>0</v>
      </c>
      <c r="S97" s="170"/>
      <c r="T97" s="189">
        <v>0</v>
      </c>
      <c r="U97" s="170"/>
      <c r="V97" s="170">
        <f>IF($AK$12="Yes",$H97*SUM(V58)*(1+$AK$5), $H97*SUM(V58))</f>
        <v>0</v>
      </c>
      <c r="W97" s="170"/>
      <c r="X97" s="189">
        <v>0</v>
      </c>
      <c r="Y97" s="170"/>
      <c r="Z97" s="170">
        <f>IF($AK$12="Yes",$H97*SUM(Z58)*(1+$AK$5), $H97*SUM(Z58))</f>
        <v>0</v>
      </c>
      <c r="AA97" s="170"/>
      <c r="AB97" s="189">
        <v>0</v>
      </c>
      <c r="AC97" s="170"/>
      <c r="AD97" s="170">
        <f t="shared" si="40"/>
        <v>0</v>
      </c>
      <c r="AE97" s="170"/>
      <c r="AF97" s="189">
        <f t="shared" si="41"/>
        <v>0</v>
      </c>
      <c r="AG97" s="28"/>
      <c r="AH97" s="28"/>
      <c r="AI97" s="28"/>
      <c r="AJ97" s="60"/>
      <c r="AK97" s="45"/>
      <c r="AL97" s="173"/>
      <c r="AM97" s="173"/>
      <c r="AN97" s="213"/>
      <c r="AO97" s="28"/>
      <c r="AP97" s="41"/>
      <c r="AQ97" s="28"/>
      <c r="AR97" s="28"/>
      <c r="AS97" s="213"/>
      <c r="AT97" s="28"/>
      <c r="AU97" s="41"/>
      <c r="AV97" s="28"/>
      <c r="AW97" s="28"/>
      <c r="AX97" s="213"/>
      <c r="AY97" s="28"/>
      <c r="AZ97" s="41"/>
      <c r="BA97" s="28"/>
      <c r="BB97" s="28"/>
      <c r="BC97" s="213"/>
      <c r="BD97" s="28"/>
      <c r="BE97" s="41"/>
      <c r="BF97" s="28"/>
      <c r="BG97" s="28"/>
      <c r="BH97" s="213"/>
      <c r="BI97" s="28"/>
      <c r="BJ97" s="41"/>
      <c r="BK97" s="45"/>
      <c r="BL97" s="28"/>
      <c r="BM97" s="174"/>
    </row>
    <row r="98" spans="1:65" x14ac:dyDescent="0.25">
      <c r="A98" s="168" t="str">
        <f>A59</f>
        <v>GRA Summer</v>
      </c>
      <c r="B98" s="167"/>
      <c r="C98" s="167"/>
      <c r="D98" s="167" t="s">
        <v>85</v>
      </c>
      <c r="E98" s="167"/>
      <c r="F98" s="81"/>
      <c r="G98" s="81"/>
      <c r="H98" s="216">
        <f t="shared" si="39"/>
        <v>0.109</v>
      </c>
      <c r="I98" s="188"/>
      <c r="J98" s="170">
        <f>IF($AK$12="Yes",$H98*SUM(J59)*(1+$AK$5), $H98*SUM(J59))</f>
        <v>0</v>
      </c>
      <c r="K98" s="170"/>
      <c r="L98" s="189">
        <v>0</v>
      </c>
      <c r="M98" s="170"/>
      <c r="N98" s="170">
        <f>IF($AK$12="Yes",$H98*N59*(1+$AK$5)^2,$H98*N59*(1+$AK$5))</f>
        <v>0</v>
      </c>
      <c r="O98" s="170"/>
      <c r="P98" s="189">
        <v>0</v>
      </c>
      <c r="Q98" s="170"/>
      <c r="R98" s="170">
        <f>IF($AK$12="Yes",$H98*SUM(R59)*(1+$AK$5), $H98*SUM(R59))</f>
        <v>0</v>
      </c>
      <c r="S98" s="170"/>
      <c r="T98" s="189">
        <v>0</v>
      </c>
      <c r="U98" s="170"/>
      <c r="V98" s="170">
        <f>IF($AK$12="Yes",$H98*SUM(V59)*(1+$AK$5), $H98*SUM(V59))</f>
        <v>0</v>
      </c>
      <c r="W98" s="170"/>
      <c r="X98" s="189">
        <v>0</v>
      </c>
      <c r="Y98" s="170"/>
      <c r="Z98" s="170">
        <f>IF($AK$12="Yes",$H98*SUM(Z59)*(1+$AK$5), $H98*SUM(Z59))</f>
        <v>0</v>
      </c>
      <c r="AA98" s="170"/>
      <c r="AB98" s="189">
        <v>0</v>
      </c>
      <c r="AC98" s="170"/>
      <c r="AD98" s="170">
        <f t="shared" si="40"/>
        <v>0</v>
      </c>
      <c r="AE98" s="170"/>
      <c r="AF98" s="189">
        <f t="shared" si="41"/>
        <v>0</v>
      </c>
      <c r="AG98" s="28"/>
      <c r="AH98" s="28"/>
      <c r="AI98" s="28"/>
      <c r="AJ98" s="60"/>
      <c r="AK98" s="45"/>
      <c r="AL98" s="173"/>
      <c r="AM98" s="173"/>
      <c r="AN98" s="213"/>
      <c r="AO98" s="28"/>
      <c r="AP98" s="41"/>
      <c r="AQ98" s="28"/>
      <c r="AR98" s="28"/>
      <c r="AS98" s="213"/>
      <c r="AT98" s="28"/>
      <c r="AU98" s="41"/>
      <c r="AV98" s="28"/>
      <c r="AW98" s="28"/>
      <c r="AX98" s="213"/>
      <c r="AY98" s="28"/>
      <c r="AZ98" s="41"/>
      <c r="BA98" s="28"/>
      <c r="BB98" s="28"/>
      <c r="BC98" s="213"/>
      <c r="BD98" s="28"/>
      <c r="BE98" s="41"/>
      <c r="BF98" s="28"/>
      <c r="BG98" s="28"/>
      <c r="BH98" s="213"/>
      <c r="BI98" s="28"/>
      <c r="BJ98" s="41"/>
      <c r="BK98" s="45"/>
      <c r="BL98" s="28"/>
      <c r="BM98" s="174"/>
    </row>
    <row r="99" spans="1:65" x14ac:dyDescent="0.25">
      <c r="A99" s="168" t="str">
        <f>A61</f>
        <v>Hourly Student AY</v>
      </c>
      <c r="B99" s="167"/>
      <c r="C99" s="167" t="str">
        <f>C60</f>
        <v>Undergraduate Research Assistant</v>
      </c>
      <c r="D99" s="167"/>
      <c r="E99" s="167"/>
      <c r="F99" s="81"/>
      <c r="G99" s="81"/>
      <c r="H99" s="216">
        <f t="shared" si="39"/>
        <v>2.9000000000000001E-2</v>
      </c>
      <c r="I99" s="188"/>
      <c r="J99" s="170">
        <f>IF($AK$12="Yes",$H99*SUM(J61)*(1+$AK$5), $H99*SUM(J61))</f>
        <v>0</v>
      </c>
      <c r="K99" s="170"/>
      <c r="L99" s="189">
        <v>0</v>
      </c>
      <c r="M99" s="170"/>
      <c r="N99" s="170">
        <f>IF($AK$12="Yes",$H99*N61*(1+$AK$5)^2,$H99*N61*(1+$AK$5))</f>
        <v>0</v>
      </c>
      <c r="O99" s="170"/>
      <c r="P99" s="189">
        <v>0</v>
      </c>
      <c r="Q99" s="170"/>
      <c r="R99" s="170">
        <f>IF($AK$12="Yes",$H99*SUM(R61)*(1+$AK$5), $H99*SUM(R61))</f>
        <v>0</v>
      </c>
      <c r="S99" s="170"/>
      <c r="T99" s="189">
        <v>0</v>
      </c>
      <c r="U99" s="170"/>
      <c r="V99" s="170">
        <f>IF($AK$12="Yes",$H99*SUM(V61)*(1+$AK$5), $H99*SUM(V61))</f>
        <v>0</v>
      </c>
      <c r="W99" s="170"/>
      <c r="X99" s="189">
        <v>0</v>
      </c>
      <c r="Y99" s="170"/>
      <c r="Z99" s="170">
        <f>IF($AK$12="Yes",$H99*SUM(Z61)*(1+$AK$5), $H99*SUM(Z61))</f>
        <v>0</v>
      </c>
      <c r="AA99" s="170"/>
      <c r="AB99" s="189">
        <v>0</v>
      </c>
      <c r="AC99" s="170"/>
      <c r="AD99" s="170">
        <f t="shared" si="40"/>
        <v>0</v>
      </c>
      <c r="AE99" s="170"/>
      <c r="AF99" s="189">
        <f t="shared" si="41"/>
        <v>0</v>
      </c>
      <c r="AG99" s="28"/>
      <c r="AH99" s="28"/>
      <c r="AI99" s="28"/>
      <c r="AJ99" s="60"/>
      <c r="AK99" s="45"/>
      <c r="AL99" s="173"/>
      <c r="AM99" s="173"/>
      <c r="AN99" s="213"/>
      <c r="AO99" s="28"/>
      <c r="AP99" s="41"/>
      <c r="AQ99" s="28"/>
      <c r="AR99" s="28"/>
      <c r="AS99" s="213"/>
      <c r="AT99" s="28"/>
      <c r="AU99" s="41"/>
      <c r="AV99" s="28"/>
      <c r="AW99" s="28"/>
      <c r="AX99" s="213"/>
      <c r="AY99" s="28"/>
      <c r="AZ99" s="41"/>
      <c r="BA99" s="28"/>
      <c r="BB99" s="28"/>
      <c r="BC99" s="213"/>
      <c r="BD99" s="28"/>
      <c r="BE99" s="41"/>
      <c r="BF99" s="28"/>
      <c r="BG99" s="28"/>
      <c r="BH99" s="213"/>
      <c r="BI99" s="28"/>
      <c r="BJ99" s="41"/>
      <c r="BK99" s="45"/>
      <c r="BL99" s="28"/>
      <c r="BM99" s="174"/>
    </row>
    <row r="100" spans="1:65" x14ac:dyDescent="0.25">
      <c r="A100" s="168" t="str">
        <f>A62</f>
        <v>Hourly Student Summer</v>
      </c>
      <c r="B100" s="167"/>
      <c r="C100" s="167"/>
      <c r="D100" s="167" t="s">
        <v>85</v>
      </c>
      <c r="E100" s="167"/>
      <c r="F100" s="81"/>
      <c r="G100" s="81"/>
      <c r="H100" s="216">
        <f t="shared" si="39"/>
        <v>0.109</v>
      </c>
      <c r="I100" s="188"/>
      <c r="J100" s="170">
        <f>IF($AK$12="Yes",$H100*SUM(J62)*(1+$AK$5), $H100*SUM(J62))</f>
        <v>0</v>
      </c>
      <c r="K100" s="170"/>
      <c r="L100" s="189">
        <v>0</v>
      </c>
      <c r="M100" s="170"/>
      <c r="N100" s="170">
        <f>IF($AK$12="Yes",$H100*N62*(1+$AK$5)^2,$H100*N62*(1+$AK$5))</f>
        <v>0</v>
      </c>
      <c r="O100" s="170"/>
      <c r="P100" s="189">
        <v>0</v>
      </c>
      <c r="Q100" s="170"/>
      <c r="R100" s="170">
        <f>IF($AK$12="Yes",$H100*SUM(R62)*(1+$AK$5), $H100*SUM(R62))</f>
        <v>0</v>
      </c>
      <c r="S100" s="170"/>
      <c r="T100" s="189">
        <v>0</v>
      </c>
      <c r="U100" s="170"/>
      <c r="V100" s="170">
        <f>IF($AK$12="Yes",$H100*SUM(V62)*(1+$AK$5), $H100*SUM(V62))</f>
        <v>0</v>
      </c>
      <c r="W100" s="170"/>
      <c r="X100" s="189">
        <v>0</v>
      </c>
      <c r="Y100" s="170"/>
      <c r="Z100" s="170">
        <f>IF($AK$12="Yes",$H100*SUM(Z62)*(1+$AK$5), $H100*SUM(Z62))</f>
        <v>0</v>
      </c>
      <c r="AA100" s="170"/>
      <c r="AB100" s="189">
        <v>0</v>
      </c>
      <c r="AC100" s="170"/>
      <c r="AD100" s="170">
        <f t="shared" si="40"/>
        <v>0</v>
      </c>
      <c r="AE100" s="170"/>
      <c r="AF100" s="189">
        <f t="shared" si="41"/>
        <v>0</v>
      </c>
      <c r="AG100" s="28"/>
      <c r="AH100" s="28"/>
      <c r="AI100" s="28"/>
      <c r="AJ100" s="60"/>
      <c r="AK100" s="45"/>
      <c r="AL100" s="173"/>
      <c r="AM100" s="173"/>
      <c r="AN100" s="213"/>
      <c r="AO100" s="28"/>
      <c r="AP100" s="41"/>
      <c r="AQ100" s="28"/>
      <c r="AR100" s="28"/>
      <c r="AS100" s="213"/>
      <c r="AT100" s="28"/>
      <c r="AU100" s="41"/>
      <c r="AV100" s="28"/>
      <c r="AW100" s="28"/>
      <c r="AX100" s="213"/>
      <c r="AY100" s="28"/>
      <c r="AZ100" s="41"/>
      <c r="BA100" s="28"/>
      <c r="BB100" s="28"/>
      <c r="BC100" s="213"/>
      <c r="BD100" s="28"/>
      <c r="BE100" s="41"/>
      <c r="BF100" s="28"/>
      <c r="BG100" s="28"/>
      <c r="BH100" s="213"/>
      <c r="BI100" s="28"/>
      <c r="BJ100" s="41"/>
      <c r="BK100" s="45"/>
      <c r="BL100" s="28"/>
      <c r="BM100" s="174"/>
    </row>
    <row r="101" spans="1:65" x14ac:dyDescent="0.25">
      <c r="A101" s="168" t="str">
        <f>A64</f>
        <v>Hourly Student AY</v>
      </c>
      <c r="B101" s="167"/>
      <c r="C101" s="167" t="str">
        <f>C63</f>
        <v>Undergraduate Research Assistant</v>
      </c>
      <c r="D101" s="167"/>
      <c r="E101" s="167"/>
      <c r="F101" s="81"/>
      <c r="G101" s="81"/>
      <c r="H101" s="216">
        <f t="shared" si="39"/>
        <v>2.9000000000000001E-2</v>
      </c>
      <c r="I101" s="188"/>
      <c r="J101" s="170">
        <f>IF($AK$12="Yes",$H101*SUM(J64)*(1+$AK$5), $H101*SUM(J64))</f>
        <v>0</v>
      </c>
      <c r="K101" s="170"/>
      <c r="L101" s="189">
        <v>0</v>
      </c>
      <c r="M101" s="170"/>
      <c r="N101" s="170">
        <f>IF($AK$12="Yes",$H101*N64*(1+$AK$5)^2,$H101*N64*(1+$AK$5))</f>
        <v>0</v>
      </c>
      <c r="O101" s="170"/>
      <c r="P101" s="189">
        <v>0</v>
      </c>
      <c r="Q101" s="170"/>
      <c r="R101" s="170">
        <f>IF($AK$12="Yes",$H101*SUM(R64)*(1+$AK$5), $H101*SUM(R64))</f>
        <v>0</v>
      </c>
      <c r="S101" s="170"/>
      <c r="T101" s="189">
        <v>0</v>
      </c>
      <c r="U101" s="170"/>
      <c r="V101" s="170">
        <f>IF($AK$12="Yes",$H101*SUM(V64)*(1+$AK$5), $H101*SUM(V64))</f>
        <v>0</v>
      </c>
      <c r="W101" s="170"/>
      <c r="X101" s="189">
        <v>0</v>
      </c>
      <c r="Y101" s="170"/>
      <c r="Z101" s="170">
        <f>IF($AK$12="Yes",$H101*SUM(Z64)*(1+$AK$5), $H101*SUM(Z64))</f>
        <v>0</v>
      </c>
      <c r="AA101" s="170"/>
      <c r="AB101" s="189">
        <v>0</v>
      </c>
      <c r="AC101" s="170"/>
      <c r="AD101" s="170">
        <f t="shared" si="40"/>
        <v>0</v>
      </c>
      <c r="AE101" s="170"/>
      <c r="AF101" s="189">
        <f t="shared" si="41"/>
        <v>0</v>
      </c>
      <c r="AG101" s="28"/>
      <c r="AH101" s="28"/>
      <c r="AI101" s="28"/>
      <c r="AJ101" s="60"/>
      <c r="AK101" s="45"/>
      <c r="AL101" s="173"/>
      <c r="AM101" s="173"/>
      <c r="AN101" s="213"/>
      <c r="AO101" s="28"/>
      <c r="AP101" s="41"/>
      <c r="AQ101" s="28"/>
      <c r="AR101" s="28"/>
      <c r="AS101" s="213"/>
      <c r="AT101" s="28"/>
      <c r="AU101" s="41"/>
      <c r="AV101" s="28"/>
      <c r="AW101" s="28"/>
      <c r="AX101" s="213"/>
      <c r="AY101" s="28"/>
      <c r="AZ101" s="41"/>
      <c r="BA101" s="28"/>
      <c r="BB101" s="28"/>
      <c r="BC101" s="213"/>
      <c r="BD101" s="28"/>
      <c r="BE101" s="41"/>
      <c r="BF101" s="28"/>
      <c r="BG101" s="28"/>
      <c r="BH101" s="213"/>
      <c r="BI101" s="28"/>
      <c r="BJ101" s="41"/>
      <c r="BK101" s="45"/>
      <c r="BL101" s="28"/>
      <c r="BM101" s="174"/>
    </row>
    <row r="102" spans="1:65" x14ac:dyDescent="0.25">
      <c r="A102" s="168" t="str">
        <f>A65</f>
        <v>Hourly Student Summer</v>
      </c>
      <c r="B102" s="167"/>
      <c r="C102" s="167"/>
      <c r="D102" s="167" t="s">
        <v>85</v>
      </c>
      <c r="E102" s="167"/>
      <c r="F102" s="81"/>
      <c r="G102" s="81"/>
      <c r="H102" s="216">
        <f t="shared" si="39"/>
        <v>0.109</v>
      </c>
      <c r="I102" s="188"/>
      <c r="J102" s="170">
        <f>IF($AK$12="Yes",$H102*SUM(J65)*(1+$AK$5), $H102*SUM(J65))</f>
        <v>0</v>
      </c>
      <c r="K102" s="170"/>
      <c r="L102" s="189">
        <v>0</v>
      </c>
      <c r="M102" s="170"/>
      <c r="N102" s="170">
        <f>IF($AK$12="Yes",$H102*N65*(1+$AK$5)^2,$H102*N65*(1+$AK$5))</f>
        <v>0</v>
      </c>
      <c r="O102" s="170"/>
      <c r="P102" s="189">
        <v>0</v>
      </c>
      <c r="Q102" s="170"/>
      <c r="R102" s="170">
        <f>IF($AK$12="Yes",$H102*SUM(R65)*(1+$AK$5), $H102*SUM(R65))</f>
        <v>0</v>
      </c>
      <c r="S102" s="170"/>
      <c r="T102" s="189">
        <v>0</v>
      </c>
      <c r="U102" s="170"/>
      <c r="V102" s="170">
        <f>IF($AK$12="Yes",$H102*SUM(V65)*(1+$AK$5), $H102*SUM(V65))</f>
        <v>0</v>
      </c>
      <c r="W102" s="170"/>
      <c r="X102" s="189">
        <v>0</v>
      </c>
      <c r="Y102" s="170"/>
      <c r="Z102" s="170">
        <f>IF($AK$12="Yes",$H102*SUM(Z65)*(1+$AK$5), $H102*SUM(Z65))</f>
        <v>0</v>
      </c>
      <c r="AA102" s="170"/>
      <c r="AB102" s="189">
        <v>0</v>
      </c>
      <c r="AC102" s="170"/>
      <c r="AD102" s="170">
        <f t="shared" si="40"/>
        <v>0</v>
      </c>
      <c r="AE102" s="170"/>
      <c r="AF102" s="189">
        <f t="shared" si="41"/>
        <v>0</v>
      </c>
      <c r="AG102" s="28"/>
      <c r="AH102" s="28"/>
      <c r="AI102" s="28"/>
      <c r="AJ102" s="60"/>
      <c r="AK102" s="45"/>
      <c r="AL102" s="173"/>
      <c r="AM102" s="173"/>
      <c r="AN102" s="213"/>
      <c r="AO102" s="28"/>
      <c r="AP102" s="41"/>
      <c r="AQ102" s="28"/>
      <c r="AR102" s="28"/>
      <c r="AS102" s="213"/>
      <c r="AT102" s="28"/>
      <c r="AU102" s="41"/>
      <c r="AV102" s="28"/>
      <c r="AW102" s="28"/>
      <c r="AX102" s="213"/>
      <c r="AY102" s="28"/>
      <c r="AZ102" s="41"/>
      <c r="BA102" s="28"/>
      <c r="BB102" s="28"/>
      <c r="BC102" s="213"/>
      <c r="BD102" s="28"/>
      <c r="BE102" s="41"/>
      <c r="BF102" s="28"/>
      <c r="BG102" s="28"/>
      <c r="BH102" s="213"/>
      <c r="BI102" s="28"/>
      <c r="BJ102" s="41"/>
      <c r="BK102" s="45"/>
      <c r="BL102" s="28"/>
      <c r="BM102" s="174"/>
    </row>
    <row r="103" spans="1:65" x14ac:dyDescent="0.25">
      <c r="A103" s="168" t="str">
        <f>A67</f>
        <v>Hourly Student AY</v>
      </c>
      <c r="B103" s="187"/>
      <c r="C103" s="167" t="str">
        <f>C66</f>
        <v>Undergraduate Research Assistant</v>
      </c>
      <c r="D103" s="167"/>
      <c r="E103" s="167"/>
      <c r="F103" s="81"/>
      <c r="G103" s="81"/>
      <c r="H103" s="216">
        <f t="shared" si="39"/>
        <v>2.9000000000000001E-2</v>
      </c>
      <c r="I103" s="188"/>
      <c r="J103" s="170">
        <f>IF($AK$12="Yes",$H103*SUM(J67)*(1+$AK$5), $H103*SUM(J67))</f>
        <v>0</v>
      </c>
      <c r="K103" s="81"/>
      <c r="L103" s="189">
        <v>0</v>
      </c>
      <c r="M103" s="81"/>
      <c r="N103" s="170">
        <f>IF($AK$12="Yes",$H103*N67*(1+$AK$5)^2,$H103*N67*(1+$AK$5))</f>
        <v>0</v>
      </c>
      <c r="O103" s="81"/>
      <c r="P103" s="189">
        <v>0</v>
      </c>
      <c r="Q103" s="81"/>
      <c r="R103" s="170">
        <f>IF($AK$12="Yes",$H103*SUM(R67)*(1+$AK$5)^3, $H103*SUM(R67)*(1+$AK$5)^2)</f>
        <v>0</v>
      </c>
      <c r="S103" s="81"/>
      <c r="T103" s="189">
        <v>0</v>
      </c>
      <c r="U103" s="81"/>
      <c r="V103" s="170">
        <f>IF($AK$12="Yes",$H$103*SUM(V67)*(1+$AK$5)^4, $H103*SUM(V67)*(1+$AK$5)^3)</f>
        <v>0</v>
      </c>
      <c r="W103" s="81"/>
      <c r="X103" s="189">
        <v>0</v>
      </c>
      <c r="Y103" s="81"/>
      <c r="Z103" s="170">
        <f>IF($AK$12="Yes",$H103*SUM(Z67)*(1+$AK$5)^5, $H103*SUM(Z67)*(1+$AK$5)^4)</f>
        <v>0</v>
      </c>
      <c r="AA103" s="81"/>
      <c r="AB103" s="189">
        <v>0</v>
      </c>
      <c r="AC103" s="81"/>
      <c r="AD103" s="170">
        <f t="shared" si="40"/>
        <v>0</v>
      </c>
      <c r="AE103" s="170"/>
      <c r="AF103" s="189">
        <f t="shared" si="41"/>
        <v>0</v>
      </c>
      <c r="AG103" s="28"/>
      <c r="AH103" s="28"/>
      <c r="AI103" s="28"/>
      <c r="AJ103" s="60"/>
      <c r="AK103" s="45"/>
      <c r="AL103" s="173"/>
      <c r="AM103" s="173"/>
      <c r="AN103" s="213"/>
      <c r="AO103" s="28"/>
      <c r="AP103" s="41"/>
      <c r="AQ103" s="28"/>
      <c r="AR103" s="28"/>
      <c r="AS103" s="213"/>
      <c r="AT103" s="28"/>
      <c r="AU103" s="41"/>
      <c r="AV103" s="28"/>
      <c r="AW103" s="28"/>
      <c r="AX103" s="213"/>
      <c r="AY103" s="28"/>
      <c r="AZ103" s="41"/>
      <c r="BA103" s="28"/>
      <c r="BB103" s="28"/>
      <c r="BC103" s="213"/>
      <c r="BD103" s="28"/>
      <c r="BE103" s="41"/>
      <c r="BF103" s="28"/>
      <c r="BG103" s="28"/>
      <c r="BH103" s="213"/>
      <c r="BI103" s="28"/>
      <c r="BJ103" s="41"/>
      <c r="BK103" s="45"/>
      <c r="BL103" s="28"/>
      <c r="BM103" s="174"/>
    </row>
    <row r="104" spans="1:65" x14ac:dyDescent="0.25">
      <c r="A104" s="168" t="str">
        <f>A68</f>
        <v>Hourly Student Summer</v>
      </c>
      <c r="B104" s="187"/>
      <c r="C104" s="167"/>
      <c r="D104" s="167" t="s">
        <v>85</v>
      </c>
      <c r="E104" s="167"/>
      <c r="F104" s="81"/>
      <c r="G104" s="81"/>
      <c r="H104" s="216">
        <f t="shared" si="39"/>
        <v>0.109</v>
      </c>
      <c r="I104" s="188"/>
      <c r="J104" s="170">
        <f>IF($AK$12="Yes",$H104*SUM(J68)*(1+$AK$5), $H104*SUM(J68))</f>
        <v>0</v>
      </c>
      <c r="K104" s="81"/>
      <c r="L104" s="189">
        <v>0</v>
      </c>
      <c r="M104" s="81"/>
      <c r="N104" s="170">
        <f>IF($AK$12="Yes",$H104*N68*(1+$AK$5)^2,$H104*N68*(1+$AK$5))</f>
        <v>0</v>
      </c>
      <c r="O104" s="81"/>
      <c r="P104" s="189">
        <v>0</v>
      </c>
      <c r="Q104" s="81"/>
      <c r="R104" s="170">
        <f>IF($AK$12="Yes",$H104*SUM(R68)*(1+$AK$5)^3, $H104*SUM(R68)*(1+$AK$5)^2)</f>
        <v>0</v>
      </c>
      <c r="S104" s="81"/>
      <c r="T104" s="189">
        <v>0</v>
      </c>
      <c r="U104" s="81"/>
      <c r="V104" s="170">
        <f>IF($AK$12="Yes",$H$104*SUM(V68)*(1+$AK$5)^4, $H104*SUM(V68)*(1+$AK$5)^3)</f>
        <v>0</v>
      </c>
      <c r="W104" s="81"/>
      <c r="X104" s="189">
        <v>0</v>
      </c>
      <c r="Y104" s="81"/>
      <c r="Z104" s="170">
        <f>IF($AK$12="Yes",$H104*SUM(Z68)*(1+$AK$5)^5, $H104*SUM(Z68)*(1+$AK$5)^4)</f>
        <v>0</v>
      </c>
      <c r="AA104" s="81"/>
      <c r="AB104" s="189">
        <v>0</v>
      </c>
      <c r="AC104" s="81"/>
      <c r="AD104" s="170">
        <f t="shared" si="40"/>
        <v>0</v>
      </c>
      <c r="AE104" s="170"/>
      <c r="AF104" s="189">
        <f t="shared" si="41"/>
        <v>0</v>
      </c>
      <c r="AG104" s="28"/>
      <c r="AH104" s="28"/>
      <c r="AI104" s="28"/>
      <c r="AJ104" s="60"/>
      <c r="AK104" s="45"/>
      <c r="AL104" s="173"/>
      <c r="AM104" s="173"/>
      <c r="AN104" s="213"/>
      <c r="AO104" s="28"/>
      <c r="AP104" s="41"/>
      <c r="AQ104" s="28"/>
      <c r="AR104" s="28"/>
      <c r="AS104" s="213"/>
      <c r="AT104" s="28"/>
      <c r="AU104" s="41"/>
      <c r="AV104" s="28"/>
      <c r="AW104" s="28"/>
      <c r="AX104" s="213"/>
      <c r="AY104" s="28"/>
      <c r="AZ104" s="41"/>
      <c r="BA104" s="28"/>
      <c r="BB104" s="28"/>
      <c r="BC104" s="213"/>
      <c r="BD104" s="28"/>
      <c r="BE104" s="41"/>
      <c r="BF104" s="28"/>
      <c r="BG104" s="28"/>
      <c r="BH104" s="213"/>
      <c r="BI104" s="28"/>
      <c r="BJ104" s="41"/>
      <c r="BK104" s="45"/>
      <c r="BL104" s="28"/>
      <c r="BM104" s="174"/>
    </row>
    <row r="105" spans="1:65" x14ac:dyDescent="0.25">
      <c r="A105" s="167"/>
      <c r="B105" s="167"/>
      <c r="C105" s="167"/>
      <c r="D105" s="167"/>
      <c r="E105" s="167"/>
      <c r="F105" s="81"/>
      <c r="G105" s="81"/>
      <c r="H105" s="170"/>
      <c r="I105" s="188"/>
      <c r="J105" s="208"/>
      <c r="K105" s="170"/>
      <c r="L105" s="209"/>
      <c r="M105" s="170"/>
      <c r="N105" s="208"/>
      <c r="O105" s="81"/>
      <c r="P105" s="209"/>
      <c r="Q105" s="81"/>
      <c r="R105" s="210"/>
      <c r="S105" s="81"/>
      <c r="T105" s="211"/>
      <c r="U105" s="81"/>
      <c r="V105" s="210"/>
      <c r="W105" s="81"/>
      <c r="X105" s="211"/>
      <c r="Y105" s="81"/>
      <c r="Z105" s="210"/>
      <c r="AA105" s="81"/>
      <c r="AB105" s="211"/>
      <c r="AC105" s="81"/>
      <c r="AD105" s="208"/>
      <c r="AE105" s="172"/>
      <c r="AF105" s="212"/>
      <c r="AG105" s="28"/>
      <c r="AH105" s="28"/>
      <c r="AI105" s="28"/>
      <c r="AJ105" s="60"/>
      <c r="AK105" s="45"/>
      <c r="AL105" s="173"/>
      <c r="AM105" s="173"/>
      <c r="AN105" s="213"/>
      <c r="AO105" s="28"/>
      <c r="AP105" s="41"/>
      <c r="AQ105" s="28"/>
      <c r="AR105" s="28"/>
      <c r="AS105" s="213"/>
      <c r="AT105" s="28"/>
      <c r="AU105" s="41"/>
      <c r="AV105" s="28"/>
      <c r="AW105" s="28"/>
      <c r="AX105" s="213"/>
      <c r="AY105" s="28"/>
      <c r="AZ105" s="41"/>
      <c r="BA105" s="28"/>
      <c r="BB105" s="28"/>
      <c r="BC105" s="213"/>
      <c r="BD105" s="28"/>
      <c r="BE105" s="41"/>
      <c r="BF105" s="28"/>
      <c r="BG105" s="28"/>
      <c r="BH105" s="213"/>
      <c r="BI105" s="28"/>
      <c r="BJ105" s="41"/>
      <c r="BK105" s="45"/>
      <c r="BL105" s="28"/>
      <c r="BM105" s="174"/>
    </row>
    <row r="106" spans="1:65" x14ac:dyDescent="0.25">
      <c r="A106" s="167"/>
      <c r="B106" s="167"/>
      <c r="C106" s="167" t="s">
        <v>7</v>
      </c>
      <c r="D106" s="167"/>
      <c r="E106" s="167"/>
      <c r="F106" s="81"/>
      <c r="G106" s="81"/>
      <c r="H106" s="170"/>
      <c r="I106" s="170"/>
      <c r="J106" s="170">
        <f>SUM(J73:J104)</f>
        <v>0</v>
      </c>
      <c r="K106" s="170"/>
      <c r="L106" s="189">
        <f>SUM(L73:L104)</f>
        <v>0</v>
      </c>
      <c r="M106" s="170"/>
      <c r="N106" s="170">
        <f>SUM(N73:N104)</f>
        <v>0</v>
      </c>
      <c r="O106" s="81"/>
      <c r="P106" s="189">
        <f>SUM(P73:P104)</f>
        <v>0</v>
      </c>
      <c r="Q106" s="81"/>
      <c r="R106" s="170">
        <f>SUM(R73:R104)</f>
        <v>0</v>
      </c>
      <c r="S106" s="81"/>
      <c r="T106" s="189">
        <f>SUM(T73:T104)</f>
        <v>0</v>
      </c>
      <c r="U106" s="81"/>
      <c r="V106" s="170">
        <f>SUM(V73:V104)</f>
        <v>0</v>
      </c>
      <c r="W106" s="81"/>
      <c r="X106" s="189">
        <f>SUM(X73:X104)</f>
        <v>0</v>
      </c>
      <c r="Y106" s="81"/>
      <c r="Z106" s="170">
        <f>SUM(Z73:Z104)</f>
        <v>0</v>
      </c>
      <c r="AA106" s="81"/>
      <c r="AB106" s="189">
        <f>SUM(AB73:AB104)</f>
        <v>0</v>
      </c>
      <c r="AC106" s="81"/>
      <c r="AD106" s="170">
        <f>J106+N106+R106+V106+Z106</f>
        <v>0</v>
      </c>
      <c r="AE106" s="170"/>
      <c r="AF106" s="189">
        <f>L106+P106+T106+X106+AB106</f>
        <v>0</v>
      </c>
      <c r="AG106" s="28"/>
      <c r="AH106" s="28"/>
      <c r="AI106" s="28"/>
      <c r="AJ106" s="60"/>
      <c r="AK106" s="45"/>
      <c r="AL106" s="173"/>
      <c r="AM106" s="173"/>
      <c r="AN106" s="213"/>
      <c r="AO106" s="28"/>
      <c r="AP106" s="41"/>
      <c r="AQ106" s="28"/>
      <c r="AR106" s="28"/>
      <c r="AS106" s="213"/>
      <c r="AT106" s="28"/>
      <c r="AU106" s="41"/>
      <c r="AV106" s="28"/>
      <c r="AW106" s="28"/>
      <c r="AX106" s="213"/>
      <c r="AY106" s="28"/>
      <c r="AZ106" s="41"/>
      <c r="BA106" s="28"/>
      <c r="BB106" s="28"/>
      <c r="BC106" s="213"/>
      <c r="BD106" s="28"/>
      <c r="BE106" s="41"/>
      <c r="BF106" s="28"/>
      <c r="BG106" s="28"/>
      <c r="BH106" s="213"/>
      <c r="BI106" s="28"/>
      <c r="BJ106" s="41"/>
      <c r="BK106" s="45"/>
      <c r="BL106" s="28"/>
      <c r="BM106" s="174"/>
    </row>
    <row r="107" spans="1:65" x14ac:dyDescent="0.25">
      <c r="A107" s="167"/>
      <c r="B107" s="167"/>
      <c r="C107" s="167"/>
      <c r="D107" s="167"/>
      <c r="E107" s="167"/>
      <c r="F107" s="81"/>
      <c r="G107" s="81"/>
      <c r="H107" s="170"/>
      <c r="I107" s="170"/>
      <c r="J107" s="170"/>
      <c r="K107" s="170"/>
      <c r="L107" s="189"/>
      <c r="M107" s="170"/>
      <c r="N107" s="170"/>
      <c r="O107" s="81"/>
      <c r="P107" s="189"/>
      <c r="Q107" s="81"/>
      <c r="R107" s="170"/>
      <c r="S107" s="81"/>
      <c r="T107" s="189"/>
      <c r="U107" s="81"/>
      <c r="V107" s="170"/>
      <c r="W107" s="81"/>
      <c r="X107" s="189"/>
      <c r="Y107" s="81"/>
      <c r="Z107" s="170"/>
      <c r="AA107" s="81"/>
      <c r="AB107" s="189"/>
      <c r="AC107" s="81"/>
      <c r="AD107" s="170"/>
      <c r="AE107" s="170"/>
      <c r="AF107" s="189"/>
      <c r="AG107" s="28"/>
      <c r="AH107" s="28"/>
      <c r="AI107" s="28"/>
      <c r="AJ107" s="60"/>
      <c r="AK107" s="45"/>
      <c r="AL107" s="173"/>
      <c r="AM107" s="173"/>
      <c r="AN107" s="213"/>
      <c r="AO107" s="28"/>
      <c r="AP107" s="41"/>
      <c r="AQ107" s="28"/>
      <c r="AR107" s="28"/>
      <c r="AS107" s="213"/>
      <c r="AT107" s="28"/>
      <c r="AU107" s="41"/>
      <c r="AV107" s="28"/>
      <c r="AW107" s="28"/>
      <c r="AX107" s="213"/>
      <c r="AY107" s="28"/>
      <c r="AZ107" s="41"/>
      <c r="BA107" s="28"/>
      <c r="BB107" s="28"/>
      <c r="BC107" s="213"/>
      <c r="BD107" s="28"/>
      <c r="BE107" s="41"/>
      <c r="BF107" s="28"/>
      <c r="BG107" s="28"/>
      <c r="BH107" s="213"/>
      <c r="BI107" s="28"/>
      <c r="BJ107" s="41"/>
      <c r="BK107" s="45"/>
      <c r="BL107" s="28"/>
      <c r="BM107" s="174"/>
    </row>
    <row r="108" spans="1:65" x14ac:dyDescent="0.25">
      <c r="A108" s="167"/>
      <c r="B108" s="187" t="s">
        <v>19</v>
      </c>
      <c r="C108" s="187" t="s">
        <v>158</v>
      </c>
      <c r="D108" s="167"/>
      <c r="E108" s="167"/>
      <c r="F108" s="81"/>
      <c r="G108" s="81"/>
      <c r="H108" s="215" t="s">
        <v>31</v>
      </c>
      <c r="I108" s="188"/>
      <c r="J108" s="170"/>
      <c r="K108" s="170"/>
      <c r="L108" s="189"/>
      <c r="M108" s="170"/>
      <c r="N108" s="170"/>
      <c r="O108" s="81"/>
      <c r="P108" s="189"/>
      <c r="Q108" s="81"/>
      <c r="R108" s="81"/>
      <c r="S108" s="81"/>
      <c r="T108" s="192"/>
      <c r="U108" s="81"/>
      <c r="V108" s="81"/>
      <c r="W108" s="81"/>
      <c r="X108" s="192"/>
      <c r="Y108" s="81"/>
      <c r="Z108" s="81"/>
      <c r="AA108" s="81"/>
      <c r="AB108" s="192"/>
      <c r="AC108" s="81"/>
      <c r="AD108" s="170"/>
      <c r="AE108" s="170"/>
      <c r="AF108" s="189"/>
      <c r="AG108" s="28"/>
      <c r="AH108" s="28"/>
      <c r="AI108" s="28"/>
      <c r="AJ108" s="60"/>
      <c r="AK108" s="45"/>
      <c r="AL108" s="173"/>
      <c r="AM108" s="173"/>
      <c r="AN108" s="213"/>
      <c r="AO108" s="28"/>
      <c r="AP108" s="41"/>
      <c r="AQ108" s="28"/>
      <c r="AR108" s="28"/>
      <c r="AS108" s="213"/>
      <c r="AT108" s="28"/>
      <c r="AU108" s="41"/>
      <c r="AV108" s="28"/>
      <c r="AW108" s="28"/>
      <c r="AX108" s="213"/>
      <c r="AY108" s="28"/>
      <c r="AZ108" s="41"/>
      <c r="BA108" s="28"/>
      <c r="BB108" s="28"/>
      <c r="BC108" s="213"/>
      <c r="BD108" s="28"/>
      <c r="BE108" s="41"/>
      <c r="BF108" s="28"/>
      <c r="BG108" s="28"/>
      <c r="BH108" s="213"/>
      <c r="BI108" s="28"/>
      <c r="BJ108" s="41"/>
      <c r="BK108" s="45"/>
      <c r="BL108" s="28"/>
      <c r="BM108" s="174"/>
    </row>
    <row r="109" spans="1:65" x14ac:dyDescent="0.25">
      <c r="A109" s="168" t="str">
        <f>A18</f>
        <v>Faculty, Academic Year</v>
      </c>
      <c r="B109" s="187"/>
      <c r="C109" s="167" t="str">
        <f>C17</f>
        <v>PI: 0</v>
      </c>
      <c r="D109" s="167"/>
      <c r="E109" s="167"/>
      <c r="F109" s="81"/>
      <c r="G109" s="81"/>
      <c r="H109" s="217">
        <f t="shared" ref="H109:H133" si="42">VLOOKUP(A109, $D$308:$H$322, 4, FALSE)</f>
        <v>1142</v>
      </c>
      <c r="I109" s="188"/>
      <c r="J109" s="170">
        <f>IF($AI18=$D$378, "Manual", IF($AK$11="Yes", IF($A109="Faculty, Academic Year",IF($AL$18="AY",$H109*AP18*(1+$AK$8),0),($H109*AP18*(1+$AK$8))), IF($A109="Faculty, Academic Year",IF($AL$18="AY",$H109*AP18,0),($H109*AP18))))</f>
        <v>0</v>
      </c>
      <c r="K109" s="170"/>
      <c r="L109" s="189">
        <v>0</v>
      </c>
      <c r="M109" s="81"/>
      <c r="N109" s="170">
        <f>IF(AI18="Yes", "Manual", IF($AK$11="Yes", IF($A109="Faculty, Academic Year",IF($AL$18="AY",$H109*AU18*(1+$AK$8)^2,0),($H109*AU18*(1+$AK$8)^2)), IF($A109="Faculty, Academic Year",IF($AL$18="AY",$H109*AU18*(1+$AK$8),0),($H109*AU18*(1+$AK$8)))))</f>
        <v>0</v>
      </c>
      <c r="O109" s="170"/>
      <c r="P109" s="189">
        <v>0</v>
      </c>
      <c r="Q109" s="81"/>
      <c r="R109" s="170">
        <f>IF(AI18="Yes", "Manual", IF($AK$11="Yes", IF($A109="Faculty, Academic Year",IF($AL$18="AY",$H109*AZ18*(1+$AK$8)^3,0),($H109*AZ18*(1+$AK$8)^3)), IF($A109="Faculty, Academic Year",IF($AL$18="AY",$H109*AZ18*(1+$AK$8)^2,0),($H109*AZ18*(1+$AK$8)^2))))</f>
        <v>0</v>
      </c>
      <c r="S109" s="170"/>
      <c r="T109" s="189">
        <v>0</v>
      </c>
      <c r="U109" s="81"/>
      <c r="V109" s="170">
        <f>IF(AI18="Yes", "Manual", IF($AK$11="Yes", IF($A109="Faculty, Academic Year",IF($AL$18="AY",$H109*BE18*(1+$AK$8)^4,0),($H109*BE18*(1+$AK$8)^4)), IF($A109="Faculty, Academic Year",IF($AL$18="AY",$H109*BE18*(1+$AK$8)^3,0),($H109*BE18*(1+$AK$8)^3))))</f>
        <v>0</v>
      </c>
      <c r="W109" s="170"/>
      <c r="X109" s="189">
        <v>0</v>
      </c>
      <c r="Y109" s="170"/>
      <c r="Z109" s="170">
        <f>IF(AI18="Yes", "Manual", IF($AK$11="Yes", IF($A109="Faculty, Academic Year",IF($AL$18="AY",$H109*BJ18*(1+$AK$8)^5,0),($H109*BJ18*(1+$AK$8)^5)), IF($A109="Faculty, Academic Year",IF($AL$18="AY",$H109*BJ18*(1+$AK$8)^4,0),($H109*BJ18*(1+$AK$8)^4))))</f>
        <v>0</v>
      </c>
      <c r="AA109" s="170"/>
      <c r="AB109" s="189">
        <v>0</v>
      </c>
      <c r="AC109" s="81"/>
      <c r="AD109" s="170">
        <f t="shared" ref="AD109:AD132" si="43">J109+N109+R109+V109+Z109</f>
        <v>0</v>
      </c>
      <c r="AE109" s="170"/>
      <c r="AF109" s="189">
        <f t="shared" ref="AF109:AF133" si="44">L109+P109+T109+X109+AB109</f>
        <v>0</v>
      </c>
      <c r="AG109" s="28"/>
      <c r="AH109" s="28"/>
      <c r="AI109" s="28"/>
      <c r="AJ109" s="60"/>
      <c r="AK109" s="45"/>
      <c r="AL109" s="173"/>
      <c r="AM109" s="173"/>
      <c r="AN109" s="213"/>
      <c r="AO109" s="28"/>
      <c r="AP109" s="41"/>
      <c r="AQ109" s="28"/>
      <c r="AR109" s="28"/>
      <c r="AS109" s="213"/>
      <c r="AT109" s="28"/>
      <c r="AU109" s="41"/>
      <c r="AV109" s="28"/>
      <c r="AW109" s="28"/>
      <c r="AX109" s="213"/>
      <c r="AY109" s="28"/>
      <c r="AZ109" s="41"/>
      <c r="BA109" s="28"/>
      <c r="BB109" s="28"/>
      <c r="BC109" s="213"/>
      <c r="BD109" s="28"/>
      <c r="BE109" s="41"/>
      <c r="BF109" s="28"/>
      <c r="BG109" s="28"/>
      <c r="BH109" s="213"/>
      <c r="BI109" s="28"/>
      <c r="BJ109" s="41"/>
      <c r="BK109" s="45"/>
      <c r="BL109" s="28"/>
      <c r="BM109" s="174"/>
    </row>
    <row r="110" spans="1:65" x14ac:dyDescent="0.25">
      <c r="A110" s="168" t="str">
        <f>A19</f>
        <v>Faculty, Academic Year</v>
      </c>
      <c r="B110" s="187"/>
      <c r="C110" s="167"/>
      <c r="D110" s="167" t="s">
        <v>85</v>
      </c>
      <c r="E110" s="167"/>
      <c r="F110" s="81"/>
      <c r="G110" s="81"/>
      <c r="H110" s="217">
        <f t="shared" si="42"/>
        <v>1142</v>
      </c>
      <c r="I110" s="188"/>
      <c r="J110" s="170">
        <f>IF($AI19=$D$378, "Manual", IF($AK$11="Yes", IF($A110="Faculty, Academic Year",IF($AL$19="AY",$H110*AP19*(1+$AK$8),0),($H110*AP19*(1+$AK$8))), IF($A110="Faculty, Academic Year",IF($AL$19="AY",$H110*AP19,0),($H110*AP19))))</f>
        <v>0</v>
      </c>
      <c r="K110" s="170"/>
      <c r="L110" s="189">
        <v>0</v>
      </c>
      <c r="M110" s="81"/>
      <c r="N110" s="170">
        <f>IF(AI19="Yes", "Manual", IF($AK$11="Yes", IF($A110="Faculty, Academic Year",IF($AL$19="AY",$H110*AU19*(1+$AK$8)^2,0),($H110*AU19*(1+$AK$8)^2)), IF($A110="Faculty, Academic Year",IF($AL$19="AY",$H110*AU19*(1+$AK$8),0),($H110*AU19*(1+$AK$8)))))</f>
        <v>0</v>
      </c>
      <c r="O110" s="170"/>
      <c r="P110" s="189">
        <v>0</v>
      </c>
      <c r="Q110" s="81"/>
      <c r="R110" s="170">
        <f>IF(AI19="Yes", "Manual", IF($AK$11="Yes", IF($A110="Faculty, Academic Year",IF($AL$19="AY",$H110*AZ19*(1+$AK$8)^3,0),($H110*AZ19*(1+$AK$8)^3)), IF($A110="Faculty, Academic Year",IF($AL$19="AY",$H110*AZ19*(1+$AK$8)^2,0),($H110*AZ19*(1+$AK$8)^2))))</f>
        <v>0</v>
      </c>
      <c r="S110" s="170"/>
      <c r="T110" s="189">
        <v>0</v>
      </c>
      <c r="U110" s="81"/>
      <c r="V110" s="170">
        <f>IF(AI19="Yes", "Manual", IF($AK$11="Yes", IF($A110="Faculty, Academic Year",IF($AL$19="AY",$H110*BE19*(1+$AK$8)^4,0),($H110*BE19*(1+$AK$8)^4)), IF($A110="Faculty, Academic Year",IF($AL$19="AY",$H110*BE19*(1+$AK$8)^3,0),($H110*BE19*(1+$AK$8)^3))))</f>
        <v>0</v>
      </c>
      <c r="W110" s="170"/>
      <c r="X110" s="189">
        <v>0</v>
      </c>
      <c r="Y110" s="170"/>
      <c r="Z110" s="170">
        <f>IF(AI19="Yes", "Manual", IF($AK$11="Yes", IF($A110="Faculty, Academic Year",IF($AL$19="AY",$H110*BJ19*(1+$AK$8)^5,0),($H110*BJ19*(1+$AK$8)^5)), IF($A110="Faculty, Academic Year",IF($AL$19="AY",$H110*BJ19*(1+$AK$8)^4,0),($H110*BJ19*(1+$AK$8)^4))))</f>
        <v>0</v>
      </c>
      <c r="AA110" s="170"/>
      <c r="AB110" s="189">
        <v>0</v>
      </c>
      <c r="AC110" s="81"/>
      <c r="AD110" s="170">
        <f t="shared" si="43"/>
        <v>0</v>
      </c>
      <c r="AE110" s="170"/>
      <c r="AF110" s="189">
        <f t="shared" si="44"/>
        <v>0</v>
      </c>
      <c r="AG110" s="28"/>
      <c r="AH110" s="28"/>
      <c r="AI110" s="28"/>
      <c r="AJ110" s="60"/>
      <c r="AK110" s="45"/>
      <c r="AL110" s="173"/>
      <c r="AM110" s="173"/>
      <c r="AN110" s="213"/>
      <c r="AO110" s="28"/>
      <c r="AP110" s="41"/>
      <c r="AQ110" s="28"/>
      <c r="AR110" s="28"/>
      <c r="AS110" s="213"/>
      <c r="AT110" s="28"/>
      <c r="AU110" s="41"/>
      <c r="AV110" s="28"/>
      <c r="AW110" s="28"/>
      <c r="AX110" s="213"/>
      <c r="AY110" s="28"/>
      <c r="AZ110" s="41"/>
      <c r="BA110" s="28"/>
      <c r="BB110" s="28"/>
      <c r="BC110" s="213"/>
      <c r="BD110" s="28"/>
      <c r="BE110" s="41"/>
      <c r="BF110" s="28"/>
      <c r="BG110" s="28"/>
      <c r="BH110" s="213"/>
      <c r="BI110" s="28"/>
      <c r="BJ110" s="41"/>
      <c r="BK110" s="45"/>
      <c r="BL110" s="28"/>
      <c r="BM110" s="174"/>
    </row>
    <row r="111" spans="1:65" x14ac:dyDescent="0.25">
      <c r="A111" s="168" t="str">
        <f>A21</f>
        <v>Faculty, Academic Year</v>
      </c>
      <c r="B111" s="187"/>
      <c r="C111" s="167" t="str">
        <f>C20</f>
        <v>Co-PI: 0</v>
      </c>
      <c r="D111" s="167"/>
      <c r="E111" s="167"/>
      <c r="F111" s="81"/>
      <c r="G111" s="81"/>
      <c r="H111" s="217">
        <f t="shared" si="42"/>
        <v>1142</v>
      </c>
      <c r="I111" s="188"/>
      <c r="J111" s="170">
        <f>IF($AI21=$D$378, "Manual", IF($AK$11="Yes", IF($A111="Faculty, Academic Year",IF($AL$21="AY",$H111*AP21*(1+$AK$8),0),($H111*AP21*(1+$AK$8))), IF($A111="Faculty, Academic Year",IF($AL$21="AY",$H111*AP21,0),($H111*AP21))))</f>
        <v>0</v>
      </c>
      <c r="K111" s="170"/>
      <c r="L111" s="189">
        <v>0</v>
      </c>
      <c r="M111" s="81"/>
      <c r="N111" s="170">
        <f>IF(AI21="Yes", "Manual", IF($AK$11="Yes", IF($A111="Faculty, Academic Year",IF($AL$21="AY",$H111*AU21*(1+$AK$8)^2,0),($H111*AU21*(1+$AK$8)^2)), IF($A111="Faculty, Academic Year",IF($AL$21="AY",$H111*AU21*(1+$AK$8),0),($H111*AU21*(1+$AK$8)))))</f>
        <v>0</v>
      </c>
      <c r="O111" s="170"/>
      <c r="P111" s="189">
        <v>0</v>
      </c>
      <c r="Q111" s="81"/>
      <c r="R111" s="170">
        <f>IF(AI21="Yes", "Manual", IF($AK$11="Yes", IF($A111="Faculty, Academic Year",IF($AL$21="AY",$H111*AZ21*(1+$AK$8)^3,0),($H111*AZ21*(1+$AK$8)^3)), IF($A111="Faculty, Academic Year",IF($AL$21="AY",$H111*AZ21*(1+$AK$8)^2,0),($H111*AZ21*(1+$AK$8)^2))))</f>
        <v>0</v>
      </c>
      <c r="S111" s="170"/>
      <c r="T111" s="189">
        <v>0</v>
      </c>
      <c r="U111" s="81"/>
      <c r="V111" s="170">
        <f>IF(AI21="Yes", "Manual", IF($AK$11="Yes", IF($A111="Faculty, Academic Year",IF($AL$21="AY",$H111*BE21*(1+$AK$8)^4,0),($H111*BE21*(1+$AK$8)^4)), IF($A111="Faculty, Academic Year",IF($AL$21="AY",$H111*BE21*(1+$AK$8)^3,0),($H111*BE21*(1+$AK$8)^3))))</f>
        <v>0</v>
      </c>
      <c r="W111" s="170"/>
      <c r="X111" s="189">
        <v>0</v>
      </c>
      <c r="Y111" s="170"/>
      <c r="Z111" s="170">
        <f>IF(AI21="Yes", "Manual", IF($AK$11="Yes", IF($A111="Faculty, Academic Year",IF($AL$21="AY",$H111*BJ21*(1+$AK$8)^5,0),($H111*BJ21*(1+$AK$8)^5)), IF($A111="Faculty, Academic Year",IF($AL$21="AY",$H111*BJ21*(1+$AK$8)^4,0),($H111*BJ21*(1+$AK$8)^4))))</f>
        <v>0</v>
      </c>
      <c r="AA111" s="170"/>
      <c r="AB111" s="189">
        <v>0</v>
      </c>
      <c r="AC111" s="81"/>
      <c r="AD111" s="170">
        <f t="shared" si="43"/>
        <v>0</v>
      </c>
      <c r="AE111" s="170"/>
      <c r="AF111" s="189">
        <f t="shared" si="44"/>
        <v>0</v>
      </c>
      <c r="AG111" s="28"/>
      <c r="AH111" s="28"/>
      <c r="AI111" s="28"/>
      <c r="AJ111" s="60"/>
      <c r="AK111" s="45"/>
      <c r="AL111" s="173"/>
      <c r="AM111" s="173"/>
      <c r="AN111" s="213"/>
      <c r="AO111" s="28"/>
      <c r="AP111" s="41"/>
      <c r="AQ111" s="28"/>
      <c r="AR111" s="28"/>
      <c r="AS111" s="213"/>
      <c r="AT111" s="28"/>
      <c r="AU111" s="41"/>
      <c r="AV111" s="28"/>
      <c r="AW111" s="28"/>
      <c r="AX111" s="213"/>
      <c r="AY111" s="28"/>
      <c r="AZ111" s="41"/>
      <c r="BA111" s="28"/>
      <c r="BB111" s="28"/>
      <c r="BC111" s="213"/>
      <c r="BD111" s="28"/>
      <c r="BE111" s="41"/>
      <c r="BF111" s="28"/>
      <c r="BG111" s="28"/>
      <c r="BH111" s="213"/>
      <c r="BI111" s="28"/>
      <c r="BJ111" s="41"/>
      <c r="BK111" s="45"/>
      <c r="BL111" s="28"/>
      <c r="BM111" s="174"/>
    </row>
    <row r="112" spans="1:65" x14ac:dyDescent="0.25">
      <c r="A112" s="168" t="str">
        <f>A22</f>
        <v>Faculty, Academic Year</v>
      </c>
      <c r="B112" s="187"/>
      <c r="C112" s="167"/>
      <c r="D112" s="167" t="s">
        <v>85</v>
      </c>
      <c r="E112" s="167"/>
      <c r="F112" s="81"/>
      <c r="G112" s="81"/>
      <c r="H112" s="217">
        <f t="shared" si="42"/>
        <v>1142</v>
      </c>
      <c r="I112" s="188"/>
      <c r="J112" s="170">
        <f>IF($AI22=$D$378, "Manual", IF($AK$11="Yes", IF($A112="Faculty, Academic Year",IF($AL$22="AY",$H112*AP22*(1+$AK$8),0),($H112*AP22*(1+$AK$8))), IF($A112="Faculty, Academic Year",IF($AL$22="AY",$H112*AP22,0),($H112*AP22))))</f>
        <v>0</v>
      </c>
      <c r="K112" s="170"/>
      <c r="L112" s="189">
        <v>0</v>
      </c>
      <c r="M112" s="170"/>
      <c r="N112" s="170">
        <f>IF(AI22="Yes", "Manual", IF($AK$11="Yes", IF($A112="Faculty, Academic Year",IF($AL$22="AY",$H112*AU22*(1+$AK$8)^2,0),($H112*AU22*(1+$AK$8)^2)), IF($A112="Faculty, Academic Year",IF($AL$22="AY",$H112*AU22*(1+$AK$8),0),($H112*AU22*(1+$AK$8)))))</f>
        <v>0</v>
      </c>
      <c r="O112" s="170"/>
      <c r="P112" s="189">
        <v>0</v>
      </c>
      <c r="Q112" s="170"/>
      <c r="R112" s="170">
        <f>IF(AI22="Yes", "Manual", IF($AK$11="Yes", IF($A112="Faculty, Academic Year",IF($AL$22="AY",$H112*AZ21*(1+$AK$8)^3,0),($H112*AZ22*(1+$AK$8)^3)), IF($A112="Faculty, Academic Year",IF($AL$22="AY",$H112*AZ22*(1+$AK$8)^2,0),($H112*AZ22*(1+$AK$8)^2))))</f>
        <v>0</v>
      </c>
      <c r="S112" s="170"/>
      <c r="T112" s="189">
        <v>0</v>
      </c>
      <c r="U112" s="170"/>
      <c r="V112" s="170">
        <f>IF(AI22="Yes", "Manual", IF($AK$11="Yes", IF($A112="Faculty, Academic Year",IF($AL$22="AY",$H112*BE22*(1+$AK$8)^4,0),($H112*BE22*(1+$AK$8)^4)), IF($A112="Faculty, Academic Year",IF($AL$22="AY",$H112*BE22*(1+$AK$8)^3,0),($H112*BE22*(1+$AK$8)^3))))</f>
        <v>0</v>
      </c>
      <c r="W112" s="170"/>
      <c r="X112" s="189">
        <v>0</v>
      </c>
      <c r="Y112" s="170"/>
      <c r="Z112" s="170">
        <f>IF(AI22="Yes", "Manual", IF($AK$11="Yes", IF($A112="Faculty, Academic Year",IF($AL$22="AY",$H112*BJ22*(1+$AK$8)^5,0),($H112*BJ22*(1+$AK$8)^5)), IF($A112="Faculty, Academic Year",IF($AL$22="AY",$H112*BJ22*(1+$AK$8)^4,0),($H112*BJ22*(1+$AK$8)^4))))</f>
        <v>0</v>
      </c>
      <c r="AA112" s="170"/>
      <c r="AB112" s="189">
        <v>0</v>
      </c>
      <c r="AC112" s="81"/>
      <c r="AD112" s="170">
        <f t="shared" si="43"/>
        <v>0</v>
      </c>
      <c r="AE112" s="170"/>
      <c r="AF112" s="189">
        <f t="shared" si="44"/>
        <v>0</v>
      </c>
      <c r="AG112" s="28"/>
      <c r="AH112" s="28"/>
      <c r="AI112" s="28"/>
      <c r="AJ112" s="60"/>
      <c r="AK112" s="45"/>
      <c r="AL112" s="173"/>
      <c r="AM112" s="173"/>
      <c r="AN112" s="213"/>
      <c r="AO112" s="28"/>
      <c r="AP112" s="41"/>
      <c r="AQ112" s="28"/>
      <c r="AR112" s="28"/>
      <c r="AS112" s="213"/>
      <c r="AT112" s="28"/>
      <c r="AU112" s="41"/>
      <c r="AV112" s="28"/>
      <c r="AW112" s="28"/>
      <c r="AX112" s="213"/>
      <c r="AY112" s="28"/>
      <c r="AZ112" s="41"/>
      <c r="BA112" s="28"/>
      <c r="BB112" s="28"/>
      <c r="BC112" s="213"/>
      <c r="BD112" s="28"/>
      <c r="BE112" s="41"/>
      <c r="BF112" s="28"/>
      <c r="BG112" s="28"/>
      <c r="BH112" s="213"/>
      <c r="BI112" s="28"/>
      <c r="BJ112" s="41"/>
      <c r="BK112" s="45"/>
      <c r="BL112" s="28"/>
      <c r="BM112" s="174"/>
    </row>
    <row r="113" spans="1:65" x14ac:dyDescent="0.25">
      <c r="A113" s="168" t="str">
        <f>A24</f>
        <v>Faculty, Academic Year</v>
      </c>
      <c r="B113" s="187"/>
      <c r="C113" s="167" t="str">
        <f>C23</f>
        <v xml:space="preserve">Co-PI: </v>
      </c>
      <c r="D113" s="167"/>
      <c r="E113" s="167"/>
      <c r="F113" s="81"/>
      <c r="G113" s="81"/>
      <c r="H113" s="217">
        <f t="shared" si="42"/>
        <v>1142</v>
      </c>
      <c r="I113" s="188"/>
      <c r="J113" s="170">
        <f>IF($AI24=$D$378, "Manual", IF($AK$11="Yes", IF($A113="Faculty, Academic Year",IF($AL$24="AY",$H113*AP24*(1+$AK$8),0),($H113*AP24*(1+$AK$8))), IF($A113="Faculty, Academic Year",IF($AL$24="AY",$H113*AP24,0),($H113*AP24))))</f>
        <v>0</v>
      </c>
      <c r="K113" s="170"/>
      <c r="L113" s="189">
        <v>0</v>
      </c>
      <c r="M113" s="170"/>
      <c r="N113" s="170">
        <f>IF(AI24="Yes", "Manual", IF($AK$11="Yes", IF($A113="Faculty, Academic Year",IF($AL$24="AY",$H113*AU24*(1+$AK$8)^2,0),($H113*AU24*(1+$AK$8)^2)), IF($A113="Faculty, Academic Year",IF($AL$24="AY",$H113*AU24*(1+$AK$8),0),($H113*AU24*(1+$AK$8)))))</f>
        <v>0</v>
      </c>
      <c r="O113" s="170"/>
      <c r="P113" s="189">
        <v>0</v>
      </c>
      <c r="Q113" s="170"/>
      <c r="R113" s="170">
        <f>IF(AI24="Yes", "Manual", IF($AK$11="Yes", IF($A113="Faculty, Academic Year",IF($AL$24="AY",$H113*AZ24*(1+$AK$8)^3,0),($H113*AZ24*(1+$AK$8)^3)), IF($A113="Faculty, Academic Year",IF($AL$24="AY",$H113*AZ24*(1+$AK$8)^2,0),($H113*AZ24*(1+$AK$8)^2))))</f>
        <v>0</v>
      </c>
      <c r="S113" s="170"/>
      <c r="T113" s="189">
        <v>0</v>
      </c>
      <c r="U113" s="170"/>
      <c r="V113" s="170">
        <f>IF(AI24="Yes", "Manual", IF($AK$11="Yes", IF($A113="Faculty, Academic Year",IF($AL$24="AY",$H113*BE24*(1+$AK$8)^4,0),($H113*BE24*(1+$AK$8)^4)), IF($A113="Faculty, Academic Year",IF($AL$24="AY",$H113*BE24*(1+$AK$8)^3,0),($H113*BE24*(1+$AK$8)^3))))</f>
        <v>0</v>
      </c>
      <c r="W113" s="170"/>
      <c r="X113" s="189">
        <v>0</v>
      </c>
      <c r="Y113" s="170"/>
      <c r="Z113" s="170">
        <f>IF(AI24="Yes", "Manual", IF($AK$11="Yes", IF($A113="Faculty, Academic Year",IF($AL$24="AY",$H113*BJ24*(1+$AK$8)^5,0),($H113*BJ24*(1+$AK$8)^5)), IF($A113="Faculty, Academic Year",IF($AL$24="AY",$H113*BJ24*(1+$AK$8)^4,0),($H113*BJ24*(1+$AK$8)^4))))</f>
        <v>0</v>
      </c>
      <c r="AA113" s="170"/>
      <c r="AB113" s="189">
        <v>0</v>
      </c>
      <c r="AC113" s="81"/>
      <c r="AD113" s="170">
        <f t="shared" si="43"/>
        <v>0</v>
      </c>
      <c r="AE113" s="170"/>
      <c r="AF113" s="189">
        <f t="shared" si="44"/>
        <v>0</v>
      </c>
      <c r="AG113" s="28"/>
      <c r="AH113" s="28"/>
      <c r="AI113" s="28"/>
      <c r="AJ113" s="60"/>
      <c r="AK113" s="45"/>
      <c r="AL113" s="173"/>
      <c r="AM113" s="173"/>
      <c r="AN113" s="213"/>
      <c r="AO113" s="28"/>
      <c r="AP113" s="41"/>
      <c r="AQ113" s="28"/>
      <c r="AR113" s="28"/>
      <c r="AS113" s="213"/>
      <c r="AT113" s="28"/>
      <c r="AU113" s="41"/>
      <c r="AV113" s="28"/>
      <c r="AW113" s="28"/>
      <c r="AX113" s="213"/>
      <c r="AY113" s="28"/>
      <c r="AZ113" s="41"/>
      <c r="BA113" s="28"/>
      <c r="BB113" s="28"/>
      <c r="BC113" s="213"/>
      <c r="BD113" s="28"/>
      <c r="BE113" s="41"/>
      <c r="BF113" s="28"/>
      <c r="BG113" s="28"/>
      <c r="BH113" s="213"/>
      <c r="BI113" s="28"/>
      <c r="BJ113" s="41"/>
      <c r="BK113" s="45"/>
      <c r="BL113" s="28"/>
      <c r="BM113" s="174"/>
    </row>
    <row r="114" spans="1:65" x14ac:dyDescent="0.25">
      <c r="A114" s="168" t="str">
        <f t="shared" ref="A114" si="45">A25</f>
        <v>Faculty, Academic Year</v>
      </c>
      <c r="B114" s="187"/>
      <c r="C114" s="167"/>
      <c r="D114" s="167" t="s">
        <v>85</v>
      </c>
      <c r="E114" s="167"/>
      <c r="F114" s="81"/>
      <c r="G114" s="81"/>
      <c r="H114" s="217">
        <f t="shared" si="42"/>
        <v>1142</v>
      </c>
      <c r="I114" s="188"/>
      <c r="J114" s="170">
        <f>IF($AI25=$D$378, "Manual", IF($AK$11="Yes", IF($A114="Faculty, Academic Year",IF($AL$25="AY",$H114*AP25*(1+$AK$8),0),($H114*AP25*(1+$AK$8))), IF($A114="Faculty, Academic Year",IF($AL$25="AY",$H114*AP25,0),($H114*AP25))))</f>
        <v>0</v>
      </c>
      <c r="K114" s="170"/>
      <c r="L114" s="189">
        <v>0</v>
      </c>
      <c r="M114" s="170"/>
      <c r="N114" s="170">
        <f>IF(AI25="Yes", "Manual", IF($AK$11="Yes", IF($A114="Faculty, Academic Year",IF($AL$25="AY",$H114*AU25*(1+$AK$8)^2,0),($H114*AU25*(1+$AK$8)^2)), IF($A114="Faculty, Academic Year",IF($AL$25="AY",$H114*AU25*(1+$AK$8),0),($H114*AU25*(1+$AK$8)))))</f>
        <v>0</v>
      </c>
      <c r="O114" s="170"/>
      <c r="P114" s="189">
        <v>0</v>
      </c>
      <c r="Q114" s="170"/>
      <c r="R114" s="170">
        <f>IF(AI25="Yes", "Manual", IF($AK$11="Yes", IF($A114="Faculty, Academic Year",IF($AL$25="AY",$H114*AZ25*(1+$AK$8)^3,0),($H114*AZ25*(1+$AK$8)^3)), IF($A114="Faculty, Academic Year",IF($AL$25="AY",$H114*AZ25*(1+$AK$8)^2,0),($H114*AZ25*(1+$AK$8)^2))))</f>
        <v>0</v>
      </c>
      <c r="S114" s="170"/>
      <c r="T114" s="189">
        <v>0</v>
      </c>
      <c r="U114" s="170"/>
      <c r="V114" s="170">
        <f>IF(AI25="Yes", "Manual", IF($AK$11="Yes", IF($A114="Faculty, Academic Year",IF($AL$25="AY",$H114*BE25*(1+$AK$8)^4,0),($H114*BE25*(1+$AK$8)^4)), IF($A114="Faculty, Academic Year",IF($AL$25="AY",$H114*BE25*(1+$AK$8)^3,0),($H114*BE25*(1+$AK$8)^3))))</f>
        <v>0</v>
      </c>
      <c r="W114" s="170"/>
      <c r="X114" s="189">
        <v>0</v>
      </c>
      <c r="Y114" s="170"/>
      <c r="Z114" s="170">
        <f>IF(AI25="Yes", "Manual", IF($AK$11="Yes", IF($A114="Faculty, Academic Year",IF($AL$25="AY",$H114*BJ25*(1+$AK$8)^5,0),($H114*BJ25*(1+$AK$8)^5)), IF($A114="Faculty, Academic Year",IF($AL$25="AY",$H114*BJ25*(1+$AK$8)^4,0),($H114*BJ25*(1+$AK$8)^4))))</f>
        <v>0</v>
      </c>
      <c r="AA114" s="170"/>
      <c r="AB114" s="189">
        <v>0</v>
      </c>
      <c r="AC114" s="81"/>
      <c r="AD114" s="170">
        <f t="shared" si="43"/>
        <v>0</v>
      </c>
      <c r="AE114" s="170"/>
      <c r="AF114" s="189">
        <f t="shared" si="44"/>
        <v>0</v>
      </c>
      <c r="AG114" s="28"/>
      <c r="AH114" s="28"/>
      <c r="AI114" s="28"/>
      <c r="AJ114" s="60"/>
      <c r="AK114" s="45"/>
      <c r="AL114" s="173"/>
      <c r="AM114" s="173"/>
      <c r="AN114" s="213"/>
      <c r="AO114" s="28"/>
      <c r="AP114" s="41"/>
      <c r="AQ114" s="28"/>
      <c r="AR114" s="28"/>
      <c r="AS114" s="213"/>
      <c r="AT114" s="28"/>
      <c r="AU114" s="41"/>
      <c r="AV114" s="28"/>
      <c r="AW114" s="28"/>
      <c r="AX114" s="213"/>
      <c r="AY114" s="28"/>
      <c r="AZ114" s="41"/>
      <c r="BA114" s="28"/>
      <c r="BB114" s="28"/>
      <c r="BC114" s="213"/>
      <c r="BD114" s="28"/>
      <c r="BE114" s="41"/>
      <c r="BF114" s="28"/>
      <c r="BG114" s="28"/>
      <c r="BH114" s="213"/>
      <c r="BI114" s="28"/>
      <c r="BJ114" s="41"/>
      <c r="BK114" s="45"/>
      <c r="BL114" s="28"/>
      <c r="BM114" s="174"/>
    </row>
    <row r="115" spans="1:65" x14ac:dyDescent="0.25">
      <c r="A115" s="168" t="str">
        <f>A27</f>
        <v>Faculty, Academic Year</v>
      </c>
      <c r="B115" s="187"/>
      <c r="C115" s="167" t="str">
        <f>C26</f>
        <v xml:space="preserve">Co-PI: </v>
      </c>
      <c r="D115" s="167"/>
      <c r="E115" s="167"/>
      <c r="F115" s="81"/>
      <c r="G115" s="81"/>
      <c r="H115" s="217">
        <f t="shared" si="42"/>
        <v>1142</v>
      </c>
      <c r="I115" s="188"/>
      <c r="J115" s="170">
        <f>IF($AI27=$D$378, "Manual", IF($AK$11="Yes", IF($A115="Faculty, Academic Year",IF($AL$27="AY",$H115*AP27*(1+$AK$8),0),($H115*AP27*(1+$AK$8))), IF($A115="Faculty, Academic Year",IF($AL$27="AY",$H115*AP27,0),($H115*AP27))))</f>
        <v>0</v>
      </c>
      <c r="K115" s="170"/>
      <c r="L115" s="189">
        <v>0</v>
      </c>
      <c r="M115" s="170"/>
      <c r="N115" s="170">
        <f>IF(AI27="Yes", "Manual", IF($AK$11="Yes", IF($A115="Faculty, Academic Year",IF($AL$27="AY",$H115*AU27*(1+$AK$8)^2,0),($H115*AU27*(1+$AK$8)^2)), IF($A115="Faculty, Academic Year",IF($AL$27="AY",$H115*AU27*(1+$AK$8),0),($H115*AU27*(1+$AK$8)))))</f>
        <v>0</v>
      </c>
      <c r="O115" s="170"/>
      <c r="P115" s="189">
        <v>0</v>
      </c>
      <c r="Q115" s="170"/>
      <c r="R115" s="170">
        <f>IF(AI27="Yes", "Manual", IF($AK$11="Yes", IF($A115="Faculty, Academic Year",IF($AL$27="AY",$H115*AZ27*(1+$AK$8)^3,0),($H115*AZ27*(1+$AK$8)^3)), IF($A115="Faculty, Academic Year",IF($AL$27="AY",$H115*AZ27*(1+$AK$8)^2,0),($H115*AZ27*(1+$AK$8)^2))))</f>
        <v>0</v>
      </c>
      <c r="S115" s="170"/>
      <c r="T115" s="189">
        <v>0</v>
      </c>
      <c r="U115" s="170"/>
      <c r="V115" s="170">
        <f>IF(AI27="Yes", "Manual", IF($AK$11="Yes", IF($A115="Faculty, Academic Year",IF($AL$27="AY",$H115*BE27*(1+$AK$8)^4,0),($H115*BE27*(1+$AK$8)^4)), IF($A115="Faculty, Academic Year",IF($AL$27="AY",$H115*BE27*(1+$AK$8)^3,0),($H115*BE27*(1+$AK$8)^3))))</f>
        <v>0</v>
      </c>
      <c r="W115" s="170"/>
      <c r="X115" s="189">
        <v>0</v>
      </c>
      <c r="Y115" s="170"/>
      <c r="Z115" s="170">
        <f>IF(AI27="Yes", "Manual", IF($AK$11="Yes", IF($A115="Faculty, Academic Year",IF($AL$27="AY",$H115*BJ27*(1+$AK$8)^5,0),($H115*BJ27*(1+$AK$8)^5)), IF($A115="Faculty, Academic Year",IF($AL$27="AY",$H115*BJ27*(1+$AK$8)^4,0),($H115*BJ27*(1+$AK$8)^4))))</f>
        <v>0</v>
      </c>
      <c r="AA115" s="170"/>
      <c r="AB115" s="189">
        <v>0</v>
      </c>
      <c r="AC115" s="81"/>
      <c r="AD115" s="170">
        <f t="shared" si="43"/>
        <v>0</v>
      </c>
      <c r="AE115" s="170"/>
      <c r="AF115" s="189">
        <f t="shared" si="44"/>
        <v>0</v>
      </c>
      <c r="AG115" s="28"/>
      <c r="AH115" s="28"/>
      <c r="AI115" s="28"/>
      <c r="AJ115" s="60"/>
      <c r="AK115" s="45"/>
      <c r="AL115" s="173"/>
      <c r="AM115" s="173"/>
      <c r="AN115" s="213"/>
      <c r="AO115" s="28"/>
      <c r="AP115" s="41"/>
      <c r="AQ115" s="28"/>
      <c r="AR115" s="28"/>
      <c r="AS115" s="213"/>
      <c r="AT115" s="28"/>
      <c r="AU115" s="41"/>
      <c r="AV115" s="28"/>
      <c r="AW115" s="28"/>
      <c r="AX115" s="213"/>
      <c r="AY115" s="28"/>
      <c r="AZ115" s="41"/>
      <c r="BA115" s="28"/>
      <c r="BB115" s="28"/>
      <c r="BC115" s="213"/>
      <c r="BD115" s="28"/>
      <c r="BE115" s="41"/>
      <c r="BF115" s="28"/>
      <c r="BG115" s="28"/>
      <c r="BH115" s="213"/>
      <c r="BI115" s="28"/>
      <c r="BJ115" s="41"/>
      <c r="BK115" s="45"/>
      <c r="BL115" s="28"/>
      <c r="BM115" s="174"/>
    </row>
    <row r="116" spans="1:65" x14ac:dyDescent="0.25">
      <c r="A116" s="168" t="str">
        <f>A28</f>
        <v>Faculty, Academic Year</v>
      </c>
      <c r="B116" s="187"/>
      <c r="C116" s="167"/>
      <c r="D116" s="167" t="s">
        <v>85</v>
      </c>
      <c r="E116" s="167"/>
      <c r="F116" s="81"/>
      <c r="G116" s="81"/>
      <c r="H116" s="217">
        <f t="shared" si="42"/>
        <v>1142</v>
      </c>
      <c r="I116" s="188"/>
      <c r="J116" s="170">
        <f>IF($AI28=$D$378, "Manual", IF($AK$11="Yes", IF($A116="Faculty, Academic Year",IF($AL$28="AY",$H116*AP28*(1+$AK$8),0),($H116*AP28*(1+$AK$8))), IF($A116="Faculty, Academic Year",IF($AL$28="AY",$H116*AP28,0),($H116*AP28))))</f>
        <v>0</v>
      </c>
      <c r="K116" s="170"/>
      <c r="L116" s="189">
        <v>0</v>
      </c>
      <c r="M116" s="170"/>
      <c r="N116" s="170">
        <f>IF(AI28="Yes", "Manual", IF($AK$11="Yes", IF($A116="Faculty, Academic Year",IF($AL$28="AY",$H116*AU28*(1+$AK$8)^2,0),($H116*AU28*(1+$AK$8)^2)), IF($A116="Faculty, Academic Year",IF($AL$28="AY",$H116*AU28*(1+$AK$8),0),($H116*AU28*(1+$AK$8)))))</f>
        <v>0</v>
      </c>
      <c r="O116" s="170"/>
      <c r="P116" s="189">
        <v>0</v>
      </c>
      <c r="Q116" s="170"/>
      <c r="R116" s="170">
        <f>IF(AI28="Yes", "Manual", IF($AK$11="Yes", IF($A116="Faculty, Academic Year",IF($AL$28="AY",$H116*AZ28*(1+$AK$8)^3,0),($H116*AZ28*(1+$AK$8)^3)), IF($A116="Faculty, Academic Year",IF($AL$28="AY",$H116*AZ28*(1+$AK$8)^2,0),($H116*AZ28*(1+$AK$8)^2))))</f>
        <v>0</v>
      </c>
      <c r="S116" s="170"/>
      <c r="T116" s="189">
        <v>0</v>
      </c>
      <c r="U116" s="170"/>
      <c r="V116" s="170">
        <f>IF(AI28="Yes", "Manual", IF($AK$11="Yes", IF($A116="Faculty, Academic Year",IF($AL$28="AY",$H116*BE28*(1+$AK$8)^4,0),($H116*BE25*(1+$AK$8)^4)), IF($A116="Faculty, Academic Year",IF($AL$28="AY",$H116*BE28*(1+$AK$8)^3,0),($H116*BE28*(1+$AK$8)^3))))</f>
        <v>0</v>
      </c>
      <c r="W116" s="170"/>
      <c r="X116" s="189">
        <v>0</v>
      </c>
      <c r="Y116" s="170"/>
      <c r="Z116" s="170">
        <f>IF(AI28="Yes", "Manual", IF($AK$11="Yes", IF($A116="Faculty, Academic Year",IF($AL$28="AY",$H116*BJ28*(1+$AK$8)^5,0),($H116*BJ28*(1+$AK$8)^5)), IF($A116="Faculty, Academic Year",IF($AL$28="AY",$H116*BJ28*(1+$AK$8)^4,0),($H116*BJ28*(1+$AK$8)^4))))</f>
        <v>0</v>
      </c>
      <c r="AA116" s="170"/>
      <c r="AB116" s="189">
        <v>0</v>
      </c>
      <c r="AC116" s="81"/>
      <c r="AD116" s="170">
        <f t="shared" si="43"/>
        <v>0</v>
      </c>
      <c r="AE116" s="170"/>
      <c r="AF116" s="189">
        <f t="shared" si="44"/>
        <v>0</v>
      </c>
      <c r="AG116" s="28"/>
      <c r="AH116" s="28"/>
      <c r="AI116" s="28"/>
      <c r="AJ116" s="60"/>
      <c r="AK116" s="45"/>
      <c r="AL116" s="173"/>
      <c r="AM116" s="173"/>
      <c r="AN116" s="213"/>
      <c r="AO116" s="28"/>
      <c r="AP116" s="41"/>
      <c r="AQ116" s="28"/>
      <c r="AR116" s="28"/>
      <c r="AS116" s="213"/>
      <c r="AT116" s="28"/>
      <c r="AU116" s="41"/>
      <c r="AV116" s="28"/>
      <c r="AW116" s="28"/>
      <c r="AX116" s="213"/>
      <c r="AY116" s="28"/>
      <c r="AZ116" s="41"/>
      <c r="BA116" s="28"/>
      <c r="BB116" s="28"/>
      <c r="BC116" s="213"/>
      <c r="BD116" s="28"/>
      <c r="BE116" s="41"/>
      <c r="BF116" s="28"/>
      <c r="BG116" s="28"/>
      <c r="BH116" s="213"/>
      <c r="BI116" s="28"/>
      <c r="BJ116" s="41"/>
      <c r="BK116" s="45"/>
      <c r="BL116" s="28"/>
      <c r="BM116" s="174"/>
    </row>
    <row r="117" spans="1:65" x14ac:dyDescent="0.25">
      <c r="A117" s="168" t="str">
        <f>A30</f>
        <v>Faculty, Academic Year</v>
      </c>
      <c r="B117" s="187"/>
      <c r="C117" s="167" t="str">
        <f>C29</f>
        <v xml:space="preserve">Co-PI: </v>
      </c>
      <c r="D117" s="167"/>
      <c r="E117" s="167"/>
      <c r="F117" s="81"/>
      <c r="G117" s="81"/>
      <c r="H117" s="217">
        <f t="shared" si="42"/>
        <v>1142</v>
      </c>
      <c r="I117" s="188"/>
      <c r="J117" s="170">
        <f>IF($AI30=$D$378, "Manual", IF($AK$11="Yes", IF($A117="Faculty, Academic Year",IF($AL$30="AY",$H117*AP30*(1+$AK$8),0),($H117*AP30*(1+$AK$8))), IF($A117="Faculty, Academic Year",IF($AL$30="AY",$H117*AP30,0),($H117*AP30))))</f>
        <v>0</v>
      </c>
      <c r="K117" s="170"/>
      <c r="L117" s="189">
        <v>0</v>
      </c>
      <c r="M117" s="170"/>
      <c r="N117" s="170">
        <f>IF(AI30="Yes", "Manual", IF($AK$11="Yes", IF($A117="Faculty, Academic Year",IF($AL$30="AY",$H117*AU30*(1+$AK$8)^2,0),($H117*AU30*(1+$AK$8)^2)), IF($A117="Faculty, Academic Year",IF($AL$30="AY",$H117*AU30*(1+$AK$8),0),($H117*AU30*(1+$AK$8)))))</f>
        <v>0</v>
      </c>
      <c r="O117" s="170"/>
      <c r="P117" s="189">
        <v>0</v>
      </c>
      <c r="Q117" s="170"/>
      <c r="R117" s="170">
        <f>IF(AI30="Yes", "Manual", IF($AK$11="Yes", IF($A117="Faculty, Academic Year",IF($AL$30="AY",$H117*AZ30*(1+$AK$8)^3,0),($H117*AZ30*(1+$AK$8)^3)), IF($A117="Faculty, Academic Year",IF($AL$30="AY",$H117*AZ30*(1+$AK$8)^2,0),($H117*AZ30*(1+$AK$8)^2))))</f>
        <v>0</v>
      </c>
      <c r="S117" s="170"/>
      <c r="T117" s="189">
        <v>0</v>
      </c>
      <c r="U117" s="170"/>
      <c r="V117" s="170">
        <f>IF(AI30="Yes", "Manual", IF($AK$11="Yes", IF($A117="Faculty, Academic Year",IF($AL$30="AY",$H117*BE30*(1+$AK$8)^4,0),($H117*BE30*(1+$AK$8)^4)), IF($A117="Faculty, Academic Year",IF($AL$30="AY",$H117*BE30*(1+$AK$8)^3,0),($H117*BE30*(1+$AK$8)^3))))</f>
        <v>0</v>
      </c>
      <c r="W117" s="170"/>
      <c r="X117" s="189">
        <v>0</v>
      </c>
      <c r="Y117" s="170"/>
      <c r="Z117" s="170">
        <f>IF(AI30="Yes", "Manual", IF($AK$11="Yes", IF($A117="Faculty, Academic Year",IF($AL$30="AY",$H117*BJ30*(1+$AK$8)^5,0),($H117*BJ30*(1+$AK$8)^5)), IF($A117="Faculty, Academic Year",IF($AL$30="AY",$H117*BJ30*(1+$AK$8)^4,0),($H117*BJ30*(1+$AK$8)^4))))</f>
        <v>0</v>
      </c>
      <c r="AA117" s="170"/>
      <c r="AB117" s="189">
        <v>0</v>
      </c>
      <c r="AC117" s="81"/>
      <c r="AD117" s="170">
        <f t="shared" si="43"/>
        <v>0</v>
      </c>
      <c r="AE117" s="170"/>
      <c r="AF117" s="189">
        <f t="shared" si="44"/>
        <v>0</v>
      </c>
      <c r="AG117" s="28"/>
      <c r="AH117" s="28"/>
      <c r="AI117" s="28"/>
      <c r="AJ117" s="60"/>
      <c r="AK117" s="45"/>
      <c r="AL117" s="173"/>
      <c r="AM117" s="173"/>
      <c r="AN117" s="213"/>
      <c r="AO117" s="28"/>
      <c r="AP117" s="41"/>
      <c r="AQ117" s="28"/>
      <c r="AR117" s="28"/>
      <c r="AS117" s="213"/>
      <c r="AT117" s="28"/>
      <c r="AU117" s="41"/>
      <c r="AV117" s="28"/>
      <c r="AW117" s="28"/>
      <c r="AX117" s="213"/>
      <c r="AY117" s="28"/>
      <c r="AZ117" s="41"/>
      <c r="BA117" s="28"/>
      <c r="BB117" s="28"/>
      <c r="BC117" s="213"/>
      <c r="BD117" s="28"/>
      <c r="BE117" s="41"/>
      <c r="BF117" s="28"/>
      <c r="BG117" s="28"/>
      <c r="BH117" s="213"/>
      <c r="BI117" s="28"/>
      <c r="BJ117" s="41"/>
      <c r="BK117" s="45"/>
      <c r="BL117" s="28"/>
      <c r="BM117" s="174"/>
    </row>
    <row r="118" spans="1:65" x14ac:dyDescent="0.25">
      <c r="A118" s="168" t="str">
        <f>A31</f>
        <v>Faculty, Academic Year</v>
      </c>
      <c r="B118" s="187"/>
      <c r="C118" s="167"/>
      <c r="D118" s="167" t="s">
        <v>85</v>
      </c>
      <c r="E118" s="167"/>
      <c r="F118" s="81"/>
      <c r="G118" s="81"/>
      <c r="H118" s="217">
        <f t="shared" si="42"/>
        <v>1142</v>
      </c>
      <c r="I118" s="188"/>
      <c r="J118" s="170">
        <f>IF($AI31=$D$378, "Manual", IF($AK$11="Yes", IF($A118="Faculty, Academic Year",IF($AL$31="AY",$H118*AP31*(1+$AK$8),0),($H118*AP31*(1+$AK$8))), IF($A118="Faculty, Academic Year",IF($AL$31="AY",$H118*AP31,0),($H118*AP31))))</f>
        <v>0</v>
      </c>
      <c r="K118" s="170"/>
      <c r="L118" s="189">
        <v>0</v>
      </c>
      <c r="M118" s="170"/>
      <c r="N118" s="170">
        <f>IF(AI31="Yes", "Manual", IF($AK$11="Yes", IF($A118="Faculty, Academic Year",IF($AL$31="AY",$H118*AU31*(1+$AK$8)^2,0),($H118*AU31*(1+$AK$8)^2)), IF($A118="Faculty, Academic Year",IF($AL$31="AY",$H118*AU31*(1+$AK$8),0),($H118*AU31*(1+$AK$8)))))</f>
        <v>0</v>
      </c>
      <c r="O118" s="170"/>
      <c r="P118" s="189">
        <v>0</v>
      </c>
      <c r="Q118" s="170"/>
      <c r="R118" s="170">
        <f>IF(AI31="Yes", "Manual", IF($AK$11="Yes", IF($A118="Faculty, Academic Year",IF($AL$31="AY",$H118*AZ31*(1+$AK$8)^3,0),($H118*AZ31*(1+$AK$8)^3)), IF($A118="Faculty, Academic Year",IF($AL$31="AY",$H118*AZ31*(1+$AK$8)^2,0),($H118*AZ31*(1+$AK$8)^2))))</f>
        <v>0</v>
      </c>
      <c r="S118" s="170"/>
      <c r="T118" s="189">
        <v>0</v>
      </c>
      <c r="U118" s="170"/>
      <c r="V118" s="170">
        <f>IF(AI31="Yes", "Manual", IF($AK$11="Yes", IF($A118="Faculty, Academic Year",IF($AL$31="AY",$H118*BE31*(1+$AK$8)^4,0),($H118*BE31*(1+$AK$8)^4)), IF($A118="Faculty, Academic Year",IF($AL$31="AY",$H118*BE31*(1+$AK$8)^3,0),($H118*BE31*(1+$AK$8)^3))))</f>
        <v>0</v>
      </c>
      <c r="W118" s="170"/>
      <c r="X118" s="189">
        <v>0</v>
      </c>
      <c r="Y118" s="170"/>
      <c r="Z118" s="170">
        <f>IF(AI31="Yes", "Manual", IF($AK$11="Yes", IF($A118="Faculty, Academic Year",IF($AL$31="AY",$H118*BJ31*(1+$AK$8)^5,0),($H118*BJ31*(1+$AK$8)^5)), IF($A118="Faculty, Academic Year",IF($AL$31="AY",$H118*BJ31*(1+$AK$8)^4,0),($H118*BJ31*(1+$AK$8)^4))))</f>
        <v>0</v>
      </c>
      <c r="AA118" s="170"/>
      <c r="AB118" s="189">
        <v>0</v>
      </c>
      <c r="AC118" s="81"/>
      <c r="AD118" s="170">
        <f t="shared" si="43"/>
        <v>0</v>
      </c>
      <c r="AE118" s="170"/>
      <c r="AF118" s="189">
        <f t="shared" si="44"/>
        <v>0</v>
      </c>
      <c r="AG118" s="28"/>
      <c r="AH118" s="28"/>
      <c r="AI118" s="28"/>
      <c r="AJ118" s="60"/>
      <c r="AK118" s="45"/>
      <c r="AL118" s="173"/>
      <c r="AM118" s="173"/>
      <c r="AN118" s="213"/>
      <c r="AO118" s="28"/>
      <c r="AP118" s="41"/>
      <c r="AQ118" s="28"/>
      <c r="AR118" s="28"/>
      <c r="AS118" s="213"/>
      <c r="AT118" s="28"/>
      <c r="AU118" s="41"/>
      <c r="AV118" s="28"/>
      <c r="AW118" s="28"/>
      <c r="AX118" s="213"/>
      <c r="AY118" s="28"/>
      <c r="AZ118" s="41"/>
      <c r="BA118" s="28"/>
      <c r="BB118" s="28"/>
      <c r="BC118" s="213"/>
      <c r="BD118" s="28"/>
      <c r="BE118" s="41"/>
      <c r="BF118" s="28"/>
      <c r="BG118" s="28"/>
      <c r="BH118" s="213"/>
      <c r="BI118" s="28"/>
      <c r="BJ118" s="41"/>
      <c r="BK118" s="45"/>
      <c r="BL118" s="28"/>
      <c r="BM118" s="174"/>
    </row>
    <row r="119" spans="1:65" x14ac:dyDescent="0.25">
      <c r="A119" s="168" t="str">
        <f>A33</f>
        <v>Research Associate LOA</v>
      </c>
      <c r="B119" s="187"/>
      <c r="C119" s="167" t="str">
        <f>C32</f>
        <v>Research Associate:</v>
      </c>
      <c r="D119" s="167"/>
      <c r="E119" s="167"/>
      <c r="F119" s="81"/>
      <c r="G119" s="81"/>
      <c r="H119" s="217">
        <f t="shared" si="42"/>
        <v>1054</v>
      </c>
      <c r="I119" s="188"/>
      <c r="J119" s="170">
        <f>IF($AI33=$D$378, "Manual", IF($AK$11="Yes", IF($A119="Faculty, Academic Year",IF($AL$33="AY",$H119*AP33*(1+$AK$8),0),($H119*AP33*(1+$AK$8))), IF($A119="Faculty, Academic Year",IF($AL$33="AY",$H119*AP33,0),($H119*AP33))))</f>
        <v>0</v>
      </c>
      <c r="K119" s="170"/>
      <c r="L119" s="189">
        <v>0</v>
      </c>
      <c r="M119" s="81"/>
      <c r="N119" s="170">
        <f>IF(AI33="Yes", "Manual", IF($AK$11="Yes", IF($A119="Faculty, Academic Year",IF($AL$33="AY",$H119*AU33*(1+$AK$8)^2,0),($H119*AU33*(1+$AK$8)^2)), IF($A119="Faculty, Academic Year",IF($AL$33="AY",$H119*AU33*(1+$AK$8),0),($H119*AU33*(1+$AK$8)))))</f>
        <v>0</v>
      </c>
      <c r="O119" s="170"/>
      <c r="P119" s="189">
        <v>0</v>
      </c>
      <c r="Q119" s="81"/>
      <c r="R119" s="170">
        <f>IF(AI33="Yes", "Manual", IF($AK$11="Yes", IF($A119="Faculty, Academic Year",IF($AL$33="AY",$H119*AZ33*(1+$AK$8)^3,0),($H119*AZ33*(1+$AK$8)^3)), IF($A119="Faculty, Academic Year",IF($AL$33="AY",$H119*AZ33*(1+$AK$8)^2,0),($H119*AZ33*(1+$AK$8)^2))))</f>
        <v>0</v>
      </c>
      <c r="S119" s="170"/>
      <c r="T119" s="189">
        <v>0</v>
      </c>
      <c r="U119" s="81"/>
      <c r="V119" s="170">
        <f>IF(AI33="Yes", "Manual", IF($AK$11="Yes", IF($A119="Faculty, Academic Year",IF($AL$33="AY",$H119*BE33*(1+$AK$8)^4,0),($H119*BE33*(1+$AK$8)^4)), IF($A119="Faculty, Academic Year",IF($AL$33="AY",$H119*BE33*(1+$AK$8)^3,0),($H119*BE33*(1+$AK$8)^3))))</f>
        <v>0</v>
      </c>
      <c r="W119" s="170"/>
      <c r="X119" s="189">
        <v>0</v>
      </c>
      <c r="Y119" s="170"/>
      <c r="Z119" s="170">
        <f>IF(AI33="Yes", "Manual", IF($AK$11="Yes", IF($A119="Faculty, Academic Year",IF($AL$33="AY",$H119*BJ33*(1+$AK$8)^5,0),($H119*BJ33*(1+$AK$8)^5)), IF($A119="Faculty, Academic Year",IF($AL$33="AY",$H119*BJ33*(1+$AK$8)^4,0),($H119*BJ33*(1+$AK$8)^4))))</f>
        <v>0</v>
      </c>
      <c r="AA119" s="170"/>
      <c r="AB119" s="189">
        <v>0</v>
      </c>
      <c r="AC119" s="81"/>
      <c r="AD119" s="170">
        <f t="shared" si="43"/>
        <v>0</v>
      </c>
      <c r="AE119" s="170"/>
      <c r="AF119" s="189">
        <f t="shared" si="44"/>
        <v>0</v>
      </c>
      <c r="AG119" s="28"/>
      <c r="AH119" s="28"/>
      <c r="AI119" s="28"/>
      <c r="AJ119" s="60"/>
      <c r="AK119" s="45"/>
      <c r="AL119" s="173"/>
      <c r="AM119" s="173"/>
      <c r="AN119" s="213"/>
      <c r="AO119" s="28"/>
      <c r="AP119" s="41"/>
      <c r="AQ119" s="28"/>
      <c r="AR119" s="28"/>
      <c r="AS119" s="213"/>
      <c r="AT119" s="28"/>
      <c r="AU119" s="41"/>
      <c r="AV119" s="28"/>
      <c r="AW119" s="28"/>
      <c r="AX119" s="213"/>
      <c r="AY119" s="28"/>
      <c r="AZ119" s="41"/>
      <c r="BA119" s="28"/>
      <c r="BB119" s="28"/>
      <c r="BC119" s="213"/>
      <c r="BD119" s="28"/>
      <c r="BE119" s="41"/>
      <c r="BF119" s="28"/>
      <c r="BG119" s="28"/>
      <c r="BH119" s="213"/>
      <c r="BI119" s="28"/>
      <c r="BJ119" s="41"/>
      <c r="BK119" s="45"/>
      <c r="BL119" s="28"/>
      <c r="BM119" s="174"/>
    </row>
    <row r="120" spans="1:65" x14ac:dyDescent="0.25">
      <c r="A120" s="168" t="str">
        <f>A35</f>
        <v>Research Associate LOA</v>
      </c>
      <c r="B120" s="187"/>
      <c r="C120" s="167" t="str">
        <f>C34</f>
        <v>Research Associate:</v>
      </c>
      <c r="D120" s="167"/>
      <c r="E120" s="167"/>
      <c r="F120" s="81"/>
      <c r="G120" s="81"/>
      <c r="H120" s="217">
        <f t="shared" si="42"/>
        <v>1054</v>
      </c>
      <c r="I120" s="188"/>
      <c r="J120" s="170">
        <f>IF($AI35=$D$378, "Manual", IF($AK$11="Yes", IF($A120="Faculty, Academic Year",IF($AL$35="AY",$H120*AP35*(1+$AK$8),0),($H120*AP35*(1+$AK$8))), IF($A120="Faculty, Academic Year",IF($AL$35="AY",$H120*AP35,0),($H120*AP35))))</f>
        <v>0</v>
      </c>
      <c r="K120" s="170"/>
      <c r="L120" s="189">
        <v>0</v>
      </c>
      <c r="M120" s="81"/>
      <c r="N120" s="170">
        <f>IF(AI35="Yes", "Manual", IF($AK$11="Yes", IF($A120="Faculty, Academic Year",IF($AL$35="AY",$H120*AU35*(1+$AK$8)^2,0),($H120*AU35*(1+$AK$8)^2)), IF($A120="Faculty, Academic Year",IF($AL$35="AY",$H120*AU35*(1+$AK$8),0),($H120*AU35*(1+$AK$8)))))</f>
        <v>0</v>
      </c>
      <c r="O120" s="170"/>
      <c r="P120" s="189">
        <v>0</v>
      </c>
      <c r="Q120" s="81"/>
      <c r="R120" s="170">
        <f>IF(AI35="Yes", "Manual", IF($AK$11="Yes", IF($A120="Faculty, Academic Year",IF($AL$35="AY",$H120*AZ35*(1+$AK$8)^3,0),($H120*AZ35*(1+$AK$8)^3)), IF($A120="Faculty, Academic Year",IF($AL$35="AY",$H120*AZ35*(1+$AK$8)^2,0),($H120*AZ35*(1+$AK$8)^2))))</f>
        <v>0</v>
      </c>
      <c r="S120" s="170"/>
      <c r="T120" s="189">
        <v>0</v>
      </c>
      <c r="U120" s="81"/>
      <c r="V120" s="170">
        <f>IF(AI35="Yes", "Manual", IF($AK$11="Yes", IF($A120="Faculty, Academic Year",IF($AL$35="AY",$H120*BE35*(1+$AK$8)^4,0),($H120*BE35*(1+$AK$8)^4)), IF($A120="Faculty, Academic Year",IF($AL$35="AY",$H120*BE35*(1+$AK$8)^3,0),($H120*BE35*(1+$AK$8)^3))))</f>
        <v>0</v>
      </c>
      <c r="W120" s="170"/>
      <c r="X120" s="189">
        <f>IF(AI29="Yes", 0, IF($AK$11="Yes", IF($A120="Faculty, Academic Year",IF($AL$18="AY",$H120*(X29/$AJ29*$AK29)*(1+$AK$8)^4,0),($H120*(X29/$AJ29*$AK29)*(1+$AK$8)^4)), IF($A120="Faculty, Academic Year",IF($AL$18="AY",$H120*(X29/$AJ29*$AK29)*(1+$AK$8)^3,0),($H120*(X29/$AJ29*$AK29)*(1+$AK$8)^3))))</f>
        <v>0</v>
      </c>
      <c r="Y120" s="170"/>
      <c r="Z120" s="170">
        <f>IF(AI35="Yes", "Manual", IF($AK$11="Yes", IF($A120="Faculty, Academic Year",IF($AL$35="AY",$H120*BJ35*(1+$AK$8)^5,0),($H120*BJ35*(1+$AK$8)^5)), IF($A120="Faculty, Academic Year",IF($AL$35="AY",$H120*BJ35*(1+$AK$8)^4,0),($H120*BJ35*(1+$AK$8)^4))))</f>
        <v>0</v>
      </c>
      <c r="AA120" s="170"/>
      <c r="AB120" s="189">
        <v>0</v>
      </c>
      <c r="AC120" s="81"/>
      <c r="AD120" s="170">
        <f t="shared" si="43"/>
        <v>0</v>
      </c>
      <c r="AE120" s="170"/>
      <c r="AF120" s="189">
        <f t="shared" si="44"/>
        <v>0</v>
      </c>
      <c r="AG120" s="28"/>
      <c r="AH120" s="28"/>
      <c r="AI120" s="28"/>
      <c r="AJ120" s="60"/>
      <c r="AK120" s="45"/>
      <c r="AL120" s="173"/>
      <c r="AM120" s="173"/>
      <c r="AN120" s="213"/>
      <c r="AO120" s="28"/>
      <c r="AP120" s="41"/>
      <c r="AQ120" s="28"/>
      <c r="AR120" s="28"/>
      <c r="AS120" s="213"/>
      <c r="AT120" s="28"/>
      <c r="AU120" s="41"/>
      <c r="AV120" s="28"/>
      <c r="AW120" s="28"/>
      <c r="AX120" s="213"/>
      <c r="AY120" s="28"/>
      <c r="AZ120" s="41"/>
      <c r="BA120" s="28"/>
      <c r="BB120" s="28"/>
      <c r="BC120" s="213"/>
      <c r="BD120" s="28"/>
      <c r="BE120" s="41"/>
      <c r="BF120" s="28"/>
      <c r="BG120" s="28"/>
      <c r="BH120" s="213"/>
      <c r="BI120" s="28"/>
      <c r="BJ120" s="41"/>
      <c r="BK120" s="45"/>
      <c r="BL120" s="28"/>
      <c r="BM120" s="174"/>
    </row>
    <row r="121" spans="1:65" x14ac:dyDescent="0.25">
      <c r="A121" s="168" t="str">
        <f>A37</f>
        <v>Research Associate LOA</v>
      </c>
      <c r="B121" s="187"/>
      <c r="C121" s="167" t="str">
        <f>C36</f>
        <v>Research Associate:</v>
      </c>
      <c r="D121" s="167"/>
      <c r="E121" s="167"/>
      <c r="F121" s="81"/>
      <c r="G121" s="81"/>
      <c r="H121" s="217">
        <f t="shared" si="42"/>
        <v>1054</v>
      </c>
      <c r="I121" s="188"/>
      <c r="J121" s="170">
        <f>IF($AI37=$D$378, "Manual", IF($AK$11="Yes", IF($A121="Faculty, Academic Year",IF($AL$37="AY",$H121*AP37*(1+$AK$8),0),($H121*AP37*(1+$AK$8))), IF($A121="Faculty, Academic Year",IF($AL$37="AY",$H121*AP37,0),($H121*AP37))))</f>
        <v>0</v>
      </c>
      <c r="K121" s="170"/>
      <c r="L121" s="189">
        <v>0</v>
      </c>
      <c r="M121" s="81"/>
      <c r="N121" s="170">
        <f>IF(AI37="Yes", "Manual", IF($AK$11="Yes", IF($A121="Faculty, Academic Year",IF($AL$37="AY",$H121*AU37*(1+$AK$8)^2,0),($H121*AU37*(1+$AK$8)^2)), IF($A121="Faculty, Academic Year",IF($AL$37="AY",$H121*AU37*(1+$AK$8),0),($H121*AU37*(1+$AK$8)))))</f>
        <v>0</v>
      </c>
      <c r="O121" s="170"/>
      <c r="P121" s="189">
        <v>0</v>
      </c>
      <c r="Q121" s="81"/>
      <c r="R121" s="170">
        <f>IF(AI37="Yes", "Manual", IF($AK$11="Yes", IF($A121="Faculty, Academic Year",IF($AL$37="AY",$H121*AZ37*(1+$AK$8)^3,0),($H121*AZ37*(1+$AK$8)^3)), IF($A121="Faculty, Academic Year",IF($AL$37="AY",$H121*AZ37*(1+$AK$8)^2,0),($H121*AZ37*(1+$AK$8)^2))))</f>
        <v>0</v>
      </c>
      <c r="S121" s="170"/>
      <c r="T121" s="189">
        <v>0</v>
      </c>
      <c r="U121" s="81"/>
      <c r="V121" s="170">
        <f>IF(AI37="Yes", "Manual", IF($AK$11="Yes", IF($A121="Faculty, Academic Year",IF($AL$37="AY",$H121*BE37*(1+$AK$8)^4,0),($H121*BE37*(1+$AK$8)^4)), IF($A121="Faculty, Academic Year",IF($AL$37="AY",$H121*BE37*(1+$AK$8)^3,0),($H121*BE37*(1+$AK$8)^3))))</f>
        <v>0</v>
      </c>
      <c r="W121" s="170"/>
      <c r="X121" s="189">
        <v>0</v>
      </c>
      <c r="Y121" s="170"/>
      <c r="Z121" s="170">
        <f>IF(AI37="Yes", "Manual", IF($AK$11="Yes", IF($A121="Faculty, Academic Year",IF($AL$37="AY",$H121*BJ37*(1+$AK$8)^5,0),($H121*BJ37*(1+$AK$8)^5)), IF($A121="Faculty, Academic Year",IF($AL$37="AY",$H121*BJ37*(1+$AK$8)^4,0),($H121*BJ37*(1+$AK$8)^4))))</f>
        <v>0</v>
      </c>
      <c r="AA121" s="170"/>
      <c r="AB121" s="189">
        <v>0</v>
      </c>
      <c r="AC121" s="81"/>
      <c r="AD121" s="170">
        <f t="shared" si="43"/>
        <v>0</v>
      </c>
      <c r="AE121" s="170"/>
      <c r="AF121" s="189">
        <f t="shared" si="44"/>
        <v>0</v>
      </c>
      <c r="AG121" s="28"/>
      <c r="AH121" s="28"/>
      <c r="AI121" s="28"/>
      <c r="AJ121" s="60"/>
      <c r="AK121" s="45"/>
      <c r="AL121" s="173"/>
      <c r="AM121" s="173"/>
      <c r="AN121" s="213"/>
      <c r="AO121" s="28"/>
      <c r="AP121" s="41"/>
      <c r="AQ121" s="28"/>
      <c r="AR121" s="28"/>
      <c r="AS121" s="213"/>
      <c r="AT121" s="28"/>
      <c r="AU121" s="41"/>
      <c r="AV121" s="28"/>
      <c r="AW121" s="28"/>
      <c r="AX121" s="213"/>
      <c r="AY121" s="28"/>
      <c r="AZ121" s="41"/>
      <c r="BA121" s="28"/>
      <c r="BB121" s="28"/>
      <c r="BC121" s="213"/>
      <c r="BD121" s="28"/>
      <c r="BE121" s="41"/>
      <c r="BF121" s="28"/>
      <c r="BG121" s="28"/>
      <c r="BH121" s="213"/>
      <c r="BI121" s="28"/>
      <c r="BJ121" s="41"/>
      <c r="BK121" s="45"/>
      <c r="BL121" s="28"/>
      <c r="BM121" s="174"/>
    </row>
    <row r="122" spans="1:65" x14ac:dyDescent="0.25">
      <c r="A122" s="168" t="str">
        <f>A39</f>
        <v>Senior Personnel LOA</v>
      </c>
      <c r="B122" s="187"/>
      <c r="C122" s="167" t="str">
        <f>C38</f>
        <v>Senior Personnel:</v>
      </c>
      <c r="D122" s="167"/>
      <c r="E122" s="167"/>
      <c r="F122" s="81"/>
      <c r="G122" s="81"/>
      <c r="H122" s="217">
        <f t="shared" si="42"/>
        <v>1054</v>
      </c>
      <c r="I122" s="188"/>
      <c r="J122" s="170">
        <f>IF($AI39=$D$378, "Manual", IF($AK$11="Yes", IF($A122="Faculty, Academic Year",IF($AL$39="AY",$H122*AP39*(1+$AK$8),0),($H122*AP39*(1+$AK$8))), IF($A122="Faculty, Academic Year",IF($AL$39="AY",$H122*AP39,0),($H122*AP39))))</f>
        <v>0</v>
      </c>
      <c r="K122" s="170"/>
      <c r="L122" s="189">
        <v>0</v>
      </c>
      <c r="M122" s="81"/>
      <c r="N122" s="170">
        <f>IF(AI39="Yes", "Manual", IF($AK$11="Yes", IF($A122="Faculty, Academic Year",IF($AL$39="AY",$H122*AU39*(1+$AK$8)^2,0),($H122*AU39*(1+$AK$8)^2)), IF($A122="Faculty, Academic Year",IF($AL$39="AY",$H122*AU39*(1+$AK$8),0),($H122*AU39*(1+$AK$8)))))</f>
        <v>0</v>
      </c>
      <c r="O122" s="170"/>
      <c r="P122" s="189">
        <v>0</v>
      </c>
      <c r="Q122" s="81"/>
      <c r="R122" s="170">
        <f>IF(AI39="Yes", "Manual", IF($AK$11="Yes", IF($A122="Faculty, Academic Year",IF($AL$39="AY",$H122*AZ39*(1+$AK$8)^3,0),($H122*AZ39*(1+$AK$8)^3)), IF($A122="Faculty, Academic Year",IF($AL$39="AY",$H122*AZ39*(1+$AK$8)^2,0),($H122*AZ39*(1+$AK$8)^2))))</f>
        <v>0</v>
      </c>
      <c r="S122" s="170"/>
      <c r="T122" s="189">
        <v>0</v>
      </c>
      <c r="U122" s="81"/>
      <c r="V122" s="170">
        <f>IF(AI39="Yes", "Manual", IF($AK$11="Yes", IF($A122="Faculty, Academic Year",IF($AL$39="AY",$H122*BE39*(1+$AK$8)^4,0),($H122*BE39*(1+$AK$8)^4)), IF($A122="Faculty, Academic Year",IF($AL$39="AY",$H122*BE39*(1+$AK$8)^3,0),($H122*BE39*(1+$AK$8)^3))))</f>
        <v>0</v>
      </c>
      <c r="W122" s="170"/>
      <c r="X122" s="189">
        <v>0</v>
      </c>
      <c r="Y122" s="170"/>
      <c r="Z122" s="170">
        <f>IF(AI39="Yes", "Manual", IF($AK$11="Yes", IF($A122="Faculty, Academic Year",IF($AL$39="AY",$H122*BJ39*(1+$AK$8)^5,0),($H122*BJ39*(1+$AK$8)^5)), IF($A122="Faculty, Academic Year",IF($AL$39="AY",$H122*BJ39*(1+$AK$8)^4,0),($H122*BJ39*(1+$AK$8)^4))))</f>
        <v>0</v>
      </c>
      <c r="AA122" s="170"/>
      <c r="AB122" s="189">
        <v>0</v>
      </c>
      <c r="AC122" s="81"/>
      <c r="AD122" s="170">
        <f t="shared" si="43"/>
        <v>0</v>
      </c>
      <c r="AE122" s="170"/>
      <c r="AF122" s="189">
        <f t="shared" si="44"/>
        <v>0</v>
      </c>
      <c r="AG122" s="28"/>
      <c r="AH122" s="28"/>
      <c r="AI122" s="28"/>
      <c r="AJ122" s="60"/>
      <c r="AK122" s="45"/>
      <c r="AL122" s="173"/>
      <c r="AM122" s="173"/>
      <c r="AN122" s="213"/>
      <c r="AO122" s="28"/>
      <c r="AP122" s="41"/>
      <c r="AQ122" s="28"/>
      <c r="AR122" s="28"/>
      <c r="AS122" s="213"/>
      <c r="AT122" s="28"/>
      <c r="AU122" s="41"/>
      <c r="AV122" s="28"/>
      <c r="AW122" s="28"/>
      <c r="AX122" s="213"/>
      <c r="AY122" s="28"/>
      <c r="AZ122" s="41"/>
      <c r="BA122" s="28"/>
      <c r="BB122" s="28"/>
      <c r="BC122" s="213"/>
      <c r="BD122" s="28"/>
      <c r="BE122" s="41"/>
      <c r="BF122" s="28"/>
      <c r="BG122" s="28"/>
      <c r="BH122" s="213"/>
      <c r="BI122" s="28"/>
      <c r="BJ122" s="41"/>
      <c r="BK122" s="45"/>
      <c r="BL122" s="28"/>
      <c r="BM122" s="174"/>
    </row>
    <row r="123" spans="1:65" x14ac:dyDescent="0.25">
      <c r="A123" s="168" t="str">
        <f>A41</f>
        <v>Senior Personnel LOA</v>
      </c>
      <c r="B123" s="187"/>
      <c r="C123" s="167" t="str">
        <f>C40</f>
        <v>Senior Personnel:</v>
      </c>
      <c r="D123" s="167"/>
      <c r="E123" s="167"/>
      <c r="F123" s="81"/>
      <c r="G123" s="81"/>
      <c r="H123" s="217">
        <f t="shared" si="42"/>
        <v>1054</v>
      </c>
      <c r="I123" s="188"/>
      <c r="J123" s="170">
        <f>IF($AI41=$D$378, "Manual", IF($AK$11="Yes", IF($A123="Faculty, Academic Year",IF($AL$41="AY",$H123*AP41*(1+$AK$8),0),($H123*AP41*(1+$AK$8))), IF($A123="Faculty, Academic Year",IF($AL$41="AY",$H123*AP41,0),($H123*AP41))))</f>
        <v>0</v>
      </c>
      <c r="K123" s="170"/>
      <c r="L123" s="189">
        <v>0</v>
      </c>
      <c r="M123" s="81"/>
      <c r="N123" s="170">
        <f>IF(AI41="Yes", "Manual", IF($AK$11="Yes", IF($A123="Faculty, Academic Year",IF($AL$41="AY",$H123*AU41*(1+$AK$8)^2,0),($H123*AU41*(1+$AK$8)^2)), IF($A123="Faculty, Academic Year",IF($AL$41="AY",$H123*AU41*(1+$AK$8),0),($H123*AU41*(1+$AK$8)))))</f>
        <v>0</v>
      </c>
      <c r="O123" s="170"/>
      <c r="P123" s="189">
        <v>0</v>
      </c>
      <c r="Q123" s="81"/>
      <c r="R123" s="170">
        <f>IF(AI41="Yes", "Manual", IF($AK$11="Yes", IF($A123="Faculty, Academic Year",IF($AL$41="AY",$H123*AZ41*(1+$AK$8)^3,0),($H123*AZ41*(1+$AK$8)^3)), IF($A123="Faculty, Academic Year",IF($AL$41="AY",$H123*AZ41*(1+$AK$8)^2,0),($H123*AZ41*(1+$AK$8)^2))))</f>
        <v>0</v>
      </c>
      <c r="S123" s="170"/>
      <c r="T123" s="189">
        <v>0</v>
      </c>
      <c r="U123" s="81"/>
      <c r="V123" s="170">
        <f>IF(AI41="Yes", "Manual", IF($AK$11="Yes", IF($A123="Faculty, Academic Year",IF($AL$41="AY",$H123*BE41*(1+$AK$8)^4,0),($H123*BE41*(1+$AK$8)^4)), IF($A123="Faculty, Academic Year",IF($AL$41="AY",$H123*BE41*(1+$AK$8)^3,0),($H123*BE41*(1+$AK$8)^3))))</f>
        <v>0</v>
      </c>
      <c r="W123" s="170"/>
      <c r="X123" s="189">
        <v>0</v>
      </c>
      <c r="Y123" s="170"/>
      <c r="Z123" s="170">
        <f>IF(AI41="Yes", "Manual", IF($AK$11="Yes", IF($A123="Faculty, Academic Year",IF($AL$41="AY",$H123*BJ41*(1+$AK$8)^5,0),($H123*BJ41*(1+$AK$8)^5)), IF($A123="Faculty, Academic Year",IF($AL$41="AY",$H123*BJ41*(1+$AK$8)^4,0),($H123*BJ41*(1+$AK$8)^4))))</f>
        <v>0</v>
      </c>
      <c r="AA123" s="170"/>
      <c r="AB123" s="189">
        <v>0</v>
      </c>
      <c r="AC123" s="81"/>
      <c r="AD123" s="170">
        <f t="shared" si="43"/>
        <v>0</v>
      </c>
      <c r="AE123" s="170"/>
      <c r="AF123" s="189">
        <f t="shared" si="44"/>
        <v>0</v>
      </c>
      <c r="AG123" s="28"/>
      <c r="AH123" s="28"/>
      <c r="AI123" s="28"/>
      <c r="AJ123" s="60"/>
      <c r="AK123" s="45"/>
      <c r="AL123" s="173"/>
      <c r="AM123" s="173"/>
      <c r="AN123" s="213"/>
      <c r="AO123" s="28"/>
      <c r="AP123" s="41"/>
      <c r="AQ123" s="28"/>
      <c r="AR123" s="28"/>
      <c r="AS123" s="213"/>
      <c r="AT123" s="28"/>
      <c r="AU123" s="41"/>
      <c r="AV123" s="28"/>
      <c r="AW123" s="28"/>
      <c r="AX123" s="213"/>
      <c r="AY123" s="28"/>
      <c r="AZ123" s="41"/>
      <c r="BA123" s="28"/>
      <c r="BB123" s="28"/>
      <c r="BC123" s="213"/>
      <c r="BD123" s="28"/>
      <c r="BE123" s="41"/>
      <c r="BF123" s="28"/>
      <c r="BG123" s="28"/>
      <c r="BH123" s="213"/>
      <c r="BI123" s="28"/>
      <c r="BJ123" s="41"/>
      <c r="BK123" s="45"/>
      <c r="BL123" s="28"/>
      <c r="BM123" s="174"/>
    </row>
    <row r="124" spans="1:65" x14ac:dyDescent="0.25">
      <c r="A124" s="168" t="str">
        <f>A43</f>
        <v>Senior Personnel LOA</v>
      </c>
      <c r="B124" s="167"/>
      <c r="C124" s="167" t="str">
        <f>C42</f>
        <v>Senior Personnel:</v>
      </c>
      <c r="D124" s="167"/>
      <c r="E124" s="167"/>
      <c r="F124" s="81"/>
      <c r="G124" s="81"/>
      <c r="H124" s="217">
        <f t="shared" si="42"/>
        <v>1054</v>
      </c>
      <c r="I124" s="188"/>
      <c r="J124" s="170">
        <f>IF($AI43=$D$378, "Manual", IF($AK$11="Yes", IF($A124="Faculty, Academic Year",IF($AL$43="AY",$H124*AP43*(1+$AK$8),0),($H124*AP43*(1+$AK$8))), IF($A124="Faculty, Academic Year",IF($AL$43="AY",$H124*AP43,0),($H124*AP43))))</f>
        <v>0</v>
      </c>
      <c r="K124" s="170"/>
      <c r="L124" s="189">
        <v>0</v>
      </c>
      <c r="M124" s="81"/>
      <c r="N124" s="170">
        <f>IF(AI43="Yes", "Manual", IF($AK$11="Yes", IF($A124="Faculty, Academic Year",IF($AL$43="AY",$H124*AU43*(1+$AK$8)^2,0),($H124*AU43*(1+$AK$8)^2)), IF($A124="Faculty, Academic Year",IF($AL$43="AY",$H124*AU43*(1+$AK$8),0),($H124*AU43*(1+$AK$8)))))</f>
        <v>0</v>
      </c>
      <c r="O124" s="170"/>
      <c r="P124" s="189">
        <v>0</v>
      </c>
      <c r="Q124" s="81"/>
      <c r="R124" s="170">
        <f>IF(AI43="Yes", "Manual", IF($AK$11="Yes", IF($A124="Faculty, Academic Year",IF($AL$43="AY",$H124*AZ43*(1+$AK$8)^3,0),($H124*AZ43*(1+$AK$8)^3)), IF($A124="Faculty, Academic Year",IF($AL$43="AY",$H124*AZ43*(1+$AK$8)^2,0),($H124*AZ43*(1+$AK$8)^2))))</f>
        <v>0</v>
      </c>
      <c r="S124" s="170"/>
      <c r="T124" s="189">
        <v>0</v>
      </c>
      <c r="U124" s="81"/>
      <c r="V124" s="170">
        <f>IF(AI43="Yes", "Manual", IF($AK$11="Yes", IF($A124="Faculty, Academic Year",IF($AL$43="AY",$H124*BE43*(1+$AK$8)^4,0),($H124*BE43*(1+$AK$8)^4)), IF($A124="Faculty, Academic Year",IF($AL$43="AY",$H124*BE43*(1+$AK$8)^3,0),($H124*BE43*(1+$AK$8)^3))))</f>
        <v>0</v>
      </c>
      <c r="W124" s="170"/>
      <c r="X124" s="189">
        <v>0</v>
      </c>
      <c r="Y124" s="170"/>
      <c r="Z124" s="170">
        <f>IF(AI43="Yes", "Manual", IF($AK$11="Yes", IF($A124="Faculty, Academic Year",IF($AL$43="AY",$H124*BJ43*(1+$AK$8)^5,0),($H124*BJ43*(1+$AK$8)^5)), IF($A124="Faculty, Academic Year",IF($AL$43="AY",$H124*BJ43*(1+$AK$8)^4,0),($H124*BJ43*(1+$AK$8)^4))))</f>
        <v>0</v>
      </c>
      <c r="AA124" s="170"/>
      <c r="AB124" s="189">
        <v>0</v>
      </c>
      <c r="AC124" s="81"/>
      <c r="AD124" s="170">
        <f t="shared" si="43"/>
        <v>0</v>
      </c>
      <c r="AE124" s="170"/>
      <c r="AF124" s="189">
        <f t="shared" si="44"/>
        <v>0</v>
      </c>
      <c r="AG124" s="28"/>
      <c r="AH124" s="28"/>
      <c r="AI124" s="28"/>
      <c r="AJ124" s="60"/>
      <c r="AK124" s="45"/>
      <c r="AL124" s="173"/>
      <c r="AM124" s="173"/>
      <c r="AN124" s="213"/>
      <c r="AO124" s="28"/>
      <c r="AP124" s="41"/>
      <c r="AQ124" s="28"/>
      <c r="AR124" s="28"/>
      <c r="AS124" s="213"/>
      <c r="AT124" s="28"/>
      <c r="AU124" s="41"/>
      <c r="AV124" s="28"/>
      <c r="AW124" s="28"/>
      <c r="AX124" s="213"/>
      <c r="AY124" s="28"/>
      <c r="AZ124" s="41"/>
      <c r="BA124" s="28"/>
      <c r="BB124" s="28"/>
      <c r="BC124" s="213"/>
      <c r="BD124" s="28"/>
      <c r="BE124" s="41"/>
      <c r="BF124" s="28"/>
      <c r="BG124" s="28"/>
      <c r="BH124" s="213"/>
      <c r="BI124" s="28"/>
      <c r="BJ124" s="41"/>
      <c r="BK124" s="45"/>
      <c r="BL124" s="28"/>
      <c r="BM124" s="174"/>
    </row>
    <row r="125" spans="1:65" x14ac:dyDescent="0.25">
      <c r="A125" s="168" t="str">
        <f>A45</f>
        <v>Classified Staff</v>
      </c>
      <c r="B125" s="187"/>
      <c r="C125" s="167" t="str">
        <f>C44</f>
        <v>Administrative Assistant:</v>
      </c>
      <c r="D125" s="167"/>
      <c r="E125" s="167"/>
      <c r="F125" s="81"/>
      <c r="G125" s="81"/>
      <c r="H125" s="217">
        <f t="shared" si="42"/>
        <v>1054</v>
      </c>
      <c r="I125" s="188"/>
      <c r="J125" s="170">
        <f>IF($AI45=$D$378, "Manual", IF($AK$11="Yes", IF($A125="Faculty, Academic Year",IF($AL$45="AY",$H125*AP45*(1+$AK$8),0),($H125*AP45*(1+$AK$8))), IF($A125="Faculty, Academic Year",IF($AL$45="AY",$H125*AP45,0),($H125*AP45))))</f>
        <v>0</v>
      </c>
      <c r="K125" s="170"/>
      <c r="L125" s="189">
        <v>0</v>
      </c>
      <c r="M125" s="81"/>
      <c r="N125" s="170">
        <f>IF(AI45="Yes", "Manual", IF($AK$11="Yes", IF($A125="Faculty, Academic Year",IF($AL$45="AY",$H125*AU45*(1+$AK$8)^2,0),($H125*AU45*(1+$AK$8)^2)), IF($A125="Faculty, Academic Year",IF($AL$45="AY",$H125*AU45*(1+$AK$8),0),($H125*AU45*(1+$AK$8)))))</f>
        <v>0</v>
      </c>
      <c r="O125" s="170"/>
      <c r="P125" s="189">
        <v>0</v>
      </c>
      <c r="Q125" s="81"/>
      <c r="R125" s="170">
        <f>IF(AI45="Yes", "Manual", IF($AK$11="Yes", IF($A125="Faculty, Academic Year",IF($AL$45="AY",$H125*AZ45*(1+$AK$8)^3,0),($H125*AZ45*(1+$AK$8)^3)), IF($A125="Faculty, Academic Year",IF($AL$45="AY",$H125*AZ45*(1+$AK$8)^2,0),($H125*AZ45*(1+$AK$8)^2))))</f>
        <v>0</v>
      </c>
      <c r="S125" s="170"/>
      <c r="T125" s="189">
        <v>0</v>
      </c>
      <c r="U125" s="81"/>
      <c r="V125" s="170">
        <f>IF(AI45="Yes", "Manual", IF($AK$11="Yes", IF($A125="Faculty, Academic Year",IF($AL$45="AY",$H125*BE45*(1+$AK$8)^4,0),($H125*BE45*(1+$AK$8)^4)), IF($A125="Faculty, Academic Year",IF($AL$45="AY",$H125*BE45*(1+$AK$8)^3,0),($H125*BE45*(1+$AK$8)^3))))</f>
        <v>0</v>
      </c>
      <c r="W125" s="170"/>
      <c r="X125" s="189">
        <v>0</v>
      </c>
      <c r="Y125" s="170"/>
      <c r="Z125" s="170">
        <f>IF(AI45="Yes", "Manual", IF($AK$11="Yes", IF($A125="Faculty, Academic Year",IF($AL$45="AY",$H125*BJ45*(1+$AK$8)^5,0),($H125*BJ45*(1+$AK$8)^5)), IF($A125="Faculty, Academic Year",IF($AL$45="AY",$H125*BJ45*(1+$AK$8)^4,0),($H125*BJ45*(1+$AK$8)^4))))</f>
        <v>0</v>
      </c>
      <c r="AA125" s="170"/>
      <c r="AB125" s="189">
        <v>0</v>
      </c>
      <c r="AC125" s="81"/>
      <c r="AD125" s="170">
        <f t="shared" si="43"/>
        <v>0</v>
      </c>
      <c r="AE125" s="170"/>
      <c r="AF125" s="189">
        <f t="shared" si="44"/>
        <v>0</v>
      </c>
      <c r="AG125" s="28"/>
      <c r="AH125" s="28"/>
      <c r="AI125" s="28"/>
      <c r="AJ125" s="60"/>
      <c r="AK125" s="45"/>
      <c r="AL125" s="173"/>
      <c r="AM125" s="173"/>
      <c r="AN125" s="213"/>
      <c r="AO125" s="28"/>
      <c r="AP125" s="41"/>
      <c r="AQ125" s="28"/>
      <c r="AR125" s="28"/>
      <c r="AS125" s="213"/>
      <c r="AT125" s="28"/>
      <c r="AU125" s="41"/>
      <c r="AV125" s="28"/>
      <c r="AW125" s="28"/>
      <c r="AX125" s="213"/>
      <c r="AY125" s="28"/>
      <c r="AZ125" s="41"/>
      <c r="BA125" s="28"/>
      <c r="BB125" s="28"/>
      <c r="BC125" s="213"/>
      <c r="BD125" s="28"/>
      <c r="BE125" s="41"/>
      <c r="BF125" s="28"/>
      <c r="BG125" s="28"/>
      <c r="BH125" s="213"/>
      <c r="BI125" s="28"/>
      <c r="BJ125" s="41"/>
      <c r="BK125" s="45"/>
      <c r="BL125" s="28"/>
      <c r="BM125" s="174"/>
    </row>
    <row r="126" spans="1:65" x14ac:dyDescent="0.25">
      <c r="A126" s="168" t="str">
        <f>A47</f>
        <v>Classified Staff</v>
      </c>
      <c r="B126" s="187"/>
      <c r="C126" s="167" t="str">
        <f>C46</f>
        <v>Administrative Assistant:</v>
      </c>
      <c r="D126" s="167"/>
      <c r="E126" s="167"/>
      <c r="F126" s="81"/>
      <c r="G126" s="81"/>
      <c r="H126" s="217">
        <f t="shared" si="42"/>
        <v>1054</v>
      </c>
      <c r="I126" s="188"/>
      <c r="J126" s="170">
        <f>IF($AI47=$D$378, "Manual", IF($AK$11="Yes", IF($A126="Faculty, Academic Year",IF($AL$47="AY",$H126*AP47*(1+$AK$8),0),($H126*AP47*(1+$AK$8))), IF($A126="Faculty, Academic Year",IF($AL$47="AY",$H126*AP47,0),($H126*AP47))))</f>
        <v>0</v>
      </c>
      <c r="K126" s="170"/>
      <c r="L126" s="189">
        <v>0</v>
      </c>
      <c r="M126" s="81"/>
      <c r="N126" s="170">
        <f>IF(AI47="Yes", "Manual", IF($AK$11="Yes", IF($A126="Faculty, Academic Year",IF($AL$47="AY",$H126*AU47*(1+$AK$8)^2,0),($H126*AU47*(1+$AK$8)^2)), IF($A126="Faculty, Academic Year",IF($AL$47="AY",$H126*AU47*(1+$AK$8),0),($H126*AU47*(1+$AK$8)))))</f>
        <v>0</v>
      </c>
      <c r="O126" s="170"/>
      <c r="P126" s="189">
        <v>0</v>
      </c>
      <c r="Q126" s="81"/>
      <c r="R126" s="170">
        <f>IF(AI47="Yes", "Manual", IF($AK$11="Yes", IF($A126="Faculty, Academic Year",IF($AL$47="AY",$H126*AZ47*(1+$AK$8)^3,0),($H126*AZ47*(1+$AK$8)^3)), IF($A126="Faculty, Academic Year",IF($AL$47="AY",$H126*AZ47*(1+$AK$8)^2,0),($H126*AZ47*(1+$AK$8)^2))))</f>
        <v>0</v>
      </c>
      <c r="S126" s="170"/>
      <c r="T126" s="189">
        <v>0</v>
      </c>
      <c r="U126" s="81"/>
      <c r="V126" s="170">
        <f>IF(AI47="Yes", "Manual", IF($AK$11="Yes", IF($A126="Faculty, Academic Year",IF($AL$47="AY",$H126*BE47*(1+$AK$8)^4,0),($H126*BE47*(1+$AK$8)^4)), IF($A126="Faculty, Academic Year",IF($AL$47="AY",$H126*BE47*(1+$AK$8)^3,0),($H126*BE47*(1+$AK$8)^3))))</f>
        <v>0</v>
      </c>
      <c r="W126" s="170"/>
      <c r="X126" s="189">
        <f>IF(AI35="Yes", 0, IF($AK$11="Yes", IF($A126="Faculty, Academic Year",IF($AL$18="AY",$H126*(X35/$AJ35*$AK35)*(1+$AK$8)^4,0),($H126*(X35/$AJ35*$AK35)*(1+$AK$8)^4)), IF($A126="Faculty, Academic Year",IF($AL$18="AY",$H126*(X35/$AJ35*$AK35)*(1+$AK$8)^3,0),($H126*(X35/$AJ35*$AK35)*(1+$AK$8)^3))))</f>
        <v>0</v>
      </c>
      <c r="Y126" s="170"/>
      <c r="Z126" s="170">
        <f>IF(AI47="Yes", "Manual", IF($AK$11="Yes", IF($A126="Faculty, Academic Year",IF($AL$47="AY",$H126*BJ47*(1+$AK$8)^5,0),($H126*BJ47*(1+$AK$8)^5)), IF($A126="Faculty, Academic Year",IF($AL$47="AY",$H126*BJ47*(1+$AK$8)^4,0),($H126*BJ47*(1+$AK$8)^4))))</f>
        <v>0</v>
      </c>
      <c r="AA126" s="170"/>
      <c r="AB126" s="189">
        <v>0</v>
      </c>
      <c r="AC126" s="81"/>
      <c r="AD126" s="170">
        <f t="shared" si="43"/>
        <v>0</v>
      </c>
      <c r="AE126" s="170"/>
      <c r="AF126" s="189">
        <f t="shared" si="44"/>
        <v>0</v>
      </c>
      <c r="AG126" s="28"/>
      <c r="AH126" s="28"/>
      <c r="AI126" s="28"/>
      <c r="AJ126" s="60"/>
      <c r="AK126" s="45"/>
      <c r="AL126" s="173"/>
      <c r="AM126" s="173"/>
      <c r="AN126" s="213"/>
      <c r="AO126" s="28"/>
      <c r="AP126" s="41"/>
      <c r="AQ126" s="28"/>
      <c r="AR126" s="28"/>
      <c r="AS126" s="213"/>
      <c r="AT126" s="28"/>
      <c r="AU126" s="41"/>
      <c r="AV126" s="28"/>
      <c r="AW126" s="28"/>
      <c r="AX126" s="213"/>
      <c r="AY126" s="28"/>
      <c r="AZ126" s="41"/>
      <c r="BA126" s="28"/>
      <c r="BB126" s="28"/>
      <c r="BC126" s="213"/>
      <c r="BD126" s="28"/>
      <c r="BE126" s="41"/>
      <c r="BF126" s="28"/>
      <c r="BG126" s="28"/>
      <c r="BH126" s="213"/>
      <c r="BI126" s="28"/>
      <c r="BJ126" s="41"/>
      <c r="BK126" s="45"/>
      <c r="BL126" s="28"/>
      <c r="BM126" s="174"/>
    </row>
    <row r="127" spans="1:65" x14ac:dyDescent="0.25">
      <c r="A127" s="168" t="str">
        <f>A49</f>
        <v>GRA AY</v>
      </c>
      <c r="B127" s="167"/>
      <c r="C127" s="167" t="str">
        <f>C48</f>
        <v>Graduate Research Assistant</v>
      </c>
      <c r="D127" s="167"/>
      <c r="E127" s="167"/>
      <c r="F127" s="81"/>
      <c r="G127" s="81"/>
      <c r="H127" s="217">
        <f t="shared" si="42"/>
        <v>0</v>
      </c>
      <c r="I127" s="188"/>
      <c r="J127" s="170">
        <v>0</v>
      </c>
      <c r="K127" s="170"/>
      <c r="L127" s="189">
        <v>0</v>
      </c>
      <c r="M127" s="81"/>
      <c r="N127" s="170">
        <v>0</v>
      </c>
      <c r="O127" s="81"/>
      <c r="P127" s="189">
        <v>0</v>
      </c>
      <c r="Q127" s="81"/>
      <c r="R127" s="170">
        <v>0</v>
      </c>
      <c r="S127" s="81"/>
      <c r="T127" s="189">
        <v>0</v>
      </c>
      <c r="U127" s="81"/>
      <c r="V127" s="170">
        <v>0</v>
      </c>
      <c r="W127" s="81"/>
      <c r="X127" s="189">
        <v>0</v>
      </c>
      <c r="Y127" s="81"/>
      <c r="Z127" s="170">
        <v>0</v>
      </c>
      <c r="AA127" s="81"/>
      <c r="AB127" s="189">
        <v>0</v>
      </c>
      <c r="AC127" s="81"/>
      <c r="AD127" s="170">
        <f t="shared" si="43"/>
        <v>0</v>
      </c>
      <c r="AE127" s="170"/>
      <c r="AF127" s="189">
        <f t="shared" si="44"/>
        <v>0</v>
      </c>
      <c r="AG127" s="28"/>
      <c r="AH127" s="28"/>
      <c r="AI127" s="28"/>
      <c r="AJ127" s="60"/>
      <c r="AK127" s="45"/>
      <c r="AL127" s="173"/>
      <c r="AM127" s="173"/>
      <c r="AN127" s="213"/>
      <c r="AO127" s="28"/>
      <c r="AP127" s="41"/>
      <c r="AQ127" s="28"/>
      <c r="AR127" s="28"/>
      <c r="AS127" s="213"/>
      <c r="AT127" s="28"/>
      <c r="AU127" s="41"/>
      <c r="AV127" s="28"/>
      <c r="AW127" s="28"/>
      <c r="AX127" s="213"/>
      <c r="AY127" s="28"/>
      <c r="AZ127" s="41"/>
      <c r="BA127" s="28"/>
      <c r="BB127" s="28"/>
      <c r="BC127" s="213"/>
      <c r="BD127" s="28"/>
      <c r="BE127" s="41"/>
      <c r="BF127" s="28"/>
      <c r="BG127" s="28"/>
      <c r="BH127" s="213"/>
      <c r="BI127" s="28"/>
      <c r="BJ127" s="41"/>
      <c r="BK127" s="45"/>
      <c r="BL127" s="28"/>
      <c r="BM127" s="174"/>
    </row>
    <row r="128" spans="1:65" x14ac:dyDescent="0.25">
      <c r="A128" s="168" t="str">
        <f>A52</f>
        <v>GRA AY</v>
      </c>
      <c r="B128" s="167"/>
      <c r="C128" s="167" t="str">
        <f>C51</f>
        <v>Graduate Research Assistant</v>
      </c>
      <c r="D128" s="167"/>
      <c r="E128" s="167"/>
      <c r="F128" s="81"/>
      <c r="G128" s="81"/>
      <c r="H128" s="217">
        <f t="shared" si="42"/>
        <v>0</v>
      </c>
      <c r="I128" s="188"/>
      <c r="J128" s="170">
        <v>0</v>
      </c>
      <c r="K128" s="170"/>
      <c r="L128" s="189">
        <v>0</v>
      </c>
      <c r="M128" s="81"/>
      <c r="N128" s="170">
        <v>0</v>
      </c>
      <c r="O128" s="81"/>
      <c r="P128" s="189">
        <v>0</v>
      </c>
      <c r="Q128" s="81"/>
      <c r="R128" s="170">
        <v>0</v>
      </c>
      <c r="S128" s="81"/>
      <c r="T128" s="189">
        <v>0</v>
      </c>
      <c r="U128" s="81"/>
      <c r="V128" s="170">
        <v>0</v>
      </c>
      <c r="W128" s="81"/>
      <c r="X128" s="189">
        <v>0</v>
      </c>
      <c r="Y128" s="81"/>
      <c r="Z128" s="170">
        <v>0</v>
      </c>
      <c r="AA128" s="81"/>
      <c r="AB128" s="189">
        <v>0</v>
      </c>
      <c r="AC128" s="81"/>
      <c r="AD128" s="170">
        <f t="shared" si="43"/>
        <v>0</v>
      </c>
      <c r="AE128" s="170"/>
      <c r="AF128" s="189">
        <f t="shared" si="44"/>
        <v>0</v>
      </c>
      <c r="AG128" s="28"/>
      <c r="AH128" s="28"/>
      <c r="AI128" s="28"/>
      <c r="AJ128" s="60"/>
      <c r="AK128" s="45"/>
      <c r="AL128" s="173"/>
      <c r="AM128" s="173"/>
      <c r="AN128" s="213"/>
      <c r="AO128" s="28"/>
      <c r="AP128" s="41"/>
      <c r="AQ128" s="28"/>
      <c r="AR128" s="28"/>
      <c r="AS128" s="213"/>
      <c r="AT128" s="28"/>
      <c r="AU128" s="41"/>
      <c r="AV128" s="28"/>
      <c r="AW128" s="28"/>
      <c r="AX128" s="213"/>
      <c r="AY128" s="28"/>
      <c r="AZ128" s="41"/>
      <c r="BA128" s="28"/>
      <c r="BB128" s="28"/>
      <c r="BC128" s="213"/>
      <c r="BD128" s="28"/>
      <c r="BE128" s="41"/>
      <c r="BF128" s="28"/>
      <c r="BG128" s="28"/>
      <c r="BH128" s="213"/>
      <c r="BI128" s="28"/>
      <c r="BJ128" s="41"/>
      <c r="BK128" s="45"/>
      <c r="BL128" s="28"/>
      <c r="BM128" s="174"/>
    </row>
    <row r="129" spans="1:65" x14ac:dyDescent="0.25">
      <c r="A129" s="168" t="str">
        <f>A55</f>
        <v>GRA AY</v>
      </c>
      <c r="B129" s="167"/>
      <c r="C129" s="167" t="str">
        <f>C54</f>
        <v>Graduate Research Assistant</v>
      </c>
      <c r="D129" s="167"/>
      <c r="E129" s="167"/>
      <c r="F129" s="81"/>
      <c r="G129" s="81"/>
      <c r="H129" s="217">
        <f t="shared" si="42"/>
        <v>0</v>
      </c>
      <c r="I129" s="188"/>
      <c r="J129" s="170">
        <v>0</v>
      </c>
      <c r="K129" s="170"/>
      <c r="L129" s="189">
        <v>0</v>
      </c>
      <c r="M129" s="81"/>
      <c r="N129" s="170">
        <v>0</v>
      </c>
      <c r="O129" s="81"/>
      <c r="P129" s="189">
        <v>0</v>
      </c>
      <c r="Q129" s="81"/>
      <c r="R129" s="170">
        <v>0</v>
      </c>
      <c r="S129" s="81"/>
      <c r="T129" s="189">
        <v>0</v>
      </c>
      <c r="U129" s="81"/>
      <c r="V129" s="170">
        <v>0</v>
      </c>
      <c r="W129" s="81"/>
      <c r="X129" s="189">
        <v>0</v>
      </c>
      <c r="Y129" s="81"/>
      <c r="Z129" s="170">
        <v>0</v>
      </c>
      <c r="AA129" s="81"/>
      <c r="AB129" s="189">
        <v>0</v>
      </c>
      <c r="AC129" s="81"/>
      <c r="AD129" s="170">
        <f t="shared" si="43"/>
        <v>0</v>
      </c>
      <c r="AE129" s="170"/>
      <c r="AF129" s="189">
        <f t="shared" si="44"/>
        <v>0</v>
      </c>
      <c r="AG129" s="28"/>
      <c r="AH129" s="28"/>
      <c r="AI129" s="28"/>
      <c r="AJ129" s="60"/>
      <c r="AK129" s="45"/>
      <c r="AL129" s="173"/>
      <c r="AM129" s="173"/>
      <c r="AN129" s="213"/>
      <c r="AO129" s="28"/>
      <c r="AP129" s="41"/>
      <c r="AQ129" s="28"/>
      <c r="AR129" s="28"/>
      <c r="AS129" s="213"/>
      <c r="AT129" s="28"/>
      <c r="AU129" s="41"/>
      <c r="AV129" s="28"/>
      <c r="AW129" s="28"/>
      <c r="AX129" s="213"/>
      <c r="AY129" s="28"/>
      <c r="AZ129" s="41"/>
      <c r="BA129" s="28"/>
      <c r="BB129" s="28"/>
      <c r="BC129" s="213"/>
      <c r="BD129" s="28"/>
      <c r="BE129" s="41"/>
      <c r="BF129" s="28"/>
      <c r="BG129" s="28"/>
      <c r="BH129" s="213"/>
      <c r="BI129" s="28"/>
      <c r="BJ129" s="41"/>
      <c r="BK129" s="45"/>
      <c r="BL129" s="28"/>
      <c r="BM129" s="174"/>
    </row>
    <row r="130" spans="1:65" x14ac:dyDescent="0.25">
      <c r="A130" s="168" t="str">
        <f>A58</f>
        <v>GRA AY</v>
      </c>
      <c r="B130" s="167"/>
      <c r="C130" s="167" t="str">
        <f>C57</f>
        <v>Graduate Research Assistant</v>
      </c>
      <c r="D130" s="167"/>
      <c r="E130" s="167"/>
      <c r="F130" s="81"/>
      <c r="G130" s="81"/>
      <c r="H130" s="217">
        <f t="shared" si="42"/>
        <v>0</v>
      </c>
      <c r="I130" s="188"/>
      <c r="J130" s="170">
        <v>0</v>
      </c>
      <c r="K130" s="170"/>
      <c r="L130" s="189">
        <v>0</v>
      </c>
      <c r="M130" s="81"/>
      <c r="N130" s="170">
        <v>0</v>
      </c>
      <c r="O130" s="81"/>
      <c r="P130" s="189">
        <v>0</v>
      </c>
      <c r="Q130" s="81"/>
      <c r="R130" s="170">
        <v>0</v>
      </c>
      <c r="S130" s="81"/>
      <c r="T130" s="189">
        <v>0</v>
      </c>
      <c r="U130" s="81"/>
      <c r="V130" s="170">
        <v>0</v>
      </c>
      <c r="W130" s="81"/>
      <c r="X130" s="189">
        <v>0</v>
      </c>
      <c r="Y130" s="81"/>
      <c r="Z130" s="170">
        <v>0</v>
      </c>
      <c r="AA130" s="81"/>
      <c r="AB130" s="189">
        <v>0</v>
      </c>
      <c r="AC130" s="81"/>
      <c r="AD130" s="170">
        <f t="shared" si="43"/>
        <v>0</v>
      </c>
      <c r="AE130" s="170"/>
      <c r="AF130" s="189">
        <f t="shared" si="44"/>
        <v>0</v>
      </c>
      <c r="AG130" s="28"/>
      <c r="AH130" s="28"/>
      <c r="AI130" s="28"/>
      <c r="AJ130" s="60"/>
      <c r="AK130" s="45"/>
      <c r="AL130" s="173"/>
      <c r="AM130" s="173"/>
      <c r="AN130" s="213"/>
      <c r="AO130" s="28"/>
      <c r="AP130" s="41"/>
      <c r="AQ130" s="28"/>
      <c r="AR130" s="28"/>
      <c r="AS130" s="213"/>
      <c r="AT130" s="28"/>
      <c r="AU130" s="41"/>
      <c r="AV130" s="28"/>
      <c r="AW130" s="28"/>
      <c r="AX130" s="213"/>
      <c r="AY130" s="28"/>
      <c r="AZ130" s="41"/>
      <c r="BA130" s="28"/>
      <c r="BB130" s="28"/>
      <c r="BC130" s="213"/>
      <c r="BD130" s="28"/>
      <c r="BE130" s="41"/>
      <c r="BF130" s="28"/>
      <c r="BG130" s="28"/>
      <c r="BH130" s="213"/>
      <c r="BI130" s="28"/>
      <c r="BJ130" s="41"/>
      <c r="BK130" s="45"/>
      <c r="BL130" s="28"/>
      <c r="BM130" s="174"/>
    </row>
    <row r="131" spans="1:65" x14ac:dyDescent="0.25">
      <c r="A131" s="168" t="str">
        <f>A61</f>
        <v>Hourly Student AY</v>
      </c>
      <c r="B131" s="167"/>
      <c r="C131" s="167" t="str">
        <f>C60</f>
        <v>Undergraduate Research Assistant</v>
      </c>
      <c r="D131" s="167"/>
      <c r="E131" s="167"/>
      <c r="F131" s="81"/>
      <c r="G131" s="81"/>
      <c r="H131" s="217">
        <f t="shared" si="42"/>
        <v>0</v>
      </c>
      <c r="I131" s="188"/>
      <c r="J131" s="170">
        <v>0</v>
      </c>
      <c r="K131" s="170"/>
      <c r="L131" s="189">
        <v>0</v>
      </c>
      <c r="M131" s="170"/>
      <c r="N131" s="170">
        <v>0</v>
      </c>
      <c r="O131" s="170"/>
      <c r="P131" s="189">
        <v>0</v>
      </c>
      <c r="Q131" s="170"/>
      <c r="R131" s="170">
        <v>0</v>
      </c>
      <c r="S131" s="170"/>
      <c r="T131" s="189">
        <v>0</v>
      </c>
      <c r="U131" s="170"/>
      <c r="V131" s="170">
        <v>0</v>
      </c>
      <c r="W131" s="170"/>
      <c r="X131" s="189">
        <v>0</v>
      </c>
      <c r="Y131" s="170"/>
      <c r="Z131" s="170">
        <v>0</v>
      </c>
      <c r="AA131" s="170"/>
      <c r="AB131" s="189">
        <v>0</v>
      </c>
      <c r="AC131" s="170"/>
      <c r="AD131" s="170">
        <f t="shared" si="43"/>
        <v>0</v>
      </c>
      <c r="AE131" s="170"/>
      <c r="AF131" s="189">
        <f t="shared" si="44"/>
        <v>0</v>
      </c>
      <c r="AG131" s="28"/>
      <c r="AH131" s="28"/>
      <c r="AI131" s="28"/>
      <c r="AJ131" s="60"/>
      <c r="AK131" s="45"/>
      <c r="AL131" s="173"/>
      <c r="AM131" s="173"/>
      <c r="AN131" s="213"/>
      <c r="AO131" s="28"/>
      <c r="AP131" s="41"/>
      <c r="AQ131" s="28"/>
      <c r="AR131" s="28"/>
      <c r="AS131" s="213"/>
      <c r="AT131" s="28"/>
      <c r="AU131" s="41"/>
      <c r="AV131" s="28"/>
      <c r="AW131" s="28"/>
      <c r="AX131" s="213"/>
      <c r="AY131" s="28"/>
      <c r="AZ131" s="41"/>
      <c r="BA131" s="28"/>
      <c r="BB131" s="28"/>
      <c r="BC131" s="213"/>
      <c r="BD131" s="28"/>
      <c r="BE131" s="41"/>
      <c r="BF131" s="28"/>
      <c r="BG131" s="28"/>
      <c r="BH131" s="213"/>
      <c r="BI131" s="28"/>
      <c r="BJ131" s="41"/>
      <c r="BK131" s="45"/>
      <c r="BL131" s="28"/>
      <c r="BM131" s="174"/>
    </row>
    <row r="132" spans="1:65" x14ac:dyDescent="0.25">
      <c r="A132" s="168" t="str">
        <f>A64</f>
        <v>Hourly Student AY</v>
      </c>
      <c r="B132" s="167"/>
      <c r="C132" s="167" t="str">
        <f>C63</f>
        <v>Undergraduate Research Assistant</v>
      </c>
      <c r="D132" s="167"/>
      <c r="E132" s="167"/>
      <c r="F132" s="81"/>
      <c r="G132" s="81"/>
      <c r="H132" s="217">
        <f t="shared" si="42"/>
        <v>0</v>
      </c>
      <c r="I132" s="188"/>
      <c r="J132" s="170">
        <v>0</v>
      </c>
      <c r="K132" s="170"/>
      <c r="L132" s="189">
        <v>0</v>
      </c>
      <c r="M132" s="81"/>
      <c r="N132" s="170">
        <v>0</v>
      </c>
      <c r="O132" s="81"/>
      <c r="P132" s="189">
        <v>0</v>
      </c>
      <c r="Q132" s="81"/>
      <c r="R132" s="170">
        <v>0</v>
      </c>
      <c r="S132" s="81"/>
      <c r="T132" s="189">
        <v>0</v>
      </c>
      <c r="U132" s="81"/>
      <c r="V132" s="170">
        <v>0</v>
      </c>
      <c r="W132" s="81"/>
      <c r="X132" s="189">
        <f>IF(AI41="Yes", 0, IF($AK$11="Yes", IF($A132="Faculty, Academic Year",IF($AL$18="AY",$H132*(X41/$AJ41*$AK41)*(1+$AK$8)^4,0),($H132*(X41/$AJ41*$AK41)*(1+$AK$8)^4)), IF($A132="Faculty, Academic Year",IF($AL$18="AY",$H132*(X41/$AJ41*$AK41)*(1+$AK$8)^3,0),($H132*(X41/$AJ41*$AK41)*(1+$AK$8)^3))))</f>
        <v>0</v>
      </c>
      <c r="Y132" s="81"/>
      <c r="Z132" s="170">
        <v>0</v>
      </c>
      <c r="AA132" s="81"/>
      <c r="AB132" s="189">
        <v>0</v>
      </c>
      <c r="AC132" s="81"/>
      <c r="AD132" s="170">
        <f t="shared" si="43"/>
        <v>0</v>
      </c>
      <c r="AE132" s="170"/>
      <c r="AF132" s="189">
        <f t="shared" si="44"/>
        <v>0</v>
      </c>
      <c r="AG132" s="28"/>
      <c r="AH132" s="28"/>
      <c r="AI132" s="28"/>
      <c r="AJ132" s="60"/>
      <c r="AK132" s="45"/>
      <c r="AL132" s="173"/>
      <c r="AM132" s="173"/>
      <c r="AN132" s="213"/>
      <c r="AO132" s="28"/>
      <c r="AP132" s="41"/>
      <c r="AQ132" s="28"/>
      <c r="AR132" s="28"/>
      <c r="AS132" s="213"/>
      <c r="AT132" s="28"/>
      <c r="AU132" s="41"/>
      <c r="AV132" s="28"/>
      <c r="AW132" s="28"/>
      <c r="AX132" s="213"/>
      <c r="AY132" s="28"/>
      <c r="AZ132" s="41"/>
      <c r="BA132" s="28"/>
      <c r="BB132" s="28"/>
      <c r="BC132" s="213"/>
      <c r="BD132" s="28"/>
      <c r="BE132" s="41"/>
      <c r="BF132" s="28"/>
      <c r="BG132" s="28"/>
      <c r="BH132" s="213"/>
      <c r="BI132" s="28"/>
      <c r="BJ132" s="41"/>
      <c r="BK132" s="45"/>
      <c r="BL132" s="28"/>
      <c r="BM132" s="174"/>
    </row>
    <row r="133" spans="1:65" x14ac:dyDescent="0.25">
      <c r="A133" s="168" t="str">
        <f>A67</f>
        <v>Hourly Student AY</v>
      </c>
      <c r="B133" s="187"/>
      <c r="C133" s="167" t="str">
        <f>C66</f>
        <v>Undergraduate Research Assistant</v>
      </c>
      <c r="D133" s="167"/>
      <c r="E133" s="167"/>
      <c r="F133" s="81"/>
      <c r="G133" s="81"/>
      <c r="H133" s="217">
        <f t="shared" si="42"/>
        <v>0</v>
      </c>
      <c r="I133" s="188"/>
      <c r="J133" s="218">
        <v>0</v>
      </c>
      <c r="K133" s="170"/>
      <c r="L133" s="219">
        <v>0</v>
      </c>
      <c r="M133" s="81"/>
      <c r="N133" s="218">
        <v>0</v>
      </c>
      <c r="O133" s="81"/>
      <c r="P133" s="219">
        <v>0</v>
      </c>
      <c r="Q133" s="81"/>
      <c r="R133" s="218">
        <v>0</v>
      </c>
      <c r="S133" s="81"/>
      <c r="T133" s="219">
        <v>0</v>
      </c>
      <c r="U133" s="81"/>
      <c r="V133" s="218">
        <v>0</v>
      </c>
      <c r="W133" s="81"/>
      <c r="X133" s="219">
        <v>0</v>
      </c>
      <c r="Y133" s="81"/>
      <c r="Z133" s="218">
        <v>0</v>
      </c>
      <c r="AA133" s="81"/>
      <c r="AB133" s="219">
        <v>0</v>
      </c>
      <c r="AC133" s="81"/>
      <c r="AD133" s="218">
        <v>0</v>
      </c>
      <c r="AE133" s="170"/>
      <c r="AF133" s="219">
        <f t="shared" si="44"/>
        <v>0</v>
      </c>
      <c r="AG133" s="28"/>
      <c r="AH133" s="28"/>
      <c r="AI133" s="28"/>
      <c r="AJ133" s="60"/>
      <c r="AK133" s="45"/>
      <c r="AL133" s="173"/>
      <c r="AM133" s="173"/>
      <c r="AN133" s="213"/>
      <c r="AO133" s="28"/>
      <c r="AP133" s="41"/>
      <c r="AQ133" s="28"/>
      <c r="AR133" s="28"/>
      <c r="AS133" s="213"/>
      <c r="AT133" s="28"/>
      <c r="AU133" s="41"/>
      <c r="AV133" s="28"/>
      <c r="AW133" s="28"/>
      <c r="AX133" s="213"/>
      <c r="AY133" s="28"/>
      <c r="AZ133" s="41"/>
      <c r="BA133" s="28"/>
      <c r="BB133" s="28"/>
      <c r="BC133" s="213"/>
      <c r="BD133" s="28"/>
      <c r="BE133" s="41"/>
      <c r="BF133" s="28"/>
      <c r="BG133" s="28"/>
      <c r="BH133" s="213"/>
      <c r="BI133" s="28"/>
      <c r="BJ133" s="41"/>
      <c r="BK133" s="45"/>
      <c r="BL133" s="28"/>
      <c r="BM133" s="174"/>
    </row>
    <row r="134" spans="1:65" x14ac:dyDescent="0.25">
      <c r="A134" s="167"/>
      <c r="B134" s="167"/>
      <c r="C134" s="167"/>
      <c r="D134" s="167"/>
      <c r="E134" s="167"/>
      <c r="F134" s="81"/>
      <c r="G134" s="81"/>
      <c r="H134" s="170"/>
      <c r="I134" s="170"/>
      <c r="J134" s="170"/>
      <c r="K134" s="170"/>
      <c r="L134" s="189"/>
      <c r="M134" s="170"/>
      <c r="N134" s="170"/>
      <c r="O134" s="81"/>
      <c r="P134" s="189"/>
      <c r="Q134" s="81"/>
      <c r="R134" s="170"/>
      <c r="S134" s="81"/>
      <c r="T134" s="189"/>
      <c r="U134" s="81"/>
      <c r="V134" s="170"/>
      <c r="W134" s="81"/>
      <c r="X134" s="189"/>
      <c r="Y134" s="81"/>
      <c r="Z134" s="170"/>
      <c r="AA134" s="81"/>
      <c r="AB134" s="189"/>
      <c r="AC134" s="81"/>
      <c r="AD134" s="170"/>
      <c r="AE134" s="170"/>
      <c r="AF134" s="212"/>
      <c r="AG134" s="28"/>
      <c r="AH134" s="28"/>
      <c r="AI134" s="28"/>
      <c r="AJ134" s="60"/>
      <c r="AK134" s="45"/>
      <c r="AL134" s="173"/>
      <c r="AM134" s="173"/>
      <c r="AN134" s="213"/>
      <c r="AO134" s="28"/>
      <c r="AP134" s="41"/>
      <c r="AQ134" s="28"/>
      <c r="AR134" s="28"/>
      <c r="AS134" s="213"/>
      <c r="AT134" s="28"/>
      <c r="AU134" s="41"/>
      <c r="AV134" s="28"/>
      <c r="AW134" s="28"/>
      <c r="AX134" s="213"/>
      <c r="AY134" s="28"/>
      <c r="AZ134" s="41"/>
      <c r="BA134" s="28"/>
      <c r="BB134" s="28"/>
      <c r="BC134" s="213"/>
      <c r="BD134" s="28"/>
      <c r="BE134" s="41"/>
      <c r="BF134" s="28"/>
      <c r="BG134" s="28"/>
      <c r="BH134" s="213"/>
      <c r="BI134" s="28"/>
      <c r="BJ134" s="41"/>
      <c r="BK134" s="45"/>
      <c r="BL134" s="28"/>
      <c r="BM134" s="174"/>
    </row>
    <row r="135" spans="1:65" x14ac:dyDescent="0.25">
      <c r="A135" s="167"/>
      <c r="B135" s="167"/>
      <c r="C135" s="167" t="s">
        <v>157</v>
      </c>
      <c r="D135" s="167"/>
      <c r="E135" s="81"/>
      <c r="F135" s="81"/>
      <c r="G135" s="170"/>
      <c r="H135" s="170"/>
      <c r="I135" s="28"/>
      <c r="J135" s="170">
        <f>SUM(J109:J133)</f>
        <v>0</v>
      </c>
      <c r="K135" s="170"/>
      <c r="L135" s="189">
        <f>SUM(L109:L133)</f>
        <v>0</v>
      </c>
      <c r="M135" s="170"/>
      <c r="N135" s="170">
        <f>SUM(N109:N133)</f>
        <v>0</v>
      </c>
      <c r="O135" s="81"/>
      <c r="P135" s="189">
        <f>SUM(P109:P133)</f>
        <v>0</v>
      </c>
      <c r="Q135" s="81"/>
      <c r="R135" s="170">
        <f>SUM(R109:R133)</f>
        <v>0</v>
      </c>
      <c r="S135" s="81"/>
      <c r="T135" s="189">
        <f>SUM(T109:T133)</f>
        <v>0</v>
      </c>
      <c r="U135" s="81"/>
      <c r="V135" s="170">
        <f>SUM(V109:V133)</f>
        <v>0</v>
      </c>
      <c r="W135" s="81"/>
      <c r="X135" s="189">
        <f>SUM(X109:X133)</f>
        <v>0</v>
      </c>
      <c r="Y135" s="81"/>
      <c r="Z135" s="170">
        <f>SUM(Z109:Z133)</f>
        <v>0</v>
      </c>
      <c r="AA135" s="81"/>
      <c r="AB135" s="189">
        <f>SUM(AB109:AB133)</f>
        <v>0</v>
      </c>
      <c r="AC135" s="81"/>
      <c r="AD135" s="170">
        <f>J135+N135+R135+V135+Z135</f>
        <v>0</v>
      </c>
      <c r="AE135" s="170"/>
      <c r="AF135" s="189">
        <f>L135+P135+T135+X135+AB135</f>
        <v>0</v>
      </c>
      <c r="AG135" s="28"/>
      <c r="AH135" s="28"/>
      <c r="AI135" s="28"/>
      <c r="AJ135" s="60"/>
      <c r="AK135" s="45"/>
      <c r="AL135" s="173"/>
      <c r="AM135" s="173"/>
      <c r="AN135" s="213"/>
      <c r="AO135" s="28"/>
      <c r="AP135" s="41"/>
      <c r="AQ135" s="28"/>
      <c r="AR135" s="28"/>
      <c r="AS135" s="213"/>
      <c r="AT135" s="28"/>
      <c r="AU135" s="41"/>
      <c r="AV135" s="28"/>
      <c r="AW135" s="28"/>
      <c r="AX135" s="213"/>
      <c r="AY135" s="28"/>
      <c r="AZ135" s="41"/>
      <c r="BA135" s="28"/>
      <c r="BB135" s="28"/>
      <c r="BC135" s="213"/>
      <c r="BD135" s="28"/>
      <c r="BE135" s="41"/>
      <c r="BF135" s="28"/>
      <c r="BG135" s="28"/>
      <c r="BH135" s="213"/>
      <c r="BI135" s="28"/>
      <c r="BJ135" s="41"/>
      <c r="BK135" s="45"/>
      <c r="BL135" s="28"/>
      <c r="BM135" s="174"/>
    </row>
    <row r="136" spans="1:65" x14ac:dyDescent="0.25">
      <c r="A136" s="167"/>
      <c r="B136" s="167"/>
      <c r="C136" s="167"/>
      <c r="D136" s="167"/>
      <c r="E136" s="81"/>
      <c r="F136" s="81"/>
      <c r="G136" s="170"/>
      <c r="H136" s="170"/>
      <c r="I136" s="28"/>
      <c r="J136" s="170"/>
      <c r="K136" s="170"/>
      <c r="L136" s="189"/>
      <c r="M136" s="170"/>
      <c r="N136" s="170"/>
      <c r="O136" s="81"/>
      <c r="P136" s="189"/>
      <c r="Q136" s="81"/>
      <c r="R136" s="170"/>
      <c r="S136" s="81"/>
      <c r="T136" s="189"/>
      <c r="U136" s="81"/>
      <c r="V136" s="170"/>
      <c r="W136" s="81"/>
      <c r="X136" s="189"/>
      <c r="Y136" s="81"/>
      <c r="Z136" s="170"/>
      <c r="AA136" s="81"/>
      <c r="AB136" s="189"/>
      <c r="AC136" s="81"/>
      <c r="AD136" s="170"/>
      <c r="AE136" s="170"/>
      <c r="AF136" s="189"/>
      <c r="AG136" s="28"/>
      <c r="AH136" s="28"/>
      <c r="AI136" s="28"/>
      <c r="AJ136" s="60"/>
      <c r="AK136" s="45"/>
      <c r="AL136" s="173"/>
      <c r="AM136" s="173"/>
      <c r="AN136" s="213"/>
      <c r="AO136" s="28"/>
      <c r="AP136" s="41"/>
      <c r="AQ136" s="28"/>
      <c r="AR136" s="28"/>
      <c r="AS136" s="213"/>
      <c r="AT136" s="28"/>
      <c r="AU136" s="41"/>
      <c r="AV136" s="28"/>
      <c r="AW136" s="28"/>
      <c r="AX136" s="213"/>
      <c r="AY136" s="28"/>
      <c r="AZ136" s="41"/>
      <c r="BA136" s="28"/>
      <c r="BB136" s="28"/>
      <c r="BC136" s="213"/>
      <c r="BD136" s="28"/>
      <c r="BE136" s="41"/>
      <c r="BF136" s="28"/>
      <c r="BG136" s="28"/>
      <c r="BH136" s="213"/>
      <c r="BI136" s="28"/>
      <c r="BJ136" s="41"/>
      <c r="BK136" s="45"/>
      <c r="BL136" s="28"/>
      <c r="BM136" s="174"/>
    </row>
    <row r="137" spans="1:65" x14ac:dyDescent="0.25">
      <c r="A137" s="167"/>
      <c r="B137" s="167"/>
      <c r="C137" s="167" t="s">
        <v>247</v>
      </c>
      <c r="D137" s="167"/>
      <c r="E137" s="81"/>
      <c r="F137" s="81"/>
      <c r="G137" s="170"/>
      <c r="H137" s="170"/>
      <c r="I137" s="28"/>
      <c r="J137" s="170">
        <f>J135+J106</f>
        <v>0</v>
      </c>
      <c r="K137" s="170"/>
      <c r="L137" s="189">
        <f t="shared" ref="L137:AB137" si="46">L135+L106</f>
        <v>0</v>
      </c>
      <c r="M137" s="170"/>
      <c r="N137" s="170">
        <f t="shared" si="46"/>
        <v>0</v>
      </c>
      <c r="O137" s="170"/>
      <c r="P137" s="189">
        <f t="shared" si="46"/>
        <v>0</v>
      </c>
      <c r="Q137" s="170"/>
      <c r="R137" s="170">
        <f t="shared" si="46"/>
        <v>0</v>
      </c>
      <c r="S137" s="170"/>
      <c r="T137" s="189">
        <f t="shared" si="46"/>
        <v>0</v>
      </c>
      <c r="U137" s="170"/>
      <c r="V137" s="170">
        <f t="shared" si="46"/>
        <v>0</v>
      </c>
      <c r="W137" s="170"/>
      <c r="X137" s="189">
        <f t="shared" si="46"/>
        <v>0</v>
      </c>
      <c r="Y137" s="170"/>
      <c r="Z137" s="170">
        <f t="shared" si="46"/>
        <v>0</v>
      </c>
      <c r="AA137" s="170"/>
      <c r="AB137" s="189">
        <f t="shared" si="46"/>
        <v>0</v>
      </c>
      <c r="AC137" s="170"/>
      <c r="AD137" s="170">
        <f>J137+N137+R137+V137+Z137</f>
        <v>0</v>
      </c>
      <c r="AE137" s="170"/>
      <c r="AF137" s="189">
        <f>L137+P137+T137+X137+AB137</f>
        <v>0</v>
      </c>
      <c r="AG137" s="28"/>
      <c r="AH137" s="28"/>
      <c r="AI137" s="28"/>
      <c r="AJ137" s="60"/>
      <c r="AK137" s="45"/>
      <c r="AL137" s="173"/>
      <c r="AM137" s="173"/>
      <c r="AN137" s="213"/>
      <c r="AO137" s="28"/>
      <c r="AP137" s="41"/>
      <c r="AQ137" s="28"/>
      <c r="AR137" s="28"/>
      <c r="AS137" s="213"/>
      <c r="AT137" s="28"/>
      <c r="AU137" s="41"/>
      <c r="AV137" s="28"/>
      <c r="AW137" s="28"/>
      <c r="AX137" s="213"/>
      <c r="AY137" s="28"/>
      <c r="AZ137" s="41"/>
      <c r="BA137" s="28"/>
      <c r="BB137" s="28"/>
      <c r="BC137" s="213"/>
      <c r="BD137" s="28"/>
      <c r="BE137" s="41"/>
      <c r="BF137" s="28"/>
      <c r="BG137" s="28"/>
      <c r="BH137" s="213"/>
      <c r="BI137" s="28"/>
      <c r="BJ137" s="41"/>
      <c r="BK137" s="45"/>
      <c r="BL137" s="28"/>
      <c r="BM137" s="174"/>
    </row>
    <row r="138" spans="1:65" x14ac:dyDescent="0.25">
      <c r="A138" s="167"/>
      <c r="B138" s="167"/>
      <c r="C138" s="167"/>
      <c r="D138" s="167"/>
      <c r="E138" s="167"/>
      <c r="F138" s="81"/>
      <c r="G138" s="81"/>
      <c r="H138" s="170"/>
      <c r="I138" s="170"/>
      <c r="J138" s="170"/>
      <c r="K138" s="170"/>
      <c r="L138" s="189"/>
      <c r="M138" s="170"/>
      <c r="N138" s="170"/>
      <c r="O138" s="81"/>
      <c r="P138" s="189"/>
      <c r="Q138" s="81"/>
      <c r="R138" s="170"/>
      <c r="S138" s="81"/>
      <c r="T138" s="189"/>
      <c r="U138" s="81"/>
      <c r="V138" s="170"/>
      <c r="W138" s="81"/>
      <c r="X138" s="189"/>
      <c r="Y138" s="81"/>
      <c r="Z138" s="170"/>
      <c r="AA138" s="81"/>
      <c r="AB138" s="189"/>
      <c r="AC138" s="81"/>
      <c r="AD138" s="170"/>
      <c r="AE138" s="170"/>
      <c r="AF138" s="189"/>
      <c r="AG138" s="28"/>
      <c r="AH138" s="28"/>
      <c r="AI138" s="28"/>
      <c r="AJ138" s="60"/>
      <c r="AK138" s="45"/>
      <c r="AL138" s="173"/>
      <c r="AM138" s="173"/>
      <c r="AN138" s="213"/>
      <c r="AO138" s="28"/>
      <c r="AP138" s="41"/>
      <c r="AQ138" s="28"/>
      <c r="AR138" s="28"/>
      <c r="AS138" s="213"/>
      <c r="AT138" s="28"/>
      <c r="AU138" s="41"/>
      <c r="AV138" s="28"/>
      <c r="AW138" s="28"/>
      <c r="AX138" s="213"/>
      <c r="AY138" s="28"/>
      <c r="AZ138" s="41"/>
      <c r="BA138" s="28"/>
      <c r="BB138" s="28"/>
      <c r="BC138" s="213"/>
      <c r="BD138" s="28"/>
      <c r="BE138" s="41"/>
      <c r="BF138" s="28"/>
      <c r="BG138" s="28"/>
      <c r="BH138" s="213"/>
      <c r="BI138" s="28"/>
      <c r="BJ138" s="41"/>
      <c r="BK138" s="45"/>
      <c r="BL138" s="28"/>
      <c r="BM138" s="174"/>
    </row>
    <row r="139" spans="1:65" x14ac:dyDescent="0.25">
      <c r="A139" s="167"/>
      <c r="B139" s="167"/>
      <c r="C139" s="167" t="s">
        <v>159</v>
      </c>
      <c r="D139" s="167"/>
      <c r="E139" s="167"/>
      <c r="F139" s="81"/>
      <c r="G139" s="81"/>
      <c r="H139" s="170"/>
      <c r="I139" s="170"/>
      <c r="J139" s="170">
        <f>J106+J70+J135</f>
        <v>0</v>
      </c>
      <c r="K139" s="170"/>
      <c r="L139" s="189">
        <f t="shared" ref="L139:AF139" si="47">L106+L70+L135</f>
        <v>0</v>
      </c>
      <c r="M139" s="170"/>
      <c r="N139" s="170">
        <f t="shared" si="47"/>
        <v>0</v>
      </c>
      <c r="O139" s="170"/>
      <c r="P139" s="189">
        <f t="shared" si="47"/>
        <v>0</v>
      </c>
      <c r="Q139" s="170"/>
      <c r="R139" s="170">
        <f t="shared" si="47"/>
        <v>0</v>
      </c>
      <c r="S139" s="170"/>
      <c r="T139" s="189">
        <f t="shared" si="47"/>
        <v>0</v>
      </c>
      <c r="U139" s="170"/>
      <c r="V139" s="170">
        <f t="shared" si="47"/>
        <v>0</v>
      </c>
      <c r="W139" s="170"/>
      <c r="X139" s="189">
        <f t="shared" si="47"/>
        <v>0</v>
      </c>
      <c r="Y139" s="170"/>
      <c r="Z139" s="170">
        <f t="shared" si="47"/>
        <v>0</v>
      </c>
      <c r="AA139" s="170"/>
      <c r="AB139" s="189">
        <f t="shared" si="47"/>
        <v>0</v>
      </c>
      <c r="AC139" s="170"/>
      <c r="AD139" s="170">
        <f t="shared" si="47"/>
        <v>0</v>
      </c>
      <c r="AE139" s="170"/>
      <c r="AF139" s="189">
        <f t="shared" si="47"/>
        <v>0</v>
      </c>
      <c r="AG139" s="28"/>
      <c r="AH139" s="28"/>
      <c r="AI139" s="28"/>
      <c r="AJ139" s="60"/>
      <c r="AK139" s="45"/>
      <c r="AL139" s="173"/>
      <c r="AM139" s="173"/>
      <c r="AN139" s="213"/>
      <c r="AO139" s="28"/>
      <c r="AP139" s="41"/>
      <c r="AQ139" s="28"/>
      <c r="AR139" s="28"/>
      <c r="AS139" s="213"/>
      <c r="AT139" s="28"/>
      <c r="AU139" s="41"/>
      <c r="AV139" s="28"/>
      <c r="AW139" s="28"/>
      <c r="AX139" s="213"/>
      <c r="AY139" s="28"/>
      <c r="AZ139" s="41"/>
      <c r="BA139" s="28"/>
      <c r="BB139" s="28"/>
      <c r="BC139" s="213"/>
      <c r="BD139" s="28"/>
      <c r="BE139" s="41"/>
      <c r="BF139" s="28"/>
      <c r="BG139" s="28"/>
      <c r="BH139" s="213"/>
      <c r="BI139" s="28"/>
      <c r="BJ139" s="41"/>
      <c r="BK139" s="45"/>
      <c r="BL139" s="28"/>
      <c r="BM139" s="174"/>
    </row>
    <row r="140" spans="1:65" x14ac:dyDescent="0.25">
      <c r="A140" s="167"/>
      <c r="B140" s="167"/>
      <c r="C140" s="167"/>
      <c r="D140" s="167"/>
      <c r="E140" s="167"/>
      <c r="F140" s="81"/>
      <c r="G140" s="81"/>
      <c r="H140" s="170"/>
      <c r="I140" s="170"/>
      <c r="J140" s="170"/>
      <c r="K140" s="170"/>
      <c r="L140" s="189"/>
      <c r="M140" s="170"/>
      <c r="N140" s="170"/>
      <c r="O140" s="81"/>
      <c r="P140" s="189"/>
      <c r="Q140" s="81"/>
      <c r="R140" s="170"/>
      <c r="S140" s="81"/>
      <c r="T140" s="192"/>
      <c r="U140" s="81"/>
      <c r="V140" s="170"/>
      <c r="W140" s="81"/>
      <c r="X140" s="192"/>
      <c r="Y140" s="81"/>
      <c r="Z140" s="170"/>
      <c r="AA140" s="81"/>
      <c r="AB140" s="192"/>
      <c r="AC140" s="81"/>
      <c r="AD140" s="170"/>
      <c r="AE140" s="172"/>
      <c r="AF140" s="190"/>
      <c r="AG140" s="28"/>
      <c r="AH140" s="28"/>
      <c r="AI140" s="28"/>
      <c r="AJ140" s="60"/>
      <c r="AK140" s="45"/>
      <c r="AL140" s="173"/>
      <c r="AM140" s="173"/>
      <c r="AN140" s="213"/>
      <c r="AO140" s="28"/>
      <c r="AP140" s="41"/>
      <c r="AQ140" s="28"/>
      <c r="AR140" s="28"/>
      <c r="AS140" s="213"/>
      <c r="AT140" s="28"/>
      <c r="AU140" s="41"/>
      <c r="AV140" s="28"/>
      <c r="AW140" s="28"/>
      <c r="AX140" s="213"/>
      <c r="AY140" s="28"/>
      <c r="AZ140" s="41"/>
      <c r="BA140" s="28"/>
      <c r="BB140" s="28"/>
      <c r="BC140" s="213"/>
      <c r="BD140" s="28"/>
      <c r="BE140" s="41"/>
      <c r="BF140" s="28"/>
      <c r="BG140" s="28"/>
      <c r="BH140" s="213"/>
      <c r="BI140" s="28"/>
      <c r="BJ140" s="41"/>
      <c r="BK140" s="45"/>
      <c r="BL140" s="28"/>
      <c r="BM140" s="174"/>
    </row>
    <row r="141" spans="1:65" x14ac:dyDescent="0.25">
      <c r="A141" s="167"/>
      <c r="B141" s="187" t="s">
        <v>8</v>
      </c>
      <c r="C141" s="187" t="s">
        <v>66</v>
      </c>
      <c r="D141" s="167"/>
      <c r="E141" s="167"/>
      <c r="F141" s="81"/>
      <c r="G141" s="81"/>
      <c r="H141" s="170"/>
      <c r="I141" s="170"/>
      <c r="J141" s="170"/>
      <c r="K141" s="170"/>
      <c r="L141" s="189"/>
      <c r="M141" s="170"/>
      <c r="N141" s="170"/>
      <c r="O141" s="81"/>
      <c r="P141" s="189"/>
      <c r="Q141" s="81"/>
      <c r="R141" s="81"/>
      <c r="S141" s="81"/>
      <c r="T141" s="192"/>
      <c r="U141" s="81"/>
      <c r="V141" s="81"/>
      <c r="W141" s="81"/>
      <c r="X141" s="192"/>
      <c r="Y141" s="81"/>
      <c r="Z141" s="81"/>
      <c r="AA141" s="81"/>
      <c r="AB141" s="192"/>
      <c r="AC141" s="81"/>
      <c r="AD141" s="170"/>
      <c r="AE141" s="172"/>
      <c r="AF141" s="190"/>
      <c r="AG141" s="28"/>
      <c r="AH141" s="28"/>
      <c r="AI141" s="28"/>
      <c r="AJ141" s="60"/>
      <c r="AK141" s="45"/>
      <c r="AL141" s="173"/>
      <c r="AM141" s="173"/>
      <c r="AN141" s="213"/>
      <c r="AO141" s="28"/>
      <c r="AP141" s="41"/>
      <c r="AQ141" s="28"/>
      <c r="AR141" s="28"/>
      <c r="AS141" s="213"/>
      <c r="AT141" s="28"/>
      <c r="AU141" s="41"/>
      <c r="AV141" s="28"/>
      <c r="AW141" s="28"/>
      <c r="AX141" s="213"/>
      <c r="AY141" s="28"/>
      <c r="AZ141" s="41"/>
      <c r="BA141" s="28"/>
      <c r="BB141" s="28"/>
      <c r="BC141" s="213"/>
      <c r="BD141" s="28"/>
      <c r="BE141" s="41"/>
      <c r="BF141" s="28"/>
      <c r="BG141" s="28"/>
      <c r="BH141" s="213"/>
      <c r="BI141" s="28"/>
      <c r="BJ141" s="41"/>
      <c r="BK141" s="45"/>
      <c r="BL141" s="28"/>
      <c r="BM141" s="174"/>
    </row>
    <row r="142" spans="1:65" x14ac:dyDescent="0.25">
      <c r="A142" s="167" t="s">
        <v>196</v>
      </c>
      <c r="B142" s="187"/>
      <c r="C142" s="167" t="s">
        <v>36</v>
      </c>
      <c r="D142" s="167"/>
      <c r="E142" s="167"/>
      <c r="F142" s="81"/>
      <c r="G142" s="81"/>
      <c r="H142" s="170"/>
      <c r="I142" s="170"/>
      <c r="J142" s="170">
        <v>0</v>
      </c>
      <c r="K142" s="170"/>
      <c r="L142" s="189">
        <v>0</v>
      </c>
      <c r="M142" s="170"/>
      <c r="N142" s="170">
        <v>0</v>
      </c>
      <c r="O142" s="81"/>
      <c r="P142" s="189">
        <v>0</v>
      </c>
      <c r="Q142" s="81"/>
      <c r="R142" s="170">
        <v>0</v>
      </c>
      <c r="S142" s="81"/>
      <c r="T142" s="189">
        <v>0</v>
      </c>
      <c r="U142" s="81"/>
      <c r="V142" s="170">
        <v>0</v>
      </c>
      <c r="W142" s="81"/>
      <c r="X142" s="189">
        <v>0</v>
      </c>
      <c r="Y142" s="81"/>
      <c r="Z142" s="170">
        <v>0</v>
      </c>
      <c r="AA142" s="81"/>
      <c r="AB142" s="189">
        <v>0</v>
      </c>
      <c r="AC142" s="81"/>
      <c r="AD142" s="170">
        <f>J142+N142+R142+V142+Z142</f>
        <v>0</v>
      </c>
      <c r="AE142" s="170"/>
      <c r="AF142" s="189">
        <f>L142+P142+T142+X142+AB142</f>
        <v>0</v>
      </c>
      <c r="AG142" s="28"/>
      <c r="AH142" s="28"/>
      <c r="AI142" s="28"/>
      <c r="AJ142" s="60"/>
      <c r="AK142" s="45"/>
      <c r="AL142" s="173"/>
      <c r="AM142" s="173"/>
      <c r="AN142" s="213"/>
      <c r="AO142" s="28"/>
      <c r="AP142" s="41"/>
      <c r="AQ142" s="28"/>
      <c r="AR142" s="28"/>
      <c r="AS142" s="213"/>
      <c r="AT142" s="28"/>
      <c r="AU142" s="41"/>
      <c r="AV142" s="28"/>
      <c r="AW142" s="28"/>
      <c r="AX142" s="213"/>
      <c r="AY142" s="28"/>
      <c r="AZ142" s="41"/>
      <c r="BA142" s="28"/>
      <c r="BB142" s="28"/>
      <c r="BC142" s="213"/>
      <c r="BD142" s="28"/>
      <c r="BE142" s="41"/>
      <c r="BF142" s="28"/>
      <c r="BG142" s="28"/>
      <c r="BH142" s="213"/>
      <c r="BI142" s="28"/>
      <c r="BJ142" s="41"/>
      <c r="BK142" s="45"/>
      <c r="BL142" s="28"/>
      <c r="BM142" s="174"/>
    </row>
    <row r="143" spans="1:65" x14ac:dyDescent="0.25">
      <c r="A143" s="167" t="s">
        <v>196</v>
      </c>
      <c r="B143" s="187"/>
      <c r="C143" s="167" t="s">
        <v>37</v>
      </c>
      <c r="D143" s="167"/>
      <c r="E143" s="167"/>
      <c r="F143" s="81"/>
      <c r="G143" s="81"/>
      <c r="H143" s="170"/>
      <c r="I143" s="170"/>
      <c r="J143" s="170">
        <v>0</v>
      </c>
      <c r="K143" s="170"/>
      <c r="L143" s="189">
        <v>0</v>
      </c>
      <c r="M143" s="170"/>
      <c r="N143" s="170">
        <v>0</v>
      </c>
      <c r="O143" s="81"/>
      <c r="P143" s="189">
        <v>0</v>
      </c>
      <c r="Q143" s="81"/>
      <c r="R143" s="170">
        <v>0</v>
      </c>
      <c r="S143" s="81"/>
      <c r="T143" s="189">
        <v>0</v>
      </c>
      <c r="U143" s="81"/>
      <c r="V143" s="170">
        <v>0</v>
      </c>
      <c r="W143" s="81"/>
      <c r="X143" s="189">
        <v>0</v>
      </c>
      <c r="Y143" s="81"/>
      <c r="Z143" s="170">
        <v>0</v>
      </c>
      <c r="AA143" s="81"/>
      <c r="AB143" s="189">
        <v>0</v>
      </c>
      <c r="AC143" s="81"/>
      <c r="AD143" s="170">
        <f>J143+N143+R143+V143+Z143</f>
        <v>0</v>
      </c>
      <c r="AE143" s="170"/>
      <c r="AF143" s="189">
        <f>L143+P143+T143+X143+AB143</f>
        <v>0</v>
      </c>
      <c r="AG143" s="28"/>
      <c r="AH143" s="28"/>
      <c r="AI143" s="28"/>
      <c r="AJ143" s="60"/>
      <c r="AK143" s="45"/>
      <c r="AL143" s="173"/>
      <c r="AM143" s="173"/>
      <c r="AN143" s="213"/>
      <c r="AO143" s="28"/>
      <c r="AP143" s="41"/>
      <c r="AQ143" s="28"/>
      <c r="AR143" s="28"/>
      <c r="AS143" s="213"/>
      <c r="AT143" s="28"/>
      <c r="AU143" s="41"/>
      <c r="AV143" s="28"/>
      <c r="AW143" s="28"/>
      <c r="AX143" s="213"/>
      <c r="AY143" s="28"/>
      <c r="AZ143" s="41"/>
      <c r="BA143" s="28"/>
      <c r="BB143" s="28"/>
      <c r="BC143" s="213"/>
      <c r="BD143" s="28"/>
      <c r="BE143" s="41"/>
      <c r="BF143" s="28"/>
      <c r="BG143" s="28"/>
      <c r="BH143" s="213"/>
      <c r="BI143" s="28"/>
      <c r="BJ143" s="41"/>
      <c r="BK143" s="45"/>
      <c r="BL143" s="28"/>
      <c r="BM143" s="174"/>
    </row>
    <row r="144" spans="1:65" x14ac:dyDescent="0.25">
      <c r="A144" s="167" t="s">
        <v>196</v>
      </c>
      <c r="B144" s="187"/>
      <c r="C144" s="167" t="s">
        <v>38</v>
      </c>
      <c r="D144" s="167"/>
      <c r="E144" s="167"/>
      <c r="F144" s="81"/>
      <c r="G144" s="81"/>
      <c r="H144" s="170"/>
      <c r="I144" s="170"/>
      <c r="J144" s="170">
        <v>0</v>
      </c>
      <c r="K144" s="170"/>
      <c r="L144" s="189">
        <v>0</v>
      </c>
      <c r="M144" s="170"/>
      <c r="N144" s="170">
        <v>0</v>
      </c>
      <c r="O144" s="81"/>
      <c r="P144" s="189">
        <v>0</v>
      </c>
      <c r="Q144" s="81"/>
      <c r="R144" s="170">
        <v>0</v>
      </c>
      <c r="S144" s="81"/>
      <c r="T144" s="189">
        <v>0</v>
      </c>
      <c r="U144" s="81"/>
      <c r="V144" s="170">
        <v>0</v>
      </c>
      <c r="W144" s="81"/>
      <c r="X144" s="189">
        <v>0</v>
      </c>
      <c r="Y144" s="81"/>
      <c r="Z144" s="170">
        <v>0</v>
      </c>
      <c r="AA144" s="81"/>
      <c r="AB144" s="189">
        <v>0</v>
      </c>
      <c r="AC144" s="81"/>
      <c r="AD144" s="170">
        <f>J144+N144+R144+V144+Z144</f>
        <v>0</v>
      </c>
      <c r="AE144" s="170"/>
      <c r="AF144" s="189">
        <f>L144+P144+T144+X144+AB144</f>
        <v>0</v>
      </c>
      <c r="AG144" s="28"/>
      <c r="AH144" s="28"/>
      <c r="AI144" s="28"/>
      <c r="AJ144" s="60"/>
      <c r="AK144" s="45"/>
      <c r="AL144" s="173"/>
      <c r="AM144" s="173"/>
      <c r="AN144" s="213"/>
      <c r="AO144" s="28"/>
      <c r="AP144" s="41"/>
      <c r="AQ144" s="28"/>
      <c r="AR144" s="28"/>
      <c r="AS144" s="213"/>
      <c r="AT144" s="28"/>
      <c r="AU144" s="41"/>
      <c r="AV144" s="28"/>
      <c r="AW144" s="28"/>
      <c r="AX144" s="213"/>
      <c r="AY144" s="28"/>
      <c r="AZ144" s="41"/>
      <c r="BA144" s="28"/>
      <c r="BB144" s="28"/>
      <c r="BC144" s="213"/>
      <c r="BD144" s="28"/>
      <c r="BE144" s="41"/>
      <c r="BF144" s="28"/>
      <c r="BG144" s="28"/>
      <c r="BH144" s="213"/>
      <c r="BI144" s="28"/>
      <c r="BJ144" s="41"/>
      <c r="BK144" s="45"/>
      <c r="BL144" s="28"/>
      <c r="BM144" s="174"/>
    </row>
    <row r="145" spans="1:65" x14ac:dyDescent="0.25">
      <c r="A145" s="167" t="s">
        <v>196</v>
      </c>
      <c r="B145" s="187"/>
      <c r="C145" s="167" t="s">
        <v>49</v>
      </c>
      <c r="D145" s="167"/>
      <c r="E145" s="167"/>
      <c r="F145" s="81"/>
      <c r="G145" s="81"/>
      <c r="H145" s="170"/>
      <c r="I145" s="170"/>
      <c r="J145" s="170">
        <v>0</v>
      </c>
      <c r="K145" s="170"/>
      <c r="L145" s="189">
        <v>0</v>
      </c>
      <c r="M145" s="170"/>
      <c r="N145" s="170">
        <v>0</v>
      </c>
      <c r="O145" s="81"/>
      <c r="P145" s="189">
        <v>0</v>
      </c>
      <c r="Q145" s="81"/>
      <c r="R145" s="170">
        <v>0</v>
      </c>
      <c r="S145" s="81"/>
      <c r="T145" s="189">
        <v>0</v>
      </c>
      <c r="U145" s="81"/>
      <c r="V145" s="170">
        <v>0</v>
      </c>
      <c r="W145" s="81"/>
      <c r="X145" s="189">
        <v>0</v>
      </c>
      <c r="Y145" s="81"/>
      <c r="Z145" s="170">
        <v>0</v>
      </c>
      <c r="AA145" s="81"/>
      <c r="AB145" s="189">
        <v>0</v>
      </c>
      <c r="AC145" s="81"/>
      <c r="AD145" s="170">
        <f>J145+N145+R145+V145+Z145</f>
        <v>0</v>
      </c>
      <c r="AE145" s="170"/>
      <c r="AF145" s="189">
        <f>L145+P145+T145+X145+AB145</f>
        <v>0</v>
      </c>
      <c r="AG145" s="28"/>
      <c r="AH145" s="28"/>
      <c r="AI145" s="28"/>
      <c r="AJ145" s="60"/>
      <c r="AK145" s="45"/>
      <c r="AL145" s="173"/>
      <c r="AM145" s="173"/>
      <c r="AN145" s="213"/>
      <c r="AO145" s="28"/>
      <c r="AP145" s="41"/>
      <c r="AQ145" s="28"/>
      <c r="AR145" s="28"/>
      <c r="AS145" s="213"/>
      <c r="AT145" s="28"/>
      <c r="AU145" s="41"/>
      <c r="AV145" s="28"/>
      <c r="AW145" s="28"/>
      <c r="AX145" s="213"/>
      <c r="AY145" s="28"/>
      <c r="AZ145" s="41"/>
      <c r="BA145" s="28"/>
      <c r="BB145" s="28"/>
      <c r="BC145" s="213"/>
      <c r="BD145" s="28"/>
      <c r="BE145" s="41"/>
      <c r="BF145" s="28"/>
      <c r="BG145" s="28"/>
      <c r="BH145" s="213"/>
      <c r="BI145" s="28"/>
      <c r="BJ145" s="41"/>
      <c r="BK145" s="45"/>
      <c r="BL145" s="28"/>
      <c r="BM145" s="174"/>
    </row>
    <row r="146" spans="1:65" x14ac:dyDescent="0.25">
      <c r="A146" s="167"/>
      <c r="B146" s="167"/>
      <c r="C146" s="167"/>
      <c r="D146" s="167"/>
      <c r="E146" s="167"/>
      <c r="F146" s="81"/>
      <c r="G146" s="81"/>
      <c r="H146" s="170"/>
      <c r="I146" s="170"/>
      <c r="J146" s="208"/>
      <c r="K146" s="170"/>
      <c r="L146" s="209"/>
      <c r="M146" s="170"/>
      <c r="N146" s="208"/>
      <c r="O146" s="81"/>
      <c r="P146" s="209"/>
      <c r="Q146" s="81"/>
      <c r="R146" s="208"/>
      <c r="S146" s="81"/>
      <c r="T146" s="209"/>
      <c r="U146" s="81"/>
      <c r="V146" s="208"/>
      <c r="W146" s="81"/>
      <c r="X146" s="209"/>
      <c r="Y146" s="81"/>
      <c r="Z146" s="208"/>
      <c r="AA146" s="81"/>
      <c r="AB146" s="209"/>
      <c r="AC146" s="81"/>
      <c r="AD146" s="208"/>
      <c r="AE146" s="170"/>
      <c r="AF146" s="209"/>
      <c r="AG146" s="28"/>
      <c r="AH146" s="28"/>
      <c r="AI146" s="28"/>
      <c r="AJ146" s="60"/>
      <c r="AK146" s="45"/>
      <c r="AL146" s="173"/>
      <c r="AM146" s="173"/>
      <c r="AN146" s="213"/>
      <c r="AO146" s="28"/>
      <c r="AP146" s="41"/>
      <c r="AQ146" s="28"/>
      <c r="AR146" s="28"/>
      <c r="AS146" s="213"/>
      <c r="AT146" s="28"/>
      <c r="AU146" s="41"/>
      <c r="AV146" s="28"/>
      <c r="AW146" s="28"/>
      <c r="AX146" s="213"/>
      <c r="AY146" s="28"/>
      <c r="AZ146" s="41"/>
      <c r="BA146" s="28"/>
      <c r="BB146" s="28"/>
      <c r="BC146" s="213"/>
      <c r="BD146" s="28"/>
      <c r="BE146" s="41"/>
      <c r="BF146" s="28"/>
      <c r="BG146" s="28"/>
      <c r="BH146" s="213"/>
      <c r="BI146" s="28"/>
      <c r="BJ146" s="41"/>
      <c r="BK146" s="45"/>
      <c r="BL146" s="28"/>
      <c r="BM146" s="174"/>
    </row>
    <row r="147" spans="1:65" x14ac:dyDescent="0.25">
      <c r="A147" s="167"/>
      <c r="B147" s="167"/>
      <c r="C147" s="167" t="s">
        <v>98</v>
      </c>
      <c r="D147" s="167"/>
      <c r="E147" s="167"/>
      <c r="F147" s="81"/>
      <c r="G147" s="81"/>
      <c r="H147" s="170"/>
      <c r="I147" s="170"/>
      <c r="J147" s="170">
        <f>SUM(J141:J145)</f>
        <v>0</v>
      </c>
      <c r="K147" s="170"/>
      <c r="L147" s="189">
        <f>SUM(L141:L145)</f>
        <v>0</v>
      </c>
      <c r="M147" s="170"/>
      <c r="N147" s="170">
        <f>SUM(N141:N145)</f>
        <v>0</v>
      </c>
      <c r="O147" s="81"/>
      <c r="P147" s="189">
        <f>SUM(P141:P145)</f>
        <v>0</v>
      </c>
      <c r="Q147" s="81"/>
      <c r="R147" s="170">
        <f>SUM(R141:R145)</f>
        <v>0</v>
      </c>
      <c r="S147" s="81"/>
      <c r="T147" s="189">
        <f>SUM(T141:T145)</f>
        <v>0</v>
      </c>
      <c r="U147" s="81"/>
      <c r="V147" s="170">
        <f>SUM(V141:V145)</f>
        <v>0</v>
      </c>
      <c r="W147" s="81"/>
      <c r="X147" s="189">
        <f>SUM(X141:X145)</f>
        <v>0</v>
      </c>
      <c r="Y147" s="81"/>
      <c r="Z147" s="170">
        <f>SUM(Z141:Z145)</f>
        <v>0</v>
      </c>
      <c r="AA147" s="81"/>
      <c r="AB147" s="189">
        <f>SUM(AB141:AB145)</f>
        <v>0</v>
      </c>
      <c r="AC147" s="81"/>
      <c r="AD147" s="170">
        <f>J147+N147+R147+V147+Z147</f>
        <v>0</v>
      </c>
      <c r="AE147" s="170"/>
      <c r="AF147" s="189">
        <f>L147+P147+T147+X147+AB147</f>
        <v>0</v>
      </c>
      <c r="AG147" s="28"/>
      <c r="AH147" s="28"/>
      <c r="AI147" s="28"/>
      <c r="AJ147" s="60"/>
      <c r="AK147" s="45"/>
      <c r="AL147" s="173"/>
      <c r="AM147" s="173"/>
      <c r="AN147" s="213"/>
      <c r="AO147" s="28"/>
      <c r="AP147" s="41"/>
      <c r="AQ147" s="28"/>
      <c r="AR147" s="28"/>
      <c r="AS147" s="213"/>
      <c r="AT147" s="28"/>
      <c r="AU147" s="41"/>
      <c r="AV147" s="28"/>
      <c r="AW147" s="28"/>
      <c r="AX147" s="213"/>
      <c r="AY147" s="28"/>
      <c r="AZ147" s="41"/>
      <c r="BA147" s="28"/>
      <c r="BB147" s="28"/>
      <c r="BC147" s="213"/>
      <c r="BD147" s="28"/>
      <c r="BE147" s="41"/>
      <c r="BF147" s="28"/>
      <c r="BG147" s="28"/>
      <c r="BH147" s="213"/>
      <c r="BI147" s="28"/>
      <c r="BJ147" s="41"/>
      <c r="BK147" s="45"/>
      <c r="BL147" s="28"/>
      <c r="BM147" s="174"/>
    </row>
    <row r="148" spans="1:65" x14ac:dyDescent="0.25">
      <c r="A148" s="167"/>
      <c r="B148" s="167"/>
      <c r="C148" s="167"/>
      <c r="D148" s="167"/>
      <c r="E148" s="167"/>
      <c r="F148" s="81"/>
      <c r="G148" s="81"/>
      <c r="H148" s="170"/>
      <c r="I148" s="170"/>
      <c r="J148" s="170"/>
      <c r="K148" s="170"/>
      <c r="L148" s="189"/>
      <c r="M148" s="170"/>
      <c r="N148" s="170"/>
      <c r="O148" s="81"/>
      <c r="P148" s="189"/>
      <c r="Q148" s="81"/>
      <c r="R148" s="81"/>
      <c r="S148" s="81"/>
      <c r="T148" s="192"/>
      <c r="U148" s="81"/>
      <c r="V148" s="81"/>
      <c r="W148" s="81"/>
      <c r="X148" s="192"/>
      <c r="Y148" s="81"/>
      <c r="Z148" s="81"/>
      <c r="AA148" s="81"/>
      <c r="AB148" s="192"/>
      <c r="AC148" s="81"/>
      <c r="AD148" s="170"/>
      <c r="AE148" s="172"/>
      <c r="AF148" s="190"/>
      <c r="AG148" s="28"/>
      <c r="AH148" s="28"/>
      <c r="AI148" s="28"/>
      <c r="AJ148" s="60"/>
      <c r="AK148" s="45"/>
      <c r="AL148" s="173"/>
      <c r="AM148" s="173"/>
      <c r="AN148" s="213"/>
      <c r="AO148" s="28"/>
      <c r="AP148" s="41"/>
      <c r="AQ148" s="28"/>
      <c r="AR148" s="28"/>
      <c r="AS148" s="213"/>
      <c r="AT148" s="28"/>
      <c r="AU148" s="41"/>
      <c r="AV148" s="28"/>
      <c r="AW148" s="28"/>
      <c r="AX148" s="213"/>
      <c r="AY148" s="28"/>
      <c r="AZ148" s="41"/>
      <c r="BA148" s="28"/>
      <c r="BB148" s="28"/>
      <c r="BC148" s="213"/>
      <c r="BD148" s="28"/>
      <c r="BE148" s="41"/>
      <c r="BF148" s="28"/>
      <c r="BG148" s="28"/>
      <c r="BH148" s="213"/>
      <c r="BI148" s="28"/>
      <c r="BJ148" s="41"/>
      <c r="BK148" s="45"/>
      <c r="BL148" s="28"/>
      <c r="BM148" s="174"/>
    </row>
    <row r="149" spans="1:65" x14ac:dyDescent="0.25">
      <c r="A149" s="167"/>
      <c r="B149" s="187" t="s">
        <v>9</v>
      </c>
      <c r="C149" s="187" t="s">
        <v>10</v>
      </c>
      <c r="D149" s="167"/>
      <c r="E149" s="167"/>
      <c r="F149" s="81"/>
      <c r="G149" s="81"/>
      <c r="H149" s="170"/>
      <c r="I149" s="170"/>
      <c r="J149" s="170"/>
      <c r="K149" s="170"/>
      <c r="L149" s="189"/>
      <c r="M149" s="170"/>
      <c r="N149" s="170"/>
      <c r="O149" s="81"/>
      <c r="P149" s="189"/>
      <c r="Q149" s="81"/>
      <c r="R149" s="81"/>
      <c r="S149" s="81"/>
      <c r="T149" s="192"/>
      <c r="U149" s="81"/>
      <c r="V149" s="81"/>
      <c r="W149" s="81"/>
      <c r="X149" s="192"/>
      <c r="Y149" s="81"/>
      <c r="Z149" s="81"/>
      <c r="AA149" s="81"/>
      <c r="AB149" s="192"/>
      <c r="AC149" s="81"/>
      <c r="AD149" s="170"/>
      <c r="AE149" s="172"/>
      <c r="AF149" s="190"/>
      <c r="AG149" s="28"/>
      <c r="AH149" s="28"/>
      <c r="AI149" s="28"/>
      <c r="AJ149" s="60"/>
      <c r="AK149" s="45"/>
      <c r="AL149" s="173"/>
      <c r="AM149" s="173"/>
      <c r="AN149" s="213"/>
      <c r="AO149" s="28"/>
      <c r="AP149" s="41"/>
      <c r="AQ149" s="28"/>
      <c r="AR149" s="28"/>
      <c r="AS149" s="213"/>
      <c r="AT149" s="28"/>
      <c r="AU149" s="41"/>
      <c r="AV149" s="28"/>
      <c r="AW149" s="28"/>
      <c r="AX149" s="213"/>
      <c r="AY149" s="28"/>
      <c r="AZ149" s="41"/>
      <c r="BA149" s="28"/>
      <c r="BB149" s="28"/>
      <c r="BC149" s="213"/>
      <c r="BD149" s="28"/>
      <c r="BE149" s="41"/>
      <c r="BF149" s="28"/>
      <c r="BG149" s="28"/>
      <c r="BH149" s="213"/>
      <c r="BI149" s="28"/>
      <c r="BJ149" s="41"/>
      <c r="BK149" s="45"/>
      <c r="BL149" s="28"/>
      <c r="BM149" s="174"/>
    </row>
    <row r="150" spans="1:65" x14ac:dyDescent="0.25">
      <c r="A150" s="168"/>
      <c r="B150" s="187"/>
      <c r="C150" s="220" t="s">
        <v>32</v>
      </c>
      <c r="D150" s="167"/>
      <c r="E150" s="221" t="s">
        <v>70</v>
      </c>
      <c r="F150" s="222" t="s">
        <v>68</v>
      </c>
      <c r="G150" s="222" t="s">
        <v>81</v>
      </c>
      <c r="H150" s="222" t="s">
        <v>69</v>
      </c>
      <c r="I150" s="170"/>
      <c r="J150" s="170"/>
      <c r="K150" s="170"/>
      <c r="L150" s="189"/>
      <c r="M150" s="170"/>
      <c r="N150" s="170"/>
      <c r="O150" s="81"/>
      <c r="P150" s="189"/>
      <c r="Q150" s="81"/>
      <c r="R150" s="81"/>
      <c r="S150" s="81"/>
      <c r="T150" s="192"/>
      <c r="U150" s="81"/>
      <c r="V150" s="81"/>
      <c r="W150" s="81"/>
      <c r="X150" s="192"/>
      <c r="Y150" s="81"/>
      <c r="Z150" s="81"/>
      <c r="AA150" s="81"/>
      <c r="AB150" s="192"/>
      <c r="AC150" s="81"/>
      <c r="AD150" s="170"/>
      <c r="AE150" s="170"/>
      <c r="AF150" s="189"/>
      <c r="AG150" s="28"/>
      <c r="AH150" s="28"/>
      <c r="AI150" s="28"/>
      <c r="AJ150" s="60"/>
      <c r="AK150" s="45"/>
      <c r="AL150" s="173"/>
      <c r="AM150" s="173"/>
      <c r="AN150" s="213"/>
      <c r="AO150" s="28"/>
      <c r="AP150" s="41"/>
      <c r="AQ150" s="28"/>
      <c r="AR150" s="28"/>
      <c r="AS150" s="213"/>
      <c r="AT150" s="28"/>
      <c r="AU150" s="41"/>
      <c r="AV150" s="28"/>
      <c r="AW150" s="28"/>
      <c r="AX150" s="213"/>
      <c r="AY150" s="28"/>
      <c r="AZ150" s="41"/>
      <c r="BA150" s="28"/>
      <c r="BB150" s="28"/>
      <c r="BC150" s="213"/>
      <c r="BD150" s="28"/>
      <c r="BE150" s="41"/>
      <c r="BF150" s="28"/>
      <c r="BG150" s="28"/>
      <c r="BH150" s="213"/>
      <c r="BI150" s="28"/>
      <c r="BJ150" s="41"/>
      <c r="BK150" s="45"/>
      <c r="BL150" s="28"/>
      <c r="BM150" s="174"/>
    </row>
    <row r="151" spans="1:65" x14ac:dyDescent="0.25">
      <c r="A151" s="168"/>
      <c r="B151" s="187"/>
      <c r="C151" s="223" t="s">
        <v>71</v>
      </c>
      <c r="D151" s="167"/>
      <c r="E151" s="173"/>
      <c r="F151" s="175"/>
      <c r="G151" s="175"/>
      <c r="H151" s="175"/>
      <c r="I151" s="170"/>
      <c r="J151" s="170"/>
      <c r="K151" s="170"/>
      <c r="L151" s="189"/>
      <c r="M151" s="170"/>
      <c r="N151" s="170"/>
      <c r="O151" s="81"/>
      <c r="P151" s="189"/>
      <c r="Q151" s="81"/>
      <c r="R151" s="81"/>
      <c r="S151" s="81"/>
      <c r="T151" s="192"/>
      <c r="U151" s="81"/>
      <c r="V151" s="81"/>
      <c r="W151" s="81"/>
      <c r="X151" s="192"/>
      <c r="Y151" s="81"/>
      <c r="Z151" s="81"/>
      <c r="AA151" s="81"/>
      <c r="AB151" s="192"/>
      <c r="AC151" s="81"/>
      <c r="AD151" s="170"/>
      <c r="AE151" s="172"/>
      <c r="AF151" s="190"/>
      <c r="AG151" s="28"/>
      <c r="AH151" s="28"/>
      <c r="AI151" s="28"/>
      <c r="AJ151" s="60"/>
      <c r="AK151" s="45"/>
      <c r="AL151" s="173"/>
      <c r="AM151" s="173"/>
      <c r="AN151" s="213"/>
      <c r="AO151" s="28"/>
      <c r="AP151" s="41"/>
      <c r="AQ151" s="28"/>
      <c r="AR151" s="28"/>
      <c r="AS151" s="213"/>
      <c r="AT151" s="28"/>
      <c r="AU151" s="41"/>
      <c r="AV151" s="28"/>
      <c r="AW151" s="28"/>
      <c r="AX151" s="213"/>
      <c r="AY151" s="28"/>
      <c r="AZ151" s="41"/>
      <c r="BA151" s="28"/>
      <c r="BB151" s="28"/>
      <c r="BC151" s="213"/>
      <c r="BD151" s="28"/>
      <c r="BE151" s="41"/>
      <c r="BF151" s="28"/>
      <c r="BG151" s="28"/>
      <c r="BH151" s="213"/>
      <c r="BI151" s="28"/>
      <c r="BJ151" s="41"/>
      <c r="BK151" s="45"/>
      <c r="BL151" s="28"/>
      <c r="BM151" s="174"/>
    </row>
    <row r="152" spans="1:65" x14ac:dyDescent="0.25">
      <c r="A152" s="168" t="s">
        <v>231</v>
      </c>
      <c r="B152" s="187"/>
      <c r="C152" s="28"/>
      <c r="D152" s="167" t="s">
        <v>72</v>
      </c>
      <c r="E152" s="224"/>
      <c r="F152" s="222"/>
      <c r="G152" s="225">
        <v>0</v>
      </c>
      <c r="H152" s="225">
        <v>0</v>
      </c>
      <c r="I152" s="170"/>
      <c r="J152" s="170">
        <f>E152*G152*H152</f>
        <v>0</v>
      </c>
      <c r="K152" s="170"/>
      <c r="L152" s="189">
        <v>0</v>
      </c>
      <c r="M152" s="170"/>
      <c r="N152" s="170">
        <v>0</v>
      </c>
      <c r="O152" s="81"/>
      <c r="P152" s="189">
        <v>0</v>
      </c>
      <c r="Q152" s="81"/>
      <c r="R152" s="170">
        <v>0</v>
      </c>
      <c r="S152" s="81"/>
      <c r="T152" s="189">
        <v>0</v>
      </c>
      <c r="U152" s="81"/>
      <c r="V152" s="170">
        <v>0</v>
      </c>
      <c r="W152" s="81"/>
      <c r="X152" s="189">
        <v>0</v>
      </c>
      <c r="Y152" s="81"/>
      <c r="Z152" s="170">
        <v>0</v>
      </c>
      <c r="AA152" s="81"/>
      <c r="AB152" s="189">
        <v>0</v>
      </c>
      <c r="AC152" s="81"/>
      <c r="AD152" s="170">
        <f t="shared" ref="AD152:AD157" si="48">J152+N152+R152+V152+Z152</f>
        <v>0</v>
      </c>
      <c r="AE152" s="172"/>
      <c r="AF152" s="189">
        <f t="shared" ref="AF152:AF157" si="49">L152+P152+T152+X152+AB152</f>
        <v>0</v>
      </c>
      <c r="AG152" s="28"/>
      <c r="AH152" s="28"/>
      <c r="AI152" s="28"/>
      <c r="AJ152" s="60"/>
      <c r="AK152" s="45"/>
      <c r="AL152" s="173"/>
      <c r="AM152" s="173"/>
      <c r="AN152" s="213"/>
      <c r="AO152" s="28"/>
      <c r="AP152" s="41"/>
      <c r="AQ152" s="28"/>
      <c r="AR152" s="28"/>
      <c r="AS152" s="213"/>
      <c r="AT152" s="28"/>
      <c r="AU152" s="41"/>
      <c r="AV152" s="28"/>
      <c r="AW152" s="28"/>
      <c r="AX152" s="213"/>
      <c r="AY152" s="28"/>
      <c r="AZ152" s="41"/>
      <c r="BA152" s="28"/>
      <c r="BB152" s="28"/>
      <c r="BC152" s="213"/>
      <c r="BD152" s="28"/>
      <c r="BE152" s="41"/>
      <c r="BF152" s="28"/>
      <c r="BG152" s="28"/>
      <c r="BH152" s="213"/>
      <c r="BI152" s="28"/>
      <c r="BJ152" s="41"/>
      <c r="BK152" s="45"/>
      <c r="BL152" s="28"/>
      <c r="BM152" s="174"/>
    </row>
    <row r="153" spans="1:65" x14ac:dyDescent="0.25">
      <c r="A153" s="168" t="s">
        <v>231</v>
      </c>
      <c r="B153" s="187"/>
      <c r="C153" s="28"/>
      <c r="D153" s="226" t="s">
        <v>256</v>
      </c>
      <c r="E153" s="224"/>
      <c r="F153" s="225">
        <v>0</v>
      </c>
      <c r="G153" s="225">
        <f>G152</f>
        <v>0</v>
      </c>
      <c r="H153" s="225">
        <f>H152</f>
        <v>0</v>
      </c>
      <c r="I153" s="170"/>
      <c r="J153" s="170">
        <f>E153*F153*G153*H153</f>
        <v>0</v>
      </c>
      <c r="K153" s="170"/>
      <c r="L153" s="189">
        <v>0</v>
      </c>
      <c r="M153" s="170"/>
      <c r="N153" s="170">
        <v>0</v>
      </c>
      <c r="O153" s="81"/>
      <c r="P153" s="189">
        <v>0</v>
      </c>
      <c r="Q153" s="81"/>
      <c r="R153" s="170">
        <v>0</v>
      </c>
      <c r="S153" s="81"/>
      <c r="T153" s="189">
        <v>0</v>
      </c>
      <c r="U153" s="81"/>
      <c r="V153" s="170">
        <v>0</v>
      </c>
      <c r="W153" s="81"/>
      <c r="X153" s="189">
        <v>0</v>
      </c>
      <c r="Y153" s="81"/>
      <c r="Z153" s="170">
        <v>0</v>
      </c>
      <c r="AA153" s="81"/>
      <c r="AB153" s="189">
        <v>0</v>
      </c>
      <c r="AC153" s="81"/>
      <c r="AD153" s="170">
        <f t="shared" si="48"/>
        <v>0</v>
      </c>
      <c r="AE153" s="170"/>
      <c r="AF153" s="189">
        <f t="shared" si="49"/>
        <v>0</v>
      </c>
      <c r="AG153" s="28"/>
      <c r="AH153" s="81"/>
      <c r="AI153" s="28"/>
      <c r="AJ153" s="60"/>
      <c r="AK153" s="45"/>
      <c r="AL153" s="173"/>
      <c r="AM153" s="173"/>
      <c r="AN153" s="213"/>
      <c r="AO153" s="28"/>
      <c r="AP153" s="41"/>
      <c r="AQ153" s="28"/>
      <c r="AR153" s="28"/>
      <c r="AS153" s="213"/>
      <c r="AT153" s="28"/>
      <c r="AU153" s="41"/>
      <c r="AV153" s="28"/>
      <c r="AW153" s="28"/>
      <c r="AX153" s="213"/>
      <c r="AY153" s="28"/>
      <c r="AZ153" s="41"/>
      <c r="BA153" s="28"/>
      <c r="BB153" s="28"/>
      <c r="BC153" s="213"/>
      <c r="BD153" s="28"/>
      <c r="BE153" s="41"/>
      <c r="BF153" s="28"/>
      <c r="BG153" s="28"/>
      <c r="BH153" s="213"/>
      <c r="BI153" s="28"/>
      <c r="BJ153" s="41"/>
      <c r="BK153" s="45"/>
      <c r="BL153" s="28"/>
      <c r="BM153" s="174"/>
    </row>
    <row r="154" spans="1:65" x14ac:dyDescent="0.25">
      <c r="A154" s="168" t="s">
        <v>231</v>
      </c>
      <c r="B154" s="187"/>
      <c r="C154" s="28"/>
      <c r="D154" s="226" t="s">
        <v>179</v>
      </c>
      <c r="E154" s="227"/>
      <c r="F154" s="225">
        <f>F153</f>
        <v>0</v>
      </c>
      <c r="G154" s="225">
        <f t="shared" ref="G154:H157" si="50">G153</f>
        <v>0</v>
      </c>
      <c r="H154" s="225">
        <f t="shared" si="50"/>
        <v>0</v>
      </c>
      <c r="I154" s="170"/>
      <c r="J154" s="170">
        <f t="shared" ref="J154:J155" si="51">E154*F154*G154*H154</f>
        <v>0</v>
      </c>
      <c r="K154" s="170"/>
      <c r="L154" s="189">
        <v>0</v>
      </c>
      <c r="M154" s="170"/>
      <c r="N154" s="170">
        <v>0</v>
      </c>
      <c r="O154" s="81"/>
      <c r="P154" s="189">
        <v>0</v>
      </c>
      <c r="Q154" s="81"/>
      <c r="R154" s="170">
        <v>0</v>
      </c>
      <c r="S154" s="81"/>
      <c r="T154" s="189">
        <v>0</v>
      </c>
      <c r="U154" s="81"/>
      <c r="V154" s="170">
        <v>0</v>
      </c>
      <c r="W154" s="81"/>
      <c r="X154" s="189">
        <v>0</v>
      </c>
      <c r="Y154" s="81"/>
      <c r="Z154" s="170">
        <v>0</v>
      </c>
      <c r="AA154" s="81"/>
      <c r="AB154" s="189">
        <v>0</v>
      </c>
      <c r="AC154" s="81"/>
      <c r="AD154" s="170">
        <f t="shared" si="48"/>
        <v>0</v>
      </c>
      <c r="AE154" s="170"/>
      <c r="AF154" s="189">
        <f t="shared" si="49"/>
        <v>0</v>
      </c>
      <c r="AG154" s="28"/>
      <c r="AH154" s="81"/>
      <c r="AI154" s="28"/>
      <c r="AJ154" s="60"/>
      <c r="AK154" s="45"/>
      <c r="AL154" s="173"/>
      <c r="AM154" s="173"/>
      <c r="AN154" s="213"/>
      <c r="AO154" s="28"/>
      <c r="AP154" s="41"/>
      <c r="AQ154" s="28"/>
      <c r="AR154" s="28"/>
      <c r="AS154" s="213"/>
      <c r="AT154" s="28"/>
      <c r="AU154" s="41"/>
      <c r="AV154" s="28"/>
      <c r="AW154" s="28"/>
      <c r="AX154" s="213"/>
      <c r="AY154" s="28"/>
      <c r="AZ154" s="41"/>
      <c r="BA154" s="28"/>
      <c r="BB154" s="28"/>
      <c r="BC154" s="213"/>
      <c r="BD154" s="28"/>
      <c r="BE154" s="41"/>
      <c r="BF154" s="28"/>
      <c r="BG154" s="28"/>
      <c r="BH154" s="213"/>
      <c r="BI154" s="28"/>
      <c r="BJ154" s="41"/>
      <c r="BK154" s="45"/>
      <c r="BL154" s="28"/>
      <c r="BM154" s="174"/>
    </row>
    <row r="155" spans="1:65" x14ac:dyDescent="0.25">
      <c r="A155" s="168" t="s">
        <v>231</v>
      </c>
      <c r="B155" s="187"/>
      <c r="C155" s="28"/>
      <c r="D155" s="167" t="s">
        <v>195</v>
      </c>
      <c r="E155" s="224"/>
      <c r="F155" s="225">
        <f>F154</f>
        <v>0</v>
      </c>
      <c r="G155" s="225">
        <f t="shared" si="50"/>
        <v>0</v>
      </c>
      <c r="H155" s="225">
        <f t="shared" si="50"/>
        <v>0</v>
      </c>
      <c r="I155" s="170"/>
      <c r="J155" s="170">
        <f t="shared" si="51"/>
        <v>0</v>
      </c>
      <c r="K155" s="170"/>
      <c r="L155" s="189">
        <v>0</v>
      </c>
      <c r="M155" s="170"/>
      <c r="N155" s="170">
        <v>0</v>
      </c>
      <c r="O155" s="81"/>
      <c r="P155" s="189">
        <v>0</v>
      </c>
      <c r="Q155" s="81"/>
      <c r="R155" s="170">
        <v>0</v>
      </c>
      <c r="S155" s="81"/>
      <c r="T155" s="189">
        <v>0</v>
      </c>
      <c r="U155" s="81"/>
      <c r="V155" s="170">
        <v>0</v>
      </c>
      <c r="W155" s="81"/>
      <c r="X155" s="189">
        <v>0</v>
      </c>
      <c r="Y155" s="81"/>
      <c r="Z155" s="170">
        <v>0</v>
      </c>
      <c r="AA155" s="81"/>
      <c r="AB155" s="189">
        <v>0</v>
      </c>
      <c r="AC155" s="81"/>
      <c r="AD155" s="170">
        <f t="shared" si="48"/>
        <v>0</v>
      </c>
      <c r="AE155" s="170"/>
      <c r="AF155" s="189">
        <f t="shared" si="49"/>
        <v>0</v>
      </c>
      <c r="AG155" s="28"/>
      <c r="AH155" s="28"/>
      <c r="AI155" s="28"/>
      <c r="AJ155" s="60"/>
      <c r="AK155" s="45"/>
      <c r="AL155" s="173"/>
      <c r="AM155" s="173"/>
      <c r="AN155" s="213"/>
      <c r="AO155" s="28"/>
      <c r="AP155" s="41"/>
      <c r="AQ155" s="28"/>
      <c r="AR155" s="28"/>
      <c r="AS155" s="213"/>
      <c r="AT155" s="28"/>
      <c r="AU155" s="41"/>
      <c r="AV155" s="28"/>
      <c r="AW155" s="28"/>
      <c r="AX155" s="213"/>
      <c r="AY155" s="28"/>
      <c r="AZ155" s="41"/>
      <c r="BA155" s="28"/>
      <c r="BB155" s="28"/>
      <c r="BC155" s="213"/>
      <c r="BD155" s="28"/>
      <c r="BE155" s="41"/>
      <c r="BF155" s="28"/>
      <c r="BG155" s="28"/>
      <c r="BH155" s="213"/>
      <c r="BI155" s="28"/>
      <c r="BJ155" s="41"/>
      <c r="BK155" s="45"/>
      <c r="BL155" s="28"/>
      <c r="BM155" s="174"/>
    </row>
    <row r="156" spans="1:65" x14ac:dyDescent="0.25">
      <c r="A156" s="168" t="s">
        <v>231</v>
      </c>
      <c r="B156" s="187"/>
      <c r="C156" s="28"/>
      <c r="D156" s="167" t="s">
        <v>174</v>
      </c>
      <c r="E156" s="224"/>
      <c r="F156" s="222"/>
      <c r="G156" s="225">
        <f t="shared" si="50"/>
        <v>0</v>
      </c>
      <c r="H156" s="225">
        <f t="shared" si="50"/>
        <v>0</v>
      </c>
      <c r="I156" s="170"/>
      <c r="J156" s="170">
        <f>E156*G156*H156</f>
        <v>0</v>
      </c>
      <c r="K156" s="170"/>
      <c r="L156" s="189">
        <v>0</v>
      </c>
      <c r="M156" s="170"/>
      <c r="N156" s="170">
        <v>0</v>
      </c>
      <c r="O156" s="81"/>
      <c r="P156" s="189">
        <v>0</v>
      </c>
      <c r="Q156" s="81"/>
      <c r="R156" s="170">
        <v>0</v>
      </c>
      <c r="S156" s="81"/>
      <c r="T156" s="189">
        <v>0</v>
      </c>
      <c r="U156" s="81"/>
      <c r="V156" s="170">
        <v>0</v>
      </c>
      <c r="W156" s="81"/>
      <c r="X156" s="189">
        <v>0</v>
      </c>
      <c r="Y156" s="81"/>
      <c r="Z156" s="170">
        <v>0</v>
      </c>
      <c r="AA156" s="81"/>
      <c r="AB156" s="189">
        <v>0</v>
      </c>
      <c r="AC156" s="81"/>
      <c r="AD156" s="170">
        <f t="shared" si="48"/>
        <v>0</v>
      </c>
      <c r="AE156" s="170"/>
      <c r="AF156" s="189">
        <f t="shared" si="49"/>
        <v>0</v>
      </c>
      <c r="AG156" s="28"/>
      <c r="AH156" s="28"/>
      <c r="AI156" s="28"/>
      <c r="AJ156" s="60"/>
      <c r="AK156" s="45"/>
      <c r="AL156" s="173"/>
      <c r="AM156" s="173"/>
      <c r="AN156" s="213"/>
      <c r="AO156" s="28"/>
      <c r="AP156" s="41"/>
      <c r="AQ156" s="28"/>
      <c r="AR156" s="28"/>
      <c r="AS156" s="213"/>
      <c r="AT156" s="28"/>
      <c r="AU156" s="41"/>
      <c r="AV156" s="28"/>
      <c r="AW156" s="28"/>
      <c r="AX156" s="213"/>
      <c r="AY156" s="28"/>
      <c r="AZ156" s="41"/>
      <c r="BA156" s="28"/>
      <c r="BB156" s="28"/>
      <c r="BC156" s="213"/>
      <c r="BD156" s="28"/>
      <c r="BE156" s="41"/>
      <c r="BF156" s="28"/>
      <c r="BG156" s="28"/>
      <c r="BH156" s="213"/>
      <c r="BI156" s="28"/>
      <c r="BJ156" s="41"/>
      <c r="BK156" s="45"/>
      <c r="BL156" s="28"/>
      <c r="BM156" s="174"/>
    </row>
    <row r="157" spans="1:65" x14ac:dyDescent="0.25">
      <c r="A157" s="168" t="s">
        <v>231</v>
      </c>
      <c r="B157" s="187"/>
      <c r="C157" s="28"/>
      <c r="D157" s="167" t="s">
        <v>82</v>
      </c>
      <c r="E157" s="224"/>
      <c r="F157" s="222"/>
      <c r="G157" s="225">
        <f t="shared" si="50"/>
        <v>0</v>
      </c>
      <c r="H157" s="225">
        <f>H156</f>
        <v>0</v>
      </c>
      <c r="I157" s="170"/>
      <c r="J157" s="170">
        <f>E157*G157*H157</f>
        <v>0</v>
      </c>
      <c r="K157" s="170"/>
      <c r="L157" s="189">
        <v>0</v>
      </c>
      <c r="M157" s="170"/>
      <c r="N157" s="170">
        <v>0</v>
      </c>
      <c r="O157" s="81"/>
      <c r="P157" s="189">
        <v>0</v>
      </c>
      <c r="Q157" s="81"/>
      <c r="R157" s="170">
        <v>0</v>
      </c>
      <c r="S157" s="81"/>
      <c r="T157" s="189">
        <v>0</v>
      </c>
      <c r="U157" s="81"/>
      <c r="V157" s="170">
        <v>0</v>
      </c>
      <c r="W157" s="81"/>
      <c r="X157" s="189">
        <v>0</v>
      </c>
      <c r="Y157" s="81"/>
      <c r="Z157" s="170">
        <v>0</v>
      </c>
      <c r="AA157" s="81"/>
      <c r="AB157" s="189">
        <v>0</v>
      </c>
      <c r="AC157" s="81"/>
      <c r="AD157" s="170">
        <f t="shared" si="48"/>
        <v>0</v>
      </c>
      <c r="AE157" s="170"/>
      <c r="AF157" s="189">
        <f t="shared" si="49"/>
        <v>0</v>
      </c>
      <c r="AG157" s="28"/>
      <c r="AH157" s="28"/>
      <c r="AI157" s="28"/>
      <c r="AJ157" s="60"/>
      <c r="AK157" s="45"/>
      <c r="AL157" s="173"/>
      <c r="AM157" s="173"/>
      <c r="AN157" s="213"/>
      <c r="AO157" s="28"/>
      <c r="AP157" s="41"/>
      <c r="AQ157" s="28"/>
      <c r="AR157" s="28"/>
      <c r="AS157" s="213"/>
      <c r="AT157" s="28"/>
      <c r="AU157" s="41"/>
      <c r="AV157" s="28"/>
      <c r="AW157" s="28"/>
      <c r="AX157" s="213"/>
      <c r="AY157" s="28"/>
      <c r="AZ157" s="41"/>
      <c r="BA157" s="28"/>
      <c r="BB157" s="28"/>
      <c r="BC157" s="213"/>
      <c r="BD157" s="28"/>
      <c r="BE157" s="41"/>
      <c r="BF157" s="28"/>
      <c r="BG157" s="28"/>
      <c r="BH157" s="213"/>
      <c r="BI157" s="28"/>
      <c r="BJ157" s="41"/>
      <c r="BK157" s="45"/>
      <c r="BL157" s="28"/>
      <c r="BM157" s="174"/>
    </row>
    <row r="158" spans="1:65" x14ac:dyDescent="0.25">
      <c r="A158" s="168"/>
      <c r="B158" s="187"/>
      <c r="C158" s="28"/>
      <c r="D158" s="167"/>
      <c r="E158" s="221"/>
      <c r="F158" s="222"/>
      <c r="G158" s="222"/>
      <c r="H158" s="222"/>
      <c r="I158" s="170"/>
      <c r="J158" s="170"/>
      <c r="K158" s="170"/>
      <c r="L158" s="189"/>
      <c r="M158" s="170"/>
      <c r="N158" s="170"/>
      <c r="O158" s="81"/>
      <c r="P158" s="189"/>
      <c r="Q158" s="81"/>
      <c r="R158" s="170"/>
      <c r="S158" s="81"/>
      <c r="T158" s="189"/>
      <c r="U158" s="81"/>
      <c r="V158" s="170"/>
      <c r="W158" s="81"/>
      <c r="X158" s="189"/>
      <c r="Y158" s="81"/>
      <c r="Z158" s="170"/>
      <c r="AA158" s="81"/>
      <c r="AB158" s="189"/>
      <c r="AC158" s="81"/>
      <c r="AD158" s="170"/>
      <c r="AE158" s="170"/>
      <c r="AF158" s="189"/>
      <c r="AG158" s="28"/>
      <c r="AH158" s="28"/>
      <c r="AI158" s="28"/>
      <c r="AJ158" s="60"/>
      <c r="AK158" s="45"/>
      <c r="AL158" s="173"/>
      <c r="AM158" s="173"/>
      <c r="AN158" s="213"/>
      <c r="AO158" s="28"/>
      <c r="AP158" s="41"/>
      <c r="AQ158" s="28"/>
      <c r="AR158" s="28"/>
      <c r="AS158" s="213"/>
      <c r="AT158" s="28"/>
      <c r="AU158" s="41"/>
      <c r="AV158" s="28"/>
      <c r="AW158" s="28"/>
      <c r="AX158" s="213"/>
      <c r="AY158" s="28"/>
      <c r="AZ158" s="41"/>
      <c r="BA158" s="28"/>
      <c r="BB158" s="28"/>
      <c r="BC158" s="213"/>
      <c r="BD158" s="28"/>
      <c r="BE158" s="41"/>
      <c r="BF158" s="28"/>
      <c r="BG158" s="28"/>
      <c r="BH158" s="213"/>
      <c r="BI158" s="28"/>
      <c r="BJ158" s="41"/>
      <c r="BK158" s="45"/>
      <c r="BL158" s="28"/>
      <c r="BM158" s="174"/>
    </row>
    <row r="159" spans="1:65" hidden="1" x14ac:dyDescent="0.25">
      <c r="A159" s="168"/>
      <c r="B159" s="187"/>
      <c r="C159" s="223" t="s">
        <v>71</v>
      </c>
      <c r="D159" s="167"/>
      <c r="E159" s="221"/>
      <c r="F159" s="222"/>
      <c r="G159" s="222"/>
      <c r="H159" s="222"/>
      <c r="I159" s="170"/>
      <c r="J159" s="170"/>
      <c r="K159" s="170"/>
      <c r="L159" s="189"/>
      <c r="M159" s="170"/>
      <c r="N159" s="170"/>
      <c r="O159" s="81"/>
      <c r="P159" s="189"/>
      <c r="Q159" s="81"/>
      <c r="R159" s="170"/>
      <c r="S159" s="81"/>
      <c r="T159" s="192"/>
      <c r="U159" s="81"/>
      <c r="V159" s="170"/>
      <c r="W159" s="81"/>
      <c r="X159" s="189"/>
      <c r="Y159" s="81"/>
      <c r="Z159" s="170"/>
      <c r="AA159" s="81"/>
      <c r="AB159" s="189"/>
      <c r="AC159" s="81"/>
      <c r="AD159" s="170"/>
      <c r="AE159" s="172"/>
      <c r="AF159" s="190"/>
      <c r="AG159" s="28"/>
      <c r="AH159" s="28"/>
      <c r="AI159" s="28"/>
      <c r="AJ159" s="60"/>
      <c r="AK159" s="45"/>
      <c r="AL159" s="173"/>
      <c r="AM159" s="173"/>
      <c r="AN159" s="213"/>
      <c r="AO159" s="28"/>
      <c r="AP159" s="41"/>
      <c r="AQ159" s="28"/>
      <c r="AR159" s="28"/>
      <c r="AS159" s="213"/>
      <c r="AT159" s="28"/>
      <c r="AU159" s="41"/>
      <c r="AV159" s="28"/>
      <c r="AW159" s="28"/>
      <c r="AX159" s="213"/>
      <c r="AY159" s="28"/>
      <c r="AZ159" s="41"/>
      <c r="BA159" s="28"/>
      <c r="BB159" s="28"/>
      <c r="BC159" s="213"/>
      <c r="BD159" s="28"/>
      <c r="BE159" s="41"/>
      <c r="BF159" s="28"/>
      <c r="BG159" s="28"/>
      <c r="BH159" s="213"/>
      <c r="BI159" s="28"/>
      <c r="BJ159" s="41"/>
      <c r="BK159" s="45"/>
      <c r="BL159" s="28"/>
      <c r="BM159" s="174"/>
    </row>
    <row r="160" spans="1:65" hidden="1" x14ac:dyDescent="0.25">
      <c r="A160" s="168" t="s">
        <v>231</v>
      </c>
      <c r="B160" s="187"/>
      <c r="C160" s="28"/>
      <c r="D160" s="167" t="s">
        <v>72</v>
      </c>
      <c r="E160" s="224"/>
      <c r="F160" s="222"/>
      <c r="G160" s="225">
        <v>0</v>
      </c>
      <c r="H160" s="225">
        <v>0</v>
      </c>
      <c r="I160" s="170"/>
      <c r="J160" s="170">
        <f>E160*G160*H160</f>
        <v>0</v>
      </c>
      <c r="K160" s="170"/>
      <c r="L160" s="189">
        <v>0</v>
      </c>
      <c r="M160" s="170"/>
      <c r="N160" s="170">
        <v>0</v>
      </c>
      <c r="O160" s="81"/>
      <c r="P160" s="189">
        <v>0</v>
      </c>
      <c r="Q160" s="81"/>
      <c r="R160" s="170">
        <v>0</v>
      </c>
      <c r="S160" s="81"/>
      <c r="T160" s="189">
        <v>0</v>
      </c>
      <c r="U160" s="81"/>
      <c r="V160" s="170">
        <v>0</v>
      </c>
      <c r="W160" s="81"/>
      <c r="X160" s="189">
        <v>0</v>
      </c>
      <c r="Y160" s="81"/>
      <c r="Z160" s="170">
        <v>0</v>
      </c>
      <c r="AA160" s="81"/>
      <c r="AB160" s="189">
        <v>0</v>
      </c>
      <c r="AC160" s="81"/>
      <c r="AD160" s="170">
        <f t="shared" ref="AD160:AD165" si="52">J160+N160+R160+V160+Z160</f>
        <v>0</v>
      </c>
      <c r="AE160" s="172"/>
      <c r="AF160" s="189">
        <f t="shared" ref="AF160:AF165" si="53">L160+P160+T160+X160+AB160</f>
        <v>0</v>
      </c>
      <c r="AG160" s="28"/>
      <c r="AH160" s="28"/>
      <c r="AI160" s="28"/>
      <c r="AJ160" s="60"/>
      <c r="AK160" s="45"/>
      <c r="AL160" s="173"/>
      <c r="AM160" s="173"/>
      <c r="AN160" s="213"/>
      <c r="AO160" s="28"/>
      <c r="AP160" s="41"/>
      <c r="AQ160" s="28"/>
      <c r="AR160" s="28"/>
      <c r="AS160" s="213"/>
      <c r="AT160" s="28"/>
      <c r="AU160" s="41"/>
      <c r="AV160" s="28"/>
      <c r="AW160" s="28"/>
      <c r="AX160" s="213"/>
      <c r="AY160" s="28"/>
      <c r="AZ160" s="41"/>
      <c r="BA160" s="28"/>
      <c r="BB160" s="28"/>
      <c r="BC160" s="213"/>
      <c r="BD160" s="28"/>
      <c r="BE160" s="41"/>
      <c r="BF160" s="28"/>
      <c r="BG160" s="28"/>
      <c r="BH160" s="213"/>
      <c r="BI160" s="28"/>
      <c r="BJ160" s="41"/>
      <c r="BK160" s="45"/>
      <c r="BL160" s="28"/>
      <c r="BM160" s="174"/>
    </row>
    <row r="161" spans="1:65" hidden="1" x14ac:dyDescent="0.25">
      <c r="A161" s="168" t="s">
        <v>231</v>
      </c>
      <c r="B161" s="187"/>
      <c r="C161" s="28"/>
      <c r="D161" s="226" t="s">
        <v>256</v>
      </c>
      <c r="E161" s="224"/>
      <c r="F161" s="225">
        <v>0</v>
      </c>
      <c r="G161" s="225">
        <f t="shared" ref="G161:H165" si="54">G160</f>
        <v>0</v>
      </c>
      <c r="H161" s="225">
        <f t="shared" si="54"/>
        <v>0</v>
      </c>
      <c r="I161" s="170"/>
      <c r="J161" s="170">
        <f>E161*F161*G161*H161</f>
        <v>0</v>
      </c>
      <c r="K161" s="170"/>
      <c r="L161" s="189">
        <v>0</v>
      </c>
      <c r="M161" s="170"/>
      <c r="N161" s="170">
        <v>0</v>
      </c>
      <c r="O161" s="81"/>
      <c r="P161" s="189">
        <v>0</v>
      </c>
      <c r="Q161" s="81"/>
      <c r="R161" s="170">
        <v>0</v>
      </c>
      <c r="S161" s="81"/>
      <c r="T161" s="189">
        <v>0</v>
      </c>
      <c r="U161" s="81"/>
      <c r="V161" s="170">
        <v>0</v>
      </c>
      <c r="W161" s="81"/>
      <c r="X161" s="189">
        <v>0</v>
      </c>
      <c r="Y161" s="81"/>
      <c r="Z161" s="170">
        <v>0</v>
      </c>
      <c r="AA161" s="81"/>
      <c r="AB161" s="189">
        <v>0</v>
      </c>
      <c r="AC161" s="81"/>
      <c r="AD161" s="170">
        <f t="shared" si="52"/>
        <v>0</v>
      </c>
      <c r="AE161" s="170"/>
      <c r="AF161" s="189">
        <f t="shared" si="53"/>
        <v>0</v>
      </c>
      <c r="AG161" s="28"/>
      <c r="AH161" s="81"/>
      <c r="AI161" s="28"/>
      <c r="AJ161" s="60"/>
      <c r="AK161" s="45"/>
      <c r="AL161" s="173"/>
      <c r="AM161" s="173"/>
      <c r="AN161" s="213"/>
      <c r="AO161" s="28"/>
      <c r="AP161" s="41"/>
      <c r="AQ161" s="28"/>
      <c r="AR161" s="28"/>
      <c r="AS161" s="213"/>
      <c r="AT161" s="28"/>
      <c r="AU161" s="41"/>
      <c r="AV161" s="28"/>
      <c r="AW161" s="28"/>
      <c r="AX161" s="213"/>
      <c r="AY161" s="28"/>
      <c r="AZ161" s="41"/>
      <c r="BA161" s="28"/>
      <c r="BB161" s="28"/>
      <c r="BC161" s="213"/>
      <c r="BD161" s="28"/>
      <c r="BE161" s="41"/>
      <c r="BF161" s="28"/>
      <c r="BG161" s="28"/>
      <c r="BH161" s="213"/>
      <c r="BI161" s="28"/>
      <c r="BJ161" s="41"/>
      <c r="BK161" s="45"/>
      <c r="BL161" s="28"/>
      <c r="BM161" s="174"/>
    </row>
    <row r="162" spans="1:65" hidden="1" x14ac:dyDescent="0.25">
      <c r="A162" s="168" t="s">
        <v>231</v>
      </c>
      <c r="B162" s="187"/>
      <c r="C162" s="28"/>
      <c r="D162" s="226" t="s">
        <v>179</v>
      </c>
      <c r="E162" s="227"/>
      <c r="F162" s="225">
        <f>F161</f>
        <v>0</v>
      </c>
      <c r="G162" s="225">
        <f t="shared" si="54"/>
        <v>0</v>
      </c>
      <c r="H162" s="225">
        <f t="shared" si="54"/>
        <v>0</v>
      </c>
      <c r="I162" s="170"/>
      <c r="J162" s="170">
        <f>E162*F162*G162*H162</f>
        <v>0</v>
      </c>
      <c r="K162" s="170"/>
      <c r="L162" s="189">
        <v>0</v>
      </c>
      <c r="M162" s="170"/>
      <c r="N162" s="170">
        <v>0</v>
      </c>
      <c r="O162" s="81"/>
      <c r="P162" s="189">
        <v>0</v>
      </c>
      <c r="Q162" s="81"/>
      <c r="R162" s="170">
        <v>0</v>
      </c>
      <c r="S162" s="81"/>
      <c r="T162" s="189">
        <v>0</v>
      </c>
      <c r="U162" s="81"/>
      <c r="V162" s="170">
        <v>0</v>
      </c>
      <c r="W162" s="81"/>
      <c r="X162" s="189">
        <v>0</v>
      </c>
      <c r="Y162" s="81"/>
      <c r="Z162" s="170">
        <v>0</v>
      </c>
      <c r="AA162" s="81"/>
      <c r="AB162" s="189">
        <v>0</v>
      </c>
      <c r="AC162" s="81"/>
      <c r="AD162" s="170">
        <f t="shared" si="52"/>
        <v>0</v>
      </c>
      <c r="AE162" s="170"/>
      <c r="AF162" s="189">
        <f t="shared" si="53"/>
        <v>0</v>
      </c>
      <c r="AG162" s="28"/>
      <c r="AH162" s="81"/>
      <c r="AI162" s="28"/>
      <c r="AJ162" s="60"/>
      <c r="AK162" s="45"/>
      <c r="AL162" s="173"/>
      <c r="AM162" s="173"/>
      <c r="AN162" s="213"/>
      <c r="AO162" s="28"/>
      <c r="AP162" s="41"/>
      <c r="AQ162" s="28"/>
      <c r="AR162" s="28"/>
      <c r="AS162" s="213"/>
      <c r="AT162" s="28"/>
      <c r="AU162" s="41"/>
      <c r="AV162" s="28"/>
      <c r="AW162" s="28"/>
      <c r="AX162" s="213"/>
      <c r="AY162" s="28"/>
      <c r="AZ162" s="41"/>
      <c r="BA162" s="28"/>
      <c r="BB162" s="28"/>
      <c r="BC162" s="213"/>
      <c r="BD162" s="28"/>
      <c r="BE162" s="41"/>
      <c r="BF162" s="28"/>
      <c r="BG162" s="28"/>
      <c r="BH162" s="213"/>
      <c r="BI162" s="28"/>
      <c r="BJ162" s="41"/>
      <c r="BK162" s="45"/>
      <c r="BL162" s="28"/>
      <c r="BM162" s="174"/>
    </row>
    <row r="163" spans="1:65" hidden="1" x14ac:dyDescent="0.25">
      <c r="A163" s="168" t="s">
        <v>231</v>
      </c>
      <c r="B163" s="187"/>
      <c r="C163" s="28"/>
      <c r="D163" s="167" t="s">
        <v>195</v>
      </c>
      <c r="E163" s="224"/>
      <c r="F163" s="225">
        <f>F162</f>
        <v>0</v>
      </c>
      <c r="G163" s="225">
        <f t="shared" si="54"/>
        <v>0</v>
      </c>
      <c r="H163" s="225">
        <f t="shared" si="54"/>
        <v>0</v>
      </c>
      <c r="I163" s="170"/>
      <c r="J163" s="170">
        <f>E163*F163*G163*H163</f>
        <v>0</v>
      </c>
      <c r="K163" s="170"/>
      <c r="L163" s="189">
        <v>0</v>
      </c>
      <c r="M163" s="170"/>
      <c r="N163" s="170">
        <v>0</v>
      </c>
      <c r="O163" s="81"/>
      <c r="P163" s="189">
        <v>0</v>
      </c>
      <c r="Q163" s="81"/>
      <c r="R163" s="170">
        <v>0</v>
      </c>
      <c r="S163" s="81"/>
      <c r="T163" s="189">
        <v>0</v>
      </c>
      <c r="U163" s="81"/>
      <c r="V163" s="170">
        <v>0</v>
      </c>
      <c r="W163" s="81"/>
      <c r="X163" s="189">
        <v>0</v>
      </c>
      <c r="Y163" s="81"/>
      <c r="Z163" s="170">
        <v>0</v>
      </c>
      <c r="AA163" s="81"/>
      <c r="AB163" s="189">
        <v>0</v>
      </c>
      <c r="AC163" s="81"/>
      <c r="AD163" s="170">
        <f t="shared" si="52"/>
        <v>0</v>
      </c>
      <c r="AE163" s="170"/>
      <c r="AF163" s="189">
        <f t="shared" si="53"/>
        <v>0</v>
      </c>
      <c r="AG163" s="28"/>
      <c r="AH163" s="28"/>
      <c r="AI163" s="28"/>
      <c r="AJ163" s="60"/>
      <c r="AK163" s="45"/>
      <c r="AL163" s="173"/>
      <c r="AM163" s="173"/>
      <c r="AN163" s="213"/>
      <c r="AO163" s="28"/>
      <c r="AP163" s="41"/>
      <c r="AQ163" s="28"/>
      <c r="AR163" s="28"/>
      <c r="AS163" s="213"/>
      <c r="AT163" s="28"/>
      <c r="AU163" s="41"/>
      <c r="AV163" s="28"/>
      <c r="AW163" s="28"/>
      <c r="AX163" s="213"/>
      <c r="AY163" s="28"/>
      <c r="AZ163" s="41"/>
      <c r="BA163" s="28"/>
      <c r="BB163" s="28"/>
      <c r="BC163" s="213"/>
      <c r="BD163" s="28"/>
      <c r="BE163" s="41"/>
      <c r="BF163" s="28"/>
      <c r="BG163" s="28"/>
      <c r="BH163" s="213"/>
      <c r="BI163" s="28"/>
      <c r="BJ163" s="41"/>
      <c r="BK163" s="45"/>
      <c r="BL163" s="28"/>
      <c r="BM163" s="174"/>
    </row>
    <row r="164" spans="1:65" hidden="1" x14ac:dyDescent="0.25">
      <c r="A164" s="168" t="s">
        <v>231</v>
      </c>
      <c r="B164" s="187"/>
      <c r="C164" s="28"/>
      <c r="D164" s="167" t="s">
        <v>174</v>
      </c>
      <c r="E164" s="224"/>
      <c r="F164" s="222"/>
      <c r="G164" s="225">
        <f t="shared" si="54"/>
        <v>0</v>
      </c>
      <c r="H164" s="225">
        <f t="shared" si="54"/>
        <v>0</v>
      </c>
      <c r="I164" s="170"/>
      <c r="J164" s="170">
        <f>E164*G164*H164</f>
        <v>0</v>
      </c>
      <c r="K164" s="170"/>
      <c r="L164" s="189">
        <v>0</v>
      </c>
      <c r="M164" s="170"/>
      <c r="N164" s="170">
        <v>0</v>
      </c>
      <c r="O164" s="81"/>
      <c r="P164" s="189">
        <v>0</v>
      </c>
      <c r="Q164" s="81"/>
      <c r="R164" s="170">
        <v>0</v>
      </c>
      <c r="S164" s="81"/>
      <c r="T164" s="189">
        <v>0</v>
      </c>
      <c r="U164" s="81"/>
      <c r="V164" s="170">
        <v>0</v>
      </c>
      <c r="W164" s="81"/>
      <c r="X164" s="189">
        <v>0</v>
      </c>
      <c r="Y164" s="81"/>
      <c r="Z164" s="170">
        <v>0</v>
      </c>
      <c r="AA164" s="81"/>
      <c r="AB164" s="189">
        <v>0</v>
      </c>
      <c r="AC164" s="81"/>
      <c r="AD164" s="170">
        <f t="shared" si="52"/>
        <v>0</v>
      </c>
      <c r="AE164" s="170"/>
      <c r="AF164" s="189">
        <f t="shared" si="53"/>
        <v>0</v>
      </c>
      <c r="AG164" s="28"/>
      <c r="AH164" s="28"/>
      <c r="AI164" s="28"/>
      <c r="AJ164" s="60"/>
      <c r="AK164" s="45"/>
      <c r="AL164" s="173"/>
      <c r="AM164" s="173"/>
      <c r="AN164" s="213"/>
      <c r="AO164" s="28"/>
      <c r="AP164" s="41"/>
      <c r="AQ164" s="28"/>
      <c r="AR164" s="28"/>
      <c r="AS164" s="213"/>
      <c r="AT164" s="28"/>
      <c r="AU164" s="41"/>
      <c r="AV164" s="28"/>
      <c r="AW164" s="28"/>
      <c r="AX164" s="213"/>
      <c r="AY164" s="28"/>
      <c r="AZ164" s="41"/>
      <c r="BA164" s="28"/>
      <c r="BB164" s="28"/>
      <c r="BC164" s="213"/>
      <c r="BD164" s="28"/>
      <c r="BE164" s="41"/>
      <c r="BF164" s="28"/>
      <c r="BG164" s="28"/>
      <c r="BH164" s="213"/>
      <c r="BI164" s="28"/>
      <c r="BJ164" s="41"/>
      <c r="BK164" s="45"/>
      <c r="BL164" s="28"/>
      <c r="BM164" s="174"/>
    </row>
    <row r="165" spans="1:65" hidden="1" x14ac:dyDescent="0.25">
      <c r="A165" s="168" t="s">
        <v>231</v>
      </c>
      <c r="B165" s="187"/>
      <c r="C165" s="28"/>
      <c r="D165" s="167" t="s">
        <v>82</v>
      </c>
      <c r="E165" s="224"/>
      <c r="F165" s="222"/>
      <c r="G165" s="225">
        <f t="shared" si="54"/>
        <v>0</v>
      </c>
      <c r="H165" s="225">
        <f>H164</f>
        <v>0</v>
      </c>
      <c r="I165" s="170"/>
      <c r="J165" s="170">
        <f>E165*G165*H165</f>
        <v>0</v>
      </c>
      <c r="K165" s="170"/>
      <c r="L165" s="189">
        <v>0</v>
      </c>
      <c r="M165" s="170"/>
      <c r="N165" s="170">
        <v>0</v>
      </c>
      <c r="O165" s="81"/>
      <c r="P165" s="189">
        <v>0</v>
      </c>
      <c r="Q165" s="81"/>
      <c r="R165" s="170">
        <v>0</v>
      </c>
      <c r="S165" s="81"/>
      <c r="T165" s="189">
        <v>0</v>
      </c>
      <c r="U165" s="81"/>
      <c r="V165" s="170">
        <v>0</v>
      </c>
      <c r="W165" s="81"/>
      <c r="X165" s="189">
        <v>0</v>
      </c>
      <c r="Y165" s="81"/>
      <c r="Z165" s="170">
        <v>0</v>
      </c>
      <c r="AA165" s="81"/>
      <c r="AB165" s="189">
        <v>0</v>
      </c>
      <c r="AC165" s="81"/>
      <c r="AD165" s="170">
        <f t="shared" si="52"/>
        <v>0</v>
      </c>
      <c r="AE165" s="170"/>
      <c r="AF165" s="189">
        <f t="shared" si="53"/>
        <v>0</v>
      </c>
      <c r="AG165" s="28"/>
      <c r="AH165" s="28"/>
      <c r="AI165" s="28"/>
      <c r="AJ165" s="60"/>
      <c r="AK165" s="45"/>
      <c r="AL165" s="173"/>
      <c r="AM165" s="173"/>
      <c r="AN165" s="213"/>
      <c r="AO165" s="28"/>
      <c r="AP165" s="41"/>
      <c r="AQ165" s="28"/>
      <c r="AR165" s="28"/>
      <c r="AS165" s="213"/>
      <c r="AT165" s="28"/>
      <c r="AU165" s="41"/>
      <c r="AV165" s="28"/>
      <c r="AW165" s="28"/>
      <c r="AX165" s="213"/>
      <c r="AY165" s="28"/>
      <c r="AZ165" s="41"/>
      <c r="BA165" s="28"/>
      <c r="BB165" s="28"/>
      <c r="BC165" s="213"/>
      <c r="BD165" s="28"/>
      <c r="BE165" s="41"/>
      <c r="BF165" s="28"/>
      <c r="BG165" s="28"/>
      <c r="BH165" s="213"/>
      <c r="BI165" s="28"/>
      <c r="BJ165" s="41"/>
      <c r="BK165" s="45"/>
      <c r="BL165" s="28"/>
      <c r="BM165" s="174"/>
    </row>
    <row r="166" spans="1:65" hidden="1" x14ac:dyDescent="0.25">
      <c r="A166" s="168"/>
      <c r="B166" s="187"/>
      <c r="C166" s="28"/>
      <c r="D166" s="167"/>
      <c r="E166" s="221"/>
      <c r="F166" s="222"/>
      <c r="G166" s="222"/>
      <c r="H166" s="222"/>
      <c r="I166" s="170"/>
      <c r="J166" s="170"/>
      <c r="K166" s="170"/>
      <c r="L166" s="189"/>
      <c r="M166" s="170"/>
      <c r="N166" s="170"/>
      <c r="O166" s="81"/>
      <c r="P166" s="189"/>
      <c r="Q166" s="81"/>
      <c r="R166" s="170"/>
      <c r="S166" s="81"/>
      <c r="T166" s="189"/>
      <c r="U166" s="81"/>
      <c r="V166" s="170"/>
      <c r="W166" s="81"/>
      <c r="X166" s="189"/>
      <c r="Y166" s="81"/>
      <c r="Z166" s="170"/>
      <c r="AA166" s="81"/>
      <c r="AB166" s="189"/>
      <c r="AC166" s="81"/>
      <c r="AD166" s="170"/>
      <c r="AE166" s="170"/>
      <c r="AF166" s="189"/>
      <c r="AG166" s="28"/>
      <c r="AH166" s="28"/>
      <c r="AI166" s="28"/>
      <c r="AJ166" s="60"/>
      <c r="AK166" s="45"/>
      <c r="AL166" s="173"/>
      <c r="AM166" s="173"/>
      <c r="AN166" s="213"/>
      <c r="AO166" s="28"/>
      <c r="AP166" s="41"/>
      <c r="AQ166" s="28"/>
      <c r="AR166" s="28"/>
      <c r="AS166" s="213"/>
      <c r="AT166" s="28"/>
      <c r="AU166" s="41"/>
      <c r="AV166" s="28"/>
      <c r="AW166" s="28"/>
      <c r="AX166" s="213"/>
      <c r="AY166" s="28"/>
      <c r="AZ166" s="41"/>
      <c r="BA166" s="28"/>
      <c r="BB166" s="28"/>
      <c r="BC166" s="213"/>
      <c r="BD166" s="28"/>
      <c r="BE166" s="41"/>
      <c r="BF166" s="28"/>
      <c r="BG166" s="28"/>
      <c r="BH166" s="213"/>
      <c r="BI166" s="28"/>
      <c r="BJ166" s="41"/>
      <c r="BK166" s="45"/>
      <c r="BL166" s="28"/>
      <c r="BM166" s="174"/>
    </row>
    <row r="167" spans="1:65" hidden="1" x14ac:dyDescent="0.25">
      <c r="A167" s="168"/>
      <c r="B167" s="187"/>
      <c r="C167" s="223" t="s">
        <v>71</v>
      </c>
      <c r="D167" s="167"/>
      <c r="E167" s="221"/>
      <c r="F167" s="222"/>
      <c r="G167" s="222"/>
      <c r="H167" s="222"/>
      <c r="I167" s="170"/>
      <c r="J167" s="170"/>
      <c r="K167" s="170"/>
      <c r="L167" s="189"/>
      <c r="M167" s="170"/>
      <c r="N167" s="170"/>
      <c r="O167" s="81"/>
      <c r="P167" s="189"/>
      <c r="Q167" s="81"/>
      <c r="R167" s="170"/>
      <c r="S167" s="81"/>
      <c r="T167" s="192"/>
      <c r="U167" s="81"/>
      <c r="V167" s="170"/>
      <c r="W167" s="81"/>
      <c r="X167" s="189"/>
      <c r="Y167" s="81"/>
      <c r="Z167" s="170"/>
      <c r="AA167" s="81"/>
      <c r="AB167" s="189"/>
      <c r="AC167" s="81"/>
      <c r="AD167" s="170"/>
      <c r="AE167" s="172"/>
      <c r="AF167" s="190"/>
      <c r="AG167" s="28"/>
      <c r="AH167" s="28"/>
      <c r="AI167" s="28"/>
      <c r="AJ167" s="60"/>
      <c r="AK167" s="45"/>
      <c r="AL167" s="173"/>
      <c r="AM167" s="173"/>
      <c r="AN167" s="213"/>
      <c r="AO167" s="28"/>
      <c r="AP167" s="41"/>
      <c r="AQ167" s="28"/>
      <c r="AR167" s="28"/>
      <c r="AS167" s="213"/>
      <c r="AT167" s="28"/>
      <c r="AU167" s="41"/>
      <c r="AV167" s="28"/>
      <c r="AW167" s="28"/>
      <c r="AX167" s="213"/>
      <c r="AY167" s="28"/>
      <c r="AZ167" s="41"/>
      <c r="BA167" s="28"/>
      <c r="BB167" s="28"/>
      <c r="BC167" s="213"/>
      <c r="BD167" s="28"/>
      <c r="BE167" s="41"/>
      <c r="BF167" s="28"/>
      <c r="BG167" s="28"/>
      <c r="BH167" s="213"/>
      <c r="BI167" s="28"/>
      <c r="BJ167" s="41"/>
      <c r="BK167" s="45"/>
      <c r="BL167" s="28"/>
      <c r="BM167" s="174"/>
    </row>
    <row r="168" spans="1:65" hidden="1" x14ac:dyDescent="0.25">
      <c r="A168" s="168" t="s">
        <v>231</v>
      </c>
      <c r="B168" s="187"/>
      <c r="C168" s="28"/>
      <c r="D168" s="167" t="s">
        <v>72</v>
      </c>
      <c r="E168" s="224"/>
      <c r="F168" s="222"/>
      <c r="G168" s="225">
        <v>0</v>
      </c>
      <c r="H168" s="225">
        <v>0</v>
      </c>
      <c r="I168" s="170"/>
      <c r="J168" s="170">
        <f>E168*G168*H168</f>
        <v>0</v>
      </c>
      <c r="K168" s="170"/>
      <c r="L168" s="189">
        <v>0</v>
      </c>
      <c r="M168" s="170"/>
      <c r="N168" s="170">
        <v>0</v>
      </c>
      <c r="O168" s="81"/>
      <c r="P168" s="189">
        <v>0</v>
      </c>
      <c r="Q168" s="81"/>
      <c r="R168" s="170">
        <v>0</v>
      </c>
      <c r="S168" s="81"/>
      <c r="T168" s="189">
        <v>0</v>
      </c>
      <c r="U168" s="81"/>
      <c r="V168" s="170">
        <v>0</v>
      </c>
      <c r="W168" s="81"/>
      <c r="X168" s="189">
        <v>0</v>
      </c>
      <c r="Y168" s="81"/>
      <c r="Z168" s="170">
        <v>0</v>
      </c>
      <c r="AA168" s="81"/>
      <c r="AB168" s="189">
        <v>0</v>
      </c>
      <c r="AC168" s="81"/>
      <c r="AD168" s="170">
        <f t="shared" ref="AD168:AD173" si="55">J168+N168+R168+V168+Z168</f>
        <v>0</v>
      </c>
      <c r="AE168" s="172"/>
      <c r="AF168" s="189">
        <f t="shared" ref="AF168:AF173" si="56">L168+P168+T168+X168+AB168</f>
        <v>0</v>
      </c>
      <c r="AG168" s="28"/>
      <c r="AH168" s="28"/>
      <c r="AI168" s="28"/>
      <c r="AJ168" s="60"/>
      <c r="AK168" s="45"/>
      <c r="AL168" s="173"/>
      <c r="AM168" s="173"/>
      <c r="AN168" s="213"/>
      <c r="AO168" s="28"/>
      <c r="AP168" s="41"/>
      <c r="AQ168" s="28"/>
      <c r="AR168" s="28"/>
      <c r="AS168" s="213"/>
      <c r="AT168" s="28"/>
      <c r="AU168" s="41"/>
      <c r="AV168" s="28"/>
      <c r="AW168" s="28"/>
      <c r="AX168" s="213"/>
      <c r="AY168" s="28"/>
      <c r="AZ168" s="41"/>
      <c r="BA168" s="28"/>
      <c r="BB168" s="28"/>
      <c r="BC168" s="213"/>
      <c r="BD168" s="28"/>
      <c r="BE168" s="41"/>
      <c r="BF168" s="28"/>
      <c r="BG168" s="28"/>
      <c r="BH168" s="213"/>
      <c r="BI168" s="28"/>
      <c r="BJ168" s="41"/>
      <c r="BK168" s="45"/>
      <c r="BL168" s="28"/>
      <c r="BM168" s="174"/>
    </row>
    <row r="169" spans="1:65" hidden="1" x14ac:dyDescent="0.25">
      <c r="A169" s="168" t="s">
        <v>231</v>
      </c>
      <c r="B169" s="187"/>
      <c r="C169" s="28"/>
      <c r="D169" s="226" t="s">
        <v>256</v>
      </c>
      <c r="E169" s="224"/>
      <c r="F169" s="225">
        <v>0</v>
      </c>
      <c r="G169" s="225">
        <f t="shared" ref="G169:H173" si="57">G168</f>
        <v>0</v>
      </c>
      <c r="H169" s="225">
        <f t="shared" si="57"/>
        <v>0</v>
      </c>
      <c r="I169" s="170"/>
      <c r="J169" s="170">
        <f>E169*F169*G169*H169</f>
        <v>0</v>
      </c>
      <c r="K169" s="170"/>
      <c r="L169" s="189">
        <v>0</v>
      </c>
      <c r="M169" s="170"/>
      <c r="N169" s="170">
        <v>0</v>
      </c>
      <c r="O169" s="81"/>
      <c r="P169" s="189">
        <v>0</v>
      </c>
      <c r="Q169" s="81"/>
      <c r="R169" s="170">
        <v>0</v>
      </c>
      <c r="S169" s="81"/>
      <c r="T169" s="189">
        <v>0</v>
      </c>
      <c r="U169" s="81"/>
      <c r="V169" s="170">
        <v>0</v>
      </c>
      <c r="W169" s="81"/>
      <c r="X169" s="189">
        <v>0</v>
      </c>
      <c r="Y169" s="81"/>
      <c r="Z169" s="170">
        <v>0</v>
      </c>
      <c r="AA169" s="81"/>
      <c r="AB169" s="189">
        <v>0</v>
      </c>
      <c r="AC169" s="81"/>
      <c r="AD169" s="170">
        <f t="shared" si="55"/>
        <v>0</v>
      </c>
      <c r="AE169" s="170"/>
      <c r="AF169" s="189">
        <f t="shared" si="56"/>
        <v>0</v>
      </c>
      <c r="AG169" s="28"/>
      <c r="AH169" s="81"/>
      <c r="AI169" s="28"/>
      <c r="AJ169" s="60"/>
      <c r="AK169" s="45"/>
      <c r="AL169" s="173"/>
      <c r="AM169" s="173"/>
      <c r="AN169" s="213"/>
      <c r="AO169" s="28"/>
      <c r="AP169" s="41"/>
      <c r="AQ169" s="28"/>
      <c r="AR169" s="28"/>
      <c r="AS169" s="213"/>
      <c r="AT169" s="28"/>
      <c r="AU169" s="41"/>
      <c r="AV169" s="28"/>
      <c r="AW169" s="28"/>
      <c r="AX169" s="213"/>
      <c r="AY169" s="28"/>
      <c r="AZ169" s="41"/>
      <c r="BA169" s="28"/>
      <c r="BB169" s="28"/>
      <c r="BC169" s="213"/>
      <c r="BD169" s="28"/>
      <c r="BE169" s="41"/>
      <c r="BF169" s="28"/>
      <c r="BG169" s="28"/>
      <c r="BH169" s="213"/>
      <c r="BI169" s="28"/>
      <c r="BJ169" s="41"/>
      <c r="BK169" s="45"/>
      <c r="BL169" s="28"/>
      <c r="BM169" s="174"/>
    </row>
    <row r="170" spans="1:65" hidden="1" x14ac:dyDescent="0.25">
      <c r="A170" s="168" t="s">
        <v>231</v>
      </c>
      <c r="B170" s="187"/>
      <c r="C170" s="28"/>
      <c r="D170" s="226" t="s">
        <v>179</v>
      </c>
      <c r="E170" s="227"/>
      <c r="F170" s="225">
        <f>F169</f>
        <v>0</v>
      </c>
      <c r="G170" s="225">
        <f t="shared" si="57"/>
        <v>0</v>
      </c>
      <c r="H170" s="225">
        <f t="shared" si="57"/>
        <v>0</v>
      </c>
      <c r="I170" s="170"/>
      <c r="J170" s="170">
        <f>E170*F170*G170*H170</f>
        <v>0</v>
      </c>
      <c r="K170" s="170"/>
      <c r="L170" s="189">
        <v>0</v>
      </c>
      <c r="M170" s="170"/>
      <c r="N170" s="170">
        <v>0</v>
      </c>
      <c r="O170" s="81"/>
      <c r="P170" s="189">
        <v>0</v>
      </c>
      <c r="Q170" s="81"/>
      <c r="R170" s="170">
        <v>0</v>
      </c>
      <c r="S170" s="81"/>
      <c r="T170" s="189">
        <v>0</v>
      </c>
      <c r="U170" s="81"/>
      <c r="V170" s="170">
        <v>0</v>
      </c>
      <c r="W170" s="81"/>
      <c r="X170" s="189">
        <v>0</v>
      </c>
      <c r="Y170" s="81"/>
      <c r="Z170" s="170">
        <v>0</v>
      </c>
      <c r="AA170" s="81"/>
      <c r="AB170" s="189">
        <v>0</v>
      </c>
      <c r="AC170" s="81"/>
      <c r="AD170" s="170">
        <f t="shared" si="55"/>
        <v>0</v>
      </c>
      <c r="AE170" s="170"/>
      <c r="AF170" s="189">
        <f t="shared" si="56"/>
        <v>0</v>
      </c>
      <c r="AG170" s="28"/>
      <c r="AH170" s="81"/>
      <c r="AI170" s="28"/>
      <c r="AJ170" s="60"/>
      <c r="AK170" s="45"/>
      <c r="AL170" s="173"/>
      <c r="AM170" s="173"/>
      <c r="AN170" s="213"/>
      <c r="AO170" s="28"/>
      <c r="AP170" s="41"/>
      <c r="AQ170" s="28"/>
      <c r="AR170" s="28"/>
      <c r="AS170" s="213"/>
      <c r="AT170" s="28"/>
      <c r="AU170" s="41"/>
      <c r="AV170" s="28"/>
      <c r="AW170" s="28"/>
      <c r="AX170" s="213"/>
      <c r="AY170" s="28"/>
      <c r="AZ170" s="41"/>
      <c r="BA170" s="28"/>
      <c r="BB170" s="28"/>
      <c r="BC170" s="213"/>
      <c r="BD170" s="28"/>
      <c r="BE170" s="41"/>
      <c r="BF170" s="28"/>
      <c r="BG170" s="28"/>
      <c r="BH170" s="213"/>
      <c r="BI170" s="28"/>
      <c r="BJ170" s="41"/>
      <c r="BK170" s="45"/>
      <c r="BL170" s="28"/>
      <c r="BM170" s="174"/>
    </row>
    <row r="171" spans="1:65" hidden="1" x14ac:dyDescent="0.25">
      <c r="A171" s="168" t="s">
        <v>231</v>
      </c>
      <c r="B171" s="187"/>
      <c r="C171" s="28"/>
      <c r="D171" s="167" t="s">
        <v>195</v>
      </c>
      <c r="E171" s="224"/>
      <c r="F171" s="225">
        <f>F170</f>
        <v>0</v>
      </c>
      <c r="G171" s="225">
        <f t="shared" si="57"/>
        <v>0</v>
      </c>
      <c r="H171" s="225">
        <f t="shared" si="57"/>
        <v>0</v>
      </c>
      <c r="I171" s="170"/>
      <c r="J171" s="170">
        <f>E171*F171*G171*H171</f>
        <v>0</v>
      </c>
      <c r="K171" s="170"/>
      <c r="L171" s="189">
        <v>0</v>
      </c>
      <c r="M171" s="170"/>
      <c r="N171" s="170">
        <v>0</v>
      </c>
      <c r="O171" s="81"/>
      <c r="P171" s="189">
        <v>0</v>
      </c>
      <c r="Q171" s="81"/>
      <c r="R171" s="170">
        <v>0</v>
      </c>
      <c r="S171" s="81"/>
      <c r="T171" s="189">
        <v>0</v>
      </c>
      <c r="U171" s="81"/>
      <c r="V171" s="170">
        <v>0</v>
      </c>
      <c r="W171" s="81"/>
      <c r="X171" s="189">
        <v>0</v>
      </c>
      <c r="Y171" s="81"/>
      <c r="Z171" s="170">
        <v>0</v>
      </c>
      <c r="AA171" s="81"/>
      <c r="AB171" s="189">
        <v>0</v>
      </c>
      <c r="AC171" s="81"/>
      <c r="AD171" s="170">
        <f t="shared" si="55"/>
        <v>0</v>
      </c>
      <c r="AE171" s="170"/>
      <c r="AF171" s="189">
        <f t="shared" si="56"/>
        <v>0</v>
      </c>
      <c r="AG171" s="28"/>
      <c r="AH171" s="28"/>
      <c r="AI171" s="28"/>
      <c r="AJ171" s="60"/>
      <c r="AK171" s="45"/>
      <c r="AL171" s="173"/>
      <c r="AM171" s="173"/>
      <c r="AN171" s="213"/>
      <c r="AO171" s="28"/>
      <c r="AP171" s="41"/>
      <c r="AQ171" s="28"/>
      <c r="AR171" s="28"/>
      <c r="AS171" s="213"/>
      <c r="AT171" s="28"/>
      <c r="AU171" s="41"/>
      <c r="AV171" s="28"/>
      <c r="AW171" s="28"/>
      <c r="AX171" s="213"/>
      <c r="AY171" s="28"/>
      <c r="AZ171" s="41"/>
      <c r="BA171" s="28"/>
      <c r="BB171" s="28"/>
      <c r="BC171" s="213"/>
      <c r="BD171" s="28"/>
      <c r="BE171" s="41"/>
      <c r="BF171" s="28"/>
      <c r="BG171" s="28"/>
      <c r="BH171" s="213"/>
      <c r="BI171" s="28"/>
      <c r="BJ171" s="41"/>
      <c r="BK171" s="45"/>
      <c r="BL171" s="28"/>
      <c r="BM171" s="174"/>
    </row>
    <row r="172" spans="1:65" hidden="1" x14ac:dyDescent="0.25">
      <c r="A172" s="168" t="s">
        <v>231</v>
      </c>
      <c r="B172" s="187"/>
      <c r="C172" s="28"/>
      <c r="D172" s="167" t="s">
        <v>174</v>
      </c>
      <c r="E172" s="224"/>
      <c r="F172" s="222"/>
      <c r="G172" s="225">
        <f t="shared" si="57"/>
        <v>0</v>
      </c>
      <c r="H172" s="225">
        <f t="shared" si="57"/>
        <v>0</v>
      </c>
      <c r="I172" s="170"/>
      <c r="J172" s="170">
        <f>E172*G172*H172</f>
        <v>0</v>
      </c>
      <c r="K172" s="170"/>
      <c r="L172" s="189">
        <v>0</v>
      </c>
      <c r="M172" s="170"/>
      <c r="N172" s="170">
        <v>0</v>
      </c>
      <c r="O172" s="81"/>
      <c r="P172" s="189">
        <v>0</v>
      </c>
      <c r="Q172" s="81"/>
      <c r="R172" s="170">
        <v>0</v>
      </c>
      <c r="S172" s="81"/>
      <c r="T172" s="189">
        <v>0</v>
      </c>
      <c r="U172" s="81"/>
      <c r="V172" s="170">
        <v>0</v>
      </c>
      <c r="W172" s="81"/>
      <c r="X172" s="189">
        <v>0</v>
      </c>
      <c r="Y172" s="81"/>
      <c r="Z172" s="170">
        <v>0</v>
      </c>
      <c r="AA172" s="81"/>
      <c r="AB172" s="189">
        <v>0</v>
      </c>
      <c r="AC172" s="81"/>
      <c r="AD172" s="170">
        <f t="shared" si="55"/>
        <v>0</v>
      </c>
      <c r="AE172" s="170"/>
      <c r="AF172" s="189">
        <f t="shared" si="56"/>
        <v>0</v>
      </c>
      <c r="AG172" s="28"/>
      <c r="AH172" s="28"/>
      <c r="AI172" s="28"/>
      <c r="AJ172" s="60"/>
      <c r="AK172" s="45"/>
      <c r="AL172" s="173"/>
      <c r="AM172" s="173"/>
      <c r="AN172" s="213"/>
      <c r="AO172" s="28"/>
      <c r="AP172" s="41"/>
      <c r="AQ172" s="28"/>
      <c r="AR172" s="28"/>
      <c r="AS172" s="213"/>
      <c r="AT172" s="28"/>
      <c r="AU172" s="41"/>
      <c r="AV172" s="28"/>
      <c r="AW172" s="28"/>
      <c r="AX172" s="213"/>
      <c r="AY172" s="28"/>
      <c r="AZ172" s="41"/>
      <c r="BA172" s="28"/>
      <c r="BB172" s="28"/>
      <c r="BC172" s="213"/>
      <c r="BD172" s="28"/>
      <c r="BE172" s="41"/>
      <c r="BF172" s="28"/>
      <c r="BG172" s="28"/>
      <c r="BH172" s="213"/>
      <c r="BI172" s="28"/>
      <c r="BJ172" s="41"/>
      <c r="BK172" s="45"/>
      <c r="BL172" s="28"/>
      <c r="BM172" s="174"/>
    </row>
    <row r="173" spans="1:65" hidden="1" x14ac:dyDescent="0.25">
      <c r="A173" s="168" t="s">
        <v>231</v>
      </c>
      <c r="B173" s="187"/>
      <c r="C173" s="28"/>
      <c r="D173" s="167" t="s">
        <v>82</v>
      </c>
      <c r="E173" s="224"/>
      <c r="F173" s="222"/>
      <c r="G173" s="225">
        <f t="shared" si="57"/>
        <v>0</v>
      </c>
      <c r="H173" s="225">
        <f>H172</f>
        <v>0</v>
      </c>
      <c r="I173" s="170"/>
      <c r="J173" s="170">
        <f>E173*G173*H173</f>
        <v>0</v>
      </c>
      <c r="K173" s="170"/>
      <c r="L173" s="189">
        <v>0</v>
      </c>
      <c r="M173" s="170"/>
      <c r="N173" s="170">
        <v>0</v>
      </c>
      <c r="O173" s="81"/>
      <c r="P173" s="189">
        <v>0</v>
      </c>
      <c r="Q173" s="81"/>
      <c r="R173" s="170">
        <v>0</v>
      </c>
      <c r="S173" s="81"/>
      <c r="T173" s="189">
        <v>0</v>
      </c>
      <c r="U173" s="81"/>
      <c r="V173" s="170">
        <v>0</v>
      </c>
      <c r="W173" s="81"/>
      <c r="X173" s="189">
        <v>0</v>
      </c>
      <c r="Y173" s="81"/>
      <c r="Z173" s="170">
        <v>0</v>
      </c>
      <c r="AA173" s="81"/>
      <c r="AB173" s="189">
        <v>0</v>
      </c>
      <c r="AC173" s="81"/>
      <c r="AD173" s="170">
        <f t="shared" si="55"/>
        <v>0</v>
      </c>
      <c r="AE173" s="170"/>
      <c r="AF173" s="189">
        <f t="shared" si="56"/>
        <v>0</v>
      </c>
      <c r="AG173" s="28"/>
      <c r="AH173" s="28"/>
      <c r="AI173" s="28"/>
      <c r="AJ173" s="60"/>
      <c r="AK173" s="45"/>
      <c r="AL173" s="173"/>
      <c r="AM173" s="173"/>
      <c r="AN173" s="213"/>
      <c r="AO173" s="28"/>
      <c r="AP173" s="41"/>
      <c r="AQ173" s="28"/>
      <c r="AR173" s="28"/>
      <c r="AS173" s="213"/>
      <c r="AT173" s="28"/>
      <c r="AU173" s="41"/>
      <c r="AV173" s="28"/>
      <c r="AW173" s="28"/>
      <c r="AX173" s="213"/>
      <c r="AY173" s="28"/>
      <c r="AZ173" s="41"/>
      <c r="BA173" s="28"/>
      <c r="BB173" s="28"/>
      <c r="BC173" s="213"/>
      <c r="BD173" s="28"/>
      <c r="BE173" s="41"/>
      <c r="BF173" s="28"/>
      <c r="BG173" s="28"/>
      <c r="BH173" s="213"/>
      <c r="BI173" s="28"/>
      <c r="BJ173" s="41"/>
      <c r="BK173" s="45"/>
      <c r="BL173" s="28"/>
      <c r="BM173" s="174"/>
    </row>
    <row r="174" spans="1:65" hidden="1" x14ac:dyDescent="0.25">
      <c r="A174" s="168"/>
      <c r="B174" s="187"/>
      <c r="C174" s="28"/>
      <c r="D174" s="167"/>
      <c r="E174" s="221"/>
      <c r="F174" s="222"/>
      <c r="G174" s="222"/>
      <c r="H174" s="222"/>
      <c r="I174" s="170"/>
      <c r="J174" s="170"/>
      <c r="K174" s="170"/>
      <c r="L174" s="189"/>
      <c r="M174" s="170"/>
      <c r="N174" s="170"/>
      <c r="O174" s="81"/>
      <c r="P174" s="189"/>
      <c r="Q174" s="81"/>
      <c r="R174" s="170"/>
      <c r="S174" s="81"/>
      <c r="T174" s="189"/>
      <c r="U174" s="81"/>
      <c r="V174" s="170"/>
      <c r="W174" s="81"/>
      <c r="X174" s="189"/>
      <c r="Y174" s="81"/>
      <c r="Z174" s="170"/>
      <c r="AA174" s="81"/>
      <c r="AB174" s="189"/>
      <c r="AC174" s="81"/>
      <c r="AD174" s="170"/>
      <c r="AE174" s="170"/>
      <c r="AF174" s="189"/>
      <c r="AG174" s="28"/>
      <c r="AH174" s="28"/>
      <c r="AI174" s="28"/>
      <c r="AJ174" s="60"/>
      <c r="AK174" s="45"/>
      <c r="AL174" s="173"/>
      <c r="AM174" s="173"/>
      <c r="AN174" s="213"/>
      <c r="AO174" s="28"/>
      <c r="AP174" s="41"/>
      <c r="AQ174" s="28"/>
      <c r="AR174" s="28"/>
      <c r="AS174" s="213"/>
      <c r="AT174" s="28"/>
      <c r="AU174" s="41"/>
      <c r="AV174" s="28"/>
      <c r="AW174" s="28"/>
      <c r="AX174" s="213"/>
      <c r="AY174" s="28"/>
      <c r="AZ174" s="41"/>
      <c r="BA174" s="28"/>
      <c r="BB174" s="28"/>
      <c r="BC174" s="213"/>
      <c r="BD174" s="28"/>
      <c r="BE174" s="41"/>
      <c r="BF174" s="28"/>
      <c r="BG174" s="28"/>
      <c r="BH174" s="213"/>
      <c r="BI174" s="28"/>
      <c r="BJ174" s="41"/>
      <c r="BK174" s="45"/>
      <c r="BL174" s="28"/>
      <c r="BM174" s="174"/>
    </row>
    <row r="175" spans="1:65" hidden="1" x14ac:dyDescent="0.25">
      <c r="A175" s="168"/>
      <c r="B175" s="187"/>
      <c r="C175" s="223" t="s">
        <v>71</v>
      </c>
      <c r="D175" s="167"/>
      <c r="E175" s="221"/>
      <c r="F175" s="222"/>
      <c r="G175" s="222"/>
      <c r="H175" s="222"/>
      <c r="I175" s="170"/>
      <c r="J175" s="170"/>
      <c r="K175" s="170"/>
      <c r="L175" s="189"/>
      <c r="M175" s="170"/>
      <c r="N175" s="170"/>
      <c r="O175" s="81"/>
      <c r="P175" s="189"/>
      <c r="Q175" s="81"/>
      <c r="R175" s="170"/>
      <c r="S175" s="81"/>
      <c r="T175" s="192"/>
      <c r="U175" s="81"/>
      <c r="V175" s="170"/>
      <c r="W175" s="81"/>
      <c r="X175" s="189"/>
      <c r="Y175" s="81"/>
      <c r="Z175" s="170"/>
      <c r="AA175" s="81"/>
      <c r="AB175" s="189"/>
      <c r="AC175" s="81"/>
      <c r="AD175" s="170"/>
      <c r="AE175" s="172"/>
      <c r="AF175" s="190"/>
      <c r="AG175" s="28"/>
      <c r="AH175" s="28"/>
      <c r="AI175" s="28"/>
      <c r="AJ175" s="60"/>
      <c r="AK175" s="45"/>
      <c r="AL175" s="173"/>
      <c r="AM175" s="173"/>
      <c r="AN175" s="213"/>
      <c r="AO175" s="28"/>
      <c r="AP175" s="41"/>
      <c r="AQ175" s="28"/>
      <c r="AR175" s="28"/>
      <c r="AS175" s="213"/>
      <c r="AT175" s="28"/>
      <c r="AU175" s="41"/>
      <c r="AV175" s="28"/>
      <c r="AW175" s="28"/>
      <c r="AX175" s="213"/>
      <c r="AY175" s="28"/>
      <c r="AZ175" s="41"/>
      <c r="BA175" s="28"/>
      <c r="BB175" s="28"/>
      <c r="BC175" s="213"/>
      <c r="BD175" s="28"/>
      <c r="BE175" s="41"/>
      <c r="BF175" s="28"/>
      <c r="BG175" s="28"/>
      <c r="BH175" s="213"/>
      <c r="BI175" s="28"/>
      <c r="BJ175" s="41"/>
      <c r="BK175" s="45"/>
      <c r="BL175" s="28"/>
      <c r="BM175" s="174"/>
    </row>
    <row r="176" spans="1:65" hidden="1" x14ac:dyDescent="0.25">
      <c r="A176" s="168" t="s">
        <v>231</v>
      </c>
      <c r="B176" s="187"/>
      <c r="C176" s="28"/>
      <c r="D176" s="167" t="s">
        <v>72</v>
      </c>
      <c r="E176" s="224"/>
      <c r="F176" s="222"/>
      <c r="G176" s="225">
        <v>0</v>
      </c>
      <c r="H176" s="225">
        <v>0</v>
      </c>
      <c r="I176" s="170"/>
      <c r="J176" s="170">
        <f>E176*G176*H176</f>
        <v>0</v>
      </c>
      <c r="K176" s="170"/>
      <c r="L176" s="189">
        <v>0</v>
      </c>
      <c r="M176" s="170"/>
      <c r="N176" s="170">
        <v>0</v>
      </c>
      <c r="O176" s="81"/>
      <c r="P176" s="189">
        <v>0</v>
      </c>
      <c r="Q176" s="81"/>
      <c r="R176" s="170">
        <v>0</v>
      </c>
      <c r="S176" s="81"/>
      <c r="T176" s="189">
        <v>0</v>
      </c>
      <c r="U176" s="81"/>
      <c r="V176" s="170">
        <v>0</v>
      </c>
      <c r="W176" s="81"/>
      <c r="X176" s="189">
        <v>0</v>
      </c>
      <c r="Y176" s="81"/>
      <c r="Z176" s="170">
        <v>0</v>
      </c>
      <c r="AA176" s="81"/>
      <c r="AB176" s="189">
        <v>0</v>
      </c>
      <c r="AC176" s="81"/>
      <c r="AD176" s="170">
        <f t="shared" ref="AD176:AD181" si="58">J176+N176+R176+V176+Z176</f>
        <v>0</v>
      </c>
      <c r="AE176" s="172"/>
      <c r="AF176" s="189">
        <f t="shared" ref="AF176:AF181" si="59">L176+P176+T176+X176+AB176</f>
        <v>0</v>
      </c>
      <c r="AG176" s="28"/>
      <c r="AH176" s="28"/>
      <c r="AI176" s="28"/>
      <c r="AJ176" s="60"/>
      <c r="AK176" s="45"/>
      <c r="AL176" s="173"/>
      <c r="AM176" s="173"/>
      <c r="AN176" s="213"/>
      <c r="AO176" s="28"/>
      <c r="AP176" s="41"/>
      <c r="AQ176" s="28"/>
      <c r="AR176" s="28"/>
      <c r="AS176" s="213"/>
      <c r="AT176" s="28"/>
      <c r="AU176" s="41"/>
      <c r="AV176" s="28"/>
      <c r="AW176" s="28"/>
      <c r="AX176" s="213"/>
      <c r="AY176" s="28"/>
      <c r="AZ176" s="41"/>
      <c r="BA176" s="28"/>
      <c r="BB176" s="28"/>
      <c r="BC176" s="213"/>
      <c r="BD176" s="28"/>
      <c r="BE176" s="41"/>
      <c r="BF176" s="28"/>
      <c r="BG176" s="28"/>
      <c r="BH176" s="213"/>
      <c r="BI176" s="28"/>
      <c r="BJ176" s="41"/>
      <c r="BK176" s="45"/>
      <c r="BL176" s="28"/>
      <c r="BM176" s="174"/>
    </row>
    <row r="177" spans="1:65" hidden="1" x14ac:dyDescent="0.25">
      <c r="A177" s="168" t="s">
        <v>231</v>
      </c>
      <c r="B177" s="187"/>
      <c r="C177" s="28"/>
      <c r="D177" s="226" t="s">
        <v>256</v>
      </c>
      <c r="E177" s="224"/>
      <c r="F177" s="225">
        <v>0</v>
      </c>
      <c r="G177" s="225">
        <f>G176</f>
        <v>0</v>
      </c>
      <c r="H177" s="225">
        <f>H176</f>
        <v>0</v>
      </c>
      <c r="I177" s="170"/>
      <c r="J177" s="170">
        <f>E177*F177*G177*H177</f>
        <v>0</v>
      </c>
      <c r="K177" s="170"/>
      <c r="L177" s="189">
        <v>0</v>
      </c>
      <c r="M177" s="170"/>
      <c r="N177" s="170">
        <v>0</v>
      </c>
      <c r="O177" s="81"/>
      <c r="P177" s="189">
        <v>0</v>
      </c>
      <c r="Q177" s="81"/>
      <c r="R177" s="170">
        <v>0</v>
      </c>
      <c r="S177" s="81"/>
      <c r="T177" s="189">
        <v>0</v>
      </c>
      <c r="U177" s="81"/>
      <c r="V177" s="170">
        <v>0</v>
      </c>
      <c r="W177" s="81"/>
      <c r="X177" s="189">
        <v>0</v>
      </c>
      <c r="Y177" s="81"/>
      <c r="Z177" s="170">
        <v>0</v>
      </c>
      <c r="AA177" s="81"/>
      <c r="AB177" s="189">
        <v>0</v>
      </c>
      <c r="AC177" s="81"/>
      <c r="AD177" s="170">
        <f t="shared" si="58"/>
        <v>0</v>
      </c>
      <c r="AE177" s="170"/>
      <c r="AF177" s="189">
        <f t="shared" si="59"/>
        <v>0</v>
      </c>
      <c r="AG177" s="28"/>
      <c r="AH177" s="81"/>
      <c r="AI177" s="28"/>
      <c r="AJ177" s="60"/>
      <c r="AK177" s="45"/>
      <c r="AL177" s="173"/>
      <c r="AM177" s="173"/>
      <c r="AN177" s="213"/>
      <c r="AO177" s="28"/>
      <c r="AP177" s="41"/>
      <c r="AQ177" s="28"/>
      <c r="AR177" s="28"/>
      <c r="AS177" s="213"/>
      <c r="AT177" s="28"/>
      <c r="AU177" s="41"/>
      <c r="AV177" s="28"/>
      <c r="AW177" s="28"/>
      <c r="AX177" s="213"/>
      <c r="AY177" s="28"/>
      <c r="AZ177" s="41"/>
      <c r="BA177" s="28"/>
      <c r="BB177" s="28"/>
      <c r="BC177" s="213"/>
      <c r="BD177" s="28"/>
      <c r="BE177" s="41"/>
      <c r="BF177" s="28"/>
      <c r="BG177" s="28"/>
      <c r="BH177" s="213"/>
      <c r="BI177" s="28"/>
      <c r="BJ177" s="41"/>
      <c r="BK177" s="45"/>
      <c r="BL177" s="28"/>
      <c r="BM177" s="174"/>
    </row>
    <row r="178" spans="1:65" hidden="1" x14ac:dyDescent="0.25">
      <c r="A178" s="168" t="s">
        <v>231</v>
      </c>
      <c r="B178" s="187"/>
      <c r="C178" s="28"/>
      <c r="D178" s="226" t="s">
        <v>179</v>
      </c>
      <c r="E178" s="227"/>
      <c r="F178" s="225">
        <f>F177</f>
        <v>0</v>
      </c>
      <c r="G178" s="225">
        <f t="shared" ref="G178:H181" si="60">G177</f>
        <v>0</v>
      </c>
      <c r="H178" s="225">
        <f t="shared" si="60"/>
        <v>0</v>
      </c>
      <c r="I178" s="170"/>
      <c r="J178" s="170">
        <f>E178*F178*G178*H178</f>
        <v>0</v>
      </c>
      <c r="K178" s="170"/>
      <c r="L178" s="189">
        <v>0</v>
      </c>
      <c r="M178" s="170"/>
      <c r="N178" s="170">
        <v>0</v>
      </c>
      <c r="O178" s="81"/>
      <c r="P178" s="189">
        <v>0</v>
      </c>
      <c r="Q178" s="81"/>
      <c r="R178" s="170">
        <v>0</v>
      </c>
      <c r="S178" s="81"/>
      <c r="T178" s="189">
        <v>0</v>
      </c>
      <c r="U178" s="81"/>
      <c r="V178" s="170">
        <v>0</v>
      </c>
      <c r="W178" s="81"/>
      <c r="X178" s="189">
        <v>0</v>
      </c>
      <c r="Y178" s="81"/>
      <c r="Z178" s="170">
        <v>0</v>
      </c>
      <c r="AA178" s="81"/>
      <c r="AB178" s="189">
        <v>0</v>
      </c>
      <c r="AC178" s="81"/>
      <c r="AD178" s="170">
        <f t="shared" si="58"/>
        <v>0</v>
      </c>
      <c r="AE178" s="170"/>
      <c r="AF178" s="189">
        <f t="shared" si="59"/>
        <v>0</v>
      </c>
      <c r="AG178" s="28"/>
      <c r="AH178" s="81"/>
      <c r="AI178" s="28"/>
      <c r="AJ178" s="60"/>
      <c r="AK178" s="45"/>
      <c r="AL178" s="173"/>
      <c r="AM178" s="173"/>
      <c r="AN178" s="213"/>
      <c r="AO178" s="28"/>
      <c r="AP178" s="41"/>
      <c r="AQ178" s="28"/>
      <c r="AR178" s="28"/>
      <c r="AS178" s="213"/>
      <c r="AT178" s="28"/>
      <c r="AU178" s="41"/>
      <c r="AV178" s="28"/>
      <c r="AW178" s="28"/>
      <c r="AX178" s="213"/>
      <c r="AY178" s="28"/>
      <c r="AZ178" s="41"/>
      <c r="BA178" s="28"/>
      <c r="BB178" s="28"/>
      <c r="BC178" s="213"/>
      <c r="BD178" s="28"/>
      <c r="BE178" s="41"/>
      <c r="BF178" s="28"/>
      <c r="BG178" s="28"/>
      <c r="BH178" s="213"/>
      <c r="BI178" s="28"/>
      <c r="BJ178" s="41"/>
      <c r="BK178" s="45"/>
      <c r="BL178" s="28"/>
      <c r="BM178" s="174"/>
    </row>
    <row r="179" spans="1:65" hidden="1" x14ac:dyDescent="0.25">
      <c r="A179" s="168" t="s">
        <v>231</v>
      </c>
      <c r="B179" s="187"/>
      <c r="C179" s="28"/>
      <c r="D179" s="167" t="s">
        <v>195</v>
      </c>
      <c r="E179" s="224"/>
      <c r="F179" s="225">
        <f>F178</f>
        <v>0</v>
      </c>
      <c r="G179" s="225">
        <f t="shared" si="60"/>
        <v>0</v>
      </c>
      <c r="H179" s="225">
        <f t="shared" si="60"/>
        <v>0</v>
      </c>
      <c r="I179" s="170"/>
      <c r="J179" s="170">
        <f>E179*F179*G179*H179</f>
        <v>0</v>
      </c>
      <c r="K179" s="170"/>
      <c r="L179" s="189">
        <v>0</v>
      </c>
      <c r="M179" s="170"/>
      <c r="N179" s="170">
        <v>0</v>
      </c>
      <c r="O179" s="81"/>
      <c r="P179" s="189">
        <v>0</v>
      </c>
      <c r="Q179" s="81"/>
      <c r="R179" s="170">
        <v>0</v>
      </c>
      <c r="S179" s="81"/>
      <c r="T179" s="189">
        <v>0</v>
      </c>
      <c r="U179" s="81"/>
      <c r="V179" s="170">
        <v>0</v>
      </c>
      <c r="W179" s="81"/>
      <c r="X179" s="189">
        <v>0</v>
      </c>
      <c r="Y179" s="81"/>
      <c r="Z179" s="170">
        <v>0</v>
      </c>
      <c r="AA179" s="81"/>
      <c r="AB179" s="189">
        <v>0</v>
      </c>
      <c r="AC179" s="81"/>
      <c r="AD179" s="170">
        <f t="shared" si="58"/>
        <v>0</v>
      </c>
      <c r="AE179" s="170"/>
      <c r="AF179" s="189">
        <f t="shared" si="59"/>
        <v>0</v>
      </c>
      <c r="AG179" s="28"/>
      <c r="AH179" s="28"/>
      <c r="AI179" s="28"/>
      <c r="AJ179" s="60"/>
      <c r="AK179" s="45"/>
      <c r="AL179" s="173"/>
      <c r="AM179" s="173"/>
      <c r="AN179" s="213"/>
      <c r="AO179" s="28"/>
      <c r="AP179" s="41"/>
      <c r="AQ179" s="28"/>
      <c r="AR179" s="28"/>
      <c r="AS179" s="213"/>
      <c r="AT179" s="28"/>
      <c r="AU179" s="41"/>
      <c r="AV179" s="28"/>
      <c r="AW179" s="28"/>
      <c r="AX179" s="213"/>
      <c r="AY179" s="28"/>
      <c r="AZ179" s="41"/>
      <c r="BA179" s="28"/>
      <c r="BB179" s="28"/>
      <c r="BC179" s="213"/>
      <c r="BD179" s="28"/>
      <c r="BE179" s="41"/>
      <c r="BF179" s="28"/>
      <c r="BG179" s="28"/>
      <c r="BH179" s="213"/>
      <c r="BI179" s="28"/>
      <c r="BJ179" s="41"/>
      <c r="BK179" s="45"/>
      <c r="BL179" s="28"/>
      <c r="BM179" s="174"/>
    </row>
    <row r="180" spans="1:65" hidden="1" x14ac:dyDescent="0.25">
      <c r="A180" s="168" t="s">
        <v>231</v>
      </c>
      <c r="B180" s="187"/>
      <c r="C180" s="28"/>
      <c r="D180" s="167" t="s">
        <v>174</v>
      </c>
      <c r="E180" s="224"/>
      <c r="F180" s="222"/>
      <c r="G180" s="225">
        <f t="shared" si="60"/>
        <v>0</v>
      </c>
      <c r="H180" s="225">
        <f t="shared" si="60"/>
        <v>0</v>
      </c>
      <c r="I180" s="170"/>
      <c r="J180" s="170">
        <f>E180*G180*H180</f>
        <v>0</v>
      </c>
      <c r="K180" s="170"/>
      <c r="L180" s="189">
        <v>0</v>
      </c>
      <c r="M180" s="170"/>
      <c r="N180" s="170">
        <v>0</v>
      </c>
      <c r="O180" s="81"/>
      <c r="P180" s="189">
        <v>0</v>
      </c>
      <c r="Q180" s="81"/>
      <c r="R180" s="170">
        <v>0</v>
      </c>
      <c r="S180" s="81"/>
      <c r="T180" s="189">
        <v>0</v>
      </c>
      <c r="U180" s="81"/>
      <c r="V180" s="170">
        <v>0</v>
      </c>
      <c r="W180" s="81"/>
      <c r="X180" s="189">
        <v>0</v>
      </c>
      <c r="Y180" s="81"/>
      <c r="Z180" s="170">
        <v>0</v>
      </c>
      <c r="AA180" s="81"/>
      <c r="AB180" s="189">
        <v>0</v>
      </c>
      <c r="AC180" s="81"/>
      <c r="AD180" s="170">
        <f t="shared" si="58"/>
        <v>0</v>
      </c>
      <c r="AE180" s="170"/>
      <c r="AF180" s="189">
        <f t="shared" si="59"/>
        <v>0</v>
      </c>
      <c r="AG180" s="28"/>
      <c r="AH180" s="28"/>
      <c r="AI180" s="28"/>
      <c r="AJ180" s="60"/>
      <c r="AK180" s="45"/>
      <c r="AL180" s="173"/>
      <c r="AM180" s="173"/>
      <c r="AN180" s="213"/>
      <c r="AO180" s="28"/>
      <c r="AP180" s="41"/>
      <c r="AQ180" s="28"/>
      <c r="AR180" s="28"/>
      <c r="AS180" s="213"/>
      <c r="AT180" s="28"/>
      <c r="AU180" s="41"/>
      <c r="AV180" s="28"/>
      <c r="AW180" s="28"/>
      <c r="AX180" s="213"/>
      <c r="AY180" s="28"/>
      <c r="AZ180" s="41"/>
      <c r="BA180" s="28"/>
      <c r="BB180" s="28"/>
      <c r="BC180" s="213"/>
      <c r="BD180" s="28"/>
      <c r="BE180" s="41"/>
      <c r="BF180" s="28"/>
      <c r="BG180" s="28"/>
      <c r="BH180" s="213"/>
      <c r="BI180" s="28"/>
      <c r="BJ180" s="41"/>
      <c r="BK180" s="45"/>
      <c r="BL180" s="28"/>
      <c r="BM180" s="174"/>
    </row>
    <row r="181" spans="1:65" hidden="1" x14ac:dyDescent="0.25">
      <c r="A181" s="168" t="s">
        <v>231</v>
      </c>
      <c r="B181" s="187"/>
      <c r="C181" s="28"/>
      <c r="D181" s="167" t="s">
        <v>82</v>
      </c>
      <c r="E181" s="224"/>
      <c r="F181" s="222"/>
      <c r="G181" s="225">
        <f t="shared" si="60"/>
        <v>0</v>
      </c>
      <c r="H181" s="225">
        <f t="shared" si="60"/>
        <v>0</v>
      </c>
      <c r="I181" s="170"/>
      <c r="J181" s="170">
        <f>E181*G181*H181</f>
        <v>0</v>
      </c>
      <c r="K181" s="170"/>
      <c r="L181" s="189">
        <v>0</v>
      </c>
      <c r="M181" s="170"/>
      <c r="N181" s="170">
        <v>0</v>
      </c>
      <c r="O181" s="81"/>
      <c r="P181" s="189">
        <v>0</v>
      </c>
      <c r="Q181" s="81"/>
      <c r="R181" s="170">
        <v>0</v>
      </c>
      <c r="S181" s="81"/>
      <c r="T181" s="189">
        <v>0</v>
      </c>
      <c r="U181" s="81"/>
      <c r="V181" s="170">
        <v>0</v>
      </c>
      <c r="W181" s="81"/>
      <c r="X181" s="189">
        <v>0</v>
      </c>
      <c r="Y181" s="81"/>
      <c r="Z181" s="170">
        <v>0</v>
      </c>
      <c r="AA181" s="81"/>
      <c r="AB181" s="189">
        <v>0</v>
      </c>
      <c r="AC181" s="81"/>
      <c r="AD181" s="170">
        <f t="shared" si="58"/>
        <v>0</v>
      </c>
      <c r="AE181" s="170"/>
      <c r="AF181" s="189">
        <f t="shared" si="59"/>
        <v>0</v>
      </c>
      <c r="AG181" s="28"/>
      <c r="AH181" s="28"/>
      <c r="AI181" s="28"/>
      <c r="AJ181" s="60"/>
      <c r="AK181" s="45"/>
      <c r="AL181" s="173"/>
      <c r="AM181" s="173"/>
      <c r="AN181" s="213"/>
      <c r="AO181" s="28"/>
      <c r="AP181" s="41"/>
      <c r="AQ181" s="28"/>
      <c r="AR181" s="28"/>
      <c r="AS181" s="213"/>
      <c r="AT181" s="28"/>
      <c r="AU181" s="41"/>
      <c r="AV181" s="28"/>
      <c r="AW181" s="28"/>
      <c r="AX181" s="213"/>
      <c r="AY181" s="28"/>
      <c r="AZ181" s="41"/>
      <c r="BA181" s="28"/>
      <c r="BB181" s="28"/>
      <c r="BC181" s="213"/>
      <c r="BD181" s="28"/>
      <c r="BE181" s="41"/>
      <c r="BF181" s="28"/>
      <c r="BG181" s="28"/>
      <c r="BH181" s="213"/>
      <c r="BI181" s="28"/>
      <c r="BJ181" s="41"/>
      <c r="BK181" s="45"/>
      <c r="BL181" s="28"/>
      <c r="BM181" s="174"/>
    </row>
    <row r="182" spans="1:65" hidden="1" x14ac:dyDescent="0.25">
      <c r="A182" s="168"/>
      <c r="B182" s="187"/>
      <c r="C182" s="167"/>
      <c r="D182" s="167"/>
      <c r="E182" s="221"/>
      <c r="F182" s="222"/>
      <c r="G182" s="222"/>
      <c r="H182" s="222"/>
      <c r="I182" s="170"/>
      <c r="J182" s="170"/>
      <c r="K182" s="170"/>
      <c r="L182" s="189"/>
      <c r="M182" s="170"/>
      <c r="N182" s="170"/>
      <c r="O182" s="81"/>
      <c r="P182" s="189"/>
      <c r="Q182" s="81"/>
      <c r="R182" s="170"/>
      <c r="S182" s="81"/>
      <c r="T182" s="189"/>
      <c r="U182" s="81"/>
      <c r="V182" s="170"/>
      <c r="W182" s="81"/>
      <c r="X182" s="189"/>
      <c r="Y182" s="81"/>
      <c r="Z182" s="170"/>
      <c r="AA182" s="81"/>
      <c r="AB182" s="189"/>
      <c r="AC182" s="81"/>
      <c r="AD182" s="170"/>
      <c r="AE182" s="170"/>
      <c r="AF182" s="189"/>
      <c r="AG182" s="28"/>
      <c r="AH182" s="28"/>
      <c r="AI182" s="28"/>
      <c r="AJ182" s="60"/>
      <c r="AK182" s="45"/>
      <c r="AL182" s="173"/>
      <c r="AM182" s="173"/>
      <c r="AN182" s="213"/>
      <c r="AO182" s="28"/>
      <c r="AP182" s="41"/>
      <c r="AQ182" s="28"/>
      <c r="AR182" s="28"/>
      <c r="AS182" s="213"/>
      <c r="AT182" s="28"/>
      <c r="AU182" s="41"/>
      <c r="AV182" s="28"/>
      <c r="AW182" s="28"/>
      <c r="AX182" s="213"/>
      <c r="AY182" s="28"/>
      <c r="AZ182" s="41"/>
      <c r="BA182" s="28"/>
      <c r="BB182" s="28"/>
      <c r="BC182" s="213"/>
      <c r="BD182" s="28"/>
      <c r="BE182" s="41"/>
      <c r="BF182" s="28"/>
      <c r="BG182" s="28"/>
      <c r="BH182" s="213"/>
      <c r="BI182" s="28"/>
      <c r="BJ182" s="41"/>
      <c r="BK182" s="45"/>
      <c r="BL182" s="28"/>
      <c r="BM182" s="174"/>
    </row>
    <row r="183" spans="1:65" x14ac:dyDescent="0.25">
      <c r="A183" s="168"/>
      <c r="B183" s="187"/>
      <c r="C183" s="223" t="s">
        <v>48</v>
      </c>
      <c r="D183" s="28"/>
      <c r="E183" s="221" t="s">
        <v>70</v>
      </c>
      <c r="F183" s="222" t="s">
        <v>96</v>
      </c>
      <c r="G183" s="222" t="s">
        <v>184</v>
      </c>
      <c r="H183" s="222" t="s">
        <v>69</v>
      </c>
      <c r="I183" s="228"/>
      <c r="J183" s="170"/>
      <c r="K183" s="170"/>
      <c r="L183" s="189"/>
      <c r="M183" s="170"/>
      <c r="N183" s="170"/>
      <c r="O183" s="81"/>
      <c r="P183" s="189"/>
      <c r="Q183" s="81"/>
      <c r="R183" s="170"/>
      <c r="S183" s="81"/>
      <c r="T183" s="189"/>
      <c r="U183" s="81"/>
      <c r="V183" s="170"/>
      <c r="W183" s="81"/>
      <c r="X183" s="189"/>
      <c r="Y183" s="81"/>
      <c r="Z183" s="170"/>
      <c r="AA183" s="81"/>
      <c r="AB183" s="189"/>
      <c r="AC183" s="81"/>
      <c r="AD183" s="170"/>
      <c r="AE183" s="170"/>
      <c r="AF183" s="229"/>
      <c r="AG183" s="28"/>
      <c r="AH183" s="28"/>
      <c r="AI183" s="28"/>
      <c r="AJ183" s="60"/>
      <c r="AK183" s="45"/>
      <c r="AL183" s="173"/>
      <c r="AM183" s="173"/>
      <c r="AN183" s="213"/>
      <c r="AO183" s="28"/>
      <c r="AP183" s="41"/>
      <c r="AQ183" s="28"/>
      <c r="AR183" s="28"/>
      <c r="AS183" s="213"/>
      <c r="AT183" s="28"/>
      <c r="AU183" s="41"/>
      <c r="AV183" s="28"/>
      <c r="AW183" s="28"/>
      <c r="AX183" s="213"/>
      <c r="AY183" s="28"/>
      <c r="AZ183" s="41"/>
      <c r="BA183" s="28"/>
      <c r="BB183" s="28"/>
      <c r="BC183" s="213"/>
      <c r="BD183" s="28"/>
      <c r="BE183" s="41"/>
      <c r="BF183" s="28"/>
      <c r="BG183" s="28"/>
      <c r="BH183" s="213"/>
      <c r="BI183" s="28"/>
      <c r="BJ183" s="41"/>
      <c r="BK183" s="45"/>
      <c r="BL183" s="28"/>
      <c r="BM183" s="174"/>
    </row>
    <row r="184" spans="1:65" x14ac:dyDescent="0.25">
      <c r="A184" s="168" t="s">
        <v>231</v>
      </c>
      <c r="B184" s="187"/>
      <c r="C184" s="28"/>
      <c r="D184" s="28" t="s">
        <v>71</v>
      </c>
      <c r="E184" s="230">
        <f>IF(F184&gt;1000, 0.625, 0.655)</f>
        <v>0.66</v>
      </c>
      <c r="F184" s="222"/>
      <c r="G184" s="222"/>
      <c r="H184" s="222"/>
      <c r="I184" s="228"/>
      <c r="J184" s="170">
        <f>E184*F184*G184*H184</f>
        <v>0</v>
      </c>
      <c r="K184" s="170"/>
      <c r="L184" s="189">
        <v>0</v>
      </c>
      <c r="M184" s="170"/>
      <c r="N184" s="170">
        <v>0</v>
      </c>
      <c r="O184" s="81"/>
      <c r="P184" s="189">
        <v>0</v>
      </c>
      <c r="Q184" s="81"/>
      <c r="R184" s="170">
        <v>0</v>
      </c>
      <c r="S184" s="81"/>
      <c r="T184" s="189">
        <v>0</v>
      </c>
      <c r="U184" s="81"/>
      <c r="V184" s="170">
        <v>0</v>
      </c>
      <c r="W184" s="81"/>
      <c r="X184" s="189">
        <v>0</v>
      </c>
      <c r="Y184" s="81"/>
      <c r="Z184" s="170">
        <v>0</v>
      </c>
      <c r="AA184" s="81"/>
      <c r="AB184" s="189">
        <v>0</v>
      </c>
      <c r="AC184" s="81"/>
      <c r="AD184" s="170">
        <f>J184+N184+R184+V184+Z184</f>
        <v>0</v>
      </c>
      <c r="AE184" s="170"/>
      <c r="AF184" s="189">
        <f>L184+P184+T184+X184+AB184</f>
        <v>0</v>
      </c>
      <c r="AG184" s="28"/>
      <c r="AH184" s="28"/>
      <c r="AI184" s="28"/>
      <c r="AJ184" s="60"/>
      <c r="AK184" s="45"/>
      <c r="AL184" s="173"/>
      <c r="AM184" s="173"/>
      <c r="AN184" s="213"/>
      <c r="AO184" s="28"/>
      <c r="AP184" s="41"/>
      <c r="AQ184" s="28"/>
      <c r="AR184" s="28"/>
      <c r="AS184" s="213"/>
      <c r="AT184" s="28"/>
      <c r="AU184" s="41"/>
      <c r="AV184" s="28"/>
      <c r="AW184" s="28"/>
      <c r="AX184" s="213"/>
      <c r="AY184" s="28"/>
      <c r="AZ184" s="41"/>
      <c r="BA184" s="28"/>
      <c r="BB184" s="28"/>
      <c r="BC184" s="213"/>
      <c r="BD184" s="28"/>
      <c r="BE184" s="41"/>
      <c r="BF184" s="28"/>
      <c r="BG184" s="28"/>
      <c r="BH184" s="213"/>
      <c r="BI184" s="28"/>
      <c r="BJ184" s="41"/>
      <c r="BK184" s="45"/>
      <c r="BL184" s="28"/>
      <c r="BM184" s="174"/>
    </row>
    <row r="185" spans="1:65" x14ac:dyDescent="0.25">
      <c r="A185" s="168"/>
      <c r="B185" s="187"/>
      <c r="C185" s="28"/>
      <c r="D185" s="28"/>
      <c r="E185" s="230"/>
      <c r="F185" s="222"/>
      <c r="G185" s="222"/>
      <c r="H185" s="222"/>
      <c r="I185" s="228"/>
      <c r="J185" s="170"/>
      <c r="K185" s="170"/>
      <c r="L185" s="189"/>
      <c r="M185" s="170"/>
      <c r="N185" s="170"/>
      <c r="O185" s="81"/>
      <c r="P185" s="189"/>
      <c r="Q185" s="81"/>
      <c r="R185" s="170"/>
      <c r="S185" s="81"/>
      <c r="T185" s="189"/>
      <c r="U185" s="81"/>
      <c r="V185" s="170"/>
      <c r="W185" s="81"/>
      <c r="X185" s="189"/>
      <c r="Y185" s="81"/>
      <c r="Z185" s="170"/>
      <c r="AA185" s="81"/>
      <c r="AB185" s="189"/>
      <c r="AC185" s="81"/>
      <c r="AD185" s="170"/>
      <c r="AE185" s="170"/>
      <c r="AF185" s="189"/>
      <c r="AG185" s="28"/>
      <c r="AH185" s="28"/>
      <c r="AI185" s="28"/>
      <c r="AJ185" s="60"/>
      <c r="AK185" s="45"/>
      <c r="AL185" s="173"/>
      <c r="AM185" s="173"/>
      <c r="AN185" s="213"/>
      <c r="AO185" s="28"/>
      <c r="AP185" s="41"/>
      <c r="AQ185" s="28"/>
      <c r="AR185" s="28"/>
      <c r="AS185" s="213"/>
      <c r="AT185" s="28"/>
      <c r="AU185" s="41"/>
      <c r="AV185" s="28"/>
      <c r="AW185" s="28"/>
      <c r="AX185" s="213"/>
      <c r="AY185" s="28"/>
      <c r="AZ185" s="41"/>
      <c r="BA185" s="28"/>
      <c r="BB185" s="28"/>
      <c r="BC185" s="213"/>
      <c r="BD185" s="28"/>
      <c r="BE185" s="41"/>
      <c r="BF185" s="28"/>
      <c r="BG185" s="28"/>
      <c r="BH185" s="213"/>
      <c r="BI185" s="28"/>
      <c r="BJ185" s="41"/>
      <c r="BK185" s="45"/>
      <c r="BL185" s="28"/>
      <c r="BM185" s="174"/>
    </row>
    <row r="186" spans="1:65" x14ac:dyDescent="0.25">
      <c r="A186" s="168"/>
      <c r="B186" s="187"/>
      <c r="C186" s="28"/>
      <c r="D186" s="167"/>
      <c r="E186" s="231"/>
      <c r="F186" s="81"/>
      <c r="G186" s="214"/>
      <c r="H186" s="232" t="s">
        <v>46</v>
      </c>
      <c r="I186" s="228"/>
      <c r="J186" s="232">
        <f>SUM(J150:J185)</f>
        <v>0</v>
      </c>
      <c r="K186" s="232"/>
      <c r="L186" s="233">
        <f>SUM(L151:L185)</f>
        <v>0</v>
      </c>
      <c r="M186" s="232"/>
      <c r="N186" s="232">
        <f>SUM(N150:N185)</f>
        <v>0</v>
      </c>
      <c r="O186" s="214"/>
      <c r="P186" s="233">
        <f>SUM(P151:P185)</f>
        <v>0</v>
      </c>
      <c r="Q186" s="214"/>
      <c r="R186" s="232">
        <f>SUM(R150:R185)</f>
        <v>0</v>
      </c>
      <c r="S186" s="214"/>
      <c r="T186" s="233">
        <f>SUM(T151:T185)</f>
        <v>0</v>
      </c>
      <c r="U186" s="214"/>
      <c r="V186" s="232">
        <f>SUM(V150:V185)</f>
        <v>0</v>
      </c>
      <c r="W186" s="214"/>
      <c r="X186" s="233">
        <f>SUM(X151:X185)</f>
        <v>0</v>
      </c>
      <c r="Y186" s="214"/>
      <c r="Z186" s="232">
        <f>SUM(Z150:Z185)</f>
        <v>0</v>
      </c>
      <c r="AA186" s="214"/>
      <c r="AB186" s="233">
        <f>SUM(AB151:AB185)</f>
        <v>0</v>
      </c>
      <c r="AC186" s="214"/>
      <c r="AD186" s="232">
        <f>J186+N186+R186+V186+Z186</f>
        <v>0</v>
      </c>
      <c r="AE186" s="228"/>
      <c r="AF186" s="229">
        <f>L186+P186+T186+X186+AB186</f>
        <v>0</v>
      </c>
      <c r="AG186" s="28"/>
      <c r="AH186" s="28"/>
      <c r="AI186" s="28"/>
      <c r="AJ186" s="60"/>
      <c r="AK186" s="45"/>
      <c r="AL186" s="173"/>
      <c r="AM186" s="173"/>
      <c r="AN186" s="213"/>
      <c r="AO186" s="28"/>
      <c r="AP186" s="41"/>
      <c r="AQ186" s="28"/>
      <c r="AR186" s="28"/>
      <c r="AS186" s="213"/>
      <c r="AT186" s="28"/>
      <c r="AU186" s="41"/>
      <c r="AV186" s="28"/>
      <c r="AW186" s="28"/>
      <c r="AX186" s="213"/>
      <c r="AY186" s="28"/>
      <c r="AZ186" s="41"/>
      <c r="BA186" s="28"/>
      <c r="BB186" s="28"/>
      <c r="BC186" s="213"/>
      <c r="BD186" s="28"/>
      <c r="BE186" s="41"/>
      <c r="BF186" s="28"/>
      <c r="BG186" s="28"/>
      <c r="BH186" s="213"/>
      <c r="BI186" s="28"/>
      <c r="BJ186" s="41"/>
      <c r="BK186" s="45"/>
      <c r="BL186" s="28"/>
      <c r="BM186" s="174"/>
    </row>
    <row r="187" spans="1:65" x14ac:dyDescent="0.25">
      <c r="A187" s="168"/>
      <c r="B187" s="187"/>
      <c r="C187" s="28"/>
      <c r="D187" s="167"/>
      <c r="E187" s="231"/>
      <c r="F187" s="81"/>
      <c r="G187" s="214"/>
      <c r="H187" s="232"/>
      <c r="I187" s="228"/>
      <c r="J187" s="232"/>
      <c r="K187" s="232"/>
      <c r="L187" s="233"/>
      <c r="M187" s="232"/>
      <c r="N187" s="232"/>
      <c r="O187" s="214"/>
      <c r="P187" s="233"/>
      <c r="Q187" s="214"/>
      <c r="R187" s="232"/>
      <c r="S187" s="214"/>
      <c r="T187" s="233"/>
      <c r="U187" s="214"/>
      <c r="V187" s="232"/>
      <c r="W187" s="214"/>
      <c r="X187" s="233"/>
      <c r="Y187" s="214"/>
      <c r="Z187" s="232"/>
      <c r="AA187" s="214"/>
      <c r="AB187" s="233"/>
      <c r="AC187" s="214"/>
      <c r="AD187" s="232"/>
      <c r="AE187" s="228"/>
      <c r="AF187" s="229"/>
      <c r="AG187" s="28"/>
      <c r="AH187" s="28"/>
      <c r="AI187" s="28"/>
      <c r="AJ187" s="60"/>
      <c r="AK187" s="45"/>
      <c r="AL187" s="173"/>
      <c r="AM187" s="173"/>
      <c r="AN187" s="213"/>
      <c r="AO187" s="28"/>
      <c r="AP187" s="41"/>
      <c r="AQ187" s="28"/>
      <c r="AR187" s="28"/>
      <c r="AS187" s="213"/>
      <c r="AT187" s="28"/>
      <c r="AU187" s="41"/>
      <c r="AV187" s="28"/>
      <c r="AW187" s="28"/>
      <c r="AX187" s="213"/>
      <c r="AY187" s="28"/>
      <c r="AZ187" s="41"/>
      <c r="BA187" s="28"/>
      <c r="BB187" s="28"/>
      <c r="BC187" s="213"/>
      <c r="BD187" s="28"/>
      <c r="BE187" s="41"/>
      <c r="BF187" s="28"/>
      <c r="BG187" s="28"/>
      <c r="BH187" s="213"/>
      <c r="BI187" s="28"/>
      <c r="BJ187" s="41"/>
      <c r="BK187" s="45"/>
      <c r="BL187" s="28"/>
      <c r="BM187" s="174"/>
    </row>
    <row r="188" spans="1:65" x14ac:dyDescent="0.25">
      <c r="A188" s="168"/>
      <c r="B188" s="187"/>
      <c r="C188" s="220" t="s">
        <v>28</v>
      </c>
      <c r="D188" s="167"/>
      <c r="E188" s="221" t="s">
        <v>70</v>
      </c>
      <c r="F188" s="222" t="s">
        <v>68</v>
      </c>
      <c r="G188" s="222" t="s">
        <v>81</v>
      </c>
      <c r="H188" s="222" t="s">
        <v>69</v>
      </c>
      <c r="I188" s="170"/>
      <c r="J188" s="170"/>
      <c r="K188" s="170"/>
      <c r="L188" s="189"/>
      <c r="M188" s="170"/>
      <c r="N188" s="170"/>
      <c r="O188" s="81"/>
      <c r="P188" s="189"/>
      <c r="Q188" s="81"/>
      <c r="R188" s="170"/>
      <c r="S188" s="81"/>
      <c r="T188" s="189"/>
      <c r="U188" s="81"/>
      <c r="V188" s="170"/>
      <c r="W188" s="81"/>
      <c r="X188" s="189"/>
      <c r="Y188" s="81"/>
      <c r="Z188" s="170"/>
      <c r="AA188" s="81"/>
      <c r="AB188" s="189"/>
      <c r="AC188" s="81"/>
      <c r="AD188" s="170"/>
      <c r="AE188" s="228"/>
      <c r="AF188" s="229"/>
      <c r="AG188" s="28"/>
      <c r="AH188" s="28"/>
      <c r="AI188" s="28"/>
      <c r="AJ188" s="60"/>
      <c r="AK188" s="45"/>
      <c r="AL188" s="173"/>
      <c r="AM188" s="173"/>
      <c r="AN188" s="213"/>
      <c r="AO188" s="28"/>
      <c r="AP188" s="41"/>
      <c r="AQ188" s="28"/>
      <c r="AR188" s="28"/>
      <c r="AS188" s="213"/>
      <c r="AT188" s="28"/>
      <c r="AU188" s="41"/>
      <c r="AV188" s="28"/>
      <c r="AW188" s="28"/>
      <c r="AX188" s="213"/>
      <c r="AY188" s="28"/>
      <c r="AZ188" s="41"/>
      <c r="BA188" s="28"/>
      <c r="BB188" s="28"/>
      <c r="BC188" s="213"/>
      <c r="BD188" s="28"/>
      <c r="BE188" s="41"/>
      <c r="BF188" s="28"/>
      <c r="BG188" s="28"/>
      <c r="BH188" s="213"/>
      <c r="BI188" s="28"/>
      <c r="BJ188" s="41"/>
      <c r="BK188" s="45"/>
      <c r="BL188" s="28"/>
      <c r="BM188" s="174"/>
    </row>
    <row r="189" spans="1:65" x14ac:dyDescent="0.25">
      <c r="A189" s="168"/>
      <c r="B189" s="187"/>
      <c r="C189" s="223" t="s">
        <v>71</v>
      </c>
      <c r="D189" s="167"/>
      <c r="E189" s="221"/>
      <c r="F189" s="222"/>
      <c r="G189" s="222"/>
      <c r="H189" s="222"/>
      <c r="I189" s="170"/>
      <c r="J189" s="170"/>
      <c r="K189" s="170"/>
      <c r="L189" s="189"/>
      <c r="M189" s="170"/>
      <c r="N189" s="170"/>
      <c r="O189" s="81"/>
      <c r="P189" s="189"/>
      <c r="Q189" s="81"/>
      <c r="R189" s="170"/>
      <c r="S189" s="81"/>
      <c r="T189" s="189"/>
      <c r="U189" s="81"/>
      <c r="V189" s="170"/>
      <c r="W189" s="81"/>
      <c r="X189" s="192"/>
      <c r="Y189" s="81"/>
      <c r="Z189" s="81"/>
      <c r="AA189" s="81"/>
      <c r="AB189" s="192"/>
      <c r="AC189" s="81"/>
      <c r="AD189" s="170"/>
      <c r="AE189" s="170"/>
      <c r="AF189" s="189"/>
      <c r="AG189" s="28"/>
      <c r="AH189" s="28"/>
      <c r="AI189" s="28"/>
      <c r="AJ189" s="60"/>
      <c r="AK189" s="45"/>
      <c r="AL189" s="173"/>
      <c r="AM189" s="173"/>
      <c r="AN189" s="213"/>
      <c r="AO189" s="28"/>
      <c r="AP189" s="41"/>
      <c r="AQ189" s="28"/>
      <c r="AR189" s="28"/>
      <c r="AS189" s="213"/>
      <c r="AT189" s="28"/>
      <c r="AU189" s="41"/>
      <c r="AV189" s="28"/>
      <c r="AW189" s="28"/>
      <c r="AX189" s="213"/>
      <c r="AY189" s="28"/>
      <c r="AZ189" s="41"/>
      <c r="BA189" s="28"/>
      <c r="BB189" s="28"/>
      <c r="BC189" s="213"/>
      <c r="BD189" s="28"/>
      <c r="BE189" s="41"/>
      <c r="BF189" s="28"/>
      <c r="BG189" s="28"/>
      <c r="BH189" s="213"/>
      <c r="BI189" s="28"/>
      <c r="BJ189" s="41"/>
      <c r="BK189" s="45"/>
      <c r="BL189" s="28"/>
      <c r="BM189" s="174"/>
    </row>
    <row r="190" spans="1:65" x14ac:dyDescent="0.25">
      <c r="A190" s="168" t="s">
        <v>232</v>
      </c>
      <c r="B190" s="187"/>
      <c r="C190" s="28"/>
      <c r="D190" s="167" t="s">
        <v>72</v>
      </c>
      <c r="E190" s="224"/>
      <c r="F190" s="222"/>
      <c r="G190" s="225">
        <v>0</v>
      </c>
      <c r="H190" s="225">
        <v>0</v>
      </c>
      <c r="I190" s="170"/>
      <c r="J190" s="170">
        <f>E190*G190*H190</f>
        <v>0</v>
      </c>
      <c r="K190" s="170"/>
      <c r="L190" s="189">
        <v>0</v>
      </c>
      <c r="M190" s="170"/>
      <c r="N190" s="170">
        <v>0</v>
      </c>
      <c r="O190" s="81"/>
      <c r="P190" s="189">
        <v>0</v>
      </c>
      <c r="Q190" s="81"/>
      <c r="R190" s="170">
        <v>0</v>
      </c>
      <c r="S190" s="81"/>
      <c r="T190" s="189">
        <v>0</v>
      </c>
      <c r="U190" s="81"/>
      <c r="V190" s="170">
        <v>0</v>
      </c>
      <c r="W190" s="81"/>
      <c r="X190" s="189">
        <v>0</v>
      </c>
      <c r="Y190" s="81"/>
      <c r="Z190" s="170">
        <v>0</v>
      </c>
      <c r="AA190" s="81"/>
      <c r="AB190" s="189">
        <v>0</v>
      </c>
      <c r="AC190" s="81"/>
      <c r="AD190" s="170">
        <f>J190+N190+R190+V190+Z190</f>
        <v>0</v>
      </c>
      <c r="AE190" s="172"/>
      <c r="AF190" s="189">
        <f>L190+P190+T190+X190+AB190</f>
        <v>0</v>
      </c>
      <c r="AG190" s="28"/>
      <c r="AH190" s="28"/>
      <c r="AI190" s="28"/>
      <c r="AJ190" s="60"/>
      <c r="AK190" s="45"/>
      <c r="AL190" s="173"/>
      <c r="AM190" s="173"/>
      <c r="AN190" s="213"/>
      <c r="AO190" s="28"/>
      <c r="AP190" s="41"/>
      <c r="AQ190" s="28"/>
      <c r="AR190" s="28"/>
      <c r="AS190" s="213"/>
      <c r="AT190" s="28"/>
      <c r="AU190" s="41"/>
      <c r="AV190" s="28"/>
      <c r="AW190" s="28"/>
      <c r="AX190" s="213"/>
      <c r="AY190" s="28"/>
      <c r="AZ190" s="41"/>
      <c r="BA190" s="28"/>
      <c r="BB190" s="28"/>
      <c r="BC190" s="213"/>
      <c r="BD190" s="28"/>
      <c r="BE190" s="41"/>
      <c r="BF190" s="28"/>
      <c r="BG190" s="28"/>
      <c r="BH190" s="213"/>
      <c r="BI190" s="28"/>
      <c r="BJ190" s="41"/>
      <c r="BK190" s="45"/>
      <c r="BL190" s="28"/>
      <c r="BM190" s="174"/>
    </row>
    <row r="191" spans="1:65" x14ac:dyDescent="0.25">
      <c r="A191" s="168" t="s">
        <v>232</v>
      </c>
      <c r="B191" s="187"/>
      <c r="C191" s="28"/>
      <c r="D191" s="226" t="s">
        <v>173</v>
      </c>
      <c r="E191" s="224"/>
      <c r="F191" s="225">
        <v>0</v>
      </c>
      <c r="G191" s="225">
        <f>G190</f>
        <v>0</v>
      </c>
      <c r="H191" s="225">
        <f t="shared" ref="H191:H192" si="61">H190</f>
        <v>0</v>
      </c>
      <c r="I191" s="170"/>
      <c r="J191" s="170">
        <f>E191*F191*G191*H191</f>
        <v>0</v>
      </c>
      <c r="K191" s="170"/>
      <c r="L191" s="189">
        <v>0</v>
      </c>
      <c r="M191" s="170"/>
      <c r="N191" s="170">
        <v>0</v>
      </c>
      <c r="O191" s="81"/>
      <c r="P191" s="189">
        <v>0</v>
      </c>
      <c r="Q191" s="81"/>
      <c r="R191" s="170">
        <v>0</v>
      </c>
      <c r="S191" s="81"/>
      <c r="T191" s="189">
        <v>0</v>
      </c>
      <c r="U191" s="81"/>
      <c r="V191" s="170">
        <v>0</v>
      </c>
      <c r="W191" s="81"/>
      <c r="X191" s="189">
        <v>0</v>
      </c>
      <c r="Y191" s="81"/>
      <c r="Z191" s="170">
        <v>0</v>
      </c>
      <c r="AA191" s="81"/>
      <c r="AB191" s="189">
        <v>0</v>
      </c>
      <c r="AC191" s="81"/>
      <c r="AD191" s="170">
        <f>J191+N191+R191+V191+Z191</f>
        <v>0</v>
      </c>
      <c r="AE191" s="172"/>
      <c r="AF191" s="189">
        <f t="shared" ref="AF191" si="62">L191+P191+T191+X191+AB191</f>
        <v>0</v>
      </c>
      <c r="AG191" s="28"/>
      <c r="AH191" s="28"/>
      <c r="AI191" s="28"/>
      <c r="AJ191" s="60"/>
      <c r="AK191" s="45"/>
      <c r="AL191" s="173"/>
      <c r="AM191" s="173"/>
      <c r="AN191" s="213"/>
      <c r="AO191" s="28"/>
      <c r="AP191" s="41"/>
      <c r="AQ191" s="28"/>
      <c r="AR191" s="28"/>
      <c r="AS191" s="213"/>
      <c r="AT191" s="28"/>
      <c r="AU191" s="41"/>
      <c r="AV191" s="28"/>
      <c r="AW191" s="28"/>
      <c r="AX191" s="213"/>
      <c r="AY191" s="28"/>
      <c r="AZ191" s="41"/>
      <c r="BA191" s="28"/>
      <c r="BB191" s="28"/>
      <c r="BC191" s="213"/>
      <c r="BD191" s="28"/>
      <c r="BE191" s="41"/>
      <c r="BF191" s="28"/>
      <c r="BG191" s="28"/>
      <c r="BH191" s="213"/>
      <c r="BI191" s="28"/>
      <c r="BJ191" s="41"/>
      <c r="BK191" s="45"/>
      <c r="BL191" s="28"/>
      <c r="BM191" s="174"/>
    </row>
    <row r="192" spans="1:65" x14ac:dyDescent="0.25">
      <c r="A192" s="168" t="s">
        <v>232</v>
      </c>
      <c r="B192" s="187"/>
      <c r="C192" s="28"/>
      <c r="D192" s="167" t="s">
        <v>194</v>
      </c>
      <c r="E192" s="224"/>
      <c r="F192" s="225">
        <f>F191</f>
        <v>0</v>
      </c>
      <c r="G192" s="225">
        <f>G191</f>
        <v>0</v>
      </c>
      <c r="H192" s="225">
        <f t="shared" si="61"/>
        <v>0</v>
      </c>
      <c r="I192" s="170"/>
      <c r="J192" s="170">
        <f>E192*F192*G192*H192</f>
        <v>0</v>
      </c>
      <c r="K192" s="170"/>
      <c r="L192" s="189">
        <v>0</v>
      </c>
      <c r="M192" s="170"/>
      <c r="N192" s="170">
        <v>0</v>
      </c>
      <c r="O192" s="81"/>
      <c r="P192" s="189">
        <v>0</v>
      </c>
      <c r="Q192" s="81"/>
      <c r="R192" s="170">
        <v>0</v>
      </c>
      <c r="S192" s="81"/>
      <c r="T192" s="189">
        <v>0</v>
      </c>
      <c r="U192" s="81"/>
      <c r="V192" s="170">
        <v>0</v>
      </c>
      <c r="W192" s="81"/>
      <c r="X192" s="189">
        <v>0</v>
      </c>
      <c r="Y192" s="81"/>
      <c r="Z192" s="170">
        <v>0</v>
      </c>
      <c r="AA192" s="81"/>
      <c r="AB192" s="189">
        <v>0</v>
      </c>
      <c r="AC192" s="81"/>
      <c r="AD192" s="170">
        <f>J192+N192+R192+V192+Z192</f>
        <v>0</v>
      </c>
      <c r="AE192" s="170"/>
      <c r="AF192" s="189">
        <f>L192+P192+T192+X192+AB192</f>
        <v>0</v>
      </c>
      <c r="AG192" s="28"/>
      <c r="AH192" s="81"/>
      <c r="AI192" s="28"/>
      <c r="AJ192" s="60"/>
      <c r="AK192" s="45"/>
      <c r="AL192" s="173"/>
      <c r="AM192" s="173"/>
      <c r="AN192" s="213"/>
      <c r="AO192" s="28"/>
      <c r="AP192" s="41"/>
      <c r="AQ192" s="28"/>
      <c r="AR192" s="28"/>
      <c r="AS192" s="213"/>
      <c r="AT192" s="28"/>
      <c r="AU192" s="41"/>
      <c r="AV192" s="28"/>
      <c r="AW192" s="28"/>
      <c r="AX192" s="213"/>
      <c r="AY192" s="28"/>
      <c r="AZ192" s="41"/>
      <c r="BA192" s="28"/>
      <c r="BB192" s="28"/>
      <c r="BC192" s="213"/>
      <c r="BD192" s="28"/>
      <c r="BE192" s="41"/>
      <c r="BF192" s="28"/>
      <c r="BG192" s="28"/>
      <c r="BH192" s="213"/>
      <c r="BI192" s="28"/>
      <c r="BJ192" s="41"/>
      <c r="BK192" s="45"/>
      <c r="BL192" s="28"/>
      <c r="BM192" s="174"/>
    </row>
    <row r="193" spans="1:65" x14ac:dyDescent="0.25">
      <c r="A193" s="168" t="s">
        <v>232</v>
      </c>
      <c r="B193" s="187"/>
      <c r="C193" s="28"/>
      <c r="D193" s="167" t="s">
        <v>174</v>
      </c>
      <c r="E193" s="224"/>
      <c r="F193" s="222"/>
      <c r="G193" s="225">
        <f>G192</f>
        <v>0</v>
      </c>
      <c r="H193" s="225">
        <f>H192</f>
        <v>0</v>
      </c>
      <c r="I193" s="170"/>
      <c r="J193" s="170">
        <f>E193*G193*H193</f>
        <v>0</v>
      </c>
      <c r="K193" s="170"/>
      <c r="L193" s="189"/>
      <c r="M193" s="170"/>
      <c r="N193" s="170">
        <v>0</v>
      </c>
      <c r="O193" s="81"/>
      <c r="P193" s="189"/>
      <c r="Q193" s="81"/>
      <c r="R193" s="170">
        <v>0</v>
      </c>
      <c r="S193" s="81"/>
      <c r="T193" s="189"/>
      <c r="U193" s="81"/>
      <c r="V193" s="170">
        <v>0</v>
      </c>
      <c r="W193" s="81"/>
      <c r="X193" s="189"/>
      <c r="Y193" s="81"/>
      <c r="Z193" s="170">
        <v>0</v>
      </c>
      <c r="AA193" s="81"/>
      <c r="AB193" s="189"/>
      <c r="AC193" s="81"/>
      <c r="AD193" s="170">
        <v>0</v>
      </c>
      <c r="AE193" s="170"/>
      <c r="AF193" s="189"/>
      <c r="AG193" s="28"/>
      <c r="AH193" s="81"/>
      <c r="AI193" s="28"/>
      <c r="AJ193" s="60"/>
      <c r="AK193" s="45"/>
      <c r="AL193" s="173"/>
      <c r="AM193" s="173"/>
      <c r="AN193" s="213"/>
      <c r="AO193" s="28"/>
      <c r="AP193" s="41"/>
      <c r="AQ193" s="28"/>
      <c r="AR193" s="28"/>
      <c r="AS193" s="213"/>
      <c r="AT193" s="28"/>
      <c r="AU193" s="41"/>
      <c r="AV193" s="28"/>
      <c r="AW193" s="28"/>
      <c r="AX193" s="213"/>
      <c r="AY193" s="28"/>
      <c r="AZ193" s="41"/>
      <c r="BA193" s="28"/>
      <c r="BB193" s="28"/>
      <c r="BC193" s="213"/>
      <c r="BD193" s="28"/>
      <c r="BE193" s="41"/>
      <c r="BF193" s="28"/>
      <c r="BG193" s="28"/>
      <c r="BH193" s="213"/>
      <c r="BI193" s="28"/>
      <c r="BJ193" s="41"/>
      <c r="BK193" s="45"/>
      <c r="BL193" s="28"/>
      <c r="BM193" s="174"/>
    </row>
    <row r="194" spans="1:65" x14ac:dyDescent="0.25">
      <c r="A194" s="168" t="s">
        <v>232</v>
      </c>
      <c r="B194" s="187"/>
      <c r="C194" s="28"/>
      <c r="D194" s="167" t="s">
        <v>82</v>
      </c>
      <c r="E194" s="224"/>
      <c r="F194" s="222"/>
      <c r="G194" s="225">
        <f>G193</f>
        <v>0</v>
      </c>
      <c r="H194" s="225">
        <f>H193</f>
        <v>0</v>
      </c>
      <c r="I194" s="170"/>
      <c r="J194" s="170">
        <f>E194*G194*H194</f>
        <v>0</v>
      </c>
      <c r="K194" s="170"/>
      <c r="L194" s="189">
        <v>0</v>
      </c>
      <c r="M194" s="170"/>
      <c r="N194" s="170">
        <v>0</v>
      </c>
      <c r="O194" s="81"/>
      <c r="P194" s="189">
        <v>0</v>
      </c>
      <c r="Q194" s="81"/>
      <c r="R194" s="170">
        <v>0</v>
      </c>
      <c r="S194" s="81"/>
      <c r="T194" s="189">
        <v>0</v>
      </c>
      <c r="U194" s="81"/>
      <c r="V194" s="170">
        <v>0</v>
      </c>
      <c r="W194" s="81"/>
      <c r="X194" s="189">
        <v>0</v>
      </c>
      <c r="Y194" s="81"/>
      <c r="Z194" s="170">
        <v>0</v>
      </c>
      <c r="AA194" s="81"/>
      <c r="AB194" s="189">
        <v>0</v>
      </c>
      <c r="AC194" s="81"/>
      <c r="AD194" s="170">
        <f>J194+N194+R194+V194+Z194</f>
        <v>0</v>
      </c>
      <c r="AE194" s="170"/>
      <c r="AF194" s="189">
        <f>L194+P194+T194+X194+AB194</f>
        <v>0</v>
      </c>
      <c r="AG194" s="28"/>
      <c r="AH194" s="28"/>
      <c r="AI194" s="28"/>
      <c r="AJ194" s="60"/>
      <c r="AK194" s="45"/>
      <c r="AL194" s="173"/>
      <c r="AM194" s="173"/>
      <c r="AN194" s="213"/>
      <c r="AO194" s="28"/>
      <c r="AP194" s="41"/>
      <c r="AQ194" s="28"/>
      <c r="AR194" s="28"/>
      <c r="AS194" s="213"/>
      <c r="AT194" s="28"/>
      <c r="AU194" s="41"/>
      <c r="AV194" s="28"/>
      <c r="AW194" s="28"/>
      <c r="AX194" s="213"/>
      <c r="AY194" s="28"/>
      <c r="AZ194" s="41"/>
      <c r="BA194" s="28"/>
      <c r="BB194" s="28"/>
      <c r="BC194" s="213"/>
      <c r="BD194" s="28"/>
      <c r="BE194" s="41"/>
      <c r="BF194" s="28"/>
      <c r="BG194" s="28"/>
      <c r="BH194" s="213"/>
      <c r="BI194" s="28"/>
      <c r="BJ194" s="41"/>
      <c r="BK194" s="45"/>
      <c r="BL194" s="28"/>
      <c r="BM194" s="174"/>
    </row>
    <row r="195" spans="1:65" x14ac:dyDescent="0.25">
      <c r="A195" s="168"/>
      <c r="B195" s="187"/>
      <c r="C195" s="28"/>
      <c r="D195" s="167"/>
      <c r="E195" s="221"/>
      <c r="F195" s="222"/>
      <c r="G195" s="222"/>
      <c r="H195" s="222"/>
      <c r="I195" s="170"/>
      <c r="J195" s="170"/>
      <c r="K195" s="170"/>
      <c r="L195" s="189"/>
      <c r="M195" s="170"/>
      <c r="N195" s="170"/>
      <c r="O195" s="81"/>
      <c r="P195" s="189"/>
      <c r="Q195" s="81"/>
      <c r="R195" s="170"/>
      <c r="S195" s="81"/>
      <c r="T195" s="189"/>
      <c r="U195" s="81"/>
      <c r="V195" s="170"/>
      <c r="W195" s="81"/>
      <c r="X195" s="189"/>
      <c r="Y195" s="81"/>
      <c r="Z195" s="170"/>
      <c r="AA195" s="81"/>
      <c r="AB195" s="189"/>
      <c r="AC195" s="81"/>
      <c r="AD195" s="170"/>
      <c r="AE195" s="170"/>
      <c r="AF195" s="189"/>
      <c r="AG195" s="28"/>
      <c r="AH195" s="28"/>
      <c r="AI195" s="28"/>
      <c r="AJ195" s="60"/>
      <c r="AK195" s="45"/>
      <c r="AL195" s="173"/>
      <c r="AM195" s="173"/>
      <c r="AN195" s="213"/>
      <c r="AO195" s="28"/>
      <c r="AP195" s="41"/>
      <c r="AQ195" s="28"/>
      <c r="AR195" s="28"/>
      <c r="AS195" s="213"/>
      <c r="AT195" s="28"/>
      <c r="AU195" s="41"/>
      <c r="AV195" s="28"/>
      <c r="AW195" s="28"/>
      <c r="AX195" s="213"/>
      <c r="AY195" s="28"/>
      <c r="AZ195" s="41"/>
      <c r="BA195" s="28"/>
      <c r="BB195" s="28"/>
      <c r="BC195" s="213"/>
      <c r="BD195" s="28"/>
      <c r="BE195" s="41"/>
      <c r="BF195" s="28"/>
      <c r="BG195" s="28"/>
      <c r="BH195" s="213"/>
      <c r="BI195" s="28"/>
      <c r="BJ195" s="41"/>
      <c r="BK195" s="45"/>
      <c r="BL195" s="28"/>
      <c r="BM195" s="174"/>
    </row>
    <row r="196" spans="1:65" hidden="1" x14ac:dyDescent="0.25">
      <c r="A196" s="168"/>
      <c r="B196" s="187"/>
      <c r="C196" s="220" t="s">
        <v>71</v>
      </c>
      <c r="D196" s="167"/>
      <c r="E196" s="221"/>
      <c r="F196" s="222"/>
      <c r="G196" s="222"/>
      <c r="H196" s="222"/>
      <c r="I196" s="170"/>
      <c r="J196" s="170"/>
      <c r="K196" s="170"/>
      <c r="L196" s="189"/>
      <c r="M196" s="170"/>
      <c r="N196" s="170"/>
      <c r="O196" s="81"/>
      <c r="P196" s="189"/>
      <c r="Q196" s="81"/>
      <c r="R196" s="81"/>
      <c r="S196" s="81"/>
      <c r="T196" s="192"/>
      <c r="U196" s="81"/>
      <c r="V196" s="81"/>
      <c r="W196" s="81"/>
      <c r="X196" s="192"/>
      <c r="Y196" s="81"/>
      <c r="Z196" s="81"/>
      <c r="AA196" s="81"/>
      <c r="AB196" s="192"/>
      <c r="AC196" s="81"/>
      <c r="AD196" s="170"/>
      <c r="AE196" s="170"/>
      <c r="AF196" s="189"/>
      <c r="AG196" s="28"/>
      <c r="AH196" s="28"/>
      <c r="AI196" s="28"/>
      <c r="AJ196" s="60"/>
      <c r="AK196" s="45"/>
      <c r="AL196" s="173"/>
      <c r="AM196" s="173"/>
      <c r="AN196" s="213"/>
      <c r="AO196" s="28"/>
      <c r="AP196" s="41"/>
      <c r="AQ196" s="28"/>
      <c r="AR196" s="28"/>
      <c r="AS196" s="213"/>
      <c r="AT196" s="28"/>
      <c r="AU196" s="41"/>
      <c r="AV196" s="28"/>
      <c r="AW196" s="28"/>
      <c r="AX196" s="213"/>
      <c r="AY196" s="28"/>
      <c r="AZ196" s="41"/>
      <c r="BA196" s="28"/>
      <c r="BB196" s="28"/>
      <c r="BC196" s="213"/>
      <c r="BD196" s="28"/>
      <c r="BE196" s="41"/>
      <c r="BF196" s="28"/>
      <c r="BG196" s="28"/>
      <c r="BH196" s="213"/>
      <c r="BI196" s="28"/>
      <c r="BJ196" s="41"/>
      <c r="BK196" s="45"/>
      <c r="BL196" s="28"/>
      <c r="BM196" s="174"/>
    </row>
    <row r="197" spans="1:65" hidden="1" x14ac:dyDescent="0.25">
      <c r="A197" s="168" t="s">
        <v>232</v>
      </c>
      <c r="B197" s="187"/>
      <c r="C197" s="28"/>
      <c r="D197" s="167" t="s">
        <v>72</v>
      </c>
      <c r="E197" s="224"/>
      <c r="F197" s="222"/>
      <c r="G197" s="225"/>
      <c r="H197" s="225"/>
      <c r="I197" s="170"/>
      <c r="J197" s="170">
        <f>E197*G197*H197</f>
        <v>0</v>
      </c>
      <c r="K197" s="170"/>
      <c r="L197" s="189">
        <v>0</v>
      </c>
      <c r="M197" s="170"/>
      <c r="N197" s="170">
        <v>0</v>
      </c>
      <c r="O197" s="81"/>
      <c r="P197" s="189">
        <v>0</v>
      </c>
      <c r="Q197" s="81"/>
      <c r="R197" s="170">
        <v>0</v>
      </c>
      <c r="S197" s="81"/>
      <c r="T197" s="189">
        <v>0</v>
      </c>
      <c r="U197" s="81"/>
      <c r="V197" s="170">
        <v>0</v>
      </c>
      <c r="W197" s="81"/>
      <c r="X197" s="189">
        <v>0</v>
      </c>
      <c r="Y197" s="81"/>
      <c r="Z197" s="170">
        <v>0</v>
      </c>
      <c r="AA197" s="81"/>
      <c r="AB197" s="189">
        <v>0</v>
      </c>
      <c r="AC197" s="81"/>
      <c r="AD197" s="170">
        <f>J197+N197+R197+V197+Z197</f>
        <v>0</v>
      </c>
      <c r="AE197" s="172"/>
      <c r="AF197" s="189">
        <f t="shared" ref="AF197:AF198" si="63">L197+P197+T197+X197+AB197</f>
        <v>0</v>
      </c>
      <c r="AG197" s="28"/>
      <c r="AH197" s="28"/>
      <c r="AI197" s="28"/>
      <c r="AJ197" s="60"/>
      <c r="AK197" s="45"/>
      <c r="AL197" s="173"/>
      <c r="AM197" s="173"/>
      <c r="AN197" s="213"/>
      <c r="AO197" s="28"/>
      <c r="AP197" s="41"/>
      <c r="AQ197" s="28"/>
      <c r="AR197" s="28"/>
      <c r="AS197" s="213"/>
      <c r="AT197" s="28"/>
      <c r="AU197" s="41"/>
      <c r="AV197" s="28"/>
      <c r="AW197" s="28"/>
      <c r="AX197" s="213"/>
      <c r="AY197" s="28"/>
      <c r="AZ197" s="41"/>
      <c r="BA197" s="28"/>
      <c r="BB197" s="28"/>
      <c r="BC197" s="213"/>
      <c r="BD197" s="28"/>
      <c r="BE197" s="41"/>
      <c r="BF197" s="28"/>
      <c r="BG197" s="28"/>
      <c r="BH197" s="213"/>
      <c r="BI197" s="28"/>
      <c r="BJ197" s="41"/>
      <c r="BK197" s="45"/>
      <c r="BL197" s="28"/>
      <c r="BM197" s="174"/>
    </row>
    <row r="198" spans="1:65" hidden="1" x14ac:dyDescent="0.25">
      <c r="A198" s="168" t="s">
        <v>232</v>
      </c>
      <c r="B198" s="187"/>
      <c r="C198" s="28"/>
      <c r="D198" s="226" t="s">
        <v>173</v>
      </c>
      <c r="E198" s="224"/>
      <c r="F198" s="225">
        <v>0</v>
      </c>
      <c r="G198" s="225">
        <f>G197</f>
        <v>0</v>
      </c>
      <c r="H198" s="225">
        <f t="shared" ref="H198:H199" si="64">H197</f>
        <v>0</v>
      </c>
      <c r="I198" s="170"/>
      <c r="J198" s="170">
        <f>E198*F198*G198*H198</f>
        <v>0</v>
      </c>
      <c r="K198" s="170"/>
      <c r="L198" s="189">
        <v>0</v>
      </c>
      <c r="M198" s="170"/>
      <c r="N198" s="170">
        <v>0</v>
      </c>
      <c r="O198" s="81"/>
      <c r="P198" s="189">
        <v>0</v>
      </c>
      <c r="Q198" s="81"/>
      <c r="R198" s="170">
        <v>0</v>
      </c>
      <c r="S198" s="81"/>
      <c r="T198" s="189">
        <v>0</v>
      </c>
      <c r="U198" s="81"/>
      <c r="V198" s="170">
        <v>0</v>
      </c>
      <c r="W198" s="81"/>
      <c r="X198" s="189">
        <v>0</v>
      </c>
      <c r="Y198" s="81"/>
      <c r="Z198" s="170">
        <v>0</v>
      </c>
      <c r="AA198" s="81"/>
      <c r="AB198" s="189">
        <v>0</v>
      </c>
      <c r="AC198" s="81"/>
      <c r="AD198" s="170">
        <f>J198+N198+R198+V198+Z198</f>
        <v>0</v>
      </c>
      <c r="AE198" s="172"/>
      <c r="AF198" s="189">
        <f t="shared" si="63"/>
        <v>0</v>
      </c>
      <c r="AG198" s="28"/>
      <c r="AH198" s="28"/>
      <c r="AI198" s="28"/>
      <c r="AJ198" s="60"/>
      <c r="AK198" s="45"/>
      <c r="AL198" s="173"/>
      <c r="AM198" s="173"/>
      <c r="AN198" s="213"/>
      <c r="AO198" s="28"/>
      <c r="AP198" s="41"/>
      <c r="AQ198" s="28"/>
      <c r="AR198" s="28"/>
      <c r="AS198" s="213"/>
      <c r="AT198" s="28"/>
      <c r="AU198" s="41"/>
      <c r="AV198" s="28"/>
      <c r="AW198" s="28"/>
      <c r="AX198" s="213"/>
      <c r="AY198" s="28"/>
      <c r="AZ198" s="41"/>
      <c r="BA198" s="28"/>
      <c r="BB198" s="28"/>
      <c r="BC198" s="213"/>
      <c r="BD198" s="28"/>
      <c r="BE198" s="41"/>
      <c r="BF198" s="28"/>
      <c r="BG198" s="28"/>
      <c r="BH198" s="213"/>
      <c r="BI198" s="28"/>
      <c r="BJ198" s="41"/>
      <c r="BK198" s="45"/>
      <c r="BL198" s="28"/>
      <c r="BM198" s="174"/>
    </row>
    <row r="199" spans="1:65" hidden="1" x14ac:dyDescent="0.25">
      <c r="A199" s="168" t="s">
        <v>232</v>
      </c>
      <c r="B199" s="187"/>
      <c r="C199" s="28"/>
      <c r="D199" s="167" t="s">
        <v>194</v>
      </c>
      <c r="E199" s="224"/>
      <c r="F199" s="225">
        <f>F198</f>
        <v>0</v>
      </c>
      <c r="G199" s="225">
        <f t="shared" ref="G199" si="65">G198</f>
        <v>0</v>
      </c>
      <c r="H199" s="225">
        <f t="shared" si="64"/>
        <v>0</v>
      </c>
      <c r="I199" s="170"/>
      <c r="J199" s="170">
        <f>E199*F199*G199*H199</f>
        <v>0</v>
      </c>
      <c r="K199" s="170"/>
      <c r="L199" s="189">
        <v>0</v>
      </c>
      <c r="M199" s="170"/>
      <c r="N199" s="170">
        <v>0</v>
      </c>
      <c r="O199" s="81"/>
      <c r="P199" s="189">
        <v>0</v>
      </c>
      <c r="Q199" s="81"/>
      <c r="R199" s="170">
        <v>0</v>
      </c>
      <c r="S199" s="81"/>
      <c r="T199" s="189">
        <v>0</v>
      </c>
      <c r="U199" s="81"/>
      <c r="V199" s="170">
        <v>0</v>
      </c>
      <c r="W199" s="81"/>
      <c r="X199" s="189">
        <v>0</v>
      </c>
      <c r="Y199" s="81"/>
      <c r="Z199" s="170">
        <v>0</v>
      </c>
      <c r="AA199" s="81"/>
      <c r="AB199" s="189">
        <v>0</v>
      </c>
      <c r="AC199" s="81"/>
      <c r="AD199" s="170">
        <f>J199+N199+R199+V199+Z199</f>
        <v>0</v>
      </c>
      <c r="AE199" s="170"/>
      <c r="AF199" s="189">
        <f>L199+P199+T199+X199+AB199</f>
        <v>0</v>
      </c>
      <c r="AG199" s="28"/>
      <c r="AH199" s="81"/>
      <c r="AI199" s="28"/>
      <c r="AJ199" s="60"/>
      <c r="AK199" s="45"/>
      <c r="AL199" s="173"/>
      <c r="AM199" s="173"/>
      <c r="AN199" s="213"/>
      <c r="AO199" s="28"/>
      <c r="AP199" s="41"/>
      <c r="AQ199" s="28"/>
      <c r="AR199" s="28"/>
      <c r="AS199" s="213"/>
      <c r="AT199" s="28"/>
      <c r="AU199" s="41"/>
      <c r="AV199" s="28"/>
      <c r="AW199" s="28"/>
      <c r="AX199" s="213"/>
      <c r="AY199" s="28"/>
      <c r="AZ199" s="41"/>
      <c r="BA199" s="28"/>
      <c r="BB199" s="28"/>
      <c r="BC199" s="213"/>
      <c r="BD199" s="28"/>
      <c r="BE199" s="41"/>
      <c r="BF199" s="28"/>
      <c r="BG199" s="28"/>
      <c r="BH199" s="213"/>
      <c r="BI199" s="28"/>
      <c r="BJ199" s="41"/>
      <c r="BK199" s="45"/>
      <c r="BL199" s="28"/>
      <c r="BM199" s="174"/>
    </row>
    <row r="200" spans="1:65" hidden="1" x14ac:dyDescent="0.25">
      <c r="A200" s="168" t="s">
        <v>232</v>
      </c>
      <c r="B200" s="187"/>
      <c r="C200" s="28"/>
      <c r="D200" s="167" t="s">
        <v>174</v>
      </c>
      <c r="E200" s="224"/>
      <c r="F200" s="222"/>
      <c r="G200" s="225">
        <f>G199</f>
        <v>0</v>
      </c>
      <c r="H200" s="225">
        <f>H199</f>
        <v>0</v>
      </c>
      <c r="I200" s="170"/>
      <c r="J200" s="170">
        <f>E200*G200*H200</f>
        <v>0</v>
      </c>
      <c r="K200" s="170"/>
      <c r="L200" s="189"/>
      <c r="M200" s="170"/>
      <c r="N200" s="170">
        <v>0</v>
      </c>
      <c r="O200" s="81"/>
      <c r="P200" s="189"/>
      <c r="Q200" s="81"/>
      <c r="R200" s="170">
        <v>0</v>
      </c>
      <c r="S200" s="81"/>
      <c r="T200" s="189"/>
      <c r="U200" s="81"/>
      <c r="V200" s="170">
        <v>0</v>
      </c>
      <c r="W200" s="81"/>
      <c r="X200" s="189"/>
      <c r="Y200" s="81"/>
      <c r="Z200" s="170">
        <v>0</v>
      </c>
      <c r="AA200" s="81"/>
      <c r="AB200" s="189"/>
      <c r="AC200" s="81"/>
      <c r="AD200" s="170">
        <v>0</v>
      </c>
      <c r="AE200" s="170"/>
      <c r="AF200" s="189"/>
      <c r="AG200" s="28"/>
      <c r="AH200" s="81"/>
      <c r="AI200" s="28"/>
      <c r="AJ200" s="60"/>
      <c r="AK200" s="45"/>
      <c r="AL200" s="173"/>
      <c r="AM200" s="173"/>
      <c r="AN200" s="213"/>
      <c r="AO200" s="28"/>
      <c r="AP200" s="41"/>
      <c r="AQ200" s="28"/>
      <c r="AR200" s="28"/>
      <c r="AS200" s="213"/>
      <c r="AT200" s="28"/>
      <c r="AU200" s="41"/>
      <c r="AV200" s="28"/>
      <c r="AW200" s="28"/>
      <c r="AX200" s="213"/>
      <c r="AY200" s="28"/>
      <c r="AZ200" s="41"/>
      <c r="BA200" s="28"/>
      <c r="BB200" s="28"/>
      <c r="BC200" s="213"/>
      <c r="BD200" s="28"/>
      <c r="BE200" s="41"/>
      <c r="BF200" s="28"/>
      <c r="BG200" s="28"/>
      <c r="BH200" s="213"/>
      <c r="BI200" s="28"/>
      <c r="BJ200" s="41"/>
      <c r="BK200" s="45"/>
      <c r="BL200" s="28"/>
      <c r="BM200" s="174"/>
    </row>
    <row r="201" spans="1:65" hidden="1" x14ac:dyDescent="0.25">
      <c r="A201" s="168" t="s">
        <v>232</v>
      </c>
      <c r="B201" s="187"/>
      <c r="C201" s="28"/>
      <c r="D201" s="167" t="s">
        <v>82</v>
      </c>
      <c r="E201" s="224"/>
      <c r="F201" s="222"/>
      <c r="G201" s="225">
        <f>G200</f>
        <v>0</v>
      </c>
      <c r="H201" s="225">
        <f>H200</f>
        <v>0</v>
      </c>
      <c r="I201" s="170"/>
      <c r="J201" s="170">
        <f>E201*G201*H201</f>
        <v>0</v>
      </c>
      <c r="K201" s="170"/>
      <c r="L201" s="189">
        <v>0</v>
      </c>
      <c r="M201" s="170"/>
      <c r="N201" s="170">
        <v>0</v>
      </c>
      <c r="O201" s="81"/>
      <c r="P201" s="189">
        <v>0</v>
      </c>
      <c r="Q201" s="81"/>
      <c r="R201" s="170">
        <v>0</v>
      </c>
      <c r="S201" s="81"/>
      <c r="T201" s="189">
        <v>0</v>
      </c>
      <c r="U201" s="81"/>
      <c r="V201" s="170">
        <v>0</v>
      </c>
      <c r="W201" s="81"/>
      <c r="X201" s="189">
        <v>0</v>
      </c>
      <c r="Y201" s="81"/>
      <c r="Z201" s="170">
        <v>0</v>
      </c>
      <c r="AA201" s="81"/>
      <c r="AB201" s="189">
        <v>0</v>
      </c>
      <c r="AC201" s="81"/>
      <c r="AD201" s="170">
        <f>J201+N201+R201+V201+Z201</f>
        <v>0</v>
      </c>
      <c r="AE201" s="170"/>
      <c r="AF201" s="189">
        <f>L201+P201+T201+X201+AB201</f>
        <v>0</v>
      </c>
      <c r="AG201" s="28"/>
      <c r="AH201" s="28"/>
      <c r="AI201" s="28"/>
      <c r="AJ201" s="60"/>
      <c r="AK201" s="45"/>
      <c r="AL201" s="173"/>
      <c r="AM201" s="173"/>
      <c r="AN201" s="213"/>
      <c r="AO201" s="28"/>
      <c r="AP201" s="41"/>
      <c r="AQ201" s="28"/>
      <c r="AR201" s="28"/>
      <c r="AS201" s="213"/>
      <c r="AT201" s="28"/>
      <c r="AU201" s="41"/>
      <c r="AV201" s="28"/>
      <c r="AW201" s="28"/>
      <c r="AX201" s="213"/>
      <c r="AY201" s="28"/>
      <c r="AZ201" s="41"/>
      <c r="BA201" s="28"/>
      <c r="BB201" s="28"/>
      <c r="BC201" s="213"/>
      <c r="BD201" s="28"/>
      <c r="BE201" s="41"/>
      <c r="BF201" s="28"/>
      <c r="BG201" s="28"/>
      <c r="BH201" s="213"/>
      <c r="BI201" s="28"/>
      <c r="BJ201" s="41"/>
      <c r="BK201" s="45"/>
      <c r="BL201" s="28"/>
      <c r="BM201" s="174"/>
    </row>
    <row r="202" spans="1:65" hidden="1" x14ac:dyDescent="0.25">
      <c r="A202" s="168"/>
      <c r="B202" s="187"/>
      <c r="C202" s="167"/>
      <c r="D202" s="167"/>
      <c r="E202" s="221"/>
      <c r="F202" s="222"/>
      <c r="G202" s="222"/>
      <c r="H202" s="222"/>
      <c r="I202" s="170"/>
      <c r="J202" s="170"/>
      <c r="K202" s="170"/>
      <c r="L202" s="189"/>
      <c r="M202" s="170"/>
      <c r="N202" s="170"/>
      <c r="O202" s="81"/>
      <c r="P202" s="189"/>
      <c r="Q202" s="81"/>
      <c r="R202" s="170"/>
      <c r="S202" s="81"/>
      <c r="T202" s="189"/>
      <c r="U202" s="81"/>
      <c r="V202" s="170"/>
      <c r="W202" s="81"/>
      <c r="X202" s="189"/>
      <c r="Y202" s="81"/>
      <c r="Z202" s="170"/>
      <c r="AA202" s="81"/>
      <c r="AB202" s="189"/>
      <c r="AC202" s="81"/>
      <c r="AD202" s="170"/>
      <c r="AE202" s="170"/>
      <c r="AF202" s="189"/>
      <c r="AG202" s="28"/>
      <c r="AH202" s="28"/>
      <c r="AI202" s="28"/>
      <c r="AJ202" s="60"/>
      <c r="AK202" s="45"/>
      <c r="AL202" s="173"/>
      <c r="AM202" s="173"/>
      <c r="AN202" s="213"/>
      <c r="AO202" s="28"/>
      <c r="AP202" s="41"/>
      <c r="AQ202" s="28"/>
      <c r="AR202" s="28"/>
      <c r="AS202" s="213"/>
      <c r="AT202" s="28"/>
      <c r="AU202" s="41"/>
      <c r="AV202" s="28"/>
      <c r="AW202" s="28"/>
      <c r="AX202" s="213"/>
      <c r="AY202" s="28"/>
      <c r="AZ202" s="41"/>
      <c r="BA202" s="28"/>
      <c r="BB202" s="28"/>
      <c r="BC202" s="213"/>
      <c r="BD202" s="28"/>
      <c r="BE202" s="41"/>
      <c r="BF202" s="28"/>
      <c r="BG202" s="28"/>
      <c r="BH202" s="213"/>
      <c r="BI202" s="28"/>
      <c r="BJ202" s="41"/>
      <c r="BK202" s="45"/>
      <c r="BL202" s="28"/>
      <c r="BM202" s="174"/>
    </row>
    <row r="203" spans="1:65" hidden="1" x14ac:dyDescent="0.25">
      <c r="A203" s="168"/>
      <c r="B203" s="187"/>
      <c r="C203" s="220" t="s">
        <v>71</v>
      </c>
      <c r="D203" s="167"/>
      <c r="E203" s="221"/>
      <c r="F203" s="222"/>
      <c r="G203" s="222"/>
      <c r="H203" s="222"/>
      <c r="I203" s="170"/>
      <c r="J203" s="170"/>
      <c r="K203" s="170"/>
      <c r="L203" s="189"/>
      <c r="M203" s="170"/>
      <c r="N203" s="170"/>
      <c r="O203" s="81"/>
      <c r="P203" s="189"/>
      <c r="Q203" s="81"/>
      <c r="R203" s="81"/>
      <c r="S203" s="81"/>
      <c r="T203" s="192"/>
      <c r="U203" s="81"/>
      <c r="V203" s="81"/>
      <c r="W203" s="81"/>
      <c r="X203" s="192"/>
      <c r="Y203" s="81"/>
      <c r="Z203" s="81"/>
      <c r="AA203" s="81"/>
      <c r="AB203" s="192"/>
      <c r="AC203" s="81"/>
      <c r="AD203" s="170"/>
      <c r="AE203" s="170"/>
      <c r="AF203" s="189"/>
      <c r="AG203" s="28"/>
      <c r="AH203" s="28"/>
      <c r="AI203" s="28"/>
      <c r="AJ203" s="60"/>
      <c r="AK203" s="45"/>
      <c r="AL203" s="173"/>
      <c r="AM203" s="173"/>
      <c r="AN203" s="213"/>
      <c r="AO203" s="28"/>
      <c r="AP203" s="41"/>
      <c r="AQ203" s="28"/>
      <c r="AR203" s="28"/>
      <c r="AS203" s="213"/>
      <c r="AT203" s="28"/>
      <c r="AU203" s="41"/>
      <c r="AV203" s="28"/>
      <c r="AW203" s="28"/>
      <c r="AX203" s="213"/>
      <c r="AY203" s="28"/>
      <c r="AZ203" s="41"/>
      <c r="BA203" s="28"/>
      <c r="BB203" s="28"/>
      <c r="BC203" s="213"/>
      <c r="BD203" s="28"/>
      <c r="BE203" s="41"/>
      <c r="BF203" s="28"/>
      <c r="BG203" s="28"/>
      <c r="BH203" s="213"/>
      <c r="BI203" s="28"/>
      <c r="BJ203" s="41"/>
      <c r="BK203" s="45"/>
      <c r="BL203" s="28"/>
      <c r="BM203" s="174"/>
    </row>
    <row r="204" spans="1:65" hidden="1" x14ac:dyDescent="0.25">
      <c r="A204" s="168" t="s">
        <v>232</v>
      </c>
      <c r="B204" s="187"/>
      <c r="C204" s="28"/>
      <c r="D204" s="167" t="s">
        <v>72</v>
      </c>
      <c r="E204" s="224"/>
      <c r="F204" s="222"/>
      <c r="G204" s="225"/>
      <c r="H204" s="225"/>
      <c r="I204" s="170"/>
      <c r="J204" s="170">
        <f>E204*G204*H204</f>
        <v>0</v>
      </c>
      <c r="K204" s="170"/>
      <c r="L204" s="189">
        <v>0</v>
      </c>
      <c r="M204" s="170"/>
      <c r="N204" s="170">
        <v>0</v>
      </c>
      <c r="O204" s="81"/>
      <c r="P204" s="189">
        <v>0</v>
      </c>
      <c r="Q204" s="81"/>
      <c r="R204" s="170">
        <v>0</v>
      </c>
      <c r="S204" s="81"/>
      <c r="T204" s="189">
        <v>0</v>
      </c>
      <c r="U204" s="81"/>
      <c r="V204" s="170">
        <v>0</v>
      </c>
      <c r="W204" s="81"/>
      <c r="X204" s="189">
        <v>0</v>
      </c>
      <c r="Y204" s="81"/>
      <c r="Z204" s="170">
        <v>0</v>
      </c>
      <c r="AA204" s="81"/>
      <c r="AB204" s="189">
        <v>0</v>
      </c>
      <c r="AC204" s="81"/>
      <c r="AD204" s="170">
        <f>J204+N204+R204+V204+Z204</f>
        <v>0</v>
      </c>
      <c r="AE204" s="172"/>
      <c r="AF204" s="189">
        <f t="shared" ref="AF204:AF205" si="66">L204+P204+T204+X204+AB204</f>
        <v>0</v>
      </c>
      <c r="AG204" s="28"/>
      <c r="AH204" s="28"/>
      <c r="AI204" s="28"/>
      <c r="AJ204" s="60"/>
      <c r="AK204" s="45"/>
      <c r="AL204" s="173"/>
      <c r="AM204" s="173"/>
      <c r="AN204" s="213"/>
      <c r="AO204" s="28"/>
      <c r="AP204" s="41"/>
      <c r="AQ204" s="28"/>
      <c r="AR204" s="28"/>
      <c r="AS204" s="213"/>
      <c r="AT204" s="28"/>
      <c r="AU204" s="41"/>
      <c r="AV204" s="28"/>
      <c r="AW204" s="28"/>
      <c r="AX204" s="213"/>
      <c r="AY204" s="28"/>
      <c r="AZ204" s="41"/>
      <c r="BA204" s="28"/>
      <c r="BB204" s="28"/>
      <c r="BC204" s="213"/>
      <c r="BD204" s="28"/>
      <c r="BE204" s="41"/>
      <c r="BF204" s="28"/>
      <c r="BG204" s="28"/>
      <c r="BH204" s="213"/>
      <c r="BI204" s="28"/>
      <c r="BJ204" s="41"/>
      <c r="BK204" s="45"/>
      <c r="BL204" s="28"/>
      <c r="BM204" s="174"/>
    </row>
    <row r="205" spans="1:65" hidden="1" x14ac:dyDescent="0.25">
      <c r="A205" s="168" t="s">
        <v>232</v>
      </c>
      <c r="B205" s="187"/>
      <c r="C205" s="28"/>
      <c r="D205" s="226" t="s">
        <v>173</v>
      </c>
      <c r="E205" s="224"/>
      <c r="F205" s="225">
        <v>0</v>
      </c>
      <c r="G205" s="225">
        <f>G204</f>
        <v>0</v>
      </c>
      <c r="H205" s="225">
        <f t="shared" ref="H205:H206" si="67">H204</f>
        <v>0</v>
      </c>
      <c r="I205" s="170"/>
      <c r="J205" s="170">
        <f>E205*F205*G205*H205</f>
        <v>0</v>
      </c>
      <c r="K205" s="170"/>
      <c r="L205" s="189">
        <v>0</v>
      </c>
      <c r="M205" s="170"/>
      <c r="N205" s="170">
        <v>0</v>
      </c>
      <c r="O205" s="81"/>
      <c r="P205" s="189">
        <v>0</v>
      </c>
      <c r="Q205" s="81"/>
      <c r="R205" s="170">
        <v>0</v>
      </c>
      <c r="S205" s="81"/>
      <c r="T205" s="189">
        <v>0</v>
      </c>
      <c r="U205" s="81"/>
      <c r="V205" s="170">
        <v>0</v>
      </c>
      <c r="W205" s="81"/>
      <c r="X205" s="189">
        <v>0</v>
      </c>
      <c r="Y205" s="81"/>
      <c r="Z205" s="170">
        <v>0</v>
      </c>
      <c r="AA205" s="81"/>
      <c r="AB205" s="189">
        <v>0</v>
      </c>
      <c r="AC205" s="81"/>
      <c r="AD205" s="170">
        <f>J205+N205+R205+V205+Z205</f>
        <v>0</v>
      </c>
      <c r="AE205" s="172"/>
      <c r="AF205" s="189">
        <f t="shared" si="66"/>
        <v>0</v>
      </c>
      <c r="AG205" s="28"/>
      <c r="AH205" s="28"/>
      <c r="AI205" s="28"/>
      <c r="AJ205" s="60"/>
      <c r="AK205" s="45"/>
      <c r="AL205" s="173"/>
      <c r="AM205" s="173"/>
      <c r="AN205" s="213"/>
      <c r="AO205" s="28"/>
      <c r="AP205" s="41"/>
      <c r="AQ205" s="28"/>
      <c r="AR205" s="28"/>
      <c r="AS205" s="213"/>
      <c r="AT205" s="28"/>
      <c r="AU205" s="41"/>
      <c r="AV205" s="28"/>
      <c r="AW205" s="28"/>
      <c r="AX205" s="213"/>
      <c r="AY205" s="28"/>
      <c r="AZ205" s="41"/>
      <c r="BA205" s="28"/>
      <c r="BB205" s="28"/>
      <c r="BC205" s="213"/>
      <c r="BD205" s="28"/>
      <c r="BE205" s="41"/>
      <c r="BF205" s="28"/>
      <c r="BG205" s="28"/>
      <c r="BH205" s="213"/>
      <c r="BI205" s="28"/>
      <c r="BJ205" s="41"/>
      <c r="BK205" s="45"/>
      <c r="BL205" s="28"/>
      <c r="BM205" s="174"/>
    </row>
    <row r="206" spans="1:65" hidden="1" x14ac:dyDescent="0.25">
      <c r="A206" s="168" t="s">
        <v>232</v>
      </c>
      <c r="B206" s="187"/>
      <c r="C206" s="28"/>
      <c r="D206" s="167" t="s">
        <v>194</v>
      </c>
      <c r="E206" s="224"/>
      <c r="F206" s="225">
        <f>F205</f>
        <v>0</v>
      </c>
      <c r="G206" s="225">
        <f t="shared" ref="G206" si="68">G205</f>
        <v>0</v>
      </c>
      <c r="H206" s="225">
        <f t="shared" si="67"/>
        <v>0</v>
      </c>
      <c r="I206" s="170"/>
      <c r="J206" s="170">
        <f>E206*F206*G206*H206</f>
        <v>0</v>
      </c>
      <c r="K206" s="170"/>
      <c r="L206" s="189">
        <v>0</v>
      </c>
      <c r="M206" s="170"/>
      <c r="N206" s="170">
        <v>0</v>
      </c>
      <c r="O206" s="81"/>
      <c r="P206" s="189">
        <v>0</v>
      </c>
      <c r="Q206" s="81"/>
      <c r="R206" s="170">
        <v>0</v>
      </c>
      <c r="S206" s="81"/>
      <c r="T206" s="189">
        <v>0</v>
      </c>
      <c r="U206" s="81"/>
      <c r="V206" s="170">
        <v>0</v>
      </c>
      <c r="W206" s="81"/>
      <c r="X206" s="189">
        <v>0</v>
      </c>
      <c r="Y206" s="81"/>
      <c r="Z206" s="170">
        <v>0</v>
      </c>
      <c r="AA206" s="81"/>
      <c r="AB206" s="189">
        <v>0</v>
      </c>
      <c r="AC206" s="81"/>
      <c r="AD206" s="170">
        <f>J206+N206+R206+V206+Z206</f>
        <v>0</v>
      </c>
      <c r="AE206" s="170"/>
      <c r="AF206" s="189">
        <f>L206+P206+T206+X206+AB206</f>
        <v>0</v>
      </c>
      <c r="AG206" s="28"/>
      <c r="AH206" s="81"/>
      <c r="AI206" s="28"/>
      <c r="AJ206" s="60"/>
      <c r="AK206" s="45"/>
      <c r="AL206" s="173"/>
      <c r="AM206" s="173"/>
      <c r="AN206" s="213"/>
      <c r="AO206" s="28"/>
      <c r="AP206" s="41"/>
      <c r="AQ206" s="28"/>
      <c r="AR206" s="28"/>
      <c r="AS206" s="213"/>
      <c r="AT206" s="28"/>
      <c r="AU206" s="41"/>
      <c r="AV206" s="28"/>
      <c r="AW206" s="28"/>
      <c r="AX206" s="213"/>
      <c r="AY206" s="28"/>
      <c r="AZ206" s="41"/>
      <c r="BA206" s="28"/>
      <c r="BB206" s="28"/>
      <c r="BC206" s="213"/>
      <c r="BD206" s="28"/>
      <c r="BE206" s="41"/>
      <c r="BF206" s="28"/>
      <c r="BG206" s="28"/>
      <c r="BH206" s="213"/>
      <c r="BI206" s="28"/>
      <c r="BJ206" s="41"/>
      <c r="BK206" s="45"/>
      <c r="BL206" s="28"/>
      <c r="BM206" s="174"/>
    </row>
    <row r="207" spans="1:65" hidden="1" x14ac:dyDescent="0.25">
      <c r="A207" s="168" t="s">
        <v>232</v>
      </c>
      <c r="B207" s="187"/>
      <c r="C207" s="28"/>
      <c r="D207" s="167" t="s">
        <v>174</v>
      </c>
      <c r="E207" s="224"/>
      <c r="F207" s="222"/>
      <c r="G207" s="225">
        <f>G206</f>
        <v>0</v>
      </c>
      <c r="H207" s="225">
        <f>H206</f>
        <v>0</v>
      </c>
      <c r="I207" s="170"/>
      <c r="J207" s="170">
        <f>E207*G207*H207</f>
        <v>0</v>
      </c>
      <c r="K207" s="170"/>
      <c r="L207" s="189"/>
      <c r="M207" s="170"/>
      <c r="N207" s="170">
        <v>0</v>
      </c>
      <c r="O207" s="81"/>
      <c r="P207" s="189"/>
      <c r="Q207" s="81"/>
      <c r="R207" s="170">
        <v>0</v>
      </c>
      <c r="S207" s="81"/>
      <c r="T207" s="189"/>
      <c r="U207" s="81"/>
      <c r="V207" s="170">
        <v>0</v>
      </c>
      <c r="W207" s="81"/>
      <c r="X207" s="189"/>
      <c r="Y207" s="81"/>
      <c r="Z207" s="170">
        <v>0</v>
      </c>
      <c r="AA207" s="81"/>
      <c r="AB207" s="189"/>
      <c r="AC207" s="81"/>
      <c r="AD207" s="170">
        <v>0</v>
      </c>
      <c r="AE207" s="170"/>
      <c r="AF207" s="189"/>
      <c r="AG207" s="28"/>
      <c r="AH207" s="81"/>
      <c r="AI207" s="28"/>
      <c r="AJ207" s="60"/>
      <c r="AK207" s="45"/>
      <c r="AL207" s="173"/>
      <c r="AM207" s="173"/>
      <c r="AN207" s="213"/>
      <c r="AO207" s="28"/>
      <c r="AP207" s="41"/>
      <c r="AQ207" s="28"/>
      <c r="AR207" s="28"/>
      <c r="AS207" s="213"/>
      <c r="AT207" s="28"/>
      <c r="AU207" s="41"/>
      <c r="AV207" s="28"/>
      <c r="AW207" s="28"/>
      <c r="AX207" s="213"/>
      <c r="AY207" s="28"/>
      <c r="AZ207" s="41"/>
      <c r="BA207" s="28"/>
      <c r="BB207" s="28"/>
      <c r="BC207" s="213"/>
      <c r="BD207" s="28"/>
      <c r="BE207" s="41"/>
      <c r="BF207" s="28"/>
      <c r="BG207" s="28"/>
      <c r="BH207" s="213"/>
      <c r="BI207" s="28"/>
      <c r="BJ207" s="41"/>
      <c r="BK207" s="45"/>
      <c r="BL207" s="28"/>
      <c r="BM207" s="174"/>
    </row>
    <row r="208" spans="1:65" hidden="1" x14ac:dyDescent="0.25">
      <c r="A208" s="168" t="s">
        <v>232</v>
      </c>
      <c r="B208" s="187"/>
      <c r="C208" s="28"/>
      <c r="D208" s="167" t="s">
        <v>82</v>
      </c>
      <c r="E208" s="224"/>
      <c r="F208" s="222"/>
      <c r="G208" s="225">
        <f>G207</f>
        <v>0</v>
      </c>
      <c r="H208" s="225">
        <f>H207</f>
        <v>0</v>
      </c>
      <c r="I208" s="170"/>
      <c r="J208" s="170">
        <f>E208*G208*H208</f>
        <v>0</v>
      </c>
      <c r="K208" s="170"/>
      <c r="L208" s="189">
        <v>0</v>
      </c>
      <c r="M208" s="170"/>
      <c r="N208" s="170">
        <v>0</v>
      </c>
      <c r="O208" s="81"/>
      <c r="P208" s="189">
        <v>0</v>
      </c>
      <c r="Q208" s="81"/>
      <c r="R208" s="170">
        <v>0</v>
      </c>
      <c r="S208" s="81"/>
      <c r="T208" s="189">
        <v>0</v>
      </c>
      <c r="U208" s="81"/>
      <c r="V208" s="170">
        <v>0</v>
      </c>
      <c r="W208" s="81"/>
      <c r="X208" s="189">
        <v>0</v>
      </c>
      <c r="Y208" s="81"/>
      <c r="Z208" s="170">
        <v>0</v>
      </c>
      <c r="AA208" s="81"/>
      <c r="AB208" s="189">
        <v>0</v>
      </c>
      <c r="AC208" s="81"/>
      <c r="AD208" s="170">
        <f>J208+N208+R208+V208+Z208</f>
        <v>0</v>
      </c>
      <c r="AE208" s="170"/>
      <c r="AF208" s="189">
        <f>L208+P208+T208+X208+AB208</f>
        <v>0</v>
      </c>
      <c r="AG208" s="28"/>
      <c r="AH208" s="28"/>
      <c r="AI208" s="28"/>
      <c r="AJ208" s="60"/>
      <c r="AK208" s="45"/>
      <c r="AL208" s="173"/>
      <c r="AM208" s="173"/>
      <c r="AN208" s="213"/>
      <c r="AO208" s="28"/>
      <c r="AP208" s="41"/>
      <c r="AQ208" s="28"/>
      <c r="AR208" s="28"/>
      <c r="AS208" s="213"/>
      <c r="AT208" s="28"/>
      <c r="AU208" s="41"/>
      <c r="AV208" s="28"/>
      <c r="AW208" s="28"/>
      <c r="AX208" s="213"/>
      <c r="AY208" s="28"/>
      <c r="AZ208" s="41"/>
      <c r="BA208" s="28"/>
      <c r="BB208" s="28"/>
      <c r="BC208" s="213"/>
      <c r="BD208" s="28"/>
      <c r="BE208" s="41"/>
      <c r="BF208" s="28"/>
      <c r="BG208" s="28"/>
      <c r="BH208" s="213"/>
      <c r="BI208" s="28"/>
      <c r="BJ208" s="41"/>
      <c r="BK208" s="45"/>
      <c r="BL208" s="28"/>
      <c r="BM208" s="174"/>
    </row>
    <row r="209" spans="1:65" x14ac:dyDescent="0.25">
      <c r="A209" s="168"/>
      <c r="B209" s="187"/>
      <c r="C209" s="167"/>
      <c r="D209" s="167"/>
      <c r="E209" s="234"/>
      <c r="F209" s="81"/>
      <c r="G209" s="214"/>
      <c r="H209" s="232" t="s">
        <v>47</v>
      </c>
      <c r="I209" s="170"/>
      <c r="J209" s="235">
        <f>SUM(J189:J208)</f>
        <v>0</v>
      </c>
      <c r="K209" s="235"/>
      <c r="L209" s="236">
        <f>SUM(L189:L208)</f>
        <v>0</v>
      </c>
      <c r="M209" s="235"/>
      <c r="N209" s="235">
        <f>SUM(N189:N208)</f>
        <v>0</v>
      </c>
      <c r="O209" s="237"/>
      <c r="P209" s="236">
        <f>SUM(P189:P208)</f>
        <v>0</v>
      </c>
      <c r="Q209" s="237"/>
      <c r="R209" s="235">
        <f>SUM(R189:R208)</f>
        <v>0</v>
      </c>
      <c r="S209" s="237"/>
      <c r="T209" s="236">
        <f>SUM(T189:T208)</f>
        <v>0</v>
      </c>
      <c r="U209" s="237"/>
      <c r="V209" s="235">
        <f>SUM(V189:V208)</f>
        <v>0</v>
      </c>
      <c r="W209" s="237"/>
      <c r="X209" s="236">
        <f>SUM(X189:X208)</f>
        <v>0</v>
      </c>
      <c r="Y209" s="237"/>
      <c r="Z209" s="235">
        <f>SUM(Z189:Z208)</f>
        <v>0</v>
      </c>
      <c r="AA209" s="237"/>
      <c r="AB209" s="236">
        <f>SUM(AB189:AB208)</f>
        <v>0</v>
      </c>
      <c r="AC209" s="237"/>
      <c r="AD209" s="235">
        <f>SUM(AD190:AD208)</f>
        <v>0</v>
      </c>
      <c r="AE209" s="170"/>
      <c r="AF209" s="236">
        <f>SUM(AF190:AF208)</f>
        <v>0</v>
      </c>
      <c r="AG209" s="28"/>
      <c r="AH209" s="28"/>
      <c r="AI209" s="28"/>
      <c r="AJ209" s="60"/>
      <c r="AK209" s="45"/>
      <c r="AL209" s="173"/>
      <c r="AM209" s="173"/>
      <c r="AN209" s="213"/>
      <c r="AO209" s="28"/>
      <c r="AP209" s="41"/>
      <c r="AQ209" s="28"/>
      <c r="AR209" s="28"/>
      <c r="AS209" s="213"/>
      <c r="AT209" s="28"/>
      <c r="AU209" s="41"/>
      <c r="AV209" s="28"/>
      <c r="AW209" s="28"/>
      <c r="AX209" s="213"/>
      <c r="AY209" s="28"/>
      <c r="AZ209" s="41"/>
      <c r="BA209" s="28"/>
      <c r="BB209" s="28"/>
      <c r="BC209" s="213"/>
      <c r="BD209" s="28"/>
      <c r="BE209" s="41"/>
      <c r="BF209" s="28"/>
      <c r="BG209" s="28"/>
      <c r="BH209" s="213"/>
      <c r="BI209" s="28"/>
      <c r="BJ209" s="41"/>
      <c r="BK209" s="45"/>
      <c r="BL209" s="28"/>
      <c r="BM209" s="174"/>
    </row>
    <row r="210" spans="1:65" x14ac:dyDescent="0.25">
      <c r="A210" s="167"/>
      <c r="B210" s="187"/>
      <c r="C210" s="167"/>
      <c r="D210" s="167"/>
      <c r="E210" s="167"/>
      <c r="F210" s="81"/>
      <c r="G210" s="81"/>
      <c r="H210" s="170"/>
      <c r="I210" s="170"/>
      <c r="J210" s="208"/>
      <c r="K210" s="170"/>
      <c r="L210" s="209"/>
      <c r="M210" s="170"/>
      <c r="N210" s="208"/>
      <c r="O210" s="81"/>
      <c r="P210" s="209"/>
      <c r="Q210" s="81"/>
      <c r="R210" s="208"/>
      <c r="S210" s="81"/>
      <c r="T210" s="209"/>
      <c r="U210" s="81"/>
      <c r="V210" s="208"/>
      <c r="W210" s="81"/>
      <c r="X210" s="209"/>
      <c r="Y210" s="81"/>
      <c r="Z210" s="208"/>
      <c r="AA210" s="81"/>
      <c r="AB210" s="209"/>
      <c r="AC210" s="81"/>
      <c r="AD210" s="208"/>
      <c r="AE210" s="172"/>
      <c r="AF210" s="212"/>
      <c r="AG210" s="28"/>
      <c r="AH210" s="28"/>
      <c r="AI210" s="28"/>
      <c r="AJ210" s="60"/>
      <c r="AK210" s="45"/>
      <c r="AL210" s="173"/>
      <c r="AM210" s="173"/>
      <c r="AN210" s="213"/>
      <c r="AO210" s="28"/>
      <c r="AP210" s="41"/>
      <c r="AQ210" s="28"/>
      <c r="AR210" s="28"/>
      <c r="AS210" s="213"/>
      <c r="AT210" s="28"/>
      <c r="AU210" s="41"/>
      <c r="AV210" s="28"/>
      <c r="AW210" s="28"/>
      <c r="AX210" s="213"/>
      <c r="AY210" s="28"/>
      <c r="AZ210" s="41"/>
      <c r="BA210" s="28"/>
      <c r="BB210" s="28"/>
      <c r="BC210" s="213"/>
      <c r="BD210" s="28"/>
      <c r="BE210" s="41"/>
      <c r="BF210" s="28"/>
      <c r="BG210" s="28"/>
      <c r="BH210" s="213"/>
      <c r="BI210" s="28"/>
      <c r="BJ210" s="41"/>
      <c r="BK210" s="45"/>
      <c r="BL210" s="28"/>
      <c r="BM210" s="174"/>
    </row>
    <row r="211" spans="1:65" x14ac:dyDescent="0.25">
      <c r="A211" s="167"/>
      <c r="B211" s="187"/>
      <c r="C211" s="167" t="s">
        <v>21</v>
      </c>
      <c r="D211" s="167"/>
      <c r="E211" s="167"/>
      <c r="F211" s="81"/>
      <c r="G211" s="81"/>
      <c r="H211" s="170"/>
      <c r="I211" s="170"/>
      <c r="J211" s="170">
        <f>+J209+J186</f>
        <v>0</v>
      </c>
      <c r="K211" s="170"/>
      <c r="L211" s="189">
        <f>L209+L186</f>
        <v>0</v>
      </c>
      <c r="M211" s="170"/>
      <c r="N211" s="170">
        <f>N209+N186</f>
        <v>0</v>
      </c>
      <c r="O211" s="81"/>
      <c r="P211" s="189">
        <f>P209+P186</f>
        <v>0</v>
      </c>
      <c r="Q211" s="81"/>
      <c r="R211" s="170">
        <f>R209+R186</f>
        <v>0</v>
      </c>
      <c r="S211" s="81"/>
      <c r="T211" s="189">
        <f>T209+T186</f>
        <v>0</v>
      </c>
      <c r="U211" s="81"/>
      <c r="V211" s="170">
        <f>V209+V186</f>
        <v>0</v>
      </c>
      <c r="W211" s="81"/>
      <c r="X211" s="189">
        <f>X209+X186</f>
        <v>0</v>
      </c>
      <c r="Y211" s="81"/>
      <c r="Z211" s="170">
        <f>Z209+Z186</f>
        <v>0</v>
      </c>
      <c r="AA211" s="81"/>
      <c r="AB211" s="189">
        <f>AB209+AB186</f>
        <v>0</v>
      </c>
      <c r="AC211" s="81"/>
      <c r="AD211" s="170">
        <f>J211+N211+R211+V211+Z211</f>
        <v>0</v>
      </c>
      <c r="AE211" s="170"/>
      <c r="AF211" s="189">
        <f>L211+P211+T211+X211+AB211</f>
        <v>0</v>
      </c>
      <c r="AG211" s="28"/>
      <c r="AH211" s="28"/>
      <c r="AI211" s="28"/>
      <c r="AJ211" s="60"/>
      <c r="AK211" s="45"/>
      <c r="AL211" s="173"/>
      <c r="AM211" s="173"/>
      <c r="AN211" s="213"/>
      <c r="AO211" s="28"/>
      <c r="AP211" s="41"/>
      <c r="AQ211" s="28"/>
      <c r="AR211" s="28"/>
      <c r="AS211" s="213"/>
      <c r="AT211" s="28"/>
      <c r="AU211" s="41"/>
      <c r="AV211" s="28"/>
      <c r="AW211" s="28"/>
      <c r="AX211" s="213"/>
      <c r="AY211" s="28"/>
      <c r="AZ211" s="41"/>
      <c r="BA211" s="28"/>
      <c r="BB211" s="28"/>
      <c r="BC211" s="213"/>
      <c r="BD211" s="28"/>
      <c r="BE211" s="41"/>
      <c r="BF211" s="28"/>
      <c r="BG211" s="28"/>
      <c r="BH211" s="213"/>
      <c r="BI211" s="28"/>
      <c r="BJ211" s="41"/>
      <c r="BK211" s="45"/>
      <c r="BL211" s="28"/>
      <c r="BM211" s="174"/>
    </row>
    <row r="212" spans="1:65" x14ac:dyDescent="0.25">
      <c r="A212" s="167"/>
      <c r="B212" s="167"/>
      <c r="C212" s="167"/>
      <c r="D212" s="167"/>
      <c r="E212" s="167"/>
      <c r="F212" s="81"/>
      <c r="G212" s="81"/>
      <c r="H212" s="170"/>
      <c r="I212" s="170"/>
      <c r="J212" s="170"/>
      <c r="K212" s="170"/>
      <c r="L212" s="189"/>
      <c r="M212" s="170"/>
      <c r="N212" s="170"/>
      <c r="O212" s="81"/>
      <c r="P212" s="189"/>
      <c r="Q212" s="81"/>
      <c r="R212" s="170"/>
      <c r="S212" s="81"/>
      <c r="T212" s="192"/>
      <c r="U212" s="81"/>
      <c r="V212" s="81"/>
      <c r="W212" s="81"/>
      <c r="X212" s="192"/>
      <c r="Y212" s="81"/>
      <c r="Z212" s="81"/>
      <c r="AA212" s="81"/>
      <c r="AB212" s="192"/>
      <c r="AC212" s="81"/>
      <c r="AD212" s="170"/>
      <c r="AE212" s="172"/>
      <c r="AF212" s="190"/>
      <c r="AG212" s="28"/>
      <c r="AH212" s="28"/>
      <c r="AI212" s="28"/>
      <c r="AJ212" s="60"/>
      <c r="AK212" s="45"/>
      <c r="AL212" s="173"/>
      <c r="AM212" s="173"/>
      <c r="AN212" s="213"/>
      <c r="AO212" s="28"/>
      <c r="AP212" s="41"/>
      <c r="AQ212" s="28"/>
      <c r="AR212" s="28"/>
      <c r="AS212" s="213"/>
      <c r="AT212" s="28"/>
      <c r="AU212" s="41"/>
      <c r="AV212" s="28"/>
      <c r="AW212" s="28"/>
      <c r="AX212" s="213"/>
      <c r="AY212" s="28"/>
      <c r="AZ212" s="41"/>
      <c r="BA212" s="28"/>
      <c r="BB212" s="28"/>
      <c r="BC212" s="213"/>
      <c r="BD212" s="28"/>
      <c r="BE212" s="41"/>
      <c r="BF212" s="28"/>
      <c r="BG212" s="28"/>
      <c r="BH212" s="213"/>
      <c r="BI212" s="28"/>
      <c r="BJ212" s="41"/>
      <c r="BK212" s="45"/>
      <c r="BL212" s="28"/>
      <c r="BM212" s="174"/>
    </row>
    <row r="213" spans="1:65" hidden="1" x14ac:dyDescent="0.25">
      <c r="A213" s="167"/>
      <c r="B213" s="187" t="s">
        <v>11</v>
      </c>
      <c r="C213" s="187" t="s">
        <v>29</v>
      </c>
      <c r="D213" s="167"/>
      <c r="E213" s="167"/>
      <c r="F213" s="81"/>
      <c r="G213" s="81"/>
      <c r="H213" s="170"/>
      <c r="I213" s="170"/>
      <c r="J213" s="170"/>
      <c r="K213" s="170"/>
      <c r="L213" s="189"/>
      <c r="M213" s="170"/>
      <c r="N213" s="170"/>
      <c r="O213" s="81"/>
      <c r="P213" s="189"/>
      <c r="Q213" s="81"/>
      <c r="R213" s="81"/>
      <c r="S213" s="81"/>
      <c r="T213" s="192"/>
      <c r="U213" s="81"/>
      <c r="V213" s="81"/>
      <c r="W213" s="81"/>
      <c r="X213" s="192"/>
      <c r="Y213" s="81"/>
      <c r="Z213" s="81"/>
      <c r="AA213" s="81"/>
      <c r="AB213" s="192"/>
      <c r="AC213" s="81"/>
      <c r="AD213" s="170"/>
      <c r="AE213" s="172"/>
      <c r="AF213" s="190"/>
      <c r="AG213" s="28"/>
      <c r="AH213" s="28"/>
      <c r="AI213" s="28"/>
      <c r="AJ213" s="60"/>
      <c r="AK213" s="45"/>
      <c r="AL213" s="173"/>
      <c r="AM213" s="173"/>
      <c r="AN213" s="213"/>
      <c r="AO213" s="28"/>
      <c r="AP213" s="41"/>
      <c r="AQ213" s="28"/>
      <c r="AR213" s="28"/>
      <c r="AS213" s="213"/>
      <c r="AT213" s="28"/>
      <c r="AU213" s="41"/>
      <c r="AV213" s="28"/>
      <c r="AW213" s="28"/>
      <c r="AX213" s="213"/>
      <c r="AY213" s="28"/>
      <c r="AZ213" s="41"/>
      <c r="BA213" s="28"/>
      <c r="BB213" s="28"/>
      <c r="BC213" s="213"/>
      <c r="BD213" s="28"/>
      <c r="BE213" s="41"/>
      <c r="BF213" s="28"/>
      <c r="BG213" s="28"/>
      <c r="BH213" s="213"/>
      <c r="BI213" s="28"/>
      <c r="BJ213" s="41"/>
      <c r="BK213" s="45"/>
      <c r="BL213" s="28"/>
      <c r="BM213" s="174"/>
    </row>
    <row r="214" spans="1:65" hidden="1" x14ac:dyDescent="0.25">
      <c r="A214" s="167"/>
      <c r="B214" s="187"/>
      <c r="C214" s="220"/>
      <c r="D214" s="167"/>
      <c r="E214" s="221" t="s">
        <v>70</v>
      </c>
      <c r="F214" s="214" t="s">
        <v>73</v>
      </c>
      <c r="G214" s="214"/>
      <c r="H214" s="170"/>
      <c r="I214" s="170"/>
      <c r="J214" s="170"/>
      <c r="K214" s="170"/>
      <c r="L214" s="189"/>
      <c r="M214" s="170"/>
      <c r="N214" s="170"/>
      <c r="O214" s="81"/>
      <c r="P214" s="189"/>
      <c r="Q214" s="81"/>
      <c r="R214" s="81"/>
      <c r="S214" s="81"/>
      <c r="T214" s="192"/>
      <c r="U214" s="81"/>
      <c r="V214" s="81"/>
      <c r="W214" s="81"/>
      <c r="X214" s="192"/>
      <c r="Y214" s="81"/>
      <c r="Z214" s="81"/>
      <c r="AA214" s="81"/>
      <c r="AB214" s="192"/>
      <c r="AC214" s="81"/>
      <c r="AD214" s="170"/>
      <c r="AE214" s="172"/>
      <c r="AF214" s="190"/>
      <c r="AG214" s="28"/>
      <c r="AH214" s="28"/>
      <c r="AI214" s="28"/>
      <c r="AJ214" s="60"/>
      <c r="AK214" s="45"/>
      <c r="AL214" s="173"/>
      <c r="AM214" s="173"/>
      <c r="AN214" s="213"/>
      <c r="AO214" s="28"/>
      <c r="AP214" s="41"/>
      <c r="AQ214" s="28"/>
      <c r="AR214" s="28"/>
      <c r="AS214" s="213"/>
      <c r="AT214" s="28"/>
      <c r="AU214" s="41"/>
      <c r="AV214" s="28"/>
      <c r="AW214" s="28"/>
      <c r="AX214" s="213"/>
      <c r="AY214" s="28"/>
      <c r="AZ214" s="41"/>
      <c r="BA214" s="28"/>
      <c r="BB214" s="28"/>
      <c r="BC214" s="213"/>
      <c r="BD214" s="28"/>
      <c r="BE214" s="41"/>
      <c r="BF214" s="28"/>
      <c r="BG214" s="28"/>
      <c r="BH214" s="213"/>
      <c r="BI214" s="28"/>
      <c r="BJ214" s="41"/>
      <c r="BK214" s="45"/>
      <c r="BL214" s="28"/>
      <c r="BM214" s="174"/>
    </row>
    <row r="215" spans="1:65" hidden="1" x14ac:dyDescent="0.25">
      <c r="A215" s="168" t="s">
        <v>233</v>
      </c>
      <c r="B215" s="187"/>
      <c r="C215" s="167" t="s">
        <v>33</v>
      </c>
      <c r="D215" s="167"/>
      <c r="E215" s="224"/>
      <c r="F215" s="225"/>
      <c r="G215" s="81"/>
      <c r="H215" s="170"/>
      <c r="I215" s="170"/>
      <c r="J215" s="170">
        <f>E215*F215</f>
        <v>0</v>
      </c>
      <c r="K215" s="170"/>
      <c r="L215" s="189">
        <v>0</v>
      </c>
      <c r="M215" s="170"/>
      <c r="N215" s="170">
        <v>0</v>
      </c>
      <c r="O215" s="81"/>
      <c r="P215" s="189">
        <v>0</v>
      </c>
      <c r="Q215" s="81"/>
      <c r="R215" s="170">
        <v>0</v>
      </c>
      <c r="S215" s="81"/>
      <c r="T215" s="189">
        <v>0</v>
      </c>
      <c r="U215" s="81"/>
      <c r="V215" s="170">
        <v>0</v>
      </c>
      <c r="W215" s="81"/>
      <c r="X215" s="189">
        <v>0</v>
      </c>
      <c r="Y215" s="81"/>
      <c r="Z215" s="170">
        <v>0</v>
      </c>
      <c r="AA215" s="170"/>
      <c r="AB215" s="189">
        <v>0</v>
      </c>
      <c r="AC215" s="81"/>
      <c r="AD215" s="170">
        <f>J215+N215+R215+V215+Z215</f>
        <v>0</v>
      </c>
      <c r="AE215" s="170"/>
      <c r="AF215" s="189">
        <f>L215+P215+T215+X215+AB215</f>
        <v>0</v>
      </c>
      <c r="AG215" s="28"/>
      <c r="AH215" s="28"/>
      <c r="AI215" s="28"/>
      <c r="AJ215" s="60"/>
      <c r="AK215" s="45"/>
      <c r="AL215" s="173"/>
      <c r="AM215" s="173"/>
      <c r="AN215" s="213"/>
      <c r="AO215" s="28"/>
      <c r="AP215" s="41"/>
      <c r="AQ215" s="28"/>
      <c r="AR215" s="28"/>
      <c r="AS215" s="213"/>
      <c r="AT215" s="28"/>
      <c r="AU215" s="41"/>
      <c r="AV215" s="28"/>
      <c r="AW215" s="28"/>
      <c r="AX215" s="213"/>
      <c r="AY215" s="28"/>
      <c r="AZ215" s="41"/>
      <c r="BA215" s="28"/>
      <c r="BB215" s="28"/>
      <c r="BC215" s="213"/>
      <c r="BD215" s="28"/>
      <c r="BE215" s="41"/>
      <c r="BF215" s="28"/>
      <c r="BG215" s="28"/>
      <c r="BH215" s="213"/>
      <c r="BI215" s="28"/>
      <c r="BJ215" s="41"/>
      <c r="BK215" s="45"/>
      <c r="BL215" s="28"/>
      <c r="BM215" s="174"/>
    </row>
    <row r="216" spans="1:65" hidden="1" x14ac:dyDescent="0.25">
      <c r="A216" s="168" t="s">
        <v>236</v>
      </c>
      <c r="B216" s="187"/>
      <c r="C216" s="167" t="s">
        <v>10</v>
      </c>
      <c r="D216" s="167"/>
      <c r="E216" s="224"/>
      <c r="F216" s="225"/>
      <c r="G216" s="81"/>
      <c r="H216" s="170"/>
      <c r="I216" s="170"/>
      <c r="J216" s="170">
        <f>E216*F216</f>
        <v>0</v>
      </c>
      <c r="K216" s="170"/>
      <c r="L216" s="189">
        <v>0</v>
      </c>
      <c r="M216" s="170"/>
      <c r="N216" s="170">
        <v>0</v>
      </c>
      <c r="O216" s="81"/>
      <c r="P216" s="189">
        <v>0</v>
      </c>
      <c r="Q216" s="81"/>
      <c r="R216" s="170">
        <v>0</v>
      </c>
      <c r="S216" s="81"/>
      <c r="T216" s="189">
        <v>0</v>
      </c>
      <c r="U216" s="81"/>
      <c r="V216" s="170">
        <v>0</v>
      </c>
      <c r="W216" s="81"/>
      <c r="X216" s="189">
        <v>0</v>
      </c>
      <c r="Y216" s="81"/>
      <c r="Z216" s="170">
        <v>0</v>
      </c>
      <c r="AA216" s="170"/>
      <c r="AB216" s="189">
        <v>0</v>
      </c>
      <c r="AC216" s="81"/>
      <c r="AD216" s="170">
        <f>J216+N216+R216+V216+Z216</f>
        <v>0</v>
      </c>
      <c r="AE216" s="170"/>
      <c r="AF216" s="189">
        <f>L216+P216+T216+X216+AB216</f>
        <v>0</v>
      </c>
      <c r="AG216" s="28"/>
      <c r="AH216" s="28"/>
      <c r="AI216" s="28"/>
      <c r="AJ216" s="60"/>
      <c r="AK216" s="45"/>
      <c r="AL216" s="173"/>
      <c r="AM216" s="173"/>
      <c r="AN216" s="213"/>
      <c r="AO216" s="28"/>
      <c r="AP216" s="41"/>
      <c r="AQ216" s="28"/>
      <c r="AR216" s="28"/>
      <c r="AS216" s="213"/>
      <c r="AT216" s="28"/>
      <c r="AU216" s="41"/>
      <c r="AV216" s="28"/>
      <c r="AW216" s="28"/>
      <c r="AX216" s="213"/>
      <c r="AY216" s="28"/>
      <c r="AZ216" s="41"/>
      <c r="BA216" s="28"/>
      <c r="BB216" s="28"/>
      <c r="BC216" s="213"/>
      <c r="BD216" s="28"/>
      <c r="BE216" s="41"/>
      <c r="BF216" s="28"/>
      <c r="BG216" s="28"/>
      <c r="BH216" s="213"/>
      <c r="BI216" s="28"/>
      <c r="BJ216" s="41"/>
      <c r="BK216" s="45"/>
      <c r="BL216" s="28"/>
      <c r="BM216" s="174"/>
    </row>
    <row r="217" spans="1:65" hidden="1" x14ac:dyDescent="0.25">
      <c r="A217" s="168" t="s">
        <v>236</v>
      </c>
      <c r="B217" s="187"/>
      <c r="C217" s="28" t="s">
        <v>34</v>
      </c>
      <c r="D217" s="167"/>
      <c r="E217" s="224"/>
      <c r="F217" s="225"/>
      <c r="G217" s="81"/>
      <c r="H217" s="170"/>
      <c r="I217" s="170"/>
      <c r="J217" s="170">
        <f>E217*F217</f>
        <v>0</v>
      </c>
      <c r="K217" s="170"/>
      <c r="L217" s="189">
        <v>0</v>
      </c>
      <c r="M217" s="170"/>
      <c r="N217" s="170">
        <v>0</v>
      </c>
      <c r="O217" s="81"/>
      <c r="P217" s="189">
        <v>0</v>
      </c>
      <c r="Q217" s="81"/>
      <c r="R217" s="170">
        <v>0</v>
      </c>
      <c r="S217" s="81"/>
      <c r="T217" s="189">
        <v>0</v>
      </c>
      <c r="U217" s="81"/>
      <c r="V217" s="170">
        <v>0</v>
      </c>
      <c r="W217" s="81"/>
      <c r="X217" s="189">
        <v>0</v>
      </c>
      <c r="Y217" s="81"/>
      <c r="Z217" s="170">
        <v>0</v>
      </c>
      <c r="AA217" s="170"/>
      <c r="AB217" s="189">
        <v>0</v>
      </c>
      <c r="AC217" s="81"/>
      <c r="AD217" s="170">
        <f>J217+N217+R217+V217+Z217</f>
        <v>0</v>
      </c>
      <c r="AE217" s="170"/>
      <c r="AF217" s="189">
        <f>L217+P217+T217+X217+AB217</f>
        <v>0</v>
      </c>
      <c r="AG217" s="28"/>
      <c r="AH217" s="28"/>
      <c r="AI217" s="28"/>
      <c r="AJ217" s="60"/>
      <c r="AK217" s="45"/>
      <c r="AL217" s="173"/>
      <c r="AM217" s="173"/>
      <c r="AN217" s="213"/>
      <c r="AO217" s="28"/>
      <c r="AP217" s="41"/>
      <c r="AQ217" s="28"/>
      <c r="AR217" s="28"/>
      <c r="AS217" s="213"/>
      <c r="AT217" s="28"/>
      <c r="AU217" s="41"/>
      <c r="AV217" s="28"/>
      <c r="AW217" s="28"/>
      <c r="AX217" s="213"/>
      <c r="AY217" s="28"/>
      <c r="AZ217" s="41"/>
      <c r="BA217" s="28"/>
      <c r="BB217" s="28"/>
      <c r="BC217" s="213"/>
      <c r="BD217" s="28"/>
      <c r="BE217" s="41"/>
      <c r="BF217" s="28"/>
      <c r="BG217" s="28"/>
      <c r="BH217" s="213"/>
      <c r="BI217" s="28"/>
      <c r="BJ217" s="41"/>
      <c r="BK217" s="45"/>
      <c r="BL217" s="28"/>
      <c r="BM217" s="174"/>
    </row>
    <row r="218" spans="1:65" hidden="1" x14ac:dyDescent="0.25">
      <c r="A218" s="168" t="s">
        <v>235</v>
      </c>
      <c r="B218" s="187"/>
      <c r="C218" s="28" t="s">
        <v>35</v>
      </c>
      <c r="D218" s="167"/>
      <c r="E218" s="224"/>
      <c r="F218" s="225"/>
      <c r="G218" s="81"/>
      <c r="H218" s="170"/>
      <c r="I218" s="170"/>
      <c r="J218" s="170">
        <f>E218*F218</f>
        <v>0</v>
      </c>
      <c r="K218" s="170"/>
      <c r="L218" s="189">
        <v>0</v>
      </c>
      <c r="M218" s="170"/>
      <c r="N218" s="170">
        <v>0</v>
      </c>
      <c r="O218" s="81"/>
      <c r="P218" s="189">
        <v>0</v>
      </c>
      <c r="Q218" s="81"/>
      <c r="R218" s="170">
        <v>0</v>
      </c>
      <c r="S218" s="81"/>
      <c r="T218" s="189">
        <v>0</v>
      </c>
      <c r="U218" s="81"/>
      <c r="V218" s="170">
        <v>0</v>
      </c>
      <c r="W218" s="81"/>
      <c r="X218" s="189">
        <v>0</v>
      </c>
      <c r="Y218" s="81"/>
      <c r="Z218" s="170">
        <v>0</v>
      </c>
      <c r="AA218" s="170"/>
      <c r="AB218" s="189">
        <v>0</v>
      </c>
      <c r="AC218" s="81"/>
      <c r="AD218" s="170">
        <f>J218+N218+R218+V218+Z218</f>
        <v>0</v>
      </c>
      <c r="AE218" s="170"/>
      <c r="AF218" s="189">
        <f>L218+P218+T218+X218+AB218</f>
        <v>0</v>
      </c>
      <c r="AG218" s="28"/>
      <c r="AH218" s="28"/>
      <c r="AI218" s="28"/>
      <c r="AJ218" s="60"/>
      <c r="AK218" s="45"/>
      <c r="AL218" s="173"/>
      <c r="AM218" s="173"/>
      <c r="AN218" s="213"/>
      <c r="AO218" s="28"/>
      <c r="AP218" s="41"/>
      <c r="AQ218" s="28"/>
      <c r="AR218" s="28"/>
      <c r="AS218" s="213"/>
      <c r="AT218" s="28"/>
      <c r="AU218" s="41"/>
      <c r="AV218" s="28"/>
      <c r="AW218" s="28"/>
      <c r="AX218" s="213"/>
      <c r="AY218" s="28"/>
      <c r="AZ218" s="41"/>
      <c r="BA218" s="28"/>
      <c r="BB218" s="28"/>
      <c r="BC218" s="213"/>
      <c r="BD218" s="28"/>
      <c r="BE218" s="41"/>
      <c r="BF218" s="28"/>
      <c r="BG218" s="28"/>
      <c r="BH218" s="213"/>
      <c r="BI218" s="28"/>
      <c r="BJ218" s="41"/>
      <c r="BK218" s="45"/>
      <c r="BL218" s="28"/>
      <c r="BM218" s="174"/>
    </row>
    <row r="219" spans="1:65" hidden="1" x14ac:dyDescent="0.25">
      <c r="A219" s="167"/>
      <c r="B219" s="187"/>
      <c r="C219" s="28"/>
      <c r="D219" s="167"/>
      <c r="E219" s="221"/>
      <c r="F219" s="222"/>
      <c r="G219" s="81"/>
      <c r="H219" s="170"/>
      <c r="I219" s="170"/>
      <c r="J219" s="170"/>
      <c r="K219" s="170"/>
      <c r="L219" s="189"/>
      <c r="M219" s="170"/>
      <c r="N219" s="170"/>
      <c r="O219" s="81"/>
      <c r="P219" s="189"/>
      <c r="Q219" s="81"/>
      <c r="R219" s="170"/>
      <c r="S219" s="81"/>
      <c r="T219" s="189"/>
      <c r="U219" s="81"/>
      <c r="V219" s="170"/>
      <c r="W219" s="81"/>
      <c r="X219" s="189"/>
      <c r="Y219" s="81"/>
      <c r="Z219" s="170"/>
      <c r="AA219" s="81"/>
      <c r="AB219" s="189"/>
      <c r="AC219" s="81"/>
      <c r="AD219" s="170"/>
      <c r="AE219" s="170"/>
      <c r="AF219" s="189"/>
      <c r="AG219" s="28"/>
      <c r="AH219" s="28"/>
      <c r="AI219" s="28"/>
      <c r="AJ219" s="60"/>
      <c r="AK219" s="45"/>
      <c r="AL219" s="173"/>
      <c r="AM219" s="173"/>
      <c r="AN219" s="213"/>
      <c r="AO219" s="28"/>
      <c r="AP219" s="41"/>
      <c r="AQ219" s="28"/>
      <c r="AR219" s="28"/>
      <c r="AS219" s="213"/>
      <c r="AT219" s="28"/>
      <c r="AU219" s="41"/>
      <c r="AV219" s="28"/>
      <c r="AW219" s="28"/>
      <c r="AX219" s="213"/>
      <c r="AY219" s="28"/>
      <c r="AZ219" s="41"/>
      <c r="BA219" s="28"/>
      <c r="BB219" s="28"/>
      <c r="BC219" s="213"/>
      <c r="BD219" s="28"/>
      <c r="BE219" s="41"/>
      <c r="BF219" s="28"/>
      <c r="BG219" s="28"/>
      <c r="BH219" s="213"/>
      <c r="BI219" s="28"/>
      <c r="BJ219" s="41"/>
      <c r="BK219" s="45"/>
      <c r="BL219" s="28"/>
      <c r="BM219" s="174"/>
    </row>
    <row r="220" spans="1:65" hidden="1" x14ac:dyDescent="0.25">
      <c r="A220" s="168" t="s">
        <v>233</v>
      </c>
      <c r="B220" s="187"/>
      <c r="C220" s="167" t="s">
        <v>33</v>
      </c>
      <c r="D220" s="167"/>
      <c r="E220" s="224"/>
      <c r="F220" s="225"/>
      <c r="G220" s="81"/>
      <c r="H220" s="170"/>
      <c r="I220" s="170"/>
      <c r="J220" s="170">
        <f>E220*F220</f>
        <v>0</v>
      </c>
      <c r="K220" s="170"/>
      <c r="L220" s="189">
        <v>0</v>
      </c>
      <c r="M220" s="170"/>
      <c r="N220" s="170">
        <v>0</v>
      </c>
      <c r="O220" s="81"/>
      <c r="P220" s="189">
        <v>0</v>
      </c>
      <c r="Q220" s="81"/>
      <c r="R220" s="170">
        <v>0</v>
      </c>
      <c r="S220" s="81"/>
      <c r="T220" s="189">
        <v>0</v>
      </c>
      <c r="U220" s="81"/>
      <c r="V220" s="170">
        <v>0</v>
      </c>
      <c r="W220" s="81"/>
      <c r="X220" s="189">
        <v>0</v>
      </c>
      <c r="Y220" s="81"/>
      <c r="Z220" s="170">
        <v>0</v>
      </c>
      <c r="AA220" s="170"/>
      <c r="AB220" s="189">
        <v>0</v>
      </c>
      <c r="AC220" s="81"/>
      <c r="AD220" s="170">
        <f>J220+N220+R220+V220+Z220</f>
        <v>0</v>
      </c>
      <c r="AE220" s="170"/>
      <c r="AF220" s="189">
        <f>L220+P220+T220+X220+AB220</f>
        <v>0</v>
      </c>
      <c r="AG220" s="28"/>
      <c r="AH220" s="28"/>
      <c r="AI220" s="28"/>
      <c r="AJ220" s="60"/>
      <c r="AK220" s="45"/>
      <c r="AL220" s="173"/>
      <c r="AM220" s="173"/>
      <c r="AN220" s="213"/>
      <c r="AO220" s="28"/>
      <c r="AP220" s="41"/>
      <c r="AQ220" s="28"/>
      <c r="AR220" s="28"/>
      <c r="AS220" s="213"/>
      <c r="AT220" s="28"/>
      <c r="AU220" s="41"/>
      <c r="AV220" s="28"/>
      <c r="AW220" s="28"/>
      <c r="AX220" s="213"/>
      <c r="AY220" s="28"/>
      <c r="AZ220" s="41"/>
      <c r="BA220" s="28"/>
      <c r="BB220" s="28"/>
      <c r="BC220" s="213"/>
      <c r="BD220" s="28"/>
      <c r="BE220" s="41"/>
      <c r="BF220" s="28"/>
      <c r="BG220" s="28"/>
      <c r="BH220" s="213"/>
      <c r="BI220" s="28"/>
      <c r="BJ220" s="41"/>
      <c r="BK220" s="45"/>
      <c r="BL220" s="28"/>
      <c r="BM220" s="174"/>
    </row>
    <row r="221" spans="1:65" hidden="1" x14ac:dyDescent="0.25">
      <c r="A221" s="168" t="s">
        <v>236</v>
      </c>
      <c r="B221" s="187"/>
      <c r="C221" s="167" t="s">
        <v>10</v>
      </c>
      <c r="D221" s="167"/>
      <c r="E221" s="224"/>
      <c r="F221" s="225"/>
      <c r="G221" s="81"/>
      <c r="H221" s="170"/>
      <c r="I221" s="170"/>
      <c r="J221" s="170">
        <f>E221*F221</f>
        <v>0</v>
      </c>
      <c r="K221" s="170"/>
      <c r="L221" s="189">
        <v>0</v>
      </c>
      <c r="M221" s="170"/>
      <c r="N221" s="170">
        <v>0</v>
      </c>
      <c r="O221" s="81"/>
      <c r="P221" s="189">
        <v>0</v>
      </c>
      <c r="Q221" s="81"/>
      <c r="R221" s="170">
        <v>0</v>
      </c>
      <c r="S221" s="81"/>
      <c r="T221" s="189">
        <v>0</v>
      </c>
      <c r="U221" s="81"/>
      <c r="V221" s="170">
        <v>0</v>
      </c>
      <c r="W221" s="81"/>
      <c r="X221" s="189">
        <v>0</v>
      </c>
      <c r="Y221" s="81"/>
      <c r="Z221" s="170">
        <v>0</v>
      </c>
      <c r="AA221" s="170"/>
      <c r="AB221" s="189">
        <v>0</v>
      </c>
      <c r="AC221" s="81"/>
      <c r="AD221" s="170">
        <f>J221+N221+R221+V221+Z221</f>
        <v>0</v>
      </c>
      <c r="AE221" s="170"/>
      <c r="AF221" s="189">
        <f>L221+P221+T221+X221+AB221</f>
        <v>0</v>
      </c>
      <c r="AG221" s="28"/>
      <c r="AH221" s="28"/>
      <c r="AI221" s="28"/>
      <c r="AJ221" s="60"/>
      <c r="AK221" s="45"/>
      <c r="AL221" s="173"/>
      <c r="AM221" s="173"/>
      <c r="AN221" s="213"/>
      <c r="AO221" s="28"/>
      <c r="AP221" s="41"/>
      <c r="AQ221" s="28"/>
      <c r="AR221" s="28"/>
      <c r="AS221" s="213"/>
      <c r="AT221" s="28"/>
      <c r="AU221" s="41"/>
      <c r="AV221" s="28"/>
      <c r="AW221" s="28"/>
      <c r="AX221" s="213"/>
      <c r="AY221" s="28"/>
      <c r="AZ221" s="41"/>
      <c r="BA221" s="28"/>
      <c r="BB221" s="28"/>
      <c r="BC221" s="213"/>
      <c r="BD221" s="28"/>
      <c r="BE221" s="41"/>
      <c r="BF221" s="28"/>
      <c r="BG221" s="28"/>
      <c r="BH221" s="213"/>
      <c r="BI221" s="28"/>
      <c r="BJ221" s="41"/>
      <c r="BK221" s="45"/>
      <c r="BL221" s="28"/>
      <c r="BM221" s="174"/>
    </row>
    <row r="222" spans="1:65" hidden="1" x14ac:dyDescent="0.25">
      <c r="A222" s="168" t="s">
        <v>236</v>
      </c>
      <c r="B222" s="187"/>
      <c r="C222" s="28" t="s">
        <v>34</v>
      </c>
      <c r="D222" s="167"/>
      <c r="E222" s="224"/>
      <c r="F222" s="225"/>
      <c r="G222" s="81"/>
      <c r="H222" s="170"/>
      <c r="I222" s="170"/>
      <c r="J222" s="170">
        <f>E222*F222</f>
        <v>0</v>
      </c>
      <c r="K222" s="170"/>
      <c r="L222" s="189">
        <v>0</v>
      </c>
      <c r="M222" s="170"/>
      <c r="N222" s="170">
        <v>0</v>
      </c>
      <c r="O222" s="81"/>
      <c r="P222" s="189">
        <v>0</v>
      </c>
      <c r="Q222" s="81"/>
      <c r="R222" s="170">
        <v>0</v>
      </c>
      <c r="S222" s="81"/>
      <c r="T222" s="189">
        <v>0</v>
      </c>
      <c r="U222" s="81"/>
      <c r="V222" s="170">
        <v>0</v>
      </c>
      <c r="W222" s="81"/>
      <c r="X222" s="189">
        <v>0</v>
      </c>
      <c r="Y222" s="81"/>
      <c r="Z222" s="170">
        <v>0</v>
      </c>
      <c r="AA222" s="170"/>
      <c r="AB222" s="189">
        <v>0</v>
      </c>
      <c r="AC222" s="81"/>
      <c r="AD222" s="170">
        <f>J222+N222+R222+V222+Z222</f>
        <v>0</v>
      </c>
      <c r="AE222" s="170"/>
      <c r="AF222" s="189">
        <f>L222+P222+T222+X222+AB222</f>
        <v>0</v>
      </c>
      <c r="AG222" s="28"/>
      <c r="AH222" s="28"/>
      <c r="AI222" s="28"/>
      <c r="AJ222" s="60"/>
      <c r="AK222" s="45"/>
      <c r="AL222" s="173"/>
      <c r="AM222" s="173"/>
      <c r="AN222" s="213"/>
      <c r="AO222" s="28"/>
      <c r="AP222" s="41"/>
      <c r="AQ222" s="28"/>
      <c r="AR222" s="28"/>
      <c r="AS222" s="213"/>
      <c r="AT222" s="28"/>
      <c r="AU222" s="41"/>
      <c r="AV222" s="28"/>
      <c r="AW222" s="28"/>
      <c r="AX222" s="213"/>
      <c r="AY222" s="28"/>
      <c r="AZ222" s="41"/>
      <c r="BA222" s="28"/>
      <c r="BB222" s="28"/>
      <c r="BC222" s="213"/>
      <c r="BD222" s="28"/>
      <c r="BE222" s="41"/>
      <c r="BF222" s="28"/>
      <c r="BG222" s="28"/>
      <c r="BH222" s="213"/>
      <c r="BI222" s="28"/>
      <c r="BJ222" s="41"/>
      <c r="BK222" s="45"/>
      <c r="BL222" s="28"/>
      <c r="BM222" s="174"/>
    </row>
    <row r="223" spans="1:65" hidden="1" x14ac:dyDescent="0.25">
      <c r="A223" s="168" t="s">
        <v>235</v>
      </c>
      <c r="B223" s="187"/>
      <c r="C223" s="28" t="s">
        <v>35</v>
      </c>
      <c r="D223" s="167"/>
      <c r="E223" s="224"/>
      <c r="F223" s="225"/>
      <c r="G223" s="81"/>
      <c r="H223" s="170"/>
      <c r="I223" s="170"/>
      <c r="J223" s="170">
        <f>E223*F223</f>
        <v>0</v>
      </c>
      <c r="K223" s="170"/>
      <c r="L223" s="189">
        <v>0</v>
      </c>
      <c r="M223" s="170"/>
      <c r="N223" s="170">
        <v>0</v>
      </c>
      <c r="O223" s="81"/>
      <c r="P223" s="189">
        <v>0</v>
      </c>
      <c r="Q223" s="81"/>
      <c r="R223" s="170">
        <v>0</v>
      </c>
      <c r="S223" s="81"/>
      <c r="T223" s="189">
        <v>0</v>
      </c>
      <c r="U223" s="81"/>
      <c r="V223" s="170">
        <v>0</v>
      </c>
      <c r="W223" s="81"/>
      <c r="X223" s="189">
        <v>0</v>
      </c>
      <c r="Y223" s="81"/>
      <c r="Z223" s="170">
        <v>0</v>
      </c>
      <c r="AA223" s="170"/>
      <c r="AB223" s="189">
        <v>0</v>
      </c>
      <c r="AC223" s="81"/>
      <c r="AD223" s="170">
        <f>J223+N223+R223+V223+Z223</f>
        <v>0</v>
      </c>
      <c r="AE223" s="170"/>
      <c r="AF223" s="189">
        <f>L223+P223+T223+X223+AB223</f>
        <v>0</v>
      </c>
      <c r="AG223" s="28"/>
      <c r="AH223" s="28"/>
      <c r="AI223" s="28"/>
      <c r="AJ223" s="60"/>
      <c r="AK223" s="45"/>
      <c r="AL223" s="173"/>
      <c r="AM223" s="173"/>
      <c r="AN223" s="213"/>
      <c r="AO223" s="28"/>
      <c r="AP223" s="41"/>
      <c r="AQ223" s="28"/>
      <c r="AR223" s="28"/>
      <c r="AS223" s="213"/>
      <c r="AT223" s="28"/>
      <c r="AU223" s="41"/>
      <c r="AV223" s="28"/>
      <c r="AW223" s="28"/>
      <c r="AX223" s="213"/>
      <c r="AY223" s="28"/>
      <c r="AZ223" s="41"/>
      <c r="BA223" s="28"/>
      <c r="BB223" s="28"/>
      <c r="BC223" s="213"/>
      <c r="BD223" s="28"/>
      <c r="BE223" s="41"/>
      <c r="BF223" s="28"/>
      <c r="BG223" s="28"/>
      <c r="BH223" s="213"/>
      <c r="BI223" s="28"/>
      <c r="BJ223" s="41"/>
      <c r="BK223" s="45"/>
      <c r="BL223" s="28"/>
      <c r="BM223" s="174"/>
    </row>
    <row r="224" spans="1:65" hidden="1" x14ac:dyDescent="0.25">
      <c r="A224" s="167"/>
      <c r="B224" s="187"/>
      <c r="C224" s="167"/>
      <c r="D224" s="167"/>
      <c r="E224" s="167"/>
      <c r="F224" s="81"/>
      <c r="G224" s="81"/>
      <c r="H224" s="170"/>
      <c r="I224" s="170"/>
      <c r="J224" s="208"/>
      <c r="K224" s="170"/>
      <c r="L224" s="209"/>
      <c r="M224" s="170"/>
      <c r="N224" s="208"/>
      <c r="O224" s="81"/>
      <c r="P224" s="209"/>
      <c r="Q224" s="81"/>
      <c r="R224" s="208"/>
      <c r="S224" s="81"/>
      <c r="T224" s="209"/>
      <c r="U224" s="81"/>
      <c r="V224" s="208"/>
      <c r="W224" s="81"/>
      <c r="X224" s="209"/>
      <c r="Y224" s="81"/>
      <c r="Z224" s="208"/>
      <c r="AA224" s="81"/>
      <c r="AB224" s="209"/>
      <c r="AC224" s="81"/>
      <c r="AD224" s="208"/>
      <c r="AE224" s="172"/>
      <c r="AF224" s="212"/>
      <c r="AG224" s="28"/>
      <c r="AH224" s="28"/>
      <c r="AI224" s="28"/>
      <c r="AJ224" s="60"/>
      <c r="AK224" s="45"/>
      <c r="AL224" s="173"/>
      <c r="AM224" s="173"/>
      <c r="AN224" s="213"/>
      <c r="AO224" s="28"/>
      <c r="AP224" s="41"/>
      <c r="AQ224" s="28"/>
      <c r="AR224" s="28"/>
      <c r="AS224" s="213"/>
      <c r="AT224" s="28"/>
      <c r="AU224" s="41"/>
      <c r="AV224" s="28"/>
      <c r="AW224" s="28"/>
      <c r="AX224" s="213"/>
      <c r="AY224" s="28"/>
      <c r="AZ224" s="41"/>
      <c r="BA224" s="28"/>
      <c r="BB224" s="28"/>
      <c r="BC224" s="213"/>
      <c r="BD224" s="28"/>
      <c r="BE224" s="41"/>
      <c r="BF224" s="28"/>
      <c r="BG224" s="28"/>
      <c r="BH224" s="213"/>
      <c r="BI224" s="28"/>
      <c r="BJ224" s="41"/>
      <c r="BK224" s="45"/>
      <c r="BL224" s="28"/>
      <c r="BM224" s="174"/>
    </row>
    <row r="225" spans="1:65" hidden="1" x14ac:dyDescent="0.25">
      <c r="A225" s="167"/>
      <c r="B225" s="187"/>
      <c r="C225" s="167" t="s">
        <v>44</v>
      </c>
      <c r="D225" s="167"/>
      <c r="E225" s="167"/>
      <c r="F225" s="81"/>
      <c r="G225" s="81"/>
      <c r="H225" s="170"/>
      <c r="I225" s="170"/>
      <c r="J225" s="170">
        <f>SUM(J214:J223)</f>
        <v>0</v>
      </c>
      <c r="K225" s="170"/>
      <c r="L225" s="189">
        <f>SUM(L214:L223)</f>
        <v>0</v>
      </c>
      <c r="M225" s="170"/>
      <c r="N225" s="170">
        <f>SUM(N214:N223)</f>
        <v>0</v>
      </c>
      <c r="O225" s="170"/>
      <c r="P225" s="189">
        <f>SUM(P214:P223)</f>
        <v>0</v>
      </c>
      <c r="Q225" s="81"/>
      <c r="R225" s="170">
        <f>SUM(R214:R223)</f>
        <v>0</v>
      </c>
      <c r="S225" s="170"/>
      <c r="T225" s="189">
        <f>SUM(T214:T223)</f>
        <v>0</v>
      </c>
      <c r="U225" s="81"/>
      <c r="V225" s="170">
        <f>SUM(V214:V223)</f>
        <v>0</v>
      </c>
      <c r="W225" s="170"/>
      <c r="X225" s="189">
        <f>SUM(X214:X223)</f>
        <v>0</v>
      </c>
      <c r="Y225" s="81"/>
      <c r="Z225" s="170">
        <f>SUM(Z214:Z223)</f>
        <v>0</v>
      </c>
      <c r="AA225" s="170"/>
      <c r="AB225" s="189">
        <f>SUM(AB214:AB223)</f>
        <v>0</v>
      </c>
      <c r="AC225" s="81"/>
      <c r="AD225" s="170">
        <f>J225+N225+R225+V225+Z225</f>
        <v>0</v>
      </c>
      <c r="AE225" s="170"/>
      <c r="AF225" s="189">
        <f>L225+P225+T225+X225+AB225</f>
        <v>0</v>
      </c>
      <c r="AG225" s="28"/>
      <c r="AH225" s="28"/>
      <c r="AI225" s="28"/>
      <c r="AJ225" s="60"/>
      <c r="AK225" s="45"/>
      <c r="AL225" s="173"/>
      <c r="AM225" s="173"/>
      <c r="AN225" s="213"/>
      <c r="AO225" s="28"/>
      <c r="AP225" s="41"/>
      <c r="AQ225" s="28"/>
      <c r="AR225" s="28"/>
      <c r="AS225" s="213"/>
      <c r="AT225" s="28"/>
      <c r="AU225" s="41"/>
      <c r="AV225" s="28"/>
      <c r="AW225" s="28"/>
      <c r="AX225" s="213"/>
      <c r="AY225" s="28"/>
      <c r="AZ225" s="41"/>
      <c r="BA225" s="28"/>
      <c r="BB225" s="28"/>
      <c r="BC225" s="213"/>
      <c r="BD225" s="28"/>
      <c r="BE225" s="41"/>
      <c r="BF225" s="28"/>
      <c r="BG225" s="28"/>
      <c r="BH225" s="213"/>
      <c r="BI225" s="28"/>
      <c r="BJ225" s="41"/>
      <c r="BK225" s="45"/>
      <c r="BL225" s="28"/>
      <c r="BM225" s="174"/>
    </row>
    <row r="226" spans="1:65" x14ac:dyDescent="0.25">
      <c r="A226" s="167"/>
      <c r="B226" s="167"/>
      <c r="C226" s="167"/>
      <c r="D226" s="167"/>
      <c r="E226" s="167"/>
      <c r="F226" s="81"/>
      <c r="G226" s="81"/>
      <c r="H226" s="170"/>
      <c r="I226" s="170"/>
      <c r="J226" s="170"/>
      <c r="K226" s="170"/>
      <c r="L226" s="189"/>
      <c r="M226" s="170"/>
      <c r="N226" s="170"/>
      <c r="O226" s="81"/>
      <c r="P226" s="189"/>
      <c r="Q226" s="81"/>
      <c r="R226" s="81"/>
      <c r="S226" s="81"/>
      <c r="T226" s="192"/>
      <c r="U226" s="81"/>
      <c r="V226" s="81"/>
      <c r="W226" s="81"/>
      <c r="X226" s="192"/>
      <c r="Y226" s="81"/>
      <c r="Z226" s="81"/>
      <c r="AA226" s="81"/>
      <c r="AB226" s="192"/>
      <c r="AC226" s="81"/>
      <c r="AD226" s="170"/>
      <c r="AE226" s="172"/>
      <c r="AF226" s="190"/>
      <c r="AG226" s="28"/>
      <c r="AH226" s="28"/>
      <c r="AI226" s="28"/>
      <c r="AJ226" s="60"/>
      <c r="AK226" s="45"/>
      <c r="AL226" s="173"/>
      <c r="AM226" s="173"/>
      <c r="AN226" s="213"/>
      <c r="AO226" s="28"/>
      <c r="AP226" s="41"/>
      <c r="AQ226" s="28"/>
      <c r="AR226" s="28"/>
      <c r="AS226" s="213"/>
      <c r="AT226" s="28"/>
      <c r="AU226" s="41"/>
      <c r="AV226" s="28"/>
      <c r="AW226" s="28"/>
      <c r="AX226" s="213"/>
      <c r="AY226" s="28"/>
      <c r="AZ226" s="41"/>
      <c r="BA226" s="28"/>
      <c r="BB226" s="28"/>
      <c r="BC226" s="213"/>
      <c r="BD226" s="28"/>
      <c r="BE226" s="41"/>
      <c r="BF226" s="28"/>
      <c r="BG226" s="28"/>
      <c r="BH226" s="213"/>
      <c r="BI226" s="28"/>
      <c r="BJ226" s="41"/>
      <c r="BK226" s="45"/>
      <c r="BL226" s="28"/>
      <c r="BM226" s="174"/>
    </row>
    <row r="227" spans="1:65" x14ac:dyDescent="0.25">
      <c r="A227" s="167"/>
      <c r="B227" s="187" t="s">
        <v>14</v>
      </c>
      <c r="C227" s="187" t="s">
        <v>12</v>
      </c>
      <c r="D227" s="167"/>
      <c r="E227" s="167"/>
      <c r="F227" s="81"/>
      <c r="G227" s="81"/>
      <c r="H227" s="170"/>
      <c r="I227" s="170"/>
      <c r="J227" s="170"/>
      <c r="K227" s="170"/>
      <c r="L227" s="189"/>
      <c r="M227" s="170"/>
      <c r="N227" s="170"/>
      <c r="O227" s="81"/>
      <c r="P227" s="189"/>
      <c r="Q227" s="81"/>
      <c r="R227" s="81"/>
      <c r="S227" s="81"/>
      <c r="T227" s="192"/>
      <c r="U227" s="81"/>
      <c r="V227" s="81"/>
      <c r="W227" s="81"/>
      <c r="X227" s="192"/>
      <c r="Y227" s="81"/>
      <c r="Z227" s="81"/>
      <c r="AA227" s="81"/>
      <c r="AB227" s="192"/>
      <c r="AC227" s="81"/>
      <c r="AD227" s="170"/>
      <c r="AE227" s="172"/>
      <c r="AF227" s="190"/>
      <c r="AG227" s="28"/>
      <c r="AH227" s="28"/>
      <c r="AI227" s="28"/>
      <c r="AJ227" s="60"/>
      <c r="AK227" s="45"/>
      <c r="AL227" s="173"/>
      <c r="AM227" s="173"/>
      <c r="AN227" s="213"/>
      <c r="AO227" s="28"/>
      <c r="AP227" s="41"/>
      <c r="AQ227" s="28"/>
      <c r="AR227" s="28"/>
      <c r="AS227" s="213"/>
      <c r="AT227" s="28"/>
      <c r="AU227" s="41"/>
      <c r="AV227" s="28"/>
      <c r="AW227" s="28"/>
      <c r="AX227" s="213"/>
      <c r="AY227" s="28"/>
      <c r="AZ227" s="41"/>
      <c r="BA227" s="28"/>
      <c r="BB227" s="28"/>
      <c r="BC227" s="213"/>
      <c r="BD227" s="28"/>
      <c r="BE227" s="41"/>
      <c r="BF227" s="28"/>
      <c r="BG227" s="28"/>
      <c r="BH227" s="213"/>
      <c r="BI227" s="28"/>
      <c r="BJ227" s="41"/>
      <c r="BK227" s="45"/>
      <c r="BL227" s="28"/>
      <c r="BM227" s="174"/>
    </row>
    <row r="228" spans="1:65" x14ac:dyDescent="0.25">
      <c r="A228" s="168"/>
      <c r="B228" s="187"/>
      <c r="C228" s="167" t="s">
        <v>45</v>
      </c>
      <c r="D228" s="167"/>
      <c r="E228" s="167"/>
      <c r="F228" s="81"/>
      <c r="G228" s="81"/>
      <c r="H228" s="170"/>
      <c r="I228" s="170"/>
      <c r="J228" s="170"/>
      <c r="K228" s="170"/>
      <c r="L228" s="189"/>
      <c r="M228" s="170"/>
      <c r="N228" s="170"/>
      <c r="O228" s="81"/>
      <c r="P228" s="189"/>
      <c r="Q228" s="81"/>
      <c r="R228" s="81"/>
      <c r="S228" s="81"/>
      <c r="T228" s="192"/>
      <c r="U228" s="81"/>
      <c r="V228" s="81"/>
      <c r="W228" s="81"/>
      <c r="X228" s="192"/>
      <c r="Y228" s="81"/>
      <c r="Z228" s="81"/>
      <c r="AA228" s="81"/>
      <c r="AB228" s="192"/>
      <c r="AC228" s="81"/>
      <c r="AD228" s="170"/>
      <c r="AE228" s="172"/>
      <c r="AF228" s="190"/>
      <c r="AG228" s="28"/>
      <c r="AH228" s="28"/>
      <c r="AI228" s="28"/>
      <c r="AJ228" s="60"/>
      <c r="AK228" s="45"/>
      <c r="AL228" s="173"/>
      <c r="AM228" s="173"/>
      <c r="AN228" s="213"/>
      <c r="AO228" s="28"/>
      <c r="AP228" s="41"/>
      <c r="AQ228" s="28"/>
      <c r="AR228" s="28"/>
      <c r="AS228" s="213"/>
      <c r="AT228" s="28"/>
      <c r="AU228" s="41"/>
      <c r="AV228" s="28"/>
      <c r="AW228" s="28"/>
      <c r="AX228" s="213"/>
      <c r="AY228" s="28"/>
      <c r="AZ228" s="41"/>
      <c r="BA228" s="28"/>
      <c r="BB228" s="28"/>
      <c r="BC228" s="213"/>
      <c r="BD228" s="28"/>
      <c r="BE228" s="41"/>
      <c r="BF228" s="28"/>
      <c r="BG228" s="28"/>
      <c r="BH228" s="213"/>
      <c r="BI228" s="28"/>
      <c r="BJ228" s="41"/>
      <c r="BK228" s="45"/>
      <c r="BL228" s="28"/>
      <c r="BM228" s="174"/>
    </row>
    <row r="229" spans="1:65" x14ac:dyDescent="0.25">
      <c r="A229" s="168" t="s">
        <v>198</v>
      </c>
      <c r="B229" s="187"/>
      <c r="C229" s="28"/>
      <c r="D229" s="167" t="s">
        <v>132</v>
      </c>
      <c r="E229" s="28"/>
      <c r="F229" s="81"/>
      <c r="G229" s="81"/>
      <c r="H229" s="170"/>
      <c r="I229" s="170"/>
      <c r="J229" s="170">
        <v>0</v>
      </c>
      <c r="K229" s="170"/>
      <c r="L229" s="189">
        <v>0</v>
      </c>
      <c r="M229" s="170"/>
      <c r="N229" s="170">
        <v>0</v>
      </c>
      <c r="O229" s="81"/>
      <c r="P229" s="189">
        <v>0</v>
      </c>
      <c r="Q229" s="81"/>
      <c r="R229" s="170">
        <v>0</v>
      </c>
      <c r="S229" s="81"/>
      <c r="T229" s="189">
        <v>0</v>
      </c>
      <c r="U229" s="81"/>
      <c r="V229" s="170">
        <v>0</v>
      </c>
      <c r="W229" s="81"/>
      <c r="X229" s="189">
        <v>0</v>
      </c>
      <c r="Y229" s="81"/>
      <c r="Z229" s="170">
        <v>0</v>
      </c>
      <c r="AA229" s="170"/>
      <c r="AB229" s="189">
        <v>0</v>
      </c>
      <c r="AC229" s="81"/>
      <c r="AD229" s="170">
        <f t="shared" ref="AD229:AD238" si="69">J229+N229+R229+V229+Z229</f>
        <v>0</v>
      </c>
      <c r="AE229" s="170"/>
      <c r="AF229" s="189">
        <f t="shared" ref="AF229:AF237" si="70">L229+P229+T229+X229+AB229</f>
        <v>0</v>
      </c>
      <c r="AG229" s="28"/>
      <c r="AH229" s="28"/>
      <c r="AI229" s="28"/>
      <c r="AJ229" s="60"/>
      <c r="AK229" s="45"/>
      <c r="AL229" s="173"/>
      <c r="AM229" s="173"/>
      <c r="AN229" s="213"/>
      <c r="AO229" s="28"/>
      <c r="AP229" s="41"/>
      <c r="AQ229" s="28"/>
      <c r="AR229" s="28"/>
      <c r="AS229" s="213"/>
      <c r="AT229" s="28"/>
      <c r="AU229" s="41"/>
      <c r="AV229" s="28"/>
      <c r="AW229" s="28"/>
      <c r="AX229" s="213"/>
      <c r="AY229" s="28"/>
      <c r="AZ229" s="41"/>
      <c r="BA229" s="28"/>
      <c r="BB229" s="28"/>
      <c r="BC229" s="213"/>
      <c r="BD229" s="28"/>
      <c r="BE229" s="41"/>
      <c r="BF229" s="28"/>
      <c r="BG229" s="28"/>
      <c r="BH229" s="213"/>
      <c r="BI229" s="28"/>
      <c r="BJ229" s="41"/>
      <c r="BK229" s="45"/>
      <c r="BL229" s="28"/>
      <c r="BM229" s="174"/>
    </row>
    <row r="230" spans="1:65" x14ac:dyDescent="0.25">
      <c r="A230" s="168" t="s">
        <v>198</v>
      </c>
      <c r="B230" s="187"/>
      <c r="C230" s="167"/>
      <c r="D230" s="167" t="s">
        <v>93</v>
      </c>
      <c r="E230" s="28"/>
      <c r="F230" s="81"/>
      <c r="G230" s="81"/>
      <c r="H230" s="170"/>
      <c r="I230" s="170"/>
      <c r="J230" s="170">
        <v>0</v>
      </c>
      <c r="K230" s="170"/>
      <c r="L230" s="189">
        <v>0</v>
      </c>
      <c r="M230" s="170"/>
      <c r="N230" s="170">
        <v>0</v>
      </c>
      <c r="O230" s="81"/>
      <c r="P230" s="189">
        <v>0</v>
      </c>
      <c r="Q230" s="81"/>
      <c r="R230" s="170">
        <v>0</v>
      </c>
      <c r="S230" s="81"/>
      <c r="T230" s="189">
        <v>0</v>
      </c>
      <c r="U230" s="81"/>
      <c r="V230" s="170">
        <v>0</v>
      </c>
      <c r="W230" s="81"/>
      <c r="X230" s="189">
        <v>0</v>
      </c>
      <c r="Y230" s="81"/>
      <c r="Z230" s="170">
        <v>0</v>
      </c>
      <c r="AA230" s="170"/>
      <c r="AB230" s="189">
        <v>0</v>
      </c>
      <c r="AC230" s="81"/>
      <c r="AD230" s="170">
        <f t="shared" si="69"/>
        <v>0</v>
      </c>
      <c r="AE230" s="170"/>
      <c r="AF230" s="189">
        <f t="shared" si="70"/>
        <v>0</v>
      </c>
      <c r="AG230" s="28"/>
      <c r="AH230" s="28"/>
      <c r="AI230" s="28"/>
      <c r="AJ230" s="60"/>
      <c r="AK230" s="45"/>
      <c r="AL230" s="173"/>
      <c r="AM230" s="173"/>
      <c r="AN230" s="213"/>
      <c r="AO230" s="28"/>
      <c r="AP230" s="41"/>
      <c r="AQ230" s="28"/>
      <c r="AR230" s="28"/>
      <c r="AS230" s="213"/>
      <c r="AT230" s="28"/>
      <c r="AU230" s="41"/>
      <c r="AV230" s="28"/>
      <c r="AW230" s="28"/>
      <c r="AX230" s="213"/>
      <c r="AY230" s="28"/>
      <c r="AZ230" s="41"/>
      <c r="BA230" s="28"/>
      <c r="BB230" s="28"/>
      <c r="BC230" s="213"/>
      <c r="BD230" s="28"/>
      <c r="BE230" s="41"/>
      <c r="BF230" s="28"/>
      <c r="BG230" s="28"/>
      <c r="BH230" s="213"/>
      <c r="BI230" s="28"/>
      <c r="BJ230" s="41"/>
      <c r="BK230" s="45"/>
      <c r="BL230" s="28"/>
      <c r="BM230" s="174"/>
    </row>
    <row r="231" spans="1:65" x14ac:dyDescent="0.25">
      <c r="A231" s="168" t="s">
        <v>198</v>
      </c>
      <c r="B231" s="187"/>
      <c r="C231" s="167"/>
      <c r="D231" s="167" t="s">
        <v>97</v>
      </c>
      <c r="E231" s="167"/>
      <c r="F231" s="81"/>
      <c r="G231" s="81"/>
      <c r="H231" s="170"/>
      <c r="I231" s="170"/>
      <c r="J231" s="170">
        <v>0</v>
      </c>
      <c r="K231" s="170"/>
      <c r="L231" s="189">
        <v>0</v>
      </c>
      <c r="M231" s="170"/>
      <c r="N231" s="170">
        <v>0</v>
      </c>
      <c r="O231" s="81"/>
      <c r="P231" s="189">
        <v>0</v>
      </c>
      <c r="Q231" s="81"/>
      <c r="R231" s="170">
        <v>0</v>
      </c>
      <c r="S231" s="81"/>
      <c r="T231" s="189">
        <v>0</v>
      </c>
      <c r="U231" s="81"/>
      <c r="V231" s="170">
        <v>0</v>
      </c>
      <c r="W231" s="81"/>
      <c r="X231" s="189">
        <v>0</v>
      </c>
      <c r="Y231" s="81"/>
      <c r="Z231" s="170">
        <v>0</v>
      </c>
      <c r="AA231" s="170"/>
      <c r="AB231" s="189">
        <v>0</v>
      </c>
      <c r="AC231" s="81"/>
      <c r="AD231" s="170">
        <f t="shared" si="69"/>
        <v>0</v>
      </c>
      <c r="AE231" s="170"/>
      <c r="AF231" s="189">
        <f t="shared" si="70"/>
        <v>0</v>
      </c>
      <c r="AG231" s="28"/>
      <c r="AH231" s="28"/>
      <c r="AI231" s="28"/>
      <c r="AJ231" s="60"/>
      <c r="AK231" s="45"/>
      <c r="AL231" s="173"/>
      <c r="AM231" s="173"/>
      <c r="AN231" s="213"/>
      <c r="AO231" s="28"/>
      <c r="AP231" s="41"/>
      <c r="AQ231" s="28"/>
      <c r="AR231" s="28"/>
      <c r="AS231" s="213"/>
      <c r="AT231" s="28"/>
      <c r="AU231" s="41"/>
      <c r="AV231" s="28"/>
      <c r="AW231" s="28"/>
      <c r="AX231" s="213"/>
      <c r="AY231" s="28"/>
      <c r="AZ231" s="41"/>
      <c r="BA231" s="28"/>
      <c r="BB231" s="28"/>
      <c r="BC231" s="213"/>
      <c r="BD231" s="28"/>
      <c r="BE231" s="41"/>
      <c r="BF231" s="28"/>
      <c r="BG231" s="28"/>
      <c r="BH231" s="213"/>
      <c r="BI231" s="28"/>
      <c r="BJ231" s="41"/>
      <c r="BK231" s="45"/>
      <c r="BL231" s="28"/>
      <c r="BM231" s="174"/>
    </row>
    <row r="232" spans="1:65" x14ac:dyDescent="0.25">
      <c r="A232" s="168" t="s">
        <v>198</v>
      </c>
      <c r="B232" s="187"/>
      <c r="C232" s="28"/>
      <c r="D232" s="28" t="s">
        <v>185</v>
      </c>
      <c r="E232" s="167"/>
      <c r="F232" s="81"/>
      <c r="G232" s="81"/>
      <c r="H232" s="170"/>
      <c r="I232" s="170"/>
      <c r="J232" s="170">
        <v>0</v>
      </c>
      <c r="K232" s="170"/>
      <c r="L232" s="189">
        <v>0</v>
      </c>
      <c r="M232" s="170"/>
      <c r="N232" s="170">
        <v>0</v>
      </c>
      <c r="O232" s="81"/>
      <c r="P232" s="189">
        <v>0</v>
      </c>
      <c r="Q232" s="81"/>
      <c r="R232" s="170">
        <v>0</v>
      </c>
      <c r="S232" s="81"/>
      <c r="T232" s="189">
        <v>0</v>
      </c>
      <c r="U232" s="81"/>
      <c r="V232" s="170">
        <v>0</v>
      </c>
      <c r="W232" s="81"/>
      <c r="X232" s="189">
        <v>0</v>
      </c>
      <c r="Y232" s="81"/>
      <c r="Z232" s="170">
        <v>0</v>
      </c>
      <c r="AA232" s="170"/>
      <c r="AB232" s="189">
        <v>0</v>
      </c>
      <c r="AC232" s="81"/>
      <c r="AD232" s="170">
        <f t="shared" si="69"/>
        <v>0</v>
      </c>
      <c r="AE232" s="170"/>
      <c r="AF232" s="189">
        <f t="shared" si="70"/>
        <v>0</v>
      </c>
      <c r="AG232" s="28"/>
      <c r="AH232" s="28"/>
      <c r="AI232" s="28"/>
      <c r="AJ232" s="60"/>
      <c r="AK232" s="45"/>
      <c r="AL232" s="173"/>
      <c r="AM232" s="173"/>
      <c r="AN232" s="213"/>
      <c r="AO232" s="28"/>
      <c r="AP232" s="41"/>
      <c r="AQ232" s="28"/>
      <c r="AR232" s="28"/>
      <c r="AS232" s="213"/>
      <c r="AT232" s="28"/>
      <c r="AU232" s="41"/>
      <c r="AV232" s="28"/>
      <c r="AW232" s="28"/>
      <c r="AX232" s="213"/>
      <c r="AY232" s="28"/>
      <c r="AZ232" s="41"/>
      <c r="BA232" s="28"/>
      <c r="BB232" s="28"/>
      <c r="BC232" s="213"/>
      <c r="BD232" s="28"/>
      <c r="BE232" s="41"/>
      <c r="BF232" s="28"/>
      <c r="BG232" s="28"/>
      <c r="BH232" s="213"/>
      <c r="BI232" s="28"/>
      <c r="BJ232" s="41"/>
      <c r="BK232" s="45"/>
      <c r="BL232" s="28"/>
      <c r="BM232" s="174"/>
    </row>
    <row r="233" spans="1:65" x14ac:dyDescent="0.25">
      <c r="A233" s="168" t="s">
        <v>198</v>
      </c>
      <c r="B233" s="187"/>
      <c r="C233" s="28"/>
      <c r="D233" s="28" t="s">
        <v>186</v>
      </c>
      <c r="E233" s="28"/>
      <c r="F233" s="81"/>
      <c r="G233" s="81"/>
      <c r="H233" s="170"/>
      <c r="I233" s="170"/>
      <c r="J233" s="170">
        <v>0</v>
      </c>
      <c r="K233" s="170"/>
      <c r="L233" s="189">
        <v>0</v>
      </c>
      <c r="M233" s="170"/>
      <c r="N233" s="170">
        <v>0</v>
      </c>
      <c r="O233" s="81"/>
      <c r="P233" s="189">
        <v>0</v>
      </c>
      <c r="Q233" s="81"/>
      <c r="R233" s="170">
        <v>0</v>
      </c>
      <c r="S233" s="81"/>
      <c r="T233" s="189">
        <v>0</v>
      </c>
      <c r="U233" s="81"/>
      <c r="V233" s="170">
        <v>0</v>
      </c>
      <c r="W233" s="81"/>
      <c r="X233" s="189">
        <v>0</v>
      </c>
      <c r="Y233" s="81"/>
      <c r="Z233" s="170">
        <v>0</v>
      </c>
      <c r="AA233" s="170"/>
      <c r="AB233" s="189">
        <v>0</v>
      </c>
      <c r="AC233" s="81"/>
      <c r="AD233" s="170">
        <f t="shared" si="69"/>
        <v>0</v>
      </c>
      <c r="AE233" s="170"/>
      <c r="AF233" s="189">
        <f t="shared" si="70"/>
        <v>0</v>
      </c>
      <c r="AG233" s="28"/>
      <c r="AH233" s="28"/>
      <c r="AI233" s="28"/>
      <c r="AJ233" s="60"/>
      <c r="AK233" s="45"/>
      <c r="AL233" s="173"/>
      <c r="AM233" s="173"/>
      <c r="AN233" s="213"/>
      <c r="AO233" s="28"/>
      <c r="AP233" s="41"/>
      <c r="AQ233" s="28"/>
      <c r="AR233" s="28"/>
      <c r="AS233" s="213"/>
      <c r="AT233" s="28"/>
      <c r="AU233" s="41"/>
      <c r="AV233" s="28"/>
      <c r="AW233" s="28"/>
      <c r="AX233" s="213"/>
      <c r="AY233" s="28"/>
      <c r="AZ233" s="41"/>
      <c r="BA233" s="28"/>
      <c r="BB233" s="28"/>
      <c r="BC233" s="213"/>
      <c r="BD233" s="28"/>
      <c r="BE233" s="41"/>
      <c r="BF233" s="28"/>
      <c r="BG233" s="28"/>
      <c r="BH233" s="213"/>
      <c r="BI233" s="28"/>
      <c r="BJ233" s="41"/>
      <c r="BK233" s="45"/>
      <c r="BL233" s="28"/>
      <c r="BM233" s="174"/>
    </row>
    <row r="234" spans="1:65" x14ac:dyDescent="0.25">
      <c r="A234" s="168" t="s">
        <v>201</v>
      </c>
      <c r="B234" s="187"/>
      <c r="C234" s="28"/>
      <c r="D234" s="28" t="s">
        <v>177</v>
      </c>
      <c r="E234" s="28"/>
      <c r="F234" s="81"/>
      <c r="G234" s="81"/>
      <c r="H234" s="170"/>
      <c r="I234" s="170"/>
      <c r="J234" s="170">
        <v>0</v>
      </c>
      <c r="K234" s="170"/>
      <c r="L234" s="189">
        <v>0</v>
      </c>
      <c r="M234" s="170"/>
      <c r="N234" s="170">
        <v>0</v>
      </c>
      <c r="O234" s="81"/>
      <c r="P234" s="189">
        <v>0</v>
      </c>
      <c r="Q234" s="81"/>
      <c r="R234" s="170">
        <v>0</v>
      </c>
      <c r="S234" s="81"/>
      <c r="T234" s="189">
        <v>0</v>
      </c>
      <c r="U234" s="81"/>
      <c r="V234" s="170">
        <v>0</v>
      </c>
      <c r="W234" s="81"/>
      <c r="X234" s="189">
        <v>0</v>
      </c>
      <c r="Y234" s="81"/>
      <c r="Z234" s="170">
        <v>0</v>
      </c>
      <c r="AA234" s="170"/>
      <c r="AB234" s="189">
        <v>0</v>
      </c>
      <c r="AC234" s="81"/>
      <c r="AD234" s="170">
        <f t="shared" si="69"/>
        <v>0</v>
      </c>
      <c r="AE234" s="170"/>
      <c r="AF234" s="189">
        <f t="shared" si="70"/>
        <v>0</v>
      </c>
      <c r="AG234" s="28"/>
      <c r="AH234" s="28"/>
      <c r="AI234" s="28"/>
      <c r="AJ234" s="60"/>
      <c r="AK234" s="45"/>
      <c r="AL234" s="173"/>
      <c r="AM234" s="173"/>
      <c r="AN234" s="213"/>
      <c r="AO234" s="28"/>
      <c r="AP234" s="41"/>
      <c r="AQ234" s="28"/>
      <c r="AR234" s="28"/>
      <c r="AS234" s="213"/>
      <c r="AT234" s="28"/>
      <c r="AU234" s="41"/>
      <c r="AV234" s="28"/>
      <c r="AW234" s="28"/>
      <c r="AX234" s="213"/>
      <c r="AY234" s="28"/>
      <c r="AZ234" s="41"/>
      <c r="BA234" s="28"/>
      <c r="BB234" s="28"/>
      <c r="BC234" s="213"/>
      <c r="BD234" s="28"/>
      <c r="BE234" s="41"/>
      <c r="BF234" s="28"/>
      <c r="BG234" s="28"/>
      <c r="BH234" s="213"/>
      <c r="BI234" s="28"/>
      <c r="BJ234" s="41"/>
      <c r="BK234" s="45"/>
      <c r="BL234" s="28"/>
      <c r="BM234" s="174"/>
    </row>
    <row r="235" spans="1:65" x14ac:dyDescent="0.25">
      <c r="A235" s="168" t="s">
        <v>201</v>
      </c>
      <c r="B235" s="187"/>
      <c r="C235" s="28"/>
      <c r="D235" s="28" t="s">
        <v>211</v>
      </c>
      <c r="E235" s="28"/>
      <c r="F235" s="81"/>
      <c r="G235" s="81"/>
      <c r="H235" s="170"/>
      <c r="I235" s="170"/>
      <c r="J235" s="170">
        <v>0</v>
      </c>
      <c r="K235" s="170"/>
      <c r="L235" s="189">
        <v>0</v>
      </c>
      <c r="M235" s="170"/>
      <c r="N235" s="170">
        <v>0</v>
      </c>
      <c r="O235" s="81"/>
      <c r="P235" s="189">
        <v>0</v>
      </c>
      <c r="Q235" s="81"/>
      <c r="R235" s="170">
        <v>0</v>
      </c>
      <c r="S235" s="81"/>
      <c r="T235" s="189">
        <v>0</v>
      </c>
      <c r="U235" s="81"/>
      <c r="V235" s="170">
        <v>0</v>
      </c>
      <c r="W235" s="81"/>
      <c r="X235" s="189">
        <v>0</v>
      </c>
      <c r="Y235" s="81"/>
      <c r="Z235" s="170">
        <v>0</v>
      </c>
      <c r="AA235" s="170"/>
      <c r="AB235" s="189">
        <v>0</v>
      </c>
      <c r="AC235" s="81"/>
      <c r="AD235" s="170">
        <f t="shared" si="69"/>
        <v>0</v>
      </c>
      <c r="AE235" s="170"/>
      <c r="AF235" s="189">
        <f t="shared" si="70"/>
        <v>0</v>
      </c>
      <c r="AG235" s="28"/>
      <c r="AH235" s="28"/>
      <c r="AI235" s="28"/>
      <c r="AJ235" s="60"/>
      <c r="AK235" s="45"/>
      <c r="AL235" s="173"/>
      <c r="AM235" s="173"/>
      <c r="AN235" s="213"/>
      <c r="AO235" s="28"/>
      <c r="AP235" s="41"/>
      <c r="AQ235" s="28"/>
      <c r="AR235" s="28"/>
      <c r="AS235" s="213"/>
      <c r="AT235" s="28"/>
      <c r="AU235" s="41"/>
      <c r="AV235" s="28"/>
      <c r="AW235" s="28"/>
      <c r="AX235" s="213"/>
      <c r="AY235" s="28"/>
      <c r="AZ235" s="41"/>
      <c r="BA235" s="28"/>
      <c r="BB235" s="28"/>
      <c r="BC235" s="213"/>
      <c r="BD235" s="28"/>
      <c r="BE235" s="41"/>
      <c r="BF235" s="28"/>
      <c r="BG235" s="28"/>
      <c r="BH235" s="213"/>
      <c r="BI235" s="28"/>
      <c r="BJ235" s="41"/>
      <c r="BK235" s="45"/>
      <c r="BL235" s="28"/>
      <c r="BM235" s="174"/>
    </row>
    <row r="236" spans="1:65" x14ac:dyDescent="0.25">
      <c r="A236" s="168" t="s">
        <v>237</v>
      </c>
      <c r="B236" s="187"/>
      <c r="C236" s="28"/>
      <c r="D236" s="28" t="s">
        <v>178</v>
      </c>
      <c r="E236" s="28"/>
      <c r="F236" s="81"/>
      <c r="G236" s="81"/>
      <c r="H236" s="170"/>
      <c r="I236" s="170"/>
      <c r="J236" s="170">
        <v>0</v>
      </c>
      <c r="K236" s="170"/>
      <c r="L236" s="189">
        <v>0</v>
      </c>
      <c r="M236" s="170"/>
      <c r="N236" s="170">
        <v>0</v>
      </c>
      <c r="O236" s="81"/>
      <c r="P236" s="189">
        <v>0</v>
      </c>
      <c r="Q236" s="81"/>
      <c r="R236" s="170">
        <v>0</v>
      </c>
      <c r="S236" s="81"/>
      <c r="T236" s="189">
        <v>0</v>
      </c>
      <c r="U236" s="81"/>
      <c r="V236" s="170">
        <v>0</v>
      </c>
      <c r="W236" s="81"/>
      <c r="X236" s="189">
        <v>0</v>
      </c>
      <c r="Y236" s="81"/>
      <c r="Z236" s="170">
        <v>0</v>
      </c>
      <c r="AA236" s="170"/>
      <c r="AB236" s="189">
        <v>0</v>
      </c>
      <c r="AC236" s="81"/>
      <c r="AD236" s="170">
        <f t="shared" si="69"/>
        <v>0</v>
      </c>
      <c r="AE236" s="170"/>
      <c r="AF236" s="189">
        <f t="shared" si="70"/>
        <v>0</v>
      </c>
      <c r="AG236" s="28"/>
      <c r="AH236" s="28"/>
      <c r="AI236" s="28"/>
      <c r="AJ236" s="60"/>
      <c r="AK236" s="45"/>
      <c r="AL236" s="173"/>
      <c r="AM236" s="173"/>
      <c r="AN236" s="213"/>
      <c r="AO236" s="28"/>
      <c r="AP236" s="41"/>
      <c r="AQ236" s="28"/>
      <c r="AR236" s="28"/>
      <c r="AS236" s="213"/>
      <c r="AT236" s="28"/>
      <c r="AU236" s="41"/>
      <c r="AV236" s="28"/>
      <c r="AW236" s="28"/>
      <c r="AX236" s="213"/>
      <c r="AY236" s="28"/>
      <c r="AZ236" s="41"/>
      <c r="BA236" s="28"/>
      <c r="BB236" s="28"/>
      <c r="BC236" s="213"/>
      <c r="BD236" s="28"/>
      <c r="BE236" s="41"/>
      <c r="BF236" s="28"/>
      <c r="BG236" s="28"/>
      <c r="BH236" s="213"/>
      <c r="BI236" s="28"/>
      <c r="BJ236" s="41"/>
      <c r="BK236" s="45"/>
      <c r="BL236" s="28"/>
      <c r="BM236" s="174"/>
    </row>
    <row r="237" spans="1:65" hidden="1" x14ac:dyDescent="0.25">
      <c r="A237" s="168" t="s">
        <v>200</v>
      </c>
      <c r="B237" s="187"/>
      <c r="C237" s="167" t="s">
        <v>26</v>
      </c>
      <c r="D237" s="167"/>
      <c r="E237" s="28"/>
      <c r="F237" s="238"/>
      <c r="G237" s="238"/>
      <c r="H237" s="228"/>
      <c r="I237" s="228"/>
      <c r="J237" s="170">
        <v>0</v>
      </c>
      <c r="K237" s="170"/>
      <c r="L237" s="189">
        <v>0</v>
      </c>
      <c r="M237" s="170"/>
      <c r="N237" s="170">
        <v>0</v>
      </c>
      <c r="O237" s="81"/>
      <c r="P237" s="189">
        <v>0</v>
      </c>
      <c r="Q237" s="81"/>
      <c r="R237" s="170">
        <v>0</v>
      </c>
      <c r="S237" s="81"/>
      <c r="T237" s="189">
        <v>0</v>
      </c>
      <c r="U237" s="81"/>
      <c r="V237" s="170">
        <v>0</v>
      </c>
      <c r="W237" s="81"/>
      <c r="X237" s="189">
        <v>0</v>
      </c>
      <c r="Y237" s="81"/>
      <c r="Z237" s="170">
        <v>0</v>
      </c>
      <c r="AA237" s="81"/>
      <c r="AB237" s="189">
        <v>0</v>
      </c>
      <c r="AC237" s="81"/>
      <c r="AD237" s="170">
        <f t="shared" si="69"/>
        <v>0</v>
      </c>
      <c r="AE237" s="170"/>
      <c r="AF237" s="189">
        <f t="shared" si="70"/>
        <v>0</v>
      </c>
      <c r="AG237" s="28"/>
      <c r="AH237" s="28"/>
      <c r="AI237" s="28"/>
      <c r="AJ237" s="60"/>
      <c r="AK237" s="45"/>
      <c r="AL237" s="173"/>
      <c r="AM237" s="173"/>
      <c r="AN237" s="213"/>
      <c r="AO237" s="28"/>
      <c r="AP237" s="41"/>
      <c r="AQ237" s="28"/>
      <c r="AR237" s="28"/>
      <c r="AS237" s="213"/>
      <c r="AT237" s="28"/>
      <c r="AU237" s="41"/>
      <c r="AV237" s="28"/>
      <c r="AW237" s="28"/>
      <c r="AX237" s="213"/>
      <c r="AY237" s="28"/>
      <c r="AZ237" s="41"/>
      <c r="BA237" s="28"/>
      <c r="BB237" s="28"/>
      <c r="BC237" s="213"/>
      <c r="BD237" s="28"/>
      <c r="BE237" s="41"/>
      <c r="BF237" s="28"/>
      <c r="BG237" s="28"/>
      <c r="BH237" s="213"/>
      <c r="BI237" s="28"/>
      <c r="BJ237" s="41"/>
      <c r="BK237" s="45"/>
      <c r="BL237" s="28"/>
      <c r="BM237" s="174"/>
    </row>
    <row r="238" spans="1:65" hidden="1" x14ac:dyDescent="0.25">
      <c r="A238" s="168" t="s">
        <v>208</v>
      </c>
      <c r="B238" s="187"/>
      <c r="C238" s="167" t="s">
        <v>218</v>
      </c>
      <c r="D238" s="167"/>
      <c r="E238" s="28"/>
      <c r="F238" s="238"/>
      <c r="G238" s="238"/>
      <c r="H238" s="228"/>
      <c r="I238" s="228"/>
      <c r="J238" s="170">
        <v>0</v>
      </c>
      <c r="K238" s="170"/>
      <c r="L238" s="189">
        <v>0</v>
      </c>
      <c r="M238" s="170"/>
      <c r="N238" s="170">
        <v>0</v>
      </c>
      <c r="O238" s="81"/>
      <c r="P238" s="189">
        <v>0</v>
      </c>
      <c r="Q238" s="81"/>
      <c r="R238" s="170">
        <v>0</v>
      </c>
      <c r="S238" s="81"/>
      <c r="T238" s="189">
        <v>0</v>
      </c>
      <c r="U238" s="81"/>
      <c r="V238" s="170">
        <v>0</v>
      </c>
      <c r="W238" s="81"/>
      <c r="X238" s="189">
        <v>0</v>
      </c>
      <c r="Y238" s="81"/>
      <c r="Z238" s="170">
        <v>0</v>
      </c>
      <c r="AA238" s="81"/>
      <c r="AB238" s="189">
        <v>0</v>
      </c>
      <c r="AC238" s="81"/>
      <c r="AD238" s="170">
        <f t="shared" si="69"/>
        <v>0</v>
      </c>
      <c r="AE238" s="170"/>
      <c r="AF238" s="189"/>
      <c r="AG238" s="28"/>
      <c r="AH238" s="28"/>
      <c r="AI238" s="28"/>
      <c r="AJ238" s="60"/>
      <c r="AK238" s="45"/>
      <c r="AL238" s="173"/>
      <c r="AM238" s="173"/>
      <c r="AN238" s="213"/>
      <c r="AO238" s="28"/>
      <c r="AP238" s="41"/>
      <c r="AQ238" s="28"/>
      <c r="AR238" s="28"/>
      <c r="AS238" s="213"/>
      <c r="AT238" s="28"/>
      <c r="AU238" s="41"/>
      <c r="AV238" s="28"/>
      <c r="AW238" s="28"/>
      <c r="AX238" s="213"/>
      <c r="AY238" s="28"/>
      <c r="AZ238" s="41"/>
      <c r="BA238" s="28"/>
      <c r="BB238" s="28"/>
      <c r="BC238" s="213"/>
      <c r="BD238" s="28"/>
      <c r="BE238" s="41"/>
      <c r="BF238" s="28"/>
      <c r="BG238" s="28"/>
      <c r="BH238" s="213"/>
      <c r="BI238" s="28"/>
      <c r="BJ238" s="41"/>
      <c r="BK238" s="45"/>
      <c r="BL238" s="28"/>
      <c r="BM238" s="174"/>
    </row>
    <row r="239" spans="1:65" x14ac:dyDescent="0.25">
      <c r="A239" s="168" t="s">
        <v>197</v>
      </c>
      <c r="B239" s="187"/>
      <c r="C239" s="167" t="s">
        <v>152</v>
      </c>
      <c r="D239" s="167"/>
      <c r="E239" s="28"/>
      <c r="F239" s="81"/>
      <c r="G239" s="167"/>
      <c r="H239" s="167"/>
      <c r="I239" s="170"/>
      <c r="J239" s="170"/>
      <c r="K239" s="170"/>
      <c r="L239" s="189"/>
      <c r="M239" s="170"/>
      <c r="N239" s="170"/>
      <c r="O239" s="81"/>
      <c r="P239" s="189"/>
      <c r="Q239" s="81"/>
      <c r="R239" s="170"/>
      <c r="S239" s="81"/>
      <c r="T239" s="189"/>
      <c r="U239" s="81"/>
      <c r="V239" s="170"/>
      <c r="W239" s="81"/>
      <c r="X239" s="189"/>
      <c r="Y239" s="81"/>
      <c r="Z239" s="170"/>
      <c r="AA239" s="170"/>
      <c r="AB239" s="189"/>
      <c r="AC239" s="81"/>
      <c r="AD239" s="170"/>
      <c r="AE239" s="170"/>
      <c r="AF239" s="189"/>
      <c r="AG239" s="28"/>
      <c r="AH239" s="28"/>
      <c r="AI239" s="28"/>
      <c r="AJ239" s="60"/>
      <c r="AK239" s="45"/>
      <c r="AL239" s="173"/>
      <c r="AM239" s="173"/>
      <c r="AN239" s="213"/>
      <c r="AO239" s="28"/>
      <c r="AP239" s="41"/>
      <c r="AQ239" s="28"/>
      <c r="AR239" s="28"/>
      <c r="AS239" s="213"/>
      <c r="AT239" s="28"/>
      <c r="AU239" s="41"/>
      <c r="AV239" s="28"/>
      <c r="AW239" s="28"/>
      <c r="AX239" s="213"/>
      <c r="AY239" s="28"/>
      <c r="AZ239" s="41"/>
      <c r="BA239" s="28"/>
      <c r="BB239" s="28"/>
      <c r="BC239" s="213"/>
      <c r="BD239" s="28"/>
      <c r="BE239" s="41"/>
      <c r="BF239" s="28"/>
      <c r="BG239" s="28"/>
      <c r="BH239" s="213"/>
      <c r="BI239" s="28"/>
      <c r="BJ239" s="41"/>
      <c r="BK239" s="45"/>
      <c r="BL239" s="28"/>
      <c r="BM239" s="174"/>
    </row>
    <row r="240" spans="1:65" x14ac:dyDescent="0.25">
      <c r="A240" s="168" t="s">
        <v>197</v>
      </c>
      <c r="B240" s="187"/>
      <c r="C240" s="28"/>
      <c r="D240" s="167" t="s">
        <v>153</v>
      </c>
      <c r="E240" s="28"/>
      <c r="F240" s="81"/>
      <c r="G240" s="28"/>
      <c r="H240" s="167"/>
      <c r="I240" s="170"/>
      <c r="J240" s="170">
        <v>0</v>
      </c>
      <c r="K240" s="170"/>
      <c r="L240" s="189">
        <v>0</v>
      </c>
      <c r="M240" s="170"/>
      <c r="N240" s="170">
        <v>0</v>
      </c>
      <c r="O240" s="81"/>
      <c r="P240" s="189">
        <v>0</v>
      </c>
      <c r="Q240" s="81"/>
      <c r="R240" s="170">
        <v>0</v>
      </c>
      <c r="S240" s="81"/>
      <c r="T240" s="189">
        <v>0</v>
      </c>
      <c r="U240" s="81"/>
      <c r="V240" s="170">
        <v>0</v>
      </c>
      <c r="W240" s="81"/>
      <c r="X240" s="189">
        <v>0</v>
      </c>
      <c r="Y240" s="81"/>
      <c r="Z240" s="170">
        <v>0</v>
      </c>
      <c r="AA240" s="170"/>
      <c r="AB240" s="189">
        <v>0</v>
      </c>
      <c r="AC240" s="81"/>
      <c r="AD240" s="170">
        <f>J240+N240+R240+V240+Z240</f>
        <v>0</v>
      </c>
      <c r="AE240" s="170"/>
      <c r="AF240" s="189">
        <f>L240+P240+T240+X240+AB240</f>
        <v>0</v>
      </c>
      <c r="AG240" s="28"/>
      <c r="AH240" s="28"/>
      <c r="AI240" s="28"/>
      <c r="AJ240" s="60"/>
      <c r="AK240" s="45"/>
      <c r="AL240" s="173"/>
      <c r="AM240" s="173"/>
      <c r="AN240" s="213"/>
      <c r="AO240" s="28"/>
      <c r="AP240" s="41"/>
      <c r="AQ240" s="28"/>
      <c r="AR240" s="28"/>
      <c r="AS240" s="213"/>
      <c r="AT240" s="28"/>
      <c r="AU240" s="41"/>
      <c r="AV240" s="28"/>
      <c r="AW240" s="28"/>
      <c r="AX240" s="213"/>
      <c r="AY240" s="28"/>
      <c r="AZ240" s="41"/>
      <c r="BA240" s="28"/>
      <c r="BB240" s="28"/>
      <c r="BC240" s="213"/>
      <c r="BD240" s="28"/>
      <c r="BE240" s="41"/>
      <c r="BF240" s="28"/>
      <c r="BG240" s="28"/>
      <c r="BH240" s="213"/>
      <c r="BI240" s="28"/>
      <c r="BJ240" s="41"/>
      <c r="BK240" s="45"/>
      <c r="BL240" s="28"/>
      <c r="BM240" s="174"/>
    </row>
    <row r="241" spans="1:65" hidden="1" x14ac:dyDescent="0.25">
      <c r="A241" s="168" t="s">
        <v>210</v>
      </c>
      <c r="B241" s="187"/>
      <c r="C241" s="167" t="s">
        <v>148</v>
      </c>
      <c r="D241" s="167"/>
      <c r="E241" s="28"/>
      <c r="F241" s="81"/>
      <c r="G241" s="81"/>
      <c r="H241" s="170"/>
      <c r="I241" s="170"/>
      <c r="J241" s="170"/>
      <c r="K241" s="170"/>
      <c r="L241" s="189"/>
      <c r="M241" s="170"/>
      <c r="N241" s="170"/>
      <c r="O241" s="170"/>
      <c r="P241" s="189"/>
      <c r="Q241" s="81"/>
      <c r="R241" s="170"/>
      <c r="S241" s="170"/>
      <c r="T241" s="189"/>
      <c r="U241" s="81"/>
      <c r="V241" s="170"/>
      <c r="W241" s="170"/>
      <c r="X241" s="189"/>
      <c r="Y241" s="81"/>
      <c r="Z241" s="170"/>
      <c r="AA241" s="170"/>
      <c r="AB241" s="189"/>
      <c r="AC241" s="81"/>
      <c r="AD241" s="170"/>
      <c r="AE241" s="170"/>
      <c r="AF241" s="189"/>
      <c r="AG241" s="28"/>
      <c r="AH241" s="28"/>
      <c r="AI241" s="28"/>
      <c r="AJ241" s="60"/>
      <c r="AK241" s="45"/>
      <c r="AL241" s="173"/>
      <c r="AM241" s="173"/>
      <c r="AN241" s="213"/>
      <c r="AO241" s="28"/>
      <c r="AP241" s="41"/>
      <c r="AQ241" s="28"/>
      <c r="AR241" s="28"/>
      <c r="AS241" s="213"/>
      <c r="AT241" s="28"/>
      <c r="AU241" s="41"/>
      <c r="AV241" s="28"/>
      <c r="AW241" s="28"/>
      <c r="AX241" s="213"/>
      <c r="AY241" s="28"/>
      <c r="AZ241" s="41"/>
      <c r="BA241" s="28"/>
      <c r="BB241" s="28"/>
      <c r="BC241" s="213"/>
      <c r="BD241" s="28"/>
      <c r="BE241" s="41"/>
      <c r="BF241" s="28"/>
      <c r="BG241" s="28"/>
      <c r="BH241" s="213"/>
      <c r="BI241" s="28"/>
      <c r="BJ241" s="41"/>
      <c r="BK241" s="45"/>
      <c r="BL241" s="28"/>
      <c r="BM241" s="174"/>
    </row>
    <row r="242" spans="1:65" hidden="1" x14ac:dyDescent="0.25">
      <c r="A242" s="168" t="s">
        <v>210</v>
      </c>
      <c r="B242" s="187"/>
      <c r="C242" s="167"/>
      <c r="D242" s="167" t="s">
        <v>149</v>
      </c>
      <c r="E242" s="167"/>
      <c r="F242" s="239" t="s">
        <v>43</v>
      </c>
      <c r="G242" s="81"/>
      <c r="H242" s="170"/>
      <c r="I242" s="170"/>
      <c r="J242" s="170">
        <v>0</v>
      </c>
      <c r="K242" s="170"/>
      <c r="L242" s="189">
        <v>0</v>
      </c>
      <c r="M242" s="170"/>
      <c r="N242" s="170">
        <v>0</v>
      </c>
      <c r="O242" s="81"/>
      <c r="P242" s="189">
        <v>0</v>
      </c>
      <c r="Q242" s="81"/>
      <c r="R242" s="170">
        <v>0</v>
      </c>
      <c r="S242" s="81"/>
      <c r="T242" s="189">
        <v>0</v>
      </c>
      <c r="U242" s="81"/>
      <c r="V242" s="170">
        <v>0</v>
      </c>
      <c r="W242" s="81"/>
      <c r="X242" s="189">
        <v>0</v>
      </c>
      <c r="Y242" s="81"/>
      <c r="Z242" s="170">
        <v>0</v>
      </c>
      <c r="AA242" s="170"/>
      <c r="AB242" s="189">
        <v>0</v>
      </c>
      <c r="AC242" s="81"/>
      <c r="AD242" s="170">
        <f>J242+N242+R242+V242+Z242</f>
        <v>0</v>
      </c>
      <c r="AE242" s="170"/>
      <c r="AF242" s="189">
        <f t="shared" ref="AF242:AF255" si="71">L242+P242+T242+X242+AB242</f>
        <v>0</v>
      </c>
      <c r="AG242" s="28"/>
      <c r="AH242" s="28"/>
      <c r="AI242" s="28"/>
      <c r="AJ242" s="60"/>
      <c r="AK242" s="45"/>
      <c r="AL242" s="60"/>
      <c r="AM242" s="60"/>
      <c r="AN242" s="213"/>
      <c r="AO242" s="28"/>
      <c r="AP242" s="41"/>
      <c r="AQ242" s="28"/>
      <c r="AR242" s="28"/>
      <c r="AS242" s="213"/>
      <c r="AT242" s="28"/>
      <c r="AU242" s="41"/>
      <c r="AV242" s="28"/>
      <c r="AW242" s="28"/>
      <c r="AX242" s="213"/>
      <c r="AY242" s="28"/>
      <c r="AZ242" s="41"/>
      <c r="BA242" s="28"/>
      <c r="BB242" s="28"/>
      <c r="BC242" s="213"/>
      <c r="BD242" s="28"/>
      <c r="BE242" s="41"/>
      <c r="BF242" s="28"/>
      <c r="BG242" s="28"/>
      <c r="BH242" s="213"/>
      <c r="BI242" s="28"/>
      <c r="BJ242" s="41"/>
      <c r="BK242" s="45"/>
      <c r="BL242" s="28"/>
      <c r="BM242" s="174"/>
    </row>
    <row r="243" spans="1:65" hidden="1" x14ac:dyDescent="0.25">
      <c r="A243" s="168" t="s">
        <v>210</v>
      </c>
      <c r="B243" s="187"/>
      <c r="C243" s="167"/>
      <c r="D243" s="167"/>
      <c r="E243" s="167"/>
      <c r="F243" s="239" t="s">
        <v>102</v>
      </c>
      <c r="G243" s="239"/>
      <c r="H243" s="170"/>
      <c r="I243" s="170"/>
      <c r="J243" s="170">
        <v>0</v>
      </c>
      <c r="K243" s="170"/>
      <c r="L243" s="189">
        <v>0</v>
      </c>
      <c r="M243" s="170"/>
      <c r="N243" s="170">
        <v>0</v>
      </c>
      <c r="O243" s="81"/>
      <c r="P243" s="189">
        <v>0</v>
      </c>
      <c r="Q243" s="81"/>
      <c r="R243" s="170">
        <v>0</v>
      </c>
      <c r="S243" s="81"/>
      <c r="T243" s="189">
        <v>0</v>
      </c>
      <c r="U243" s="81"/>
      <c r="V243" s="170">
        <v>0</v>
      </c>
      <c r="W243" s="81"/>
      <c r="X243" s="189">
        <v>0</v>
      </c>
      <c r="Y243" s="81"/>
      <c r="Z243" s="170">
        <v>0</v>
      </c>
      <c r="AA243" s="170"/>
      <c r="AB243" s="189">
        <v>0</v>
      </c>
      <c r="AC243" s="81"/>
      <c r="AD243" s="170">
        <f t="shared" ref="AD243:AD255" si="72">J243+N243+R243+V243+Z243</f>
        <v>0</v>
      </c>
      <c r="AE243" s="170"/>
      <c r="AF243" s="189">
        <f t="shared" si="71"/>
        <v>0</v>
      </c>
      <c r="AG243" s="28"/>
      <c r="AH243" s="28"/>
      <c r="AI243" s="28"/>
      <c r="AJ243" s="60"/>
      <c r="AK243" s="45"/>
      <c r="AL243" s="173"/>
      <c r="AM243" s="173"/>
      <c r="AN243" s="213"/>
      <c r="AO243" s="28"/>
      <c r="AP243" s="41"/>
      <c r="AQ243" s="28"/>
      <c r="AR243" s="28"/>
      <c r="AS243" s="213"/>
      <c r="AT243" s="28"/>
      <c r="AU243" s="41"/>
      <c r="AV243" s="28"/>
      <c r="AW243" s="28"/>
      <c r="AX243" s="213"/>
      <c r="AY243" s="28"/>
      <c r="AZ243" s="41"/>
      <c r="BA243" s="28"/>
      <c r="BB243" s="28"/>
      <c r="BC243" s="213"/>
      <c r="BD243" s="28"/>
      <c r="BE243" s="41"/>
      <c r="BF243" s="28"/>
      <c r="BG243" s="28"/>
      <c r="BH243" s="213"/>
      <c r="BI243" s="28"/>
      <c r="BJ243" s="41"/>
      <c r="BK243" s="45"/>
      <c r="BL243" s="28"/>
      <c r="BM243" s="174"/>
    </row>
    <row r="244" spans="1:65" hidden="1" x14ac:dyDescent="0.25">
      <c r="A244" s="168" t="s">
        <v>210</v>
      </c>
      <c r="B244" s="187"/>
      <c r="C244" s="167"/>
      <c r="D244" s="167" t="s">
        <v>150</v>
      </c>
      <c r="E244" s="167"/>
      <c r="F244" s="239" t="s">
        <v>43</v>
      </c>
      <c r="G244" s="239"/>
      <c r="H244" s="170"/>
      <c r="I244" s="170"/>
      <c r="J244" s="170">
        <v>0</v>
      </c>
      <c r="K244" s="170"/>
      <c r="L244" s="189">
        <v>0</v>
      </c>
      <c r="M244" s="170"/>
      <c r="N244" s="170">
        <v>0</v>
      </c>
      <c r="O244" s="81"/>
      <c r="P244" s="189">
        <v>0</v>
      </c>
      <c r="Q244" s="81"/>
      <c r="R244" s="170">
        <v>0</v>
      </c>
      <c r="S244" s="81"/>
      <c r="T244" s="189">
        <v>0</v>
      </c>
      <c r="U244" s="81"/>
      <c r="V244" s="170">
        <v>0</v>
      </c>
      <c r="W244" s="81"/>
      <c r="X244" s="189">
        <v>0</v>
      </c>
      <c r="Y244" s="81"/>
      <c r="Z244" s="170">
        <v>0</v>
      </c>
      <c r="AA244" s="170"/>
      <c r="AB244" s="189">
        <v>0</v>
      </c>
      <c r="AC244" s="81"/>
      <c r="AD244" s="170">
        <f t="shared" si="72"/>
        <v>0</v>
      </c>
      <c r="AE244" s="170"/>
      <c r="AF244" s="189">
        <f t="shared" si="71"/>
        <v>0</v>
      </c>
      <c r="AG244" s="28"/>
      <c r="AH244" s="28"/>
      <c r="AI244" s="28"/>
      <c r="AJ244" s="60"/>
      <c r="AK244" s="45"/>
      <c r="AL244" s="173"/>
      <c r="AM244" s="173"/>
      <c r="AN244" s="213"/>
      <c r="AO244" s="28"/>
      <c r="AP244" s="41"/>
      <c r="AQ244" s="28"/>
      <c r="AR244" s="28"/>
      <c r="AS244" s="213"/>
      <c r="AT244" s="28"/>
      <c r="AU244" s="41"/>
      <c r="AV244" s="28"/>
      <c r="AW244" s="28"/>
      <c r="AX244" s="213"/>
      <c r="AY244" s="28"/>
      <c r="AZ244" s="41"/>
      <c r="BA244" s="28"/>
      <c r="BB244" s="28"/>
      <c r="BC244" s="213"/>
      <c r="BD244" s="28"/>
      <c r="BE244" s="41"/>
      <c r="BF244" s="28"/>
      <c r="BG244" s="28"/>
      <c r="BH244" s="213"/>
      <c r="BI244" s="28"/>
      <c r="BJ244" s="41"/>
      <c r="BK244" s="45"/>
      <c r="BL244" s="28"/>
      <c r="BM244" s="174"/>
    </row>
    <row r="245" spans="1:65" hidden="1" x14ac:dyDescent="0.25">
      <c r="A245" s="168" t="s">
        <v>210</v>
      </c>
      <c r="B245" s="187"/>
      <c r="C245" s="167"/>
      <c r="D245" s="167"/>
      <c r="E245" s="167"/>
      <c r="F245" s="239" t="s">
        <v>102</v>
      </c>
      <c r="G245" s="239"/>
      <c r="H245" s="170"/>
      <c r="I245" s="170"/>
      <c r="J245" s="170">
        <v>0</v>
      </c>
      <c r="K245" s="170"/>
      <c r="L245" s="189">
        <v>0</v>
      </c>
      <c r="M245" s="170"/>
      <c r="N245" s="170">
        <v>0</v>
      </c>
      <c r="O245" s="81"/>
      <c r="P245" s="189">
        <v>0</v>
      </c>
      <c r="Q245" s="81"/>
      <c r="R245" s="170">
        <v>0</v>
      </c>
      <c r="S245" s="81"/>
      <c r="T245" s="189">
        <v>0</v>
      </c>
      <c r="U245" s="81"/>
      <c r="V245" s="170">
        <v>0</v>
      </c>
      <c r="W245" s="81"/>
      <c r="X245" s="189">
        <v>0</v>
      </c>
      <c r="Y245" s="81"/>
      <c r="Z245" s="170">
        <v>0</v>
      </c>
      <c r="AA245" s="170"/>
      <c r="AB245" s="189">
        <v>0</v>
      </c>
      <c r="AC245" s="81"/>
      <c r="AD245" s="170">
        <f t="shared" si="72"/>
        <v>0</v>
      </c>
      <c r="AE245" s="170"/>
      <c r="AF245" s="189">
        <f t="shared" si="71"/>
        <v>0</v>
      </c>
      <c r="AG245" s="28"/>
      <c r="AH245" s="28"/>
      <c r="AI245" s="28"/>
      <c r="AJ245" s="60"/>
      <c r="AK245" s="45"/>
      <c r="AL245" s="173"/>
      <c r="AM245" s="173"/>
      <c r="AN245" s="213"/>
      <c r="AO245" s="28"/>
      <c r="AP245" s="41"/>
      <c r="AQ245" s="28"/>
      <c r="AR245" s="28"/>
      <c r="AS245" s="213"/>
      <c r="AT245" s="28"/>
      <c r="AU245" s="41"/>
      <c r="AV245" s="28"/>
      <c r="AW245" s="28"/>
      <c r="AX245" s="213"/>
      <c r="AY245" s="28"/>
      <c r="AZ245" s="41"/>
      <c r="BA245" s="28"/>
      <c r="BB245" s="28"/>
      <c r="BC245" s="213"/>
      <c r="BD245" s="28"/>
      <c r="BE245" s="41"/>
      <c r="BF245" s="28"/>
      <c r="BG245" s="28"/>
      <c r="BH245" s="213"/>
      <c r="BI245" s="28"/>
      <c r="BJ245" s="41"/>
      <c r="BK245" s="45"/>
      <c r="BL245" s="28"/>
      <c r="BM245" s="174"/>
    </row>
    <row r="246" spans="1:65" hidden="1" x14ac:dyDescent="0.25">
      <c r="A246" s="168" t="s">
        <v>210</v>
      </c>
      <c r="B246" s="187"/>
      <c r="C246" s="167"/>
      <c r="D246" s="167" t="s">
        <v>151</v>
      </c>
      <c r="E246" s="167"/>
      <c r="F246" s="239" t="s">
        <v>43</v>
      </c>
      <c r="G246" s="239"/>
      <c r="H246" s="170"/>
      <c r="I246" s="170"/>
      <c r="J246" s="170">
        <v>0</v>
      </c>
      <c r="K246" s="170"/>
      <c r="L246" s="189">
        <v>0</v>
      </c>
      <c r="M246" s="170"/>
      <c r="N246" s="170">
        <v>0</v>
      </c>
      <c r="O246" s="170"/>
      <c r="P246" s="189">
        <v>0</v>
      </c>
      <c r="Q246" s="81"/>
      <c r="R246" s="170">
        <v>0</v>
      </c>
      <c r="S246" s="170"/>
      <c r="T246" s="189">
        <v>0</v>
      </c>
      <c r="U246" s="81"/>
      <c r="V246" s="170">
        <v>0</v>
      </c>
      <c r="W246" s="170"/>
      <c r="X246" s="189">
        <v>0</v>
      </c>
      <c r="Y246" s="81"/>
      <c r="Z246" s="170">
        <v>0</v>
      </c>
      <c r="AA246" s="170"/>
      <c r="AB246" s="189">
        <v>0</v>
      </c>
      <c r="AC246" s="81"/>
      <c r="AD246" s="170">
        <f t="shared" si="72"/>
        <v>0</v>
      </c>
      <c r="AE246" s="170"/>
      <c r="AF246" s="189">
        <f t="shared" si="71"/>
        <v>0</v>
      </c>
      <c r="AG246" s="28"/>
      <c r="AH246" s="28"/>
      <c r="AI246" s="28"/>
      <c r="AJ246" s="60"/>
      <c r="AK246" s="45"/>
      <c r="AL246" s="173"/>
      <c r="AM246" s="173"/>
      <c r="AN246" s="213"/>
      <c r="AO246" s="28"/>
      <c r="AP246" s="41"/>
      <c r="AQ246" s="28"/>
      <c r="AR246" s="28"/>
      <c r="AS246" s="213"/>
      <c r="AT246" s="28"/>
      <c r="AU246" s="41"/>
      <c r="AV246" s="28"/>
      <c r="AW246" s="28"/>
      <c r="AX246" s="213"/>
      <c r="AY246" s="28"/>
      <c r="AZ246" s="41"/>
      <c r="BA246" s="28"/>
      <c r="BB246" s="28"/>
      <c r="BC246" s="213"/>
      <c r="BD246" s="28"/>
      <c r="BE246" s="41"/>
      <c r="BF246" s="28"/>
      <c r="BG246" s="28"/>
      <c r="BH246" s="213"/>
      <c r="BI246" s="28"/>
      <c r="BJ246" s="41"/>
      <c r="BK246" s="45"/>
      <c r="BL246" s="28"/>
      <c r="BM246" s="174"/>
    </row>
    <row r="247" spans="1:65" hidden="1" x14ac:dyDescent="0.25">
      <c r="A247" s="168" t="s">
        <v>210</v>
      </c>
      <c r="B247" s="187"/>
      <c r="C247" s="167"/>
      <c r="D247" s="167"/>
      <c r="E247" s="167"/>
      <c r="F247" s="239" t="s">
        <v>102</v>
      </c>
      <c r="G247" s="239"/>
      <c r="H247" s="170"/>
      <c r="I247" s="170"/>
      <c r="J247" s="170">
        <v>0</v>
      </c>
      <c r="K247" s="170"/>
      <c r="L247" s="189">
        <v>0</v>
      </c>
      <c r="M247" s="170"/>
      <c r="N247" s="170">
        <v>0</v>
      </c>
      <c r="O247" s="170"/>
      <c r="P247" s="189">
        <v>0</v>
      </c>
      <c r="Q247" s="81"/>
      <c r="R247" s="170">
        <v>0</v>
      </c>
      <c r="S247" s="170"/>
      <c r="T247" s="189">
        <v>0</v>
      </c>
      <c r="U247" s="81"/>
      <c r="V247" s="170">
        <v>0</v>
      </c>
      <c r="W247" s="170"/>
      <c r="X247" s="189">
        <v>0</v>
      </c>
      <c r="Y247" s="81"/>
      <c r="Z247" s="170">
        <v>0</v>
      </c>
      <c r="AA247" s="170"/>
      <c r="AB247" s="189">
        <v>0</v>
      </c>
      <c r="AC247" s="81"/>
      <c r="AD247" s="170">
        <f t="shared" si="72"/>
        <v>0</v>
      </c>
      <c r="AE247" s="170"/>
      <c r="AF247" s="189">
        <f t="shared" si="71"/>
        <v>0</v>
      </c>
      <c r="AG247" s="28"/>
      <c r="AH247" s="28"/>
      <c r="AI247" s="28"/>
      <c r="AJ247" s="60"/>
      <c r="AK247" s="45"/>
      <c r="AL247" s="173"/>
      <c r="AM247" s="173"/>
      <c r="AN247" s="213"/>
      <c r="AO247" s="28"/>
      <c r="AP247" s="41"/>
      <c r="AQ247" s="28"/>
      <c r="AR247" s="28"/>
      <c r="AS247" s="213"/>
      <c r="AT247" s="28"/>
      <c r="AU247" s="41"/>
      <c r="AV247" s="28"/>
      <c r="AW247" s="28"/>
      <c r="AX247" s="213"/>
      <c r="AY247" s="28"/>
      <c r="AZ247" s="41"/>
      <c r="BA247" s="28"/>
      <c r="BB247" s="28"/>
      <c r="BC247" s="213"/>
      <c r="BD247" s="28"/>
      <c r="BE247" s="41"/>
      <c r="BF247" s="28"/>
      <c r="BG247" s="28"/>
      <c r="BH247" s="213"/>
      <c r="BI247" s="28"/>
      <c r="BJ247" s="41"/>
      <c r="BK247" s="45"/>
      <c r="BL247" s="28"/>
      <c r="BM247" s="174"/>
    </row>
    <row r="248" spans="1:65" hidden="1" x14ac:dyDescent="0.25">
      <c r="A248" s="168" t="s">
        <v>210</v>
      </c>
      <c r="B248" s="187"/>
      <c r="C248" s="167"/>
      <c r="D248" s="167" t="s">
        <v>248</v>
      </c>
      <c r="E248" s="167"/>
      <c r="F248" s="239" t="s">
        <v>43</v>
      </c>
      <c r="G248" s="239"/>
      <c r="H248" s="170"/>
      <c r="I248" s="170"/>
      <c r="J248" s="170">
        <v>0</v>
      </c>
      <c r="K248" s="170"/>
      <c r="L248" s="189">
        <v>0</v>
      </c>
      <c r="M248" s="170"/>
      <c r="N248" s="170">
        <v>0</v>
      </c>
      <c r="O248" s="170"/>
      <c r="P248" s="189">
        <v>0</v>
      </c>
      <c r="Q248" s="81"/>
      <c r="R248" s="170">
        <v>0</v>
      </c>
      <c r="S248" s="170"/>
      <c r="T248" s="189">
        <v>0</v>
      </c>
      <c r="U248" s="81"/>
      <c r="V248" s="170">
        <v>0</v>
      </c>
      <c r="W248" s="170"/>
      <c r="X248" s="189">
        <v>0</v>
      </c>
      <c r="Y248" s="81"/>
      <c r="Z248" s="170">
        <v>0</v>
      </c>
      <c r="AA248" s="170"/>
      <c r="AB248" s="189">
        <v>0</v>
      </c>
      <c r="AC248" s="81"/>
      <c r="AD248" s="170">
        <f t="shared" si="72"/>
        <v>0</v>
      </c>
      <c r="AE248" s="170"/>
      <c r="AF248" s="189">
        <f t="shared" si="71"/>
        <v>0</v>
      </c>
      <c r="AG248" s="28"/>
      <c r="AH248" s="28"/>
      <c r="AI248" s="28"/>
      <c r="AJ248" s="60"/>
      <c r="AK248" s="45"/>
      <c r="AL248" s="173"/>
      <c r="AM248" s="173"/>
      <c r="AN248" s="213"/>
      <c r="AO248" s="28"/>
      <c r="AP248" s="41"/>
      <c r="AQ248" s="28"/>
      <c r="AR248" s="28"/>
      <c r="AS248" s="213"/>
      <c r="AT248" s="28"/>
      <c r="AU248" s="41"/>
      <c r="AV248" s="28"/>
      <c r="AW248" s="28"/>
      <c r="AX248" s="213"/>
      <c r="AY248" s="28"/>
      <c r="AZ248" s="41"/>
      <c r="BA248" s="28"/>
      <c r="BB248" s="28"/>
      <c r="BC248" s="213"/>
      <c r="BD248" s="28"/>
      <c r="BE248" s="41"/>
      <c r="BF248" s="28"/>
      <c r="BG248" s="28"/>
      <c r="BH248" s="213"/>
      <c r="BI248" s="28"/>
      <c r="BJ248" s="41"/>
      <c r="BK248" s="45"/>
      <c r="BL248" s="28"/>
      <c r="BM248" s="174"/>
    </row>
    <row r="249" spans="1:65" hidden="1" x14ac:dyDescent="0.25">
      <c r="A249" s="168" t="s">
        <v>210</v>
      </c>
      <c r="B249" s="187"/>
      <c r="C249" s="167"/>
      <c r="D249" s="167"/>
      <c r="E249" s="167"/>
      <c r="F249" s="239" t="s">
        <v>102</v>
      </c>
      <c r="G249" s="239"/>
      <c r="H249" s="170"/>
      <c r="I249" s="170"/>
      <c r="J249" s="170">
        <v>0</v>
      </c>
      <c r="K249" s="170"/>
      <c r="L249" s="189">
        <v>0</v>
      </c>
      <c r="M249" s="170"/>
      <c r="N249" s="170">
        <v>0</v>
      </c>
      <c r="O249" s="170"/>
      <c r="P249" s="189">
        <v>0</v>
      </c>
      <c r="Q249" s="81"/>
      <c r="R249" s="170">
        <v>0</v>
      </c>
      <c r="S249" s="170"/>
      <c r="T249" s="189">
        <v>0</v>
      </c>
      <c r="U249" s="81"/>
      <c r="V249" s="170">
        <v>0</v>
      </c>
      <c r="W249" s="170"/>
      <c r="X249" s="189">
        <v>0</v>
      </c>
      <c r="Y249" s="81"/>
      <c r="Z249" s="170">
        <v>0</v>
      </c>
      <c r="AA249" s="170"/>
      <c r="AB249" s="189">
        <v>0</v>
      </c>
      <c r="AC249" s="81"/>
      <c r="AD249" s="170">
        <f t="shared" si="72"/>
        <v>0</v>
      </c>
      <c r="AE249" s="170"/>
      <c r="AF249" s="189">
        <f t="shared" si="71"/>
        <v>0</v>
      </c>
      <c r="AG249" s="28"/>
      <c r="AH249" s="28"/>
      <c r="AI249" s="28"/>
      <c r="AJ249" s="60"/>
      <c r="AK249" s="45"/>
      <c r="AL249" s="173"/>
      <c r="AM249" s="173"/>
      <c r="AN249" s="213"/>
      <c r="AO249" s="28"/>
      <c r="AP249" s="41"/>
      <c r="AQ249" s="28"/>
      <c r="AR249" s="28"/>
      <c r="AS249" s="213"/>
      <c r="AT249" s="28"/>
      <c r="AU249" s="41"/>
      <c r="AV249" s="28"/>
      <c r="AW249" s="28"/>
      <c r="AX249" s="213"/>
      <c r="AY249" s="28"/>
      <c r="AZ249" s="41"/>
      <c r="BA249" s="28"/>
      <c r="BB249" s="28"/>
      <c r="BC249" s="213"/>
      <c r="BD249" s="28"/>
      <c r="BE249" s="41"/>
      <c r="BF249" s="28"/>
      <c r="BG249" s="28"/>
      <c r="BH249" s="213"/>
      <c r="BI249" s="28"/>
      <c r="BJ249" s="41"/>
      <c r="BK249" s="45"/>
      <c r="BL249" s="28"/>
      <c r="BM249" s="174"/>
    </row>
    <row r="250" spans="1:65" hidden="1" x14ac:dyDescent="0.25">
      <c r="A250" s="168" t="s">
        <v>210</v>
      </c>
      <c r="B250" s="187"/>
      <c r="C250" s="167"/>
      <c r="D250" s="167" t="s">
        <v>249</v>
      </c>
      <c r="E250" s="167"/>
      <c r="F250" s="239" t="s">
        <v>43</v>
      </c>
      <c r="G250" s="239"/>
      <c r="H250" s="170"/>
      <c r="I250" s="170"/>
      <c r="J250" s="170">
        <v>0</v>
      </c>
      <c r="K250" s="170"/>
      <c r="L250" s="189">
        <v>0</v>
      </c>
      <c r="M250" s="170"/>
      <c r="N250" s="170">
        <v>0</v>
      </c>
      <c r="O250" s="170"/>
      <c r="P250" s="189">
        <v>0</v>
      </c>
      <c r="Q250" s="81"/>
      <c r="R250" s="170">
        <v>0</v>
      </c>
      <c r="S250" s="170"/>
      <c r="T250" s="189">
        <v>0</v>
      </c>
      <c r="U250" s="81"/>
      <c r="V250" s="170">
        <v>0</v>
      </c>
      <c r="W250" s="170"/>
      <c r="X250" s="189">
        <v>0</v>
      </c>
      <c r="Y250" s="81"/>
      <c r="Z250" s="170">
        <v>0</v>
      </c>
      <c r="AA250" s="170"/>
      <c r="AB250" s="189">
        <v>0</v>
      </c>
      <c r="AC250" s="81"/>
      <c r="AD250" s="170">
        <f t="shared" si="72"/>
        <v>0</v>
      </c>
      <c r="AE250" s="170"/>
      <c r="AF250" s="189">
        <f t="shared" si="71"/>
        <v>0</v>
      </c>
      <c r="AG250" s="28"/>
      <c r="AH250" s="28"/>
      <c r="AI250" s="28"/>
      <c r="AJ250" s="60"/>
      <c r="AK250" s="45"/>
      <c r="AL250" s="173"/>
      <c r="AM250" s="173"/>
      <c r="AN250" s="213"/>
      <c r="AO250" s="28"/>
      <c r="AP250" s="41"/>
      <c r="AQ250" s="28"/>
      <c r="AR250" s="28"/>
      <c r="AS250" s="213"/>
      <c r="AT250" s="28"/>
      <c r="AU250" s="41"/>
      <c r="AV250" s="28"/>
      <c r="AW250" s="28"/>
      <c r="AX250" s="213"/>
      <c r="AY250" s="28"/>
      <c r="AZ250" s="41"/>
      <c r="BA250" s="28"/>
      <c r="BB250" s="28"/>
      <c r="BC250" s="213"/>
      <c r="BD250" s="28"/>
      <c r="BE250" s="41"/>
      <c r="BF250" s="28"/>
      <c r="BG250" s="28"/>
      <c r="BH250" s="213"/>
      <c r="BI250" s="28"/>
      <c r="BJ250" s="41"/>
      <c r="BK250" s="45"/>
      <c r="BL250" s="28"/>
      <c r="BM250" s="174"/>
    </row>
    <row r="251" spans="1:65" hidden="1" x14ac:dyDescent="0.25">
      <c r="A251" s="168" t="s">
        <v>210</v>
      </c>
      <c r="B251" s="187"/>
      <c r="C251" s="167"/>
      <c r="D251" s="167"/>
      <c r="E251" s="167"/>
      <c r="F251" s="239" t="s">
        <v>102</v>
      </c>
      <c r="G251" s="239"/>
      <c r="H251" s="170"/>
      <c r="I251" s="170"/>
      <c r="J251" s="170">
        <v>0</v>
      </c>
      <c r="K251" s="170"/>
      <c r="L251" s="189">
        <v>0</v>
      </c>
      <c r="M251" s="170"/>
      <c r="N251" s="170">
        <v>0</v>
      </c>
      <c r="O251" s="170"/>
      <c r="P251" s="189">
        <v>0</v>
      </c>
      <c r="Q251" s="81"/>
      <c r="R251" s="170">
        <v>0</v>
      </c>
      <c r="S251" s="170"/>
      <c r="T251" s="189">
        <v>0</v>
      </c>
      <c r="U251" s="81"/>
      <c r="V251" s="170">
        <v>0</v>
      </c>
      <c r="W251" s="170"/>
      <c r="X251" s="189">
        <v>0</v>
      </c>
      <c r="Y251" s="81"/>
      <c r="Z251" s="170">
        <v>0</v>
      </c>
      <c r="AA251" s="170"/>
      <c r="AB251" s="189">
        <v>0</v>
      </c>
      <c r="AC251" s="81"/>
      <c r="AD251" s="170">
        <f t="shared" si="72"/>
        <v>0</v>
      </c>
      <c r="AE251" s="170"/>
      <c r="AF251" s="189">
        <f t="shared" si="71"/>
        <v>0</v>
      </c>
      <c r="AG251" s="28"/>
      <c r="AH251" s="28"/>
      <c r="AI251" s="28"/>
      <c r="AJ251" s="60"/>
      <c r="AK251" s="45"/>
      <c r="AL251" s="173"/>
      <c r="AM251" s="173"/>
      <c r="AN251" s="213"/>
      <c r="AO251" s="28"/>
      <c r="AP251" s="41"/>
      <c r="AQ251" s="28"/>
      <c r="AR251" s="28"/>
      <c r="AS251" s="213"/>
      <c r="AT251" s="28"/>
      <c r="AU251" s="41"/>
      <c r="AV251" s="28"/>
      <c r="AW251" s="28"/>
      <c r="AX251" s="213"/>
      <c r="AY251" s="28"/>
      <c r="AZ251" s="41"/>
      <c r="BA251" s="28"/>
      <c r="BB251" s="28"/>
      <c r="BC251" s="213"/>
      <c r="BD251" s="28"/>
      <c r="BE251" s="41"/>
      <c r="BF251" s="28"/>
      <c r="BG251" s="28"/>
      <c r="BH251" s="213"/>
      <c r="BI251" s="28"/>
      <c r="BJ251" s="41"/>
      <c r="BK251" s="45"/>
      <c r="BL251" s="28"/>
      <c r="BM251" s="174"/>
    </row>
    <row r="252" spans="1:65" hidden="1" x14ac:dyDescent="0.25">
      <c r="A252" s="168" t="s">
        <v>210</v>
      </c>
      <c r="B252" s="187"/>
      <c r="C252" s="167"/>
      <c r="D252" s="167" t="s">
        <v>250</v>
      </c>
      <c r="E252" s="167"/>
      <c r="F252" s="239" t="s">
        <v>43</v>
      </c>
      <c r="G252" s="239"/>
      <c r="H252" s="170"/>
      <c r="I252" s="170"/>
      <c r="J252" s="170">
        <v>0</v>
      </c>
      <c r="K252" s="170"/>
      <c r="L252" s="189">
        <v>0</v>
      </c>
      <c r="M252" s="170"/>
      <c r="N252" s="170">
        <v>0</v>
      </c>
      <c r="O252" s="170"/>
      <c r="P252" s="189">
        <v>0</v>
      </c>
      <c r="Q252" s="81"/>
      <c r="R252" s="170">
        <v>0</v>
      </c>
      <c r="S252" s="170"/>
      <c r="T252" s="189">
        <v>0</v>
      </c>
      <c r="U252" s="81"/>
      <c r="V252" s="170">
        <v>0</v>
      </c>
      <c r="W252" s="170"/>
      <c r="X252" s="189">
        <v>0</v>
      </c>
      <c r="Y252" s="81"/>
      <c r="Z252" s="170">
        <v>0</v>
      </c>
      <c r="AA252" s="170"/>
      <c r="AB252" s="189">
        <v>0</v>
      </c>
      <c r="AC252" s="81"/>
      <c r="AD252" s="170">
        <f t="shared" si="72"/>
        <v>0</v>
      </c>
      <c r="AE252" s="170"/>
      <c r="AF252" s="189">
        <f t="shared" si="71"/>
        <v>0</v>
      </c>
      <c r="AG252" s="28"/>
      <c r="AH252" s="28"/>
      <c r="AI252" s="28"/>
      <c r="AJ252" s="60"/>
      <c r="AK252" s="45"/>
      <c r="AL252" s="173"/>
      <c r="AM252" s="173"/>
      <c r="AN252" s="213"/>
      <c r="AO252" s="28"/>
      <c r="AP252" s="41"/>
      <c r="AQ252" s="28"/>
      <c r="AR252" s="28"/>
      <c r="AS252" s="213"/>
      <c r="AT252" s="28"/>
      <c r="AU252" s="41"/>
      <c r="AV252" s="28"/>
      <c r="AW252" s="28"/>
      <c r="AX252" s="213"/>
      <c r="AY252" s="28"/>
      <c r="AZ252" s="41"/>
      <c r="BA252" s="28"/>
      <c r="BB252" s="28"/>
      <c r="BC252" s="213"/>
      <c r="BD252" s="28"/>
      <c r="BE252" s="41"/>
      <c r="BF252" s="28"/>
      <c r="BG252" s="28"/>
      <c r="BH252" s="213"/>
      <c r="BI252" s="28"/>
      <c r="BJ252" s="41"/>
      <c r="BK252" s="45"/>
      <c r="BL252" s="28"/>
      <c r="BM252" s="174"/>
    </row>
    <row r="253" spans="1:65" hidden="1" x14ac:dyDescent="0.25">
      <c r="A253" s="168" t="s">
        <v>210</v>
      </c>
      <c r="B253" s="187"/>
      <c r="C253" s="167"/>
      <c r="D253" s="167"/>
      <c r="E253" s="167"/>
      <c r="F253" s="239" t="s">
        <v>102</v>
      </c>
      <c r="G253" s="239"/>
      <c r="H253" s="170"/>
      <c r="I253" s="170"/>
      <c r="J253" s="170">
        <v>0</v>
      </c>
      <c r="K253" s="170"/>
      <c r="L253" s="189">
        <v>0</v>
      </c>
      <c r="M253" s="170"/>
      <c r="N253" s="170">
        <v>0</v>
      </c>
      <c r="O253" s="170"/>
      <c r="P253" s="189">
        <v>0</v>
      </c>
      <c r="Q253" s="81"/>
      <c r="R253" s="170">
        <v>0</v>
      </c>
      <c r="S253" s="170"/>
      <c r="T253" s="189">
        <v>0</v>
      </c>
      <c r="U253" s="81"/>
      <c r="V253" s="170">
        <v>0</v>
      </c>
      <c r="W253" s="170"/>
      <c r="X253" s="189">
        <v>0</v>
      </c>
      <c r="Y253" s="81"/>
      <c r="Z253" s="170">
        <v>0</v>
      </c>
      <c r="AA253" s="170"/>
      <c r="AB253" s="189">
        <v>0</v>
      </c>
      <c r="AC253" s="81"/>
      <c r="AD253" s="170">
        <f t="shared" si="72"/>
        <v>0</v>
      </c>
      <c r="AE253" s="170"/>
      <c r="AF253" s="189">
        <f t="shared" si="71"/>
        <v>0</v>
      </c>
      <c r="AG253" s="28"/>
      <c r="AH253" s="28"/>
      <c r="AI253" s="28"/>
      <c r="AJ253" s="60"/>
      <c r="AK253" s="45"/>
      <c r="AL253" s="173"/>
      <c r="AM253" s="173"/>
      <c r="AN253" s="213"/>
      <c r="AO253" s="28"/>
      <c r="AP253" s="41"/>
      <c r="AQ253" s="28"/>
      <c r="AR253" s="28"/>
      <c r="AS253" s="213"/>
      <c r="AT253" s="28"/>
      <c r="AU253" s="41"/>
      <c r="AV253" s="28"/>
      <c r="AW253" s="28"/>
      <c r="AX253" s="213"/>
      <c r="AY253" s="28"/>
      <c r="AZ253" s="41"/>
      <c r="BA253" s="28"/>
      <c r="BB253" s="28"/>
      <c r="BC253" s="213"/>
      <c r="BD253" s="28"/>
      <c r="BE253" s="41"/>
      <c r="BF253" s="28"/>
      <c r="BG253" s="28"/>
      <c r="BH253" s="213"/>
      <c r="BI253" s="28"/>
      <c r="BJ253" s="41"/>
      <c r="BK253" s="45"/>
      <c r="BL253" s="28"/>
      <c r="BM253" s="174"/>
    </row>
    <row r="254" spans="1:65" hidden="1" x14ac:dyDescent="0.25">
      <c r="A254" s="168"/>
      <c r="B254" s="187"/>
      <c r="C254" s="167"/>
      <c r="D254" s="167"/>
      <c r="E254" s="167"/>
      <c r="F254" s="306" t="s">
        <v>255</v>
      </c>
      <c r="G254" s="239"/>
      <c r="H254" s="170"/>
      <c r="I254" s="170"/>
      <c r="J254" s="232">
        <f>SUM(J242:J253)</f>
        <v>0</v>
      </c>
      <c r="K254" s="232"/>
      <c r="L254" s="233">
        <f>SUM(L242:L253)</f>
        <v>0</v>
      </c>
      <c r="M254" s="232"/>
      <c r="N254" s="232">
        <f>SUM(N242:N253)</f>
        <v>0</v>
      </c>
      <c r="O254" s="232"/>
      <c r="P254" s="233">
        <f>SUM(P242:P253)</f>
        <v>0</v>
      </c>
      <c r="Q254" s="214"/>
      <c r="R254" s="232">
        <f>SUM(R242:R253)</f>
        <v>0</v>
      </c>
      <c r="S254" s="232"/>
      <c r="T254" s="233">
        <f>SUM(T242:T253)</f>
        <v>0</v>
      </c>
      <c r="U254" s="214"/>
      <c r="V254" s="232">
        <f>SUM(V242:V253)</f>
        <v>0</v>
      </c>
      <c r="W254" s="232"/>
      <c r="X254" s="233">
        <f>SUM(X242:X253)</f>
        <v>0</v>
      </c>
      <c r="Y254" s="214"/>
      <c r="Z254" s="232">
        <f>SUM(Z242:Z253)</f>
        <v>0</v>
      </c>
      <c r="AA254" s="232"/>
      <c r="AB254" s="233">
        <f>SUM(AB242:AB253)</f>
        <v>0</v>
      </c>
      <c r="AC254" s="214"/>
      <c r="AD254" s="232">
        <f t="shared" si="72"/>
        <v>0</v>
      </c>
      <c r="AE254" s="170"/>
      <c r="AF254" s="189">
        <f t="shared" si="71"/>
        <v>0</v>
      </c>
      <c r="AG254" s="28"/>
      <c r="AH254" s="28"/>
      <c r="AI254" s="28"/>
      <c r="AJ254" s="60"/>
      <c r="AK254" s="45"/>
      <c r="AL254" s="173"/>
      <c r="AM254" s="173"/>
      <c r="AN254" s="213"/>
      <c r="AO254" s="28"/>
      <c r="AP254" s="41"/>
      <c r="AQ254" s="28"/>
      <c r="AR254" s="28"/>
      <c r="AS254" s="213"/>
      <c r="AT254" s="28"/>
      <c r="AU254" s="41"/>
      <c r="AV254" s="28"/>
      <c r="AW254" s="28"/>
      <c r="AX254" s="213"/>
      <c r="AY254" s="28"/>
      <c r="AZ254" s="41"/>
      <c r="BA254" s="28"/>
      <c r="BB254" s="28"/>
      <c r="BC254" s="213"/>
      <c r="BD254" s="28"/>
      <c r="BE254" s="41"/>
      <c r="BF254" s="28"/>
      <c r="BG254" s="28"/>
      <c r="BH254" s="213"/>
      <c r="BI254" s="28"/>
      <c r="BJ254" s="41"/>
      <c r="BK254" s="45"/>
      <c r="BL254" s="28"/>
      <c r="BM254" s="174"/>
    </row>
    <row r="255" spans="1:65" x14ac:dyDescent="0.25">
      <c r="A255" s="168"/>
      <c r="B255" s="187"/>
      <c r="C255" s="167" t="s">
        <v>35</v>
      </c>
      <c r="D255" s="167"/>
      <c r="E255" s="167"/>
      <c r="F255" s="238"/>
      <c r="G255" s="238"/>
      <c r="H255" s="228"/>
      <c r="I255" s="228"/>
      <c r="J255" s="170">
        <v>0</v>
      </c>
      <c r="K255" s="170"/>
      <c r="L255" s="189">
        <v>0</v>
      </c>
      <c r="M255" s="170"/>
      <c r="N255" s="170">
        <v>0</v>
      </c>
      <c r="O255" s="170"/>
      <c r="P255" s="189">
        <v>0</v>
      </c>
      <c r="Q255" s="81"/>
      <c r="R255" s="170">
        <v>0</v>
      </c>
      <c r="S255" s="170"/>
      <c r="T255" s="189">
        <v>0</v>
      </c>
      <c r="U255" s="81"/>
      <c r="V255" s="170">
        <v>0</v>
      </c>
      <c r="W255" s="170"/>
      <c r="X255" s="189">
        <v>0</v>
      </c>
      <c r="Y255" s="81"/>
      <c r="Z255" s="170">
        <v>0</v>
      </c>
      <c r="AA255" s="170"/>
      <c r="AB255" s="189">
        <v>0</v>
      </c>
      <c r="AC255" s="81"/>
      <c r="AD255" s="170">
        <f t="shared" si="72"/>
        <v>0</v>
      </c>
      <c r="AE255" s="170"/>
      <c r="AF255" s="189">
        <f t="shared" si="71"/>
        <v>0</v>
      </c>
      <c r="AG255" s="28"/>
      <c r="AH255" s="28"/>
      <c r="AI255" s="28"/>
      <c r="AJ255" s="60"/>
      <c r="AK255" s="45"/>
      <c r="AL255" s="173"/>
      <c r="AM255" s="173"/>
      <c r="AN255" s="213"/>
      <c r="AO255" s="28"/>
      <c r="AP255" s="41"/>
      <c r="AQ255" s="28"/>
      <c r="AR255" s="28"/>
      <c r="AS255" s="213"/>
      <c r="AT255" s="28"/>
      <c r="AU255" s="41"/>
      <c r="AV255" s="28"/>
      <c r="AW255" s="28"/>
      <c r="AX255" s="213"/>
      <c r="AY255" s="28"/>
      <c r="AZ255" s="41"/>
      <c r="BA255" s="28"/>
      <c r="BB255" s="28"/>
      <c r="BC255" s="213"/>
      <c r="BD255" s="28"/>
      <c r="BE255" s="41"/>
      <c r="BF255" s="28"/>
      <c r="BG255" s="28"/>
      <c r="BH255" s="213"/>
      <c r="BI255" s="28"/>
      <c r="BJ255" s="41"/>
      <c r="BK255" s="45"/>
      <c r="BL255" s="28"/>
      <c r="BM255" s="174"/>
    </row>
    <row r="256" spans="1:65" hidden="1" x14ac:dyDescent="0.25">
      <c r="A256" s="313" t="s">
        <v>35</v>
      </c>
      <c r="B256" s="187"/>
      <c r="C256" s="167"/>
      <c r="D256" s="167" t="s">
        <v>260</v>
      </c>
      <c r="E256" s="167"/>
      <c r="F256" s="238"/>
      <c r="G256" s="238"/>
      <c r="H256" s="228"/>
      <c r="I256" s="228"/>
      <c r="J256" s="170">
        <f>'[1]DMS calculations'!J274</f>
        <v>0</v>
      </c>
      <c r="K256" s="170"/>
      <c r="L256" s="189"/>
      <c r="M256" s="170"/>
      <c r="N256" s="170">
        <f>'[1]DMS calculations'!N274</f>
        <v>0</v>
      </c>
      <c r="O256" s="170"/>
      <c r="P256" s="189"/>
      <c r="Q256" s="81"/>
      <c r="R256" s="170">
        <f>'[1]DMS calculations'!R274</f>
        <v>0</v>
      </c>
      <c r="S256" s="170"/>
      <c r="T256" s="189"/>
      <c r="U256" s="81"/>
      <c r="V256" s="170">
        <f>'[1]DMS calculations'!V274</f>
        <v>0</v>
      </c>
      <c r="W256" s="170"/>
      <c r="X256" s="189"/>
      <c r="Y256" s="81"/>
      <c r="Z256" s="170">
        <f>'[1]DMS calculations'!Z274</f>
        <v>0</v>
      </c>
      <c r="AA256" s="170"/>
      <c r="AB256" s="189"/>
      <c r="AC256" s="81"/>
      <c r="AD256" s="170">
        <f>J256+N256+R256+V256+Z256</f>
        <v>0</v>
      </c>
      <c r="AE256" s="170"/>
      <c r="AF256" s="189"/>
      <c r="AG256" s="28"/>
      <c r="AH256" s="81">
        <f>'[1]DMS calculations'!AD274</f>
        <v>0</v>
      </c>
      <c r="AI256" s="28" t="s">
        <v>261</v>
      </c>
      <c r="AJ256" s="60"/>
      <c r="AK256" s="45"/>
      <c r="AL256" s="173"/>
      <c r="AM256" s="173"/>
      <c r="AN256" s="213"/>
      <c r="AO256" s="28"/>
      <c r="AP256" s="41"/>
      <c r="AQ256" s="28"/>
      <c r="AR256" s="28"/>
      <c r="AS256" s="213"/>
      <c r="AT256" s="28"/>
      <c r="AU256" s="41"/>
      <c r="AV256" s="28"/>
      <c r="AW256" s="28"/>
      <c r="AX256" s="213"/>
      <c r="AY256" s="28"/>
      <c r="AZ256" s="41"/>
      <c r="BA256" s="28"/>
      <c r="BB256" s="28"/>
      <c r="BC256" s="213"/>
      <c r="BD256" s="28"/>
      <c r="BE256" s="41"/>
      <c r="BF256" s="28"/>
      <c r="BG256" s="28"/>
      <c r="BH256" s="213"/>
      <c r="BI256" s="28"/>
      <c r="BJ256" s="41"/>
      <c r="BK256" s="45"/>
      <c r="BL256" s="28"/>
      <c r="BM256" s="174"/>
    </row>
    <row r="257" spans="1:65" hidden="1" x14ac:dyDescent="0.25">
      <c r="A257" s="168" t="s">
        <v>207</v>
      </c>
      <c r="B257" s="187"/>
      <c r="C257" s="28"/>
      <c r="D257" s="167" t="s">
        <v>187</v>
      </c>
      <c r="E257" s="167"/>
      <c r="F257" s="221"/>
      <c r="G257" s="222"/>
      <c r="H257" s="222"/>
      <c r="I257" s="28"/>
      <c r="J257" s="81">
        <v>0</v>
      </c>
      <c r="K257" s="170"/>
      <c r="L257" s="189">
        <v>0</v>
      </c>
      <c r="M257" s="170"/>
      <c r="N257" s="170">
        <v>0</v>
      </c>
      <c r="O257" s="81"/>
      <c r="P257" s="189">
        <v>0</v>
      </c>
      <c r="Q257" s="81"/>
      <c r="R257" s="170">
        <v>0</v>
      </c>
      <c r="S257" s="81"/>
      <c r="T257" s="189">
        <v>0</v>
      </c>
      <c r="U257" s="81"/>
      <c r="V257" s="170">
        <v>0</v>
      </c>
      <c r="W257" s="81"/>
      <c r="X257" s="189">
        <v>0</v>
      </c>
      <c r="Y257" s="81"/>
      <c r="Z257" s="170">
        <v>0</v>
      </c>
      <c r="AA257" s="170"/>
      <c r="AB257" s="189">
        <v>0</v>
      </c>
      <c r="AC257" s="81"/>
      <c r="AD257" s="170">
        <f t="shared" ref="AD257:AD259" si="73">J257+N257+R257+V257+Z257</f>
        <v>0</v>
      </c>
      <c r="AE257" s="170"/>
      <c r="AF257" s="189">
        <f>L257+P257+T257+X257+AB257</f>
        <v>0</v>
      </c>
      <c r="AG257" s="28"/>
      <c r="AH257" s="28"/>
      <c r="AI257" s="28"/>
      <c r="AJ257" s="60"/>
      <c r="AK257" s="45"/>
      <c r="AL257" s="173"/>
      <c r="AM257" s="173"/>
      <c r="AN257" s="213"/>
      <c r="AO257" s="28"/>
      <c r="AP257" s="41"/>
      <c r="AQ257" s="28"/>
      <c r="AR257" s="28"/>
      <c r="AS257" s="213"/>
      <c r="AT257" s="28"/>
      <c r="AU257" s="41"/>
      <c r="AV257" s="28"/>
      <c r="AW257" s="28"/>
      <c r="AX257" s="213"/>
      <c r="AY257" s="28"/>
      <c r="AZ257" s="41"/>
      <c r="BA257" s="28"/>
      <c r="BB257" s="28"/>
      <c r="BC257" s="213"/>
      <c r="BD257" s="28"/>
      <c r="BE257" s="41"/>
      <c r="BF257" s="28"/>
      <c r="BG257" s="28"/>
      <c r="BH257" s="213"/>
      <c r="BI257" s="28"/>
      <c r="BJ257" s="41"/>
      <c r="BK257" s="45"/>
      <c r="BL257" s="28"/>
      <c r="BM257" s="174"/>
    </row>
    <row r="258" spans="1:65" x14ac:dyDescent="0.25">
      <c r="A258" s="168" t="s">
        <v>239</v>
      </c>
      <c r="B258" s="187"/>
      <c r="C258" s="28"/>
      <c r="D258" s="167" t="s">
        <v>228</v>
      </c>
      <c r="E258" s="167"/>
      <c r="F258" s="221"/>
      <c r="G258" s="222"/>
      <c r="H258" s="222"/>
      <c r="I258" s="28"/>
      <c r="J258" s="81">
        <v>0</v>
      </c>
      <c r="K258" s="170"/>
      <c r="L258" s="189">
        <v>0</v>
      </c>
      <c r="M258" s="170"/>
      <c r="N258" s="170">
        <v>0</v>
      </c>
      <c r="O258" s="81"/>
      <c r="P258" s="189">
        <v>0</v>
      </c>
      <c r="Q258" s="81"/>
      <c r="R258" s="170">
        <v>0</v>
      </c>
      <c r="S258" s="81"/>
      <c r="T258" s="189">
        <v>0</v>
      </c>
      <c r="U258" s="81"/>
      <c r="V258" s="170">
        <v>0</v>
      </c>
      <c r="W258" s="81"/>
      <c r="X258" s="189">
        <v>0</v>
      </c>
      <c r="Y258" s="81"/>
      <c r="Z258" s="170">
        <v>0</v>
      </c>
      <c r="AA258" s="170"/>
      <c r="AB258" s="189">
        <v>0</v>
      </c>
      <c r="AC258" s="81"/>
      <c r="AD258" s="170">
        <f t="shared" si="73"/>
        <v>0</v>
      </c>
      <c r="AE258" s="170"/>
      <c r="AF258" s="189"/>
      <c r="AG258" s="28"/>
      <c r="AH258" s="28"/>
      <c r="AI258" s="28"/>
      <c r="AJ258" s="60"/>
      <c r="AK258" s="45"/>
      <c r="AL258" s="173"/>
      <c r="AM258" s="173"/>
      <c r="AN258" s="213"/>
      <c r="AO258" s="28"/>
      <c r="AP258" s="41"/>
      <c r="AQ258" s="28"/>
      <c r="AR258" s="28"/>
      <c r="AS258" s="213"/>
      <c r="AT258" s="28"/>
      <c r="AU258" s="41"/>
      <c r="AV258" s="28"/>
      <c r="AW258" s="28"/>
      <c r="AX258" s="213"/>
      <c r="AY258" s="28"/>
      <c r="AZ258" s="41"/>
      <c r="BA258" s="28"/>
      <c r="BB258" s="28"/>
      <c r="BC258" s="213"/>
      <c r="BD258" s="28"/>
      <c r="BE258" s="41"/>
      <c r="BF258" s="28"/>
      <c r="BG258" s="28"/>
      <c r="BH258" s="213"/>
      <c r="BI258" s="28"/>
      <c r="BJ258" s="41"/>
      <c r="BK258" s="45"/>
      <c r="BL258" s="28"/>
      <c r="BM258" s="174"/>
    </row>
    <row r="259" spans="1:65" x14ac:dyDescent="0.25">
      <c r="A259" s="168" t="s">
        <v>202</v>
      </c>
      <c r="B259" s="28"/>
      <c r="C259" s="28"/>
      <c r="D259" s="28" t="s">
        <v>133</v>
      </c>
      <c r="E259" s="28"/>
      <c r="F259" s="81"/>
      <c r="G259" s="81"/>
      <c r="H259" s="28"/>
      <c r="I259" s="28"/>
      <c r="J259" s="170">
        <v>0</v>
      </c>
      <c r="K259" s="170"/>
      <c r="L259" s="189">
        <v>0</v>
      </c>
      <c r="M259" s="170"/>
      <c r="N259" s="170">
        <v>0</v>
      </c>
      <c r="O259" s="81"/>
      <c r="P259" s="189">
        <v>0</v>
      </c>
      <c r="Q259" s="81"/>
      <c r="R259" s="170">
        <v>0</v>
      </c>
      <c r="S259" s="81"/>
      <c r="T259" s="189">
        <v>0</v>
      </c>
      <c r="U259" s="81"/>
      <c r="V259" s="170">
        <v>0</v>
      </c>
      <c r="W259" s="81"/>
      <c r="X259" s="189">
        <v>0</v>
      </c>
      <c r="Y259" s="81"/>
      <c r="Z259" s="170">
        <v>0</v>
      </c>
      <c r="AA259" s="170"/>
      <c r="AB259" s="189">
        <v>0</v>
      </c>
      <c r="AC259" s="81"/>
      <c r="AD259" s="170">
        <f t="shared" si="73"/>
        <v>0</v>
      </c>
      <c r="AE259" s="170"/>
      <c r="AF259" s="189">
        <f t="shared" ref="AF259:AF260" si="74">L259+P259+T259+X259+AB259</f>
        <v>0</v>
      </c>
      <c r="AG259" s="28"/>
      <c r="AH259" s="81"/>
      <c r="AI259" s="28"/>
      <c r="AJ259" s="60"/>
      <c r="AK259" s="45"/>
      <c r="AL259" s="173"/>
      <c r="AM259" s="173"/>
      <c r="AN259" s="213"/>
      <c r="AO259" s="28"/>
      <c r="AP259" s="41"/>
      <c r="AQ259" s="28"/>
      <c r="AR259" s="28"/>
      <c r="AS259" s="213"/>
      <c r="AT259" s="28"/>
      <c r="AU259" s="41"/>
      <c r="AV259" s="28"/>
      <c r="AW259" s="28"/>
      <c r="AX259" s="213"/>
      <c r="AY259" s="28"/>
      <c r="AZ259" s="41"/>
      <c r="BA259" s="28"/>
      <c r="BB259" s="28"/>
      <c r="BC259" s="213"/>
      <c r="BD259" s="28"/>
      <c r="BE259" s="41"/>
      <c r="BF259" s="28"/>
      <c r="BG259" s="28"/>
      <c r="BH259" s="213"/>
      <c r="BI259" s="28"/>
      <c r="BJ259" s="41"/>
      <c r="BK259" s="45"/>
      <c r="BL259" s="28"/>
      <c r="BM259" s="174"/>
    </row>
    <row r="260" spans="1:65" hidden="1" x14ac:dyDescent="0.25">
      <c r="A260" s="168" t="s">
        <v>209</v>
      </c>
      <c r="B260" s="187"/>
      <c r="C260" s="28"/>
      <c r="D260" s="167" t="s">
        <v>134</v>
      </c>
      <c r="E260" s="167"/>
      <c r="F260" s="222"/>
      <c r="G260" s="225" t="s">
        <v>144</v>
      </c>
      <c r="H260" s="225" t="s">
        <v>145</v>
      </c>
      <c r="I260" s="240">
        <f>IF(AK12="Yes",F260*(1+AK6),F260)</f>
        <v>0</v>
      </c>
      <c r="J260" s="170">
        <v>0</v>
      </c>
      <c r="K260" s="170"/>
      <c r="L260" s="189">
        <v>0</v>
      </c>
      <c r="M260" s="170"/>
      <c r="N260" s="170">
        <v>0</v>
      </c>
      <c r="O260" s="170"/>
      <c r="P260" s="189">
        <v>0</v>
      </c>
      <c r="Q260" s="81"/>
      <c r="R260" s="170">
        <v>0</v>
      </c>
      <c r="S260" s="170"/>
      <c r="T260" s="189">
        <v>0</v>
      </c>
      <c r="U260" s="81"/>
      <c r="V260" s="170">
        <v>0</v>
      </c>
      <c r="W260" s="170"/>
      <c r="X260" s="189">
        <v>0</v>
      </c>
      <c r="Y260" s="81"/>
      <c r="Z260" s="170">
        <v>0</v>
      </c>
      <c r="AA260" s="170"/>
      <c r="AB260" s="189">
        <v>0</v>
      </c>
      <c r="AC260" s="81"/>
      <c r="AD260" s="170">
        <f>J260+N260+R260+V260+Z260</f>
        <v>0</v>
      </c>
      <c r="AE260" s="170"/>
      <c r="AF260" s="189">
        <f t="shared" si="74"/>
        <v>0</v>
      </c>
      <c r="AG260" s="28"/>
      <c r="AH260" s="28"/>
      <c r="AI260" s="28"/>
      <c r="AJ260" s="60"/>
      <c r="AK260" s="45"/>
      <c r="AL260" s="173"/>
      <c r="AM260" s="173"/>
      <c r="AN260" s="213"/>
      <c r="AO260" s="28"/>
      <c r="AP260" s="41"/>
      <c r="AQ260" s="28"/>
      <c r="AR260" s="28"/>
      <c r="AS260" s="213"/>
      <c r="AT260" s="28"/>
      <c r="AU260" s="41"/>
      <c r="AV260" s="28"/>
      <c r="AW260" s="28"/>
      <c r="AX260" s="213"/>
      <c r="AY260" s="28"/>
      <c r="AZ260" s="41"/>
      <c r="BA260" s="28"/>
      <c r="BB260" s="28"/>
      <c r="BC260" s="213"/>
      <c r="BD260" s="28"/>
      <c r="BE260" s="41"/>
      <c r="BF260" s="28"/>
      <c r="BG260" s="28"/>
      <c r="BH260" s="213"/>
      <c r="BI260" s="28"/>
      <c r="BJ260" s="41"/>
      <c r="BK260" s="45"/>
      <c r="BL260" s="28"/>
      <c r="BM260" s="174"/>
    </row>
    <row r="261" spans="1:65" x14ac:dyDescent="0.25">
      <c r="A261" s="167"/>
      <c r="B261" s="167"/>
      <c r="C261" s="167"/>
      <c r="D261" s="167"/>
      <c r="E261" s="167"/>
      <c r="F261" s="81"/>
      <c r="G261" s="81"/>
      <c r="H261" s="170"/>
      <c r="I261" s="170"/>
      <c r="J261" s="208"/>
      <c r="K261" s="170"/>
      <c r="L261" s="209"/>
      <c r="M261" s="170"/>
      <c r="N261" s="208"/>
      <c r="O261" s="81"/>
      <c r="P261" s="209"/>
      <c r="Q261" s="81"/>
      <c r="R261" s="210"/>
      <c r="S261" s="81"/>
      <c r="T261" s="211"/>
      <c r="U261" s="81"/>
      <c r="V261" s="210"/>
      <c r="W261" s="81"/>
      <c r="X261" s="211"/>
      <c r="Y261" s="81"/>
      <c r="Z261" s="210"/>
      <c r="AA261" s="81"/>
      <c r="AB261" s="211"/>
      <c r="AC261" s="81"/>
      <c r="AD261" s="208"/>
      <c r="AE261" s="172"/>
      <c r="AF261" s="212"/>
      <c r="AG261" s="28"/>
      <c r="AH261" s="28"/>
      <c r="AI261" s="28"/>
      <c r="AJ261" s="60"/>
      <c r="AK261" s="45"/>
      <c r="AL261" s="173"/>
      <c r="AM261" s="173"/>
      <c r="AN261" s="28"/>
      <c r="AO261" s="28"/>
      <c r="AP261" s="41"/>
      <c r="AQ261" s="28"/>
      <c r="AR261" s="28"/>
      <c r="AS261" s="28"/>
      <c r="AT261" s="28"/>
      <c r="AU261" s="41"/>
      <c r="AV261" s="28"/>
      <c r="AW261" s="28"/>
      <c r="AX261" s="28"/>
      <c r="AY261" s="28"/>
      <c r="AZ261" s="41"/>
      <c r="BA261" s="28"/>
      <c r="BB261" s="28"/>
      <c r="BC261" s="28"/>
      <c r="BD261" s="28"/>
      <c r="BE261" s="41"/>
      <c r="BF261" s="28"/>
      <c r="BG261" s="28"/>
      <c r="BH261" s="28"/>
      <c r="BI261" s="28"/>
      <c r="BJ261" s="41"/>
      <c r="BK261" s="45"/>
      <c r="BL261" s="28"/>
      <c r="BM261" s="174"/>
    </row>
    <row r="262" spans="1:65" x14ac:dyDescent="0.25">
      <c r="A262" s="167"/>
      <c r="B262" s="167"/>
      <c r="C262" s="167" t="s">
        <v>13</v>
      </c>
      <c r="D262" s="167"/>
      <c r="E262" s="167"/>
      <c r="F262" s="81"/>
      <c r="G262" s="81"/>
      <c r="H262" s="170"/>
      <c r="I262" s="170"/>
      <c r="J262" s="170">
        <f>SUM(J228:J260)-J254</f>
        <v>0</v>
      </c>
      <c r="K262" s="170"/>
      <c r="L262" s="189">
        <f>SUM(L228:L260)-L254</f>
        <v>0</v>
      </c>
      <c r="M262" s="170"/>
      <c r="N262" s="170">
        <f>SUM(N228:N260)-N254</f>
        <v>0</v>
      </c>
      <c r="O262" s="170"/>
      <c r="P262" s="189">
        <f>SUM(P228:P260)-P254</f>
        <v>0</v>
      </c>
      <c r="Q262" s="81"/>
      <c r="R262" s="170">
        <f>SUM(R228:R260)-R254</f>
        <v>0</v>
      </c>
      <c r="S262" s="170"/>
      <c r="T262" s="189">
        <f>SUM(T228:T260)-T254</f>
        <v>0</v>
      </c>
      <c r="U262" s="81"/>
      <c r="V262" s="170">
        <f>SUM(V228:V260)-V254</f>
        <v>0</v>
      </c>
      <c r="W262" s="170"/>
      <c r="X262" s="189">
        <f>SUM(X228:X260)-X254</f>
        <v>0</v>
      </c>
      <c r="Y262" s="81"/>
      <c r="Z262" s="170">
        <f>SUM(Z228:Z260)-Z254</f>
        <v>0</v>
      </c>
      <c r="AA262" s="170"/>
      <c r="AB262" s="189">
        <f>SUM(AB228:AB260)-AB254</f>
        <v>0</v>
      </c>
      <c r="AC262" s="81"/>
      <c r="AD262" s="170">
        <f>J262+N262+R262+V262+Z262</f>
        <v>0</v>
      </c>
      <c r="AE262" s="170"/>
      <c r="AF262" s="189">
        <f>L262+P262+T262+X262+AB262</f>
        <v>0</v>
      </c>
      <c r="AG262" s="28"/>
      <c r="AH262" s="28"/>
      <c r="AI262" s="28"/>
      <c r="AJ262" s="60"/>
      <c r="AK262" s="45"/>
      <c r="AL262" s="173"/>
      <c r="AM262" s="173"/>
      <c r="AN262" s="28"/>
      <c r="AO262" s="28"/>
      <c r="AP262" s="41"/>
      <c r="AQ262" s="28"/>
      <c r="AR262" s="28"/>
      <c r="AS262" s="28"/>
      <c r="AT262" s="28"/>
      <c r="AU262" s="41"/>
      <c r="AV262" s="28"/>
      <c r="AW262" s="28"/>
      <c r="AX262" s="28"/>
      <c r="AY262" s="28"/>
      <c r="AZ262" s="41"/>
      <c r="BA262" s="28"/>
      <c r="BB262" s="28"/>
      <c r="BC262" s="28"/>
      <c r="BD262" s="28"/>
      <c r="BE262" s="41"/>
      <c r="BF262" s="28"/>
      <c r="BG262" s="28"/>
      <c r="BH262" s="28"/>
      <c r="BI262" s="28"/>
      <c r="BJ262" s="41"/>
      <c r="BK262" s="45"/>
      <c r="BL262" s="28"/>
      <c r="BM262" s="174"/>
    </row>
    <row r="263" spans="1:65" ht="16.5" customHeight="1" x14ac:dyDescent="0.25">
      <c r="A263" s="167"/>
      <c r="B263" s="167"/>
      <c r="C263" s="167"/>
      <c r="D263" s="167"/>
      <c r="E263" s="167"/>
      <c r="F263" s="81"/>
      <c r="G263" s="81"/>
      <c r="H263" s="170"/>
      <c r="I263" s="170"/>
      <c r="J263" s="170"/>
      <c r="K263" s="170"/>
      <c r="L263" s="189"/>
      <c r="M263" s="170"/>
      <c r="N263" s="170"/>
      <c r="O263" s="81"/>
      <c r="P263" s="189"/>
      <c r="Q263" s="81"/>
      <c r="R263" s="81"/>
      <c r="S263" s="81"/>
      <c r="T263" s="192"/>
      <c r="U263" s="81"/>
      <c r="V263" s="81"/>
      <c r="W263" s="81"/>
      <c r="X263" s="192"/>
      <c r="Y263" s="81"/>
      <c r="Z263" s="81"/>
      <c r="AA263" s="81"/>
      <c r="AB263" s="192"/>
      <c r="AC263" s="81"/>
      <c r="AD263" s="170"/>
      <c r="AE263" s="172"/>
      <c r="AF263" s="190"/>
      <c r="AG263" s="28"/>
      <c r="AH263" s="28"/>
      <c r="AI263" s="28"/>
      <c r="AJ263" s="60"/>
      <c r="AK263" s="45"/>
      <c r="AL263" s="173"/>
      <c r="AM263" s="173"/>
      <c r="AN263" s="28"/>
      <c r="AO263" s="28"/>
      <c r="AP263" s="41"/>
      <c r="AQ263" s="28"/>
      <c r="AR263" s="28"/>
      <c r="AS263" s="28"/>
      <c r="AT263" s="28"/>
      <c r="AU263" s="41"/>
      <c r="AV263" s="28"/>
      <c r="AW263" s="28"/>
      <c r="AX263" s="28"/>
      <c r="AY263" s="28"/>
      <c r="AZ263" s="41"/>
      <c r="BA263" s="28"/>
      <c r="BB263" s="28"/>
      <c r="BC263" s="28"/>
      <c r="BD263" s="28"/>
      <c r="BE263" s="41"/>
      <c r="BF263" s="28"/>
      <c r="BG263" s="28"/>
      <c r="BH263" s="28"/>
      <c r="BI263" s="28"/>
      <c r="BJ263" s="41"/>
      <c r="BK263" s="45"/>
      <c r="BL263" s="28"/>
      <c r="BM263" s="174"/>
    </row>
    <row r="264" spans="1:65" x14ac:dyDescent="0.25">
      <c r="A264" s="167"/>
      <c r="B264" s="187" t="s">
        <v>16</v>
      </c>
      <c r="C264" s="187" t="s">
        <v>15</v>
      </c>
      <c r="D264" s="167"/>
      <c r="E264" s="167"/>
      <c r="F264" s="81"/>
      <c r="G264" s="81"/>
      <c r="H264" s="170"/>
      <c r="I264" s="170"/>
      <c r="J264" s="188">
        <f>J70+J106+J135+J147+J211+J225+J262</f>
        <v>0</v>
      </c>
      <c r="K264" s="188"/>
      <c r="L264" s="241">
        <f>L70+L106+L147+L211+L225+L262+L135</f>
        <v>0</v>
      </c>
      <c r="M264" s="188"/>
      <c r="N264" s="188">
        <f>N70+N106+N147+N211+N225+N262+N135</f>
        <v>0</v>
      </c>
      <c r="O264" s="242"/>
      <c r="P264" s="241">
        <f>P70+P106+P147+P211+P225+P262+P135</f>
        <v>0</v>
      </c>
      <c r="Q264" s="242"/>
      <c r="R264" s="188">
        <f>R70+R106+R135+R147+R211+R225+R262</f>
        <v>0</v>
      </c>
      <c r="S264" s="81"/>
      <c r="T264" s="241">
        <f>T70+T106+T147+T211+T225+T262+T135</f>
        <v>0</v>
      </c>
      <c r="U264" s="81"/>
      <c r="V264" s="188">
        <f>V70+V106+V135+V147+V211+V225+V262</f>
        <v>0</v>
      </c>
      <c r="W264" s="81"/>
      <c r="X264" s="241">
        <f>X70+X106+X147+X211+X225+X262+X135</f>
        <v>0</v>
      </c>
      <c r="Y264" s="81"/>
      <c r="Z264" s="188">
        <f>Z70+Z106+Z135+Z147+Z211+Z225+Z262</f>
        <v>0</v>
      </c>
      <c r="AA264" s="81"/>
      <c r="AB264" s="241">
        <f>AB70+AB106+AB147+AB211+AB225+AB262+AB135</f>
        <v>0</v>
      </c>
      <c r="AC264" s="81"/>
      <c r="AD264" s="188">
        <f>J264+N264+R264+V264+Z264</f>
        <v>0</v>
      </c>
      <c r="AE264" s="188"/>
      <c r="AF264" s="241">
        <f>L264+P264+T264+X264+AB264</f>
        <v>0</v>
      </c>
      <c r="AG264" s="28"/>
      <c r="AH264" s="28"/>
      <c r="AI264" s="28"/>
      <c r="AJ264" s="60"/>
      <c r="AK264" s="45"/>
      <c r="AL264" s="173"/>
      <c r="AM264" s="173"/>
      <c r="AN264" s="28"/>
      <c r="AO264" s="28"/>
      <c r="AP264" s="41"/>
      <c r="AQ264" s="28"/>
      <c r="AR264" s="28"/>
      <c r="AS264" s="28"/>
      <c r="AT264" s="28"/>
      <c r="AU264" s="41"/>
      <c r="AV264" s="28"/>
      <c r="AW264" s="28"/>
      <c r="AX264" s="28"/>
      <c r="AY264" s="28"/>
      <c r="AZ264" s="41"/>
      <c r="BA264" s="28"/>
      <c r="BB264" s="28"/>
      <c r="BC264" s="28"/>
      <c r="BD264" s="28"/>
      <c r="BE264" s="41"/>
      <c r="BF264" s="28"/>
      <c r="BG264" s="28"/>
      <c r="BH264" s="28"/>
      <c r="BI264" s="28"/>
      <c r="BJ264" s="41"/>
      <c r="BK264" s="45"/>
      <c r="BL264" s="28"/>
      <c r="BM264" s="174"/>
    </row>
    <row r="265" spans="1:65" x14ac:dyDescent="0.25">
      <c r="A265" s="167"/>
      <c r="B265" s="167"/>
      <c r="C265" s="243" t="s">
        <v>103</v>
      </c>
      <c r="D265" s="243"/>
      <c r="E265" s="243"/>
      <c r="F265" s="244"/>
      <c r="G265" s="244"/>
      <c r="H265" s="245"/>
      <c r="I265" s="245"/>
      <c r="J265" s="245">
        <f>J264-J243-J245-J247-J249-J251-J253</f>
        <v>0</v>
      </c>
      <c r="K265" s="245"/>
      <c r="L265" s="246">
        <f>L264-L243-L245-L247-L249-L251-L253</f>
        <v>0</v>
      </c>
      <c r="M265" s="245"/>
      <c r="N265" s="245">
        <f>N264-N243-N245-N247-N249-N251-N253</f>
        <v>0</v>
      </c>
      <c r="O265" s="245"/>
      <c r="P265" s="246">
        <f>P264-P243-P245-P247-P249-P251-P253</f>
        <v>0</v>
      </c>
      <c r="Q265" s="244"/>
      <c r="R265" s="245">
        <f>R264-R243-R245-R247-R249-R251-R253</f>
        <v>0</v>
      </c>
      <c r="S265" s="245"/>
      <c r="T265" s="246">
        <f>T264-T243-T245-T247-T249-T251-T253</f>
        <v>0</v>
      </c>
      <c r="U265" s="244"/>
      <c r="V265" s="245">
        <f>V264-V243-V245-V247-V249-V251-V253</f>
        <v>0</v>
      </c>
      <c r="W265" s="245"/>
      <c r="X265" s="246">
        <f>X264-X243-X245-X247-X249-X251-X253</f>
        <v>0</v>
      </c>
      <c r="Y265" s="244"/>
      <c r="Z265" s="245">
        <f>Z264-Z243-Z245-Z247-Z249-Z251-Z253</f>
        <v>0</v>
      </c>
      <c r="AA265" s="245"/>
      <c r="AB265" s="246">
        <f>AB264-AB243-AB245-AB247-AB249-AB251-AB253</f>
        <v>0</v>
      </c>
      <c r="AC265" s="244"/>
      <c r="AD265" s="245">
        <f>AD264-AD243-AD245-AD247-AD249-AD251-AD253</f>
        <v>0</v>
      </c>
      <c r="AE265" s="245"/>
      <c r="AF265" s="246">
        <f>AF264-AF243-AF245-AF247-AF249-AF251-AF253</f>
        <v>0</v>
      </c>
      <c r="AG265" s="28"/>
      <c r="AH265" s="28"/>
      <c r="AI265" s="28"/>
      <c r="AJ265" s="60"/>
      <c r="AK265" s="45"/>
      <c r="AL265" s="173"/>
      <c r="AM265" s="173"/>
      <c r="AN265" s="28"/>
      <c r="AO265" s="28"/>
      <c r="AP265" s="41"/>
      <c r="AQ265" s="28"/>
      <c r="AR265" s="28"/>
      <c r="AS265" s="28"/>
      <c r="AT265" s="28"/>
      <c r="AU265" s="41"/>
      <c r="AV265" s="28"/>
      <c r="AW265" s="28"/>
      <c r="AX265" s="28"/>
      <c r="AY265" s="28"/>
      <c r="AZ265" s="41"/>
      <c r="BA265" s="28"/>
      <c r="BB265" s="28"/>
      <c r="BC265" s="28"/>
      <c r="BD265" s="28"/>
      <c r="BE265" s="41"/>
      <c r="BF265" s="28"/>
      <c r="BG265" s="28"/>
      <c r="BH265" s="28"/>
      <c r="BI265" s="28"/>
      <c r="BJ265" s="41"/>
      <c r="BK265" s="45"/>
      <c r="BL265" s="28"/>
      <c r="BM265" s="174"/>
    </row>
    <row r="266" spans="1:65" x14ac:dyDescent="0.25">
      <c r="A266" s="167"/>
      <c r="B266" s="167"/>
      <c r="C266" s="243"/>
      <c r="D266" s="243"/>
      <c r="E266" s="243"/>
      <c r="F266" s="244"/>
      <c r="G266" s="244"/>
      <c r="H266" s="245"/>
      <c r="I266" s="245"/>
      <c r="J266" s="245"/>
      <c r="K266" s="245"/>
      <c r="L266" s="246"/>
      <c r="M266" s="245"/>
      <c r="N266" s="245"/>
      <c r="O266" s="245"/>
      <c r="P266" s="246"/>
      <c r="Q266" s="244"/>
      <c r="R266" s="245"/>
      <c r="S266" s="245"/>
      <c r="T266" s="246"/>
      <c r="U266" s="244"/>
      <c r="V266" s="245"/>
      <c r="W266" s="245"/>
      <c r="X266" s="246"/>
      <c r="Y266" s="244"/>
      <c r="Z266" s="245"/>
      <c r="AA266" s="245"/>
      <c r="AB266" s="246"/>
      <c r="AC266" s="244"/>
      <c r="AD266" s="245"/>
      <c r="AE266" s="245"/>
      <c r="AF266" s="246"/>
      <c r="AG266" s="28"/>
      <c r="AH266" s="28"/>
      <c r="AI266" s="28"/>
      <c r="AJ266" s="60"/>
      <c r="AK266" s="45"/>
      <c r="AL266" s="173"/>
      <c r="AM266" s="173"/>
      <c r="AN266" s="28"/>
      <c r="AO266" s="28"/>
      <c r="AP266" s="41"/>
      <c r="AQ266" s="28"/>
      <c r="AR266" s="28"/>
      <c r="AS266" s="28"/>
      <c r="AT266" s="28"/>
      <c r="AU266" s="41"/>
      <c r="AV266" s="28"/>
      <c r="AW266" s="28"/>
      <c r="AX266" s="28"/>
      <c r="AY266" s="28"/>
      <c r="AZ266" s="41"/>
      <c r="BA266" s="28"/>
      <c r="BB266" s="28"/>
      <c r="BC266" s="28"/>
      <c r="BD266" s="28"/>
      <c r="BE266" s="41"/>
      <c r="BF266" s="28"/>
      <c r="BG266" s="28"/>
      <c r="BH266" s="28"/>
      <c r="BI266" s="28"/>
      <c r="BJ266" s="41"/>
      <c r="BK266" s="45"/>
      <c r="BL266" s="28"/>
      <c r="BM266" s="174"/>
    </row>
    <row r="267" spans="1:65" x14ac:dyDescent="0.25">
      <c r="A267" s="167"/>
      <c r="B267" s="167"/>
      <c r="C267" s="187"/>
      <c r="D267" s="220" t="s">
        <v>40</v>
      </c>
      <c r="E267" s="220" t="s">
        <v>230</v>
      </c>
      <c r="F267" s="81"/>
      <c r="G267" s="247">
        <v>0</v>
      </c>
      <c r="H267" s="170"/>
      <c r="I267" s="170"/>
      <c r="J267" s="181">
        <f>(J264-J147-J225-SUM(J242:J253)-SUM(J259:J260)+25000*G267)</f>
        <v>0</v>
      </c>
      <c r="K267" s="181"/>
      <c r="L267" s="248">
        <f>(L264-L147-L225-SUM(L242:L253)-SUM(L259:L260))</f>
        <v>0</v>
      </c>
      <c r="M267" s="181"/>
      <c r="N267" s="181">
        <f>(N264-N147-N225-SUM(N242:N253)-SUM(N259:N260))</f>
        <v>0</v>
      </c>
      <c r="O267" s="181"/>
      <c r="P267" s="248">
        <f>(P264-P147-P225-SUM(P242:P253)-SUM(P259:P260))</f>
        <v>0</v>
      </c>
      <c r="Q267" s="181"/>
      <c r="R267" s="181">
        <f>(R264-R147-R225-SUM(R242:R253)-SUM(R259:R260))</f>
        <v>0</v>
      </c>
      <c r="S267" s="181"/>
      <c r="T267" s="248">
        <f>(T264-T147-T225-SUM(T242:T253)-SUM(T259:T260))</f>
        <v>0</v>
      </c>
      <c r="U267" s="181"/>
      <c r="V267" s="181">
        <f>(V264-V147-V225-SUM(V242:V253)-SUM(V259:V260))</f>
        <v>0</v>
      </c>
      <c r="W267" s="181"/>
      <c r="X267" s="248">
        <f>(X264-X147-X225-SUM(X242:X253)-SUM(X259:X260))</f>
        <v>0</v>
      </c>
      <c r="Y267" s="60"/>
      <c r="Z267" s="181">
        <f>(Z264-Z147-Z225-SUM(Z242:Z253)-SUM(Z259:Z260))</f>
        <v>0</v>
      </c>
      <c r="AA267" s="181"/>
      <c r="AB267" s="248">
        <f>(AB264-AB147-AB225-SUM(AB242:AB253)-SUM(AB259:AB260))</f>
        <v>0</v>
      </c>
      <c r="AC267" s="60"/>
      <c r="AD267" s="181">
        <f>J267+N267+R267+V267+Z267</f>
        <v>0</v>
      </c>
      <c r="AE267" s="181"/>
      <c r="AF267" s="248">
        <f>L267+P267+T267+X267+AB267</f>
        <v>0</v>
      </c>
      <c r="AG267" s="28"/>
      <c r="AH267" s="28"/>
      <c r="AI267" s="28"/>
      <c r="AJ267" s="60"/>
      <c r="AK267" s="45"/>
      <c r="AL267" s="173"/>
      <c r="AM267" s="173"/>
      <c r="AN267" s="28"/>
      <c r="AO267" s="28"/>
      <c r="AP267" s="41"/>
      <c r="AQ267" s="28"/>
      <c r="AR267" s="28"/>
      <c r="AS267" s="28"/>
      <c r="AT267" s="28"/>
      <c r="AU267" s="41"/>
      <c r="AV267" s="28"/>
      <c r="AW267" s="28"/>
      <c r="AX267" s="28"/>
      <c r="AY267" s="28"/>
      <c r="AZ267" s="41"/>
      <c r="BA267" s="28"/>
      <c r="BB267" s="28"/>
      <c r="BC267" s="28"/>
      <c r="BD267" s="28"/>
      <c r="BE267" s="41"/>
      <c r="BF267" s="28"/>
      <c r="BG267" s="28"/>
      <c r="BH267" s="28"/>
      <c r="BI267" s="28"/>
      <c r="BJ267" s="41"/>
      <c r="BK267" s="45"/>
      <c r="BL267" s="28"/>
      <c r="BM267" s="174"/>
    </row>
    <row r="268" spans="1:65" x14ac:dyDescent="0.25">
      <c r="A268" s="167"/>
      <c r="B268" s="167"/>
      <c r="C268" s="167"/>
      <c r="D268" s="171" t="s">
        <v>94</v>
      </c>
      <c r="E268" s="220"/>
      <c r="F268" s="81"/>
      <c r="G268" s="81"/>
      <c r="H268" s="170"/>
      <c r="I268" s="170"/>
      <c r="J268" s="170"/>
      <c r="K268" s="170"/>
      <c r="L268" s="189"/>
      <c r="M268" s="170"/>
      <c r="N268" s="170"/>
      <c r="O268" s="81"/>
      <c r="P268" s="189"/>
      <c r="Q268" s="81"/>
      <c r="R268" s="81"/>
      <c r="S268" s="81"/>
      <c r="T268" s="192"/>
      <c r="U268" s="81"/>
      <c r="V268" s="81"/>
      <c r="W268" s="81"/>
      <c r="X268" s="192"/>
      <c r="Y268" s="81"/>
      <c r="Z268" s="81"/>
      <c r="AA268" s="81"/>
      <c r="AB268" s="192"/>
      <c r="AC268" s="81"/>
      <c r="AD268" s="170"/>
      <c r="AE268" s="172"/>
      <c r="AF268" s="190"/>
      <c r="AG268" s="28"/>
      <c r="AH268" s="28"/>
      <c r="AI268" s="28"/>
      <c r="AJ268" s="60"/>
      <c r="AK268" s="45"/>
      <c r="AL268" s="173"/>
      <c r="AM268" s="173"/>
      <c r="AN268" s="28"/>
      <c r="AO268" s="28"/>
      <c r="AP268" s="41"/>
      <c r="AQ268" s="28"/>
      <c r="AR268" s="28"/>
      <c r="AS268" s="28"/>
      <c r="AT268" s="28"/>
      <c r="AU268" s="41"/>
      <c r="AV268" s="28"/>
      <c r="AW268" s="28"/>
      <c r="AX268" s="28"/>
      <c r="AY268" s="28"/>
      <c r="AZ268" s="41"/>
      <c r="BA268" s="28"/>
      <c r="BB268" s="28"/>
      <c r="BC268" s="28"/>
      <c r="BD268" s="28"/>
      <c r="BE268" s="41"/>
      <c r="BF268" s="28"/>
      <c r="BG268" s="28"/>
      <c r="BH268" s="28"/>
      <c r="BI268" s="28"/>
      <c r="BJ268" s="41"/>
      <c r="BK268" s="45"/>
      <c r="BL268" s="28"/>
      <c r="BM268" s="174"/>
    </row>
    <row r="269" spans="1:65" x14ac:dyDescent="0.25">
      <c r="A269" s="167"/>
      <c r="B269" s="167"/>
      <c r="C269" s="167"/>
      <c r="D269" s="167"/>
      <c r="E269" s="167"/>
      <c r="F269" s="81"/>
      <c r="G269" s="81"/>
      <c r="H269" s="249" t="s">
        <v>130</v>
      </c>
      <c r="I269" s="202"/>
      <c r="J269" s="249">
        <f>J264-J267</f>
        <v>0</v>
      </c>
      <c r="K269" s="249"/>
      <c r="L269" s="250"/>
      <c r="M269" s="249"/>
      <c r="N269" s="249">
        <f>N264-N267</f>
        <v>0</v>
      </c>
      <c r="O269" s="251"/>
      <c r="P269" s="250"/>
      <c r="Q269" s="251"/>
      <c r="R269" s="249">
        <f>R264-R267</f>
        <v>0</v>
      </c>
      <c r="S269" s="251"/>
      <c r="T269" s="252"/>
      <c r="U269" s="251"/>
      <c r="V269" s="249">
        <f>V264-V267</f>
        <v>0</v>
      </c>
      <c r="W269" s="251"/>
      <c r="X269" s="252"/>
      <c r="Y269" s="251"/>
      <c r="Z269" s="249">
        <f>Z264-Z267</f>
        <v>0</v>
      </c>
      <c r="AA269" s="251"/>
      <c r="AB269" s="252"/>
      <c r="AC269" s="251"/>
      <c r="AD269" s="249">
        <f>AD264-AD267</f>
        <v>0</v>
      </c>
      <c r="AE269" s="172"/>
      <c r="AF269" s="190"/>
      <c r="AG269" s="28"/>
      <c r="AH269" s="28"/>
      <c r="AI269" s="28"/>
      <c r="AJ269" s="60"/>
      <c r="AK269" s="45"/>
      <c r="AL269" s="173"/>
      <c r="AM269" s="173"/>
      <c r="AN269" s="28"/>
      <c r="AO269" s="28"/>
      <c r="AP269" s="41"/>
      <c r="AQ269" s="28"/>
      <c r="AR269" s="28"/>
      <c r="AS269" s="28"/>
      <c r="AT269" s="28"/>
      <c r="AU269" s="41"/>
      <c r="AV269" s="28"/>
      <c r="AW269" s="28"/>
      <c r="AX269" s="28"/>
      <c r="AY269" s="28"/>
      <c r="AZ269" s="41"/>
      <c r="BA269" s="28"/>
      <c r="BB269" s="28"/>
      <c r="BC269" s="28"/>
      <c r="BD269" s="28"/>
      <c r="BE269" s="41"/>
      <c r="BF269" s="28"/>
      <c r="BG269" s="28"/>
      <c r="BH269" s="28"/>
      <c r="BI269" s="28"/>
      <c r="BJ269" s="41"/>
      <c r="BK269" s="45"/>
      <c r="BL269" s="28"/>
      <c r="BM269" s="174"/>
    </row>
    <row r="270" spans="1:65" x14ac:dyDescent="0.25">
      <c r="A270" s="167"/>
      <c r="B270" s="187" t="s">
        <v>39</v>
      </c>
      <c r="C270" s="187" t="s">
        <v>100</v>
      </c>
      <c r="D270" s="167"/>
      <c r="E270" s="167"/>
      <c r="F270" s="81"/>
      <c r="G270" s="81"/>
      <c r="H270" s="170"/>
      <c r="I270" s="170"/>
      <c r="J270" s="170"/>
      <c r="K270" s="170"/>
      <c r="L270" s="189"/>
      <c r="M270" s="170"/>
      <c r="N270" s="170"/>
      <c r="O270" s="81"/>
      <c r="P270" s="189"/>
      <c r="Q270" s="81"/>
      <c r="R270" s="170"/>
      <c r="S270" s="81"/>
      <c r="T270" s="192"/>
      <c r="U270" s="81"/>
      <c r="V270" s="170"/>
      <c r="W270" s="81"/>
      <c r="X270" s="192"/>
      <c r="Y270" s="81"/>
      <c r="Z270" s="170"/>
      <c r="AA270" s="81"/>
      <c r="AB270" s="192"/>
      <c r="AC270" s="81"/>
      <c r="AD270" s="170"/>
      <c r="AE270" s="172"/>
      <c r="AF270" s="190"/>
      <c r="AG270" s="28"/>
      <c r="AH270" s="28"/>
      <c r="AI270" s="28"/>
      <c r="AJ270" s="60"/>
      <c r="AK270" s="45"/>
      <c r="AL270" s="173"/>
      <c r="AM270" s="173"/>
      <c r="AN270" s="28"/>
      <c r="AO270" s="28"/>
      <c r="AP270" s="41"/>
      <c r="AQ270" s="28"/>
      <c r="AR270" s="28"/>
      <c r="AS270" s="28"/>
      <c r="AT270" s="28"/>
      <c r="AU270" s="41"/>
      <c r="AV270" s="28"/>
      <c r="AW270" s="28"/>
      <c r="AX270" s="28"/>
      <c r="AY270" s="28"/>
      <c r="AZ270" s="41"/>
      <c r="BA270" s="28"/>
      <c r="BB270" s="28"/>
      <c r="BC270" s="28"/>
      <c r="BD270" s="28"/>
      <c r="BE270" s="41"/>
      <c r="BF270" s="28"/>
      <c r="BG270" s="28"/>
      <c r="BH270" s="28"/>
      <c r="BI270" s="28"/>
      <c r="BJ270" s="41"/>
      <c r="BK270" s="45"/>
      <c r="BL270" s="28"/>
      <c r="BM270" s="174"/>
    </row>
    <row r="271" spans="1:65" x14ac:dyDescent="0.25">
      <c r="A271" s="167"/>
      <c r="B271" s="28"/>
      <c r="C271" s="167" t="s">
        <v>95</v>
      </c>
      <c r="D271" s="167"/>
      <c r="E271" s="167"/>
      <c r="F271" s="81"/>
      <c r="G271" s="81"/>
      <c r="H271" s="170"/>
      <c r="I271" s="170"/>
      <c r="J271" s="170"/>
      <c r="K271" s="170"/>
      <c r="L271" s="189"/>
      <c r="M271" s="170"/>
      <c r="N271" s="170"/>
      <c r="O271" s="81"/>
      <c r="P271" s="189"/>
      <c r="Q271" s="81"/>
      <c r="R271" s="170"/>
      <c r="S271" s="81"/>
      <c r="T271" s="192"/>
      <c r="U271" s="81"/>
      <c r="V271" s="170"/>
      <c r="W271" s="81"/>
      <c r="X271" s="192"/>
      <c r="Y271" s="81"/>
      <c r="Z271" s="170"/>
      <c r="AA271" s="81"/>
      <c r="AB271" s="192"/>
      <c r="AC271" s="81"/>
      <c r="AD271" s="170"/>
      <c r="AE271" s="172"/>
      <c r="AF271" s="190"/>
      <c r="AG271" s="28"/>
      <c r="AH271" s="28"/>
      <c r="AI271" s="28"/>
      <c r="AJ271" s="60"/>
      <c r="AK271" s="45"/>
      <c r="AL271" s="173"/>
      <c r="AM271" s="173"/>
      <c r="AN271" s="28"/>
      <c r="AO271" s="28"/>
      <c r="AP271" s="41"/>
      <c r="AQ271" s="28"/>
      <c r="AR271" s="28"/>
      <c r="AS271" s="28"/>
      <c r="AT271" s="28"/>
      <c r="AU271" s="41"/>
      <c r="AV271" s="28"/>
      <c r="AW271" s="28"/>
      <c r="AX271" s="28"/>
      <c r="AY271" s="28"/>
      <c r="AZ271" s="41"/>
      <c r="BA271" s="28"/>
      <c r="BB271" s="28"/>
      <c r="BC271" s="28"/>
      <c r="BD271" s="28"/>
      <c r="BE271" s="41"/>
      <c r="BF271" s="28"/>
      <c r="BG271" s="28"/>
      <c r="BH271" s="28"/>
      <c r="BI271" s="28"/>
      <c r="BJ271" s="41"/>
      <c r="BK271" s="45"/>
      <c r="BL271" s="28"/>
      <c r="BM271" s="174"/>
    </row>
    <row r="272" spans="1:65" x14ac:dyDescent="0.25">
      <c r="A272" s="167"/>
      <c r="B272" s="28"/>
      <c r="C272" s="253" t="s">
        <v>146</v>
      </c>
      <c r="D272" s="167"/>
      <c r="E272" s="167"/>
      <c r="F272" s="81"/>
      <c r="G272" s="28"/>
      <c r="H272" s="375">
        <v>0</v>
      </c>
      <c r="I272" s="170"/>
      <c r="J272" s="170"/>
      <c r="K272" s="170"/>
      <c r="L272" s="189"/>
      <c r="M272" s="170"/>
      <c r="N272" s="170"/>
      <c r="O272" s="81"/>
      <c r="P272" s="189"/>
      <c r="Q272" s="81"/>
      <c r="R272" s="81"/>
      <c r="S272" s="81"/>
      <c r="T272" s="192"/>
      <c r="U272" s="81"/>
      <c r="V272" s="81"/>
      <c r="W272" s="81"/>
      <c r="X272" s="192"/>
      <c r="Y272" s="81"/>
      <c r="Z272" s="81"/>
      <c r="AA272" s="81"/>
      <c r="AB272" s="192"/>
      <c r="AC272" s="81"/>
      <c r="AD272" s="170"/>
      <c r="AF272" s="190"/>
      <c r="AG272" s="28"/>
      <c r="AH272" s="364" t="s">
        <v>275</v>
      </c>
      <c r="AI272" s="365"/>
      <c r="AJ272" s="366"/>
      <c r="AK272" s="367"/>
      <c r="AL272" s="368"/>
      <c r="AM272" s="368"/>
      <c r="AN272" s="365"/>
      <c r="AO272" s="365"/>
      <c r="AP272" s="369"/>
      <c r="AQ272" s="28"/>
      <c r="AR272" s="28"/>
      <c r="AS272" s="28"/>
      <c r="AT272" s="28"/>
      <c r="AU272" s="41"/>
      <c r="AV272" s="28"/>
      <c r="AW272" s="28"/>
      <c r="AX272" s="28"/>
      <c r="AY272" s="28"/>
      <c r="AZ272" s="41"/>
      <c r="BA272" s="28"/>
      <c r="BB272" s="28"/>
      <c r="BC272" s="28"/>
      <c r="BD272" s="28"/>
      <c r="BE272" s="41"/>
      <c r="BF272" s="28"/>
      <c r="BG272" s="28"/>
      <c r="BH272" s="28"/>
      <c r="BI272" s="28"/>
      <c r="BJ272" s="41"/>
      <c r="BK272" s="45"/>
      <c r="BL272" s="28"/>
      <c r="BM272" s="174"/>
    </row>
    <row r="273" spans="1:65" x14ac:dyDescent="0.25">
      <c r="A273" s="167"/>
      <c r="B273" s="28"/>
      <c r="C273" s="167" t="s">
        <v>147</v>
      </c>
      <c r="D273" s="167"/>
      <c r="E273" s="167"/>
      <c r="F273" s="81"/>
      <c r="G273" s="81"/>
      <c r="H273" s="170"/>
      <c r="I273" s="170"/>
      <c r="J273" s="218">
        <f>J267*$H$272</f>
        <v>0</v>
      </c>
      <c r="K273" s="170"/>
      <c r="L273" s="219">
        <f>L267*$H$272</f>
        <v>0</v>
      </c>
      <c r="M273" s="170"/>
      <c r="N273" s="218">
        <f>N267*$H$272</f>
        <v>0</v>
      </c>
      <c r="O273" s="218"/>
      <c r="P273" s="219">
        <f>P267*$H$272</f>
        <v>0</v>
      </c>
      <c r="Q273" s="218"/>
      <c r="R273" s="218">
        <f>R267*$H$272</f>
        <v>0</v>
      </c>
      <c r="S273" s="81"/>
      <c r="T273" s="219">
        <f>T267*$H$272</f>
        <v>0</v>
      </c>
      <c r="U273" s="81"/>
      <c r="V273" s="218">
        <f>V267*$H$272</f>
        <v>0</v>
      </c>
      <c r="W273" s="81"/>
      <c r="X273" s="219">
        <f>X267*$H$272</f>
        <v>0</v>
      </c>
      <c r="Y273" s="81"/>
      <c r="Z273" s="218">
        <f>Z267*$H$272</f>
        <v>0</v>
      </c>
      <c r="AA273" s="81"/>
      <c r="AB273" s="219">
        <f>AB267*$H$272</f>
        <v>0</v>
      </c>
      <c r="AC273" s="81"/>
      <c r="AD273" s="170">
        <f>J273+N273+R273+V273+Z273</f>
        <v>0</v>
      </c>
      <c r="AE273" s="170"/>
      <c r="AF273" s="189">
        <f>L273+P273+T273+X273+AB273</f>
        <v>0</v>
      </c>
      <c r="AG273" s="28"/>
      <c r="AH273" s="28"/>
      <c r="AI273" s="28"/>
      <c r="AJ273" s="60"/>
      <c r="AK273" s="45"/>
      <c r="AL273" s="173"/>
      <c r="AM273" s="173"/>
      <c r="AN273" s="28"/>
      <c r="AO273" s="28"/>
      <c r="AP273" s="41"/>
      <c r="AQ273" s="28"/>
      <c r="AR273" s="28"/>
      <c r="AS273" s="28"/>
      <c r="AT273" s="28"/>
      <c r="AU273" s="41"/>
      <c r="AV273" s="28"/>
      <c r="AW273" s="28"/>
      <c r="AX273" s="28"/>
      <c r="AY273" s="28"/>
      <c r="AZ273" s="41"/>
      <c r="BA273" s="28"/>
      <c r="BB273" s="28"/>
      <c r="BC273" s="28"/>
      <c r="BD273" s="28"/>
      <c r="BE273" s="41"/>
      <c r="BF273" s="28"/>
      <c r="BG273" s="28"/>
      <c r="BH273" s="28"/>
      <c r="BI273" s="28"/>
      <c r="BJ273" s="41"/>
      <c r="BK273" s="45"/>
      <c r="BL273" s="28"/>
      <c r="BM273" s="174"/>
    </row>
    <row r="274" spans="1:65" x14ac:dyDescent="0.25">
      <c r="A274" s="167"/>
      <c r="B274" s="167"/>
      <c r="C274" s="28"/>
      <c r="D274" s="167"/>
      <c r="E274" s="167"/>
      <c r="F274" s="81"/>
      <c r="G274" s="81"/>
      <c r="H274" s="28"/>
      <c r="I274" s="28"/>
      <c r="J274" s="81"/>
      <c r="K274" s="81"/>
      <c r="L274" s="192"/>
      <c r="M274" s="81"/>
      <c r="N274" s="81"/>
      <c r="O274" s="81"/>
      <c r="P274" s="192"/>
      <c r="Q274" s="81"/>
      <c r="R274" s="81"/>
      <c r="S274" s="81"/>
      <c r="T274" s="192"/>
      <c r="U274" s="81"/>
      <c r="V274" s="81"/>
      <c r="W274" s="81"/>
      <c r="X274" s="192"/>
      <c r="Y274" s="81"/>
      <c r="Z274" s="81"/>
      <c r="AA274" s="81"/>
      <c r="AB274" s="192"/>
      <c r="AC274" s="81"/>
      <c r="AD274" s="210"/>
      <c r="AE274" s="28"/>
      <c r="AF274" s="254"/>
      <c r="AG274" s="28"/>
      <c r="AH274" s="28"/>
      <c r="AI274" s="28"/>
      <c r="AJ274" s="60"/>
      <c r="AK274" s="45"/>
      <c r="AL274" s="173"/>
      <c r="AM274" s="173"/>
      <c r="AN274" s="28"/>
      <c r="AO274" s="28"/>
      <c r="AP274" s="41"/>
      <c r="AQ274" s="28"/>
      <c r="AR274" s="28"/>
      <c r="AS274" s="28"/>
      <c r="AT274" s="28"/>
      <c r="AU274" s="41"/>
      <c r="AV274" s="28"/>
      <c r="AW274" s="28"/>
      <c r="AX274" s="28"/>
      <c r="AY274" s="28"/>
      <c r="AZ274" s="41"/>
      <c r="BA274" s="28"/>
      <c r="BB274" s="28"/>
      <c r="BC274" s="28"/>
      <c r="BD274" s="28"/>
      <c r="BE274" s="41"/>
      <c r="BF274" s="28"/>
      <c r="BG274" s="28"/>
      <c r="BH274" s="28"/>
      <c r="BI274" s="28"/>
      <c r="BJ274" s="41"/>
      <c r="BK274" s="45"/>
      <c r="BL274" s="28"/>
      <c r="BM274" s="174"/>
    </row>
    <row r="275" spans="1:65" x14ac:dyDescent="0.25">
      <c r="A275" s="167"/>
      <c r="B275" s="187" t="s">
        <v>128</v>
      </c>
      <c r="C275" s="187" t="s">
        <v>17</v>
      </c>
      <c r="D275" s="167"/>
      <c r="E275" s="167"/>
      <c r="F275" s="81"/>
      <c r="G275" s="81"/>
      <c r="H275" s="170"/>
      <c r="I275" s="170"/>
      <c r="J275" s="170">
        <f>J264+J273</f>
        <v>0</v>
      </c>
      <c r="K275" s="170"/>
      <c r="L275" s="189">
        <f>L264+L273</f>
        <v>0</v>
      </c>
      <c r="M275" s="170"/>
      <c r="N275" s="170">
        <f>N264+N273</f>
        <v>0</v>
      </c>
      <c r="O275" s="81"/>
      <c r="P275" s="189">
        <f>P264+P273</f>
        <v>0</v>
      </c>
      <c r="Q275" s="81"/>
      <c r="R275" s="170">
        <f>R264+R273</f>
        <v>0</v>
      </c>
      <c r="S275" s="170"/>
      <c r="T275" s="189">
        <f>T264+T273</f>
        <v>0</v>
      </c>
      <c r="U275" s="170"/>
      <c r="V275" s="170">
        <f>V264+V273</f>
        <v>0</v>
      </c>
      <c r="W275" s="170"/>
      <c r="X275" s="189">
        <f>X264+X273</f>
        <v>0</v>
      </c>
      <c r="Y275" s="170"/>
      <c r="Z275" s="170">
        <f>Z264+Z273</f>
        <v>0</v>
      </c>
      <c r="AA275" s="170"/>
      <c r="AB275" s="189">
        <f>AB264+AB273</f>
        <v>0</v>
      </c>
      <c r="AC275" s="170"/>
      <c r="AD275" s="170">
        <f>J275+N275+R275+V275+Z275</f>
        <v>0</v>
      </c>
      <c r="AE275" s="170"/>
      <c r="AF275" s="189">
        <f>L275+P275+T275+X275+AB275</f>
        <v>0</v>
      </c>
      <c r="AG275" s="28"/>
      <c r="AH275" s="28"/>
      <c r="AI275" s="28"/>
      <c r="AJ275" s="60"/>
      <c r="AK275" s="45"/>
      <c r="AL275" s="173"/>
      <c r="AM275" s="173"/>
      <c r="AN275" s="28"/>
      <c r="AO275" s="28"/>
      <c r="AP275" s="41"/>
      <c r="AQ275" s="28"/>
      <c r="AR275" s="28"/>
      <c r="AS275" s="28"/>
      <c r="AT275" s="28"/>
      <c r="AU275" s="41"/>
      <c r="AV275" s="28"/>
      <c r="AW275" s="28"/>
      <c r="AX275" s="28"/>
      <c r="AY275" s="28"/>
      <c r="AZ275" s="41"/>
      <c r="BA275" s="28"/>
      <c r="BB275" s="28"/>
      <c r="BC275" s="28"/>
      <c r="BD275" s="28"/>
      <c r="BE275" s="41"/>
      <c r="BF275" s="28"/>
      <c r="BG275" s="28"/>
      <c r="BH275" s="28"/>
      <c r="BI275" s="28"/>
      <c r="BJ275" s="41"/>
      <c r="BK275" s="45"/>
      <c r="BL275" s="28"/>
      <c r="BM275" s="174"/>
    </row>
    <row r="276" spans="1:65" x14ac:dyDescent="0.25">
      <c r="A276" s="255"/>
      <c r="B276" s="167"/>
      <c r="C276" s="187"/>
      <c r="D276" s="167"/>
      <c r="E276" s="167"/>
      <c r="F276" s="81"/>
      <c r="G276" s="81"/>
      <c r="H276" s="170"/>
      <c r="I276" s="170"/>
      <c r="J276" s="188"/>
      <c r="K276" s="170"/>
      <c r="L276" s="241"/>
      <c r="M276" s="170"/>
      <c r="N276" s="170"/>
      <c r="O276" s="81"/>
      <c r="P276" s="189"/>
      <c r="Q276" s="81"/>
      <c r="R276" s="81"/>
      <c r="S276" s="81"/>
      <c r="T276" s="192"/>
      <c r="U276" s="81"/>
      <c r="V276" s="81"/>
      <c r="W276" s="81"/>
      <c r="X276" s="192"/>
      <c r="Y276" s="81"/>
      <c r="Z276" s="81"/>
      <c r="AA276" s="81"/>
      <c r="AB276" s="192"/>
      <c r="AC276" s="81"/>
      <c r="AD276" s="170"/>
      <c r="AE276" s="172"/>
      <c r="AF276" s="190"/>
      <c r="AG276" s="28"/>
      <c r="AH276" s="28"/>
      <c r="AI276" s="28"/>
      <c r="AJ276" s="60"/>
      <c r="AK276" s="45"/>
      <c r="AL276" s="173"/>
      <c r="AM276" s="173"/>
      <c r="AN276" s="28"/>
      <c r="AO276" s="28"/>
      <c r="AP276" s="41"/>
      <c r="AQ276" s="28"/>
      <c r="AR276" s="28"/>
      <c r="AS276" s="28"/>
      <c r="AT276" s="28"/>
      <c r="AU276" s="41"/>
      <c r="AV276" s="28"/>
      <c r="AW276" s="28"/>
      <c r="AX276" s="28"/>
      <c r="AY276" s="28"/>
      <c r="AZ276" s="41"/>
      <c r="BA276" s="28"/>
      <c r="BB276" s="28"/>
      <c r="BC276" s="28"/>
      <c r="BD276" s="28"/>
      <c r="BE276" s="41"/>
      <c r="BF276" s="28"/>
      <c r="BG276" s="28"/>
      <c r="BH276" s="28"/>
      <c r="BI276" s="28"/>
      <c r="BJ276" s="41"/>
      <c r="BK276" s="45"/>
      <c r="BL276" s="28"/>
      <c r="BM276" s="174"/>
    </row>
    <row r="277" spans="1:65" x14ac:dyDescent="0.25">
      <c r="A277" s="167"/>
      <c r="B277" s="187"/>
      <c r="C277" s="167"/>
      <c r="D277" s="256"/>
      <c r="E277" s="257"/>
      <c r="F277" s="81"/>
      <c r="G277" s="81"/>
      <c r="H277" s="170"/>
      <c r="I277" s="170"/>
      <c r="J277" s="170"/>
      <c r="K277" s="170"/>
      <c r="L277" s="170"/>
      <c r="M277" s="170"/>
      <c r="N277" s="170"/>
      <c r="O277" s="28"/>
      <c r="P277" s="170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172"/>
      <c r="AE277" s="172"/>
      <c r="AF277" s="172"/>
      <c r="AG277" s="28"/>
      <c r="AH277" s="28"/>
      <c r="AI277" s="28"/>
      <c r="AJ277" s="60"/>
      <c r="AK277" s="45"/>
      <c r="AL277" s="173"/>
      <c r="AM277" s="173"/>
      <c r="AN277" s="28"/>
      <c r="AO277" s="28"/>
      <c r="AP277" s="41"/>
      <c r="AQ277" s="28"/>
      <c r="AR277" s="28"/>
      <c r="AS277" s="28"/>
      <c r="AT277" s="28"/>
      <c r="AU277" s="41"/>
      <c r="AV277" s="28"/>
      <c r="AW277" s="28"/>
      <c r="AX277" s="28"/>
      <c r="AY277" s="28"/>
      <c r="AZ277" s="41"/>
      <c r="BA277" s="28"/>
      <c r="BB277" s="28"/>
      <c r="BC277" s="28"/>
      <c r="BD277" s="28"/>
      <c r="BE277" s="41"/>
      <c r="BF277" s="28"/>
      <c r="BG277" s="28"/>
      <c r="BH277" s="28"/>
      <c r="BI277" s="28"/>
      <c r="BJ277" s="41"/>
      <c r="BK277" s="45"/>
      <c r="BL277" s="28"/>
      <c r="BM277" s="174"/>
    </row>
    <row r="278" spans="1:65" x14ac:dyDescent="0.25">
      <c r="A278" s="167"/>
      <c r="B278" s="167"/>
      <c r="C278" s="167"/>
      <c r="D278" s="256"/>
      <c r="E278" s="257"/>
      <c r="F278" s="81"/>
      <c r="G278" s="81"/>
      <c r="H278" s="170"/>
      <c r="I278" s="170"/>
      <c r="J278" s="170"/>
      <c r="K278" s="170"/>
      <c r="L278" s="170"/>
      <c r="M278" s="170"/>
      <c r="N278" s="170"/>
      <c r="O278" s="28"/>
      <c r="P278" s="170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172"/>
      <c r="AE278" s="172"/>
      <c r="AF278" s="172"/>
      <c r="AG278" s="28"/>
      <c r="AH278" s="28"/>
      <c r="AI278" s="28"/>
      <c r="AJ278" s="60"/>
      <c r="AK278" s="45"/>
      <c r="AL278" s="173"/>
      <c r="AM278" s="173"/>
      <c r="AN278" s="28"/>
      <c r="AO278" s="28"/>
      <c r="AP278" s="41"/>
      <c r="AQ278" s="28"/>
      <c r="AR278" s="28"/>
      <c r="AS278" s="28"/>
      <c r="AT278" s="28"/>
      <c r="AU278" s="41"/>
      <c r="AV278" s="28"/>
      <c r="AW278" s="28"/>
      <c r="AX278" s="28"/>
      <c r="AY278" s="28"/>
      <c r="AZ278" s="41"/>
      <c r="BA278" s="28"/>
      <c r="BB278" s="28"/>
      <c r="BC278" s="28"/>
      <c r="BD278" s="28"/>
      <c r="BE278" s="41"/>
      <c r="BF278" s="28"/>
      <c r="BG278" s="28"/>
      <c r="BH278" s="28"/>
      <c r="BI278" s="28"/>
      <c r="BJ278" s="41"/>
      <c r="BK278" s="45"/>
      <c r="BL278" s="28"/>
      <c r="BM278" s="174"/>
    </row>
    <row r="279" spans="1:65" x14ac:dyDescent="0.25">
      <c r="A279" s="167"/>
      <c r="B279" s="167"/>
      <c r="C279" s="167"/>
      <c r="D279" s="253"/>
      <c r="E279" s="257"/>
      <c r="F279" s="81"/>
      <c r="G279" s="81"/>
      <c r="H279" s="258"/>
      <c r="I279" s="259"/>
      <c r="J279" s="259"/>
      <c r="K279" s="170"/>
      <c r="L279" s="170"/>
      <c r="M279" s="170"/>
      <c r="N279" s="170"/>
      <c r="O279" s="28"/>
      <c r="P279" s="170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172"/>
      <c r="AE279" s="172"/>
      <c r="AF279" s="172"/>
      <c r="AG279" s="28"/>
      <c r="AH279" s="28"/>
      <c r="AI279" s="28"/>
      <c r="AJ279" s="60"/>
      <c r="AK279" s="45"/>
      <c r="AL279" s="173"/>
      <c r="AM279" s="173"/>
      <c r="AN279" s="28"/>
      <c r="AO279" s="28"/>
      <c r="AP279" s="41"/>
      <c r="AQ279" s="28"/>
      <c r="AR279" s="28"/>
      <c r="AS279" s="28"/>
      <c r="AT279" s="28"/>
      <c r="AU279" s="41"/>
      <c r="AV279" s="28"/>
      <c r="AW279" s="28"/>
      <c r="AX279" s="28"/>
      <c r="AY279" s="28"/>
      <c r="AZ279" s="41"/>
      <c r="BA279" s="28"/>
      <c r="BB279" s="28"/>
      <c r="BC279" s="28"/>
      <c r="BD279" s="28"/>
      <c r="BE279" s="41"/>
      <c r="BF279" s="28"/>
      <c r="BG279" s="28"/>
      <c r="BH279" s="28"/>
      <c r="BI279" s="28"/>
      <c r="BJ279" s="41"/>
      <c r="BK279" s="45"/>
      <c r="BL279" s="28"/>
      <c r="BM279" s="174"/>
    </row>
    <row r="280" spans="1:65" x14ac:dyDescent="0.25">
      <c r="A280" s="167"/>
      <c r="B280" s="167"/>
      <c r="C280" s="167"/>
      <c r="D280" s="167"/>
      <c r="E280" s="257"/>
      <c r="F280" s="81"/>
      <c r="G280" s="81"/>
      <c r="H280" s="258"/>
      <c r="I280" s="259"/>
      <c r="J280" s="259"/>
      <c r="K280" s="170"/>
      <c r="L280" s="170"/>
      <c r="M280" s="170"/>
      <c r="N280" s="170"/>
      <c r="O280" s="28"/>
      <c r="P280" s="170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172"/>
      <c r="AE280" s="172"/>
      <c r="AF280" s="172"/>
      <c r="AG280" s="28"/>
      <c r="AH280" s="28"/>
      <c r="AI280" s="28"/>
      <c r="AJ280" s="60"/>
      <c r="AK280" s="45"/>
      <c r="AL280" s="173"/>
      <c r="AM280" s="173"/>
      <c r="AN280" s="28"/>
      <c r="AO280" s="28"/>
      <c r="AP280" s="41"/>
      <c r="AQ280" s="28"/>
      <c r="AR280" s="28"/>
      <c r="AS280" s="28"/>
      <c r="AT280" s="28"/>
      <c r="AU280" s="41"/>
      <c r="AV280" s="28"/>
      <c r="AW280" s="28"/>
      <c r="AX280" s="28"/>
      <c r="AY280" s="28"/>
      <c r="AZ280" s="41"/>
      <c r="BA280" s="28"/>
      <c r="BB280" s="28"/>
      <c r="BC280" s="28"/>
      <c r="BD280" s="28"/>
      <c r="BE280" s="41"/>
      <c r="BF280" s="28"/>
      <c r="BG280" s="28"/>
      <c r="BH280" s="28"/>
      <c r="BI280" s="28"/>
      <c r="BJ280" s="41"/>
      <c r="BK280" s="45"/>
      <c r="BL280" s="28"/>
      <c r="BM280" s="174"/>
    </row>
    <row r="281" spans="1:65" x14ac:dyDescent="0.25">
      <c r="A281" s="167"/>
      <c r="B281" s="167"/>
      <c r="C281" s="167"/>
      <c r="D281" s="256"/>
      <c r="E281" s="257"/>
      <c r="F281" s="81"/>
      <c r="G281" s="81"/>
      <c r="H281" s="170"/>
      <c r="I281" s="170"/>
      <c r="J281" s="170"/>
      <c r="K281" s="170"/>
      <c r="L281" s="170"/>
      <c r="M281" s="170"/>
      <c r="N281" s="170"/>
      <c r="O281" s="28"/>
      <c r="P281" s="170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172"/>
      <c r="AE281" s="172"/>
      <c r="AF281" s="172"/>
      <c r="AG281" s="28"/>
      <c r="AH281" s="28"/>
      <c r="AI281" s="28"/>
      <c r="AJ281" s="60"/>
      <c r="AK281" s="45"/>
      <c r="AL281" s="173"/>
      <c r="AM281" s="173"/>
      <c r="AN281" s="28"/>
      <c r="AO281" s="28"/>
      <c r="AP281" s="41"/>
      <c r="AQ281" s="28"/>
      <c r="AR281" s="28"/>
      <c r="AS281" s="28"/>
      <c r="AT281" s="28"/>
      <c r="AU281" s="41"/>
      <c r="AV281" s="28"/>
      <c r="AW281" s="28"/>
      <c r="AX281" s="28"/>
      <c r="AY281" s="28"/>
      <c r="AZ281" s="41"/>
      <c r="BA281" s="28"/>
      <c r="BB281" s="28"/>
      <c r="BC281" s="28"/>
      <c r="BD281" s="28"/>
      <c r="BE281" s="41"/>
      <c r="BF281" s="28"/>
      <c r="BG281" s="28"/>
      <c r="BH281" s="28"/>
      <c r="BI281" s="28"/>
      <c r="BJ281" s="41"/>
      <c r="BK281" s="45"/>
      <c r="BL281" s="28"/>
      <c r="BM281" s="174"/>
    </row>
    <row r="282" spans="1:65" x14ac:dyDescent="0.25">
      <c r="A282" s="167"/>
      <c r="B282" s="167"/>
      <c r="C282" s="167"/>
      <c r="D282" s="256"/>
      <c r="E282" s="257"/>
      <c r="F282" s="81"/>
      <c r="G282" s="81"/>
      <c r="H282" s="170"/>
      <c r="I282" s="170"/>
      <c r="J282" s="170"/>
      <c r="K282" s="170"/>
      <c r="L282" s="170"/>
      <c r="M282" s="170"/>
      <c r="N282" s="170"/>
      <c r="O282" s="28"/>
      <c r="P282" s="170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172"/>
      <c r="AE282" s="172"/>
      <c r="AF282" s="172"/>
      <c r="AG282" s="28"/>
      <c r="AH282" s="28"/>
      <c r="AI282" s="28"/>
      <c r="AJ282" s="60"/>
      <c r="AK282" s="45"/>
      <c r="AL282" s="173"/>
      <c r="AM282" s="173"/>
      <c r="AN282" s="28"/>
      <c r="AO282" s="28"/>
      <c r="AP282" s="41"/>
      <c r="AQ282" s="28"/>
      <c r="AR282" s="28"/>
      <c r="AS282" s="28"/>
      <c r="AT282" s="28"/>
      <c r="AU282" s="41"/>
      <c r="AV282" s="28"/>
      <c r="AW282" s="28"/>
      <c r="AX282" s="28"/>
      <c r="AY282" s="28"/>
      <c r="AZ282" s="41"/>
      <c r="BA282" s="28"/>
      <c r="BB282" s="28"/>
      <c r="BC282" s="28"/>
      <c r="BD282" s="28"/>
      <c r="BE282" s="41"/>
      <c r="BF282" s="28"/>
      <c r="BG282" s="28"/>
      <c r="BH282" s="28"/>
      <c r="BI282" s="28"/>
      <c r="BJ282" s="41"/>
      <c r="BK282" s="45"/>
      <c r="BL282" s="28"/>
      <c r="BM282" s="174"/>
    </row>
    <row r="283" spans="1:65" x14ac:dyDescent="0.25">
      <c r="A283" s="167"/>
      <c r="B283" s="167"/>
      <c r="C283" s="167"/>
      <c r="D283" s="256"/>
      <c r="E283" s="257"/>
      <c r="F283" s="81"/>
      <c r="G283" s="81"/>
      <c r="H283" s="170"/>
      <c r="I283" s="170"/>
      <c r="J283" s="170"/>
      <c r="K283" s="170"/>
      <c r="L283" s="170"/>
      <c r="M283" s="170"/>
      <c r="N283" s="170"/>
      <c r="O283" s="28"/>
      <c r="P283" s="170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172"/>
      <c r="AE283" s="172"/>
      <c r="AF283" s="172"/>
      <c r="AG283" s="28"/>
      <c r="AH283" s="28"/>
      <c r="AI283" s="28"/>
      <c r="AJ283" s="60"/>
      <c r="AK283" s="45"/>
      <c r="AL283" s="173"/>
      <c r="AM283" s="173"/>
      <c r="AN283" s="28"/>
      <c r="AO283" s="28"/>
      <c r="AP283" s="41"/>
      <c r="AQ283" s="28"/>
      <c r="AR283" s="28"/>
      <c r="AS283" s="28"/>
      <c r="AT283" s="28"/>
      <c r="AU283" s="41"/>
      <c r="AV283" s="28"/>
      <c r="AW283" s="28"/>
      <c r="AX283" s="28"/>
      <c r="AY283" s="28"/>
      <c r="AZ283" s="41"/>
      <c r="BA283" s="28"/>
      <c r="BB283" s="28"/>
      <c r="BC283" s="28"/>
      <c r="BD283" s="28"/>
      <c r="BE283" s="41"/>
      <c r="BF283" s="28"/>
      <c r="BG283" s="28"/>
      <c r="BH283" s="28"/>
      <c r="BI283" s="28"/>
      <c r="BJ283" s="41"/>
      <c r="BK283" s="45"/>
      <c r="BL283" s="28"/>
      <c r="BM283" s="174"/>
    </row>
    <row r="284" spans="1:65" x14ac:dyDescent="0.25">
      <c r="A284" s="167"/>
      <c r="B284" s="167"/>
      <c r="C284" s="167"/>
      <c r="D284" s="256"/>
      <c r="E284" s="257"/>
      <c r="F284" s="81"/>
      <c r="G284" s="81"/>
      <c r="H284" s="170"/>
      <c r="I284" s="170"/>
      <c r="J284" s="170"/>
      <c r="K284" s="170"/>
      <c r="L284" s="170"/>
      <c r="M284" s="170"/>
      <c r="N284" s="170"/>
      <c r="O284" s="28"/>
      <c r="P284" s="170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172"/>
      <c r="AE284" s="172"/>
      <c r="AF284" s="172"/>
      <c r="AG284" s="28"/>
      <c r="AH284" s="28"/>
      <c r="AI284" s="28"/>
      <c r="AJ284" s="60"/>
      <c r="AK284" s="45"/>
      <c r="AL284" s="173"/>
      <c r="AM284" s="173"/>
      <c r="AN284" s="28"/>
      <c r="AO284" s="28"/>
      <c r="AP284" s="41"/>
      <c r="AQ284" s="28"/>
      <c r="AR284" s="28"/>
      <c r="AS284" s="28"/>
      <c r="AT284" s="28"/>
      <c r="AU284" s="41"/>
      <c r="AV284" s="28"/>
      <c r="AW284" s="28"/>
      <c r="AX284" s="28"/>
      <c r="AY284" s="28"/>
      <c r="AZ284" s="41"/>
      <c r="BA284" s="28"/>
      <c r="BB284" s="28"/>
      <c r="BC284" s="28"/>
      <c r="BD284" s="28"/>
      <c r="BE284" s="41"/>
      <c r="BF284" s="28"/>
      <c r="BG284" s="28"/>
      <c r="BH284" s="28"/>
      <c r="BI284" s="28"/>
      <c r="BJ284" s="41"/>
      <c r="BK284" s="45"/>
      <c r="BL284" s="28"/>
      <c r="BM284" s="174"/>
    </row>
    <row r="285" spans="1:65" x14ac:dyDescent="0.25">
      <c r="A285" s="167"/>
      <c r="B285" s="167"/>
      <c r="C285" s="167"/>
      <c r="D285" s="256"/>
      <c r="E285" s="167"/>
      <c r="F285" s="81"/>
      <c r="G285" s="81"/>
      <c r="H285" s="170"/>
      <c r="I285" s="170"/>
      <c r="J285" s="170"/>
      <c r="K285" s="170"/>
      <c r="L285" s="170"/>
      <c r="M285" s="170"/>
      <c r="N285" s="170"/>
      <c r="O285" s="28"/>
      <c r="P285" s="170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172"/>
      <c r="AE285" s="172"/>
      <c r="AF285" s="172"/>
      <c r="AG285" s="28"/>
      <c r="AH285" s="28"/>
      <c r="AI285" s="28"/>
      <c r="AJ285" s="60"/>
      <c r="AK285" s="45"/>
      <c r="AL285" s="173"/>
      <c r="AM285" s="173"/>
      <c r="AN285" s="28"/>
      <c r="AO285" s="28"/>
      <c r="AP285" s="41"/>
      <c r="AQ285" s="28"/>
      <c r="AR285" s="28"/>
      <c r="AS285" s="28"/>
      <c r="AT285" s="28"/>
      <c r="AU285" s="41"/>
      <c r="AV285" s="28"/>
      <c r="AW285" s="28"/>
      <c r="AX285" s="28"/>
      <c r="AY285" s="28"/>
      <c r="AZ285" s="41"/>
      <c r="BA285" s="28"/>
      <c r="BB285" s="28"/>
      <c r="BC285" s="28"/>
      <c r="BD285" s="28"/>
      <c r="BE285" s="41"/>
      <c r="BF285" s="28"/>
      <c r="BG285" s="28"/>
      <c r="BH285" s="28"/>
      <c r="BI285" s="28"/>
      <c r="BJ285" s="41"/>
      <c r="BK285" s="45"/>
      <c r="BL285" s="28"/>
      <c r="BM285" s="174"/>
    </row>
    <row r="286" spans="1:65" x14ac:dyDescent="0.25">
      <c r="A286" s="167"/>
      <c r="B286" s="167"/>
      <c r="C286" s="167"/>
      <c r="D286" s="256"/>
      <c r="E286" s="167"/>
      <c r="F286" s="81"/>
      <c r="G286" s="81"/>
      <c r="H286" s="170"/>
      <c r="I286" s="170"/>
      <c r="J286" s="170"/>
      <c r="K286" s="170"/>
      <c r="L286" s="170"/>
      <c r="M286" s="170"/>
      <c r="N286" s="170"/>
      <c r="O286" s="28"/>
      <c r="P286" s="170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172"/>
      <c r="AE286" s="172"/>
      <c r="AF286" s="172"/>
      <c r="AG286" s="28"/>
      <c r="AH286" s="28"/>
      <c r="AI286" s="28"/>
      <c r="AJ286" s="60"/>
      <c r="AK286" s="45"/>
      <c r="AL286" s="173"/>
      <c r="AM286" s="173"/>
      <c r="AN286" s="28"/>
      <c r="AO286" s="28"/>
      <c r="AP286" s="41"/>
      <c r="AQ286" s="28"/>
      <c r="AR286" s="28"/>
      <c r="AS286" s="28"/>
      <c r="AT286" s="28"/>
      <c r="AU286" s="41"/>
      <c r="AV286" s="28"/>
      <c r="AW286" s="28"/>
      <c r="AX286" s="28"/>
      <c r="AY286" s="28"/>
      <c r="AZ286" s="41"/>
      <c r="BA286" s="28"/>
      <c r="BB286" s="28"/>
      <c r="BC286" s="28"/>
      <c r="BD286" s="28"/>
      <c r="BE286" s="41"/>
      <c r="BF286" s="28"/>
      <c r="BG286" s="28"/>
      <c r="BH286" s="28"/>
      <c r="BI286" s="28"/>
      <c r="BJ286" s="41"/>
      <c r="BK286" s="45"/>
      <c r="BL286" s="28"/>
      <c r="BM286" s="174"/>
    </row>
    <row r="287" spans="1:65" x14ac:dyDescent="0.25">
      <c r="A287" s="167"/>
      <c r="B287" s="167"/>
      <c r="C287" s="167"/>
      <c r="D287" s="167"/>
      <c r="E287" s="167"/>
      <c r="F287" s="81"/>
      <c r="G287" s="81"/>
      <c r="H287" s="170"/>
      <c r="I287" s="170"/>
      <c r="J287" s="170"/>
      <c r="K287" s="170"/>
      <c r="L287" s="170"/>
      <c r="M287" s="170"/>
      <c r="N287" s="170"/>
      <c r="O287" s="28"/>
      <c r="P287" s="170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172"/>
      <c r="AE287" s="172"/>
      <c r="AF287" s="172"/>
      <c r="AG287" s="28"/>
      <c r="AH287" s="28"/>
      <c r="AI287" s="28"/>
      <c r="AJ287" s="60"/>
      <c r="AK287" s="45"/>
      <c r="AL287" s="173"/>
      <c r="AM287" s="173"/>
      <c r="AN287" s="28"/>
      <c r="AO287" s="28"/>
      <c r="AP287" s="41"/>
      <c r="AQ287" s="28"/>
      <c r="AR287" s="28"/>
      <c r="AS287" s="28"/>
      <c r="AT287" s="28"/>
      <c r="AU287" s="41"/>
      <c r="AV287" s="28"/>
      <c r="AW287" s="28"/>
      <c r="AX287" s="28"/>
      <c r="AY287" s="28"/>
      <c r="AZ287" s="41"/>
      <c r="BA287" s="28"/>
      <c r="BB287" s="28"/>
      <c r="BC287" s="28"/>
      <c r="BD287" s="28"/>
      <c r="BE287" s="41"/>
      <c r="BF287" s="28"/>
      <c r="BG287" s="28"/>
      <c r="BH287" s="28"/>
      <c r="BI287" s="28"/>
      <c r="BJ287" s="41"/>
      <c r="BK287" s="45"/>
      <c r="BL287" s="28"/>
      <c r="BM287" s="174"/>
    </row>
    <row r="288" spans="1:65" x14ac:dyDescent="0.25">
      <c r="A288" s="167"/>
      <c r="B288" s="167"/>
      <c r="C288" s="167"/>
      <c r="D288" s="167"/>
      <c r="E288" s="167"/>
      <c r="F288" s="81"/>
      <c r="G288" s="81"/>
      <c r="H288" s="170"/>
      <c r="I288" s="170"/>
      <c r="J288" s="170"/>
      <c r="K288" s="170"/>
      <c r="L288" s="170"/>
      <c r="M288" s="170"/>
      <c r="N288" s="170"/>
      <c r="O288" s="28"/>
      <c r="P288" s="170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172"/>
      <c r="AE288" s="172"/>
      <c r="AF288" s="172"/>
      <c r="AG288" s="28"/>
      <c r="AH288" s="28"/>
      <c r="AI288" s="28"/>
      <c r="AJ288" s="60"/>
      <c r="AK288" s="45"/>
      <c r="AL288" s="173"/>
      <c r="AM288" s="173"/>
      <c r="AN288" s="28"/>
      <c r="AO288" s="28"/>
      <c r="AP288" s="41"/>
      <c r="AQ288" s="28"/>
      <c r="AR288" s="28"/>
      <c r="AS288" s="28"/>
      <c r="AT288" s="28"/>
      <c r="AU288" s="41"/>
      <c r="AV288" s="28"/>
      <c r="AW288" s="28"/>
      <c r="AX288" s="28"/>
      <c r="AY288" s="28"/>
      <c r="AZ288" s="41"/>
      <c r="BA288" s="28"/>
      <c r="BB288" s="28"/>
      <c r="BC288" s="28"/>
      <c r="BD288" s="28"/>
      <c r="BE288" s="41"/>
      <c r="BF288" s="28"/>
      <c r="BG288" s="28"/>
      <c r="BH288" s="28"/>
      <c r="BI288" s="28"/>
      <c r="BJ288" s="41"/>
      <c r="BK288" s="45"/>
      <c r="BL288" s="28"/>
      <c r="BM288" s="174"/>
    </row>
    <row r="289" spans="1:65" x14ac:dyDescent="0.25">
      <c r="A289" s="167"/>
      <c r="B289" s="167"/>
      <c r="C289" s="167"/>
      <c r="D289" s="167"/>
      <c r="E289" s="167"/>
      <c r="F289" s="81"/>
      <c r="G289" s="81"/>
      <c r="H289" s="170"/>
      <c r="I289" s="170"/>
      <c r="J289" s="170"/>
      <c r="K289" s="170"/>
      <c r="L289" s="170"/>
      <c r="M289" s="170"/>
      <c r="N289" s="170"/>
      <c r="O289" s="28"/>
      <c r="P289" s="170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172"/>
      <c r="AE289" s="172"/>
      <c r="AF289" s="172"/>
      <c r="AG289" s="28"/>
      <c r="AH289" s="28"/>
      <c r="AI289" s="28"/>
      <c r="AJ289" s="60"/>
      <c r="AK289" s="45"/>
      <c r="AL289" s="173"/>
      <c r="AM289" s="173"/>
      <c r="AN289" s="28"/>
      <c r="AO289" s="28"/>
      <c r="AP289" s="41"/>
      <c r="AQ289" s="28"/>
      <c r="AR289" s="28"/>
      <c r="AS289" s="28"/>
      <c r="AT289" s="28"/>
      <c r="AU289" s="41"/>
      <c r="AV289" s="28"/>
      <c r="AW289" s="28"/>
      <c r="AX289" s="28"/>
      <c r="AY289" s="28"/>
      <c r="AZ289" s="41"/>
      <c r="BA289" s="28"/>
      <c r="BB289" s="28"/>
      <c r="BC289" s="28"/>
      <c r="BD289" s="28"/>
      <c r="BE289" s="41"/>
      <c r="BF289" s="28"/>
      <c r="BG289" s="28"/>
      <c r="BH289" s="28"/>
      <c r="BI289" s="28"/>
      <c r="BJ289" s="41"/>
      <c r="BK289" s="45"/>
      <c r="BL289" s="28"/>
      <c r="BM289" s="174"/>
    </row>
    <row r="290" spans="1:65" x14ac:dyDescent="0.25">
      <c r="A290" s="307"/>
      <c r="B290" s="307"/>
      <c r="C290" s="307"/>
      <c r="D290" s="307"/>
      <c r="E290" s="307"/>
      <c r="F290" s="297"/>
      <c r="G290" s="297"/>
      <c r="H290" s="240"/>
      <c r="I290" s="240"/>
      <c r="J290" s="240"/>
      <c r="K290" s="240"/>
      <c r="L290" s="240"/>
      <c r="M290" s="240"/>
      <c r="N290" s="240"/>
      <c r="O290" s="292"/>
      <c r="P290" s="240"/>
      <c r="Q290" s="292"/>
      <c r="R290" s="292"/>
      <c r="S290" s="292"/>
      <c r="T290" s="292"/>
      <c r="U290" s="292"/>
      <c r="V290" s="292"/>
      <c r="W290" s="292"/>
      <c r="X290" s="292"/>
      <c r="Y290" s="292"/>
      <c r="Z290" s="292"/>
      <c r="AA290" s="292"/>
      <c r="AB290" s="292"/>
      <c r="AC290" s="292"/>
      <c r="AD290" s="308"/>
      <c r="AE290" s="308"/>
      <c r="AF290" s="308"/>
      <c r="AG290" s="292"/>
      <c r="AH290" s="292"/>
      <c r="AI290" s="292"/>
      <c r="AJ290" s="309"/>
      <c r="AK290" s="293"/>
      <c r="AL290" s="294"/>
      <c r="AM290" s="294"/>
      <c r="AN290" s="292"/>
      <c r="AO290" s="292"/>
      <c r="AP290" s="295"/>
      <c r="AQ290" s="292"/>
      <c r="AR290" s="292"/>
      <c r="AS290" s="292"/>
      <c r="AT290" s="292"/>
      <c r="AU290" s="295"/>
      <c r="AV290" s="292"/>
      <c r="AW290" s="292"/>
      <c r="AX290" s="292"/>
      <c r="AY290" s="292"/>
      <c r="AZ290" s="295"/>
      <c r="BA290" s="292"/>
      <c r="BB290" s="292"/>
      <c r="BC290" s="292"/>
      <c r="BD290" s="292"/>
      <c r="BE290" s="295"/>
      <c r="BF290" s="292"/>
      <c r="BG290" s="292"/>
      <c r="BH290" s="292"/>
      <c r="BI290" s="292"/>
      <c r="BJ290" s="295"/>
      <c r="BK290" s="293"/>
      <c r="BL290" s="292"/>
      <c r="BM290" s="296"/>
    </row>
    <row r="291" spans="1:65" x14ac:dyDescent="0.25">
      <c r="A291" s="307"/>
      <c r="B291" s="307"/>
      <c r="C291" s="307"/>
      <c r="D291" s="307"/>
      <c r="E291" s="307"/>
      <c r="F291" s="297"/>
      <c r="G291" s="297"/>
      <c r="H291" s="240"/>
      <c r="I291" s="240"/>
      <c r="J291" s="240"/>
      <c r="K291" s="240"/>
      <c r="L291" s="240"/>
      <c r="M291" s="240"/>
      <c r="N291" s="240"/>
      <c r="O291" s="292"/>
      <c r="P291" s="240"/>
      <c r="Q291" s="292"/>
      <c r="R291" s="292"/>
      <c r="S291" s="292"/>
      <c r="T291" s="292"/>
      <c r="U291" s="292"/>
      <c r="V291" s="292"/>
      <c r="W291" s="292"/>
      <c r="X291" s="292"/>
      <c r="Y291" s="292"/>
      <c r="Z291" s="292"/>
      <c r="AA291" s="292"/>
      <c r="AB291" s="292"/>
      <c r="AC291" s="292"/>
      <c r="AD291" s="308"/>
      <c r="AE291" s="308"/>
      <c r="AF291" s="308"/>
      <c r="AG291" s="292"/>
      <c r="AH291" s="292"/>
      <c r="AI291" s="292"/>
      <c r="AJ291" s="309"/>
      <c r="AK291" s="293"/>
      <c r="AL291" s="294"/>
      <c r="AM291" s="294"/>
      <c r="AN291" s="292"/>
      <c r="AO291" s="292"/>
      <c r="AP291" s="295"/>
      <c r="AQ291" s="292"/>
      <c r="AR291" s="292"/>
      <c r="AS291" s="292"/>
      <c r="AT291" s="292"/>
      <c r="AU291" s="295"/>
      <c r="AV291" s="292"/>
      <c r="AW291" s="292"/>
      <c r="AX291" s="292"/>
      <c r="AY291" s="292"/>
      <c r="AZ291" s="295"/>
      <c r="BA291" s="292"/>
      <c r="BB291" s="292"/>
      <c r="BC291" s="292"/>
      <c r="BD291" s="292"/>
      <c r="BE291" s="295"/>
      <c r="BF291" s="292"/>
      <c r="BG291" s="292"/>
      <c r="BH291" s="292"/>
      <c r="BI291" s="292"/>
      <c r="BJ291" s="295"/>
      <c r="BK291" s="293"/>
      <c r="BL291" s="292"/>
      <c r="BM291" s="296"/>
    </row>
    <row r="292" spans="1:65" x14ac:dyDescent="0.25">
      <c r="A292" s="314"/>
      <c r="B292" s="314"/>
      <c r="C292" s="314"/>
      <c r="D292" s="47" t="s">
        <v>167</v>
      </c>
      <c r="E292" s="19"/>
      <c r="F292" s="297"/>
      <c r="G292" s="19"/>
      <c r="H292" s="292"/>
      <c r="I292" s="176"/>
      <c r="J292" s="176"/>
      <c r="K292" s="176"/>
      <c r="L292" s="240"/>
      <c r="M292" s="240"/>
      <c r="N292" s="240"/>
      <c r="O292" s="292"/>
      <c r="P292" s="240"/>
      <c r="Q292" s="292"/>
      <c r="R292" s="292"/>
      <c r="S292" s="292"/>
      <c r="T292" s="292"/>
      <c r="U292" s="292"/>
      <c r="V292" s="292"/>
      <c r="W292" s="292"/>
      <c r="X292" s="292"/>
      <c r="Y292" s="292"/>
      <c r="Z292" s="292"/>
      <c r="AA292" s="292"/>
      <c r="AB292" s="292"/>
      <c r="AC292" s="292"/>
      <c r="AD292" s="308"/>
      <c r="AE292" s="308"/>
      <c r="AF292" s="308"/>
      <c r="AG292" s="292"/>
      <c r="AH292" s="292"/>
      <c r="AI292" s="292"/>
      <c r="AJ292" s="309"/>
      <c r="AK292" s="293"/>
      <c r="AL292" s="294"/>
      <c r="AM292" s="294"/>
      <c r="AN292" s="292"/>
      <c r="AO292" s="292"/>
      <c r="AP292" s="295"/>
      <c r="AQ292" s="292"/>
      <c r="AR292" s="292"/>
      <c r="AS292" s="292"/>
      <c r="AT292" s="292"/>
      <c r="AU292" s="295"/>
      <c r="AV292" s="292"/>
      <c r="AW292" s="292"/>
      <c r="AX292" s="292"/>
      <c r="AY292" s="292"/>
      <c r="AZ292" s="295"/>
      <c r="BA292" s="292"/>
      <c r="BB292" s="292"/>
      <c r="BC292" s="292"/>
      <c r="BD292" s="292"/>
      <c r="BE292" s="295"/>
      <c r="BF292" s="292"/>
      <c r="BG292" s="292"/>
      <c r="BH292" s="292"/>
      <c r="BI292" s="292"/>
      <c r="BJ292" s="295"/>
      <c r="BK292" s="293"/>
      <c r="BL292" s="292"/>
      <c r="BM292" s="296"/>
    </row>
    <row r="293" spans="1:65" x14ac:dyDescent="0.25">
      <c r="A293" s="314"/>
      <c r="B293" s="314"/>
      <c r="C293" s="314"/>
      <c r="D293" s="47" t="s">
        <v>168</v>
      </c>
      <c r="E293" s="19"/>
      <c r="F293" s="297"/>
      <c r="G293" s="19"/>
      <c r="H293" s="292"/>
      <c r="I293" s="176"/>
      <c r="J293" s="176"/>
      <c r="K293" s="176"/>
      <c r="L293" s="240"/>
      <c r="M293" s="240"/>
      <c r="N293" s="240"/>
      <c r="O293" s="292"/>
      <c r="P293" s="240"/>
      <c r="Q293" s="292"/>
      <c r="R293" s="292"/>
      <c r="S293" s="292"/>
      <c r="T293" s="292"/>
      <c r="U293" s="292"/>
      <c r="V293" s="292"/>
      <c r="W293" s="292"/>
      <c r="X293" s="292"/>
      <c r="Y293" s="292"/>
      <c r="Z293" s="292"/>
      <c r="AA293" s="292"/>
      <c r="AB293" s="292"/>
      <c r="AC293" s="292"/>
      <c r="AD293" s="308"/>
      <c r="AE293" s="308"/>
      <c r="AF293" s="308"/>
      <c r="AG293" s="292"/>
      <c r="AH293" s="292"/>
      <c r="AI293" s="292"/>
      <c r="AJ293" s="309"/>
      <c r="AK293" s="293"/>
      <c r="AL293" s="294"/>
      <c r="AM293" s="294"/>
      <c r="AN293" s="292"/>
      <c r="AO293" s="292"/>
      <c r="AP293" s="295"/>
      <c r="AQ293" s="292"/>
      <c r="AR293" s="292"/>
      <c r="AS293" s="292"/>
      <c r="AT293" s="292"/>
      <c r="AU293" s="295"/>
      <c r="AV293" s="292"/>
      <c r="AW293" s="292"/>
      <c r="AX293" s="292"/>
      <c r="AY293" s="292"/>
      <c r="AZ293" s="295"/>
      <c r="BA293" s="292"/>
      <c r="BB293" s="292"/>
      <c r="BC293" s="292"/>
      <c r="BD293" s="292"/>
      <c r="BE293" s="295"/>
      <c r="BF293" s="292"/>
      <c r="BG293" s="292"/>
      <c r="BH293" s="292"/>
      <c r="BI293" s="292"/>
      <c r="BJ293" s="295"/>
      <c r="BK293" s="293"/>
      <c r="BL293" s="292"/>
      <c r="BM293" s="296"/>
    </row>
    <row r="294" spans="1:65" x14ac:dyDescent="0.25">
      <c r="A294" s="314"/>
      <c r="B294" s="314"/>
      <c r="C294" s="314"/>
      <c r="D294" s="47" t="s">
        <v>169</v>
      </c>
      <c r="E294" s="19"/>
      <c r="F294" s="297"/>
      <c r="G294" s="19"/>
      <c r="H294" s="292"/>
      <c r="I294" s="176"/>
      <c r="J294" s="176"/>
      <c r="K294" s="176"/>
      <c r="L294" s="240"/>
      <c r="M294" s="240"/>
      <c r="N294" s="240"/>
      <c r="O294" s="292"/>
      <c r="P294" s="240"/>
      <c r="Q294" s="292"/>
      <c r="R294" s="292"/>
      <c r="S294" s="292"/>
      <c r="T294" s="292"/>
      <c r="U294" s="292"/>
      <c r="V294" s="292"/>
      <c r="W294" s="292"/>
      <c r="X294" s="292"/>
      <c r="Y294" s="292"/>
      <c r="Z294" s="292"/>
      <c r="AA294" s="292"/>
      <c r="AB294" s="292"/>
      <c r="AC294" s="292"/>
      <c r="AD294" s="308"/>
      <c r="AE294" s="308"/>
      <c r="AF294" s="308"/>
      <c r="AG294" s="292"/>
      <c r="AH294" s="292"/>
      <c r="AI294" s="292"/>
      <c r="AJ294" s="309"/>
      <c r="AK294" s="293"/>
      <c r="AL294" s="294"/>
      <c r="AM294" s="294"/>
      <c r="AN294" s="292"/>
      <c r="AO294" s="292"/>
      <c r="AP294" s="295"/>
      <c r="AQ294" s="292"/>
      <c r="AR294" s="292"/>
      <c r="AS294" s="292"/>
      <c r="AT294" s="292"/>
      <c r="AU294" s="295"/>
      <c r="AV294" s="292"/>
      <c r="AW294" s="292"/>
      <c r="AX294" s="292"/>
      <c r="AY294" s="292"/>
      <c r="AZ294" s="295"/>
      <c r="BA294" s="292"/>
      <c r="BB294" s="292"/>
      <c r="BC294" s="292"/>
      <c r="BD294" s="292"/>
      <c r="BE294" s="295"/>
      <c r="BF294" s="292"/>
      <c r="BG294" s="292"/>
      <c r="BH294" s="292"/>
      <c r="BI294" s="292"/>
      <c r="BJ294" s="295"/>
      <c r="BK294" s="293"/>
      <c r="BL294" s="292"/>
      <c r="BM294" s="296"/>
    </row>
    <row r="295" spans="1:65" x14ac:dyDescent="0.25">
      <c r="A295" s="314"/>
      <c r="B295" s="314"/>
      <c r="C295" s="314"/>
      <c r="D295" s="47" t="s">
        <v>182</v>
      </c>
      <c r="E295" s="19"/>
      <c r="F295" s="297"/>
      <c r="G295" s="19"/>
      <c r="H295" s="292"/>
      <c r="I295" s="176"/>
      <c r="J295" s="176"/>
      <c r="K295" s="176"/>
      <c r="L295" s="240"/>
      <c r="M295" s="240"/>
      <c r="N295" s="240"/>
      <c r="O295" s="292"/>
      <c r="P295" s="240"/>
      <c r="Q295" s="292"/>
      <c r="R295" s="292"/>
      <c r="S295" s="292"/>
      <c r="T295" s="292"/>
      <c r="U295" s="292"/>
      <c r="V295" s="292"/>
      <c r="W295" s="292"/>
      <c r="X295" s="292"/>
      <c r="Y295" s="292"/>
      <c r="Z295" s="292"/>
      <c r="AA295" s="292"/>
      <c r="AB295" s="292"/>
      <c r="AC295" s="292"/>
      <c r="AD295" s="308"/>
      <c r="AE295" s="308"/>
      <c r="AF295" s="308"/>
      <c r="AG295" s="292"/>
      <c r="AH295" s="292"/>
      <c r="AI295" s="292"/>
      <c r="AJ295" s="309"/>
      <c r="AK295" s="293"/>
      <c r="AL295" s="294"/>
      <c r="AM295" s="294"/>
      <c r="AN295" s="292"/>
      <c r="AO295" s="292"/>
      <c r="AP295" s="295"/>
      <c r="AQ295" s="292"/>
      <c r="AR295" s="292"/>
      <c r="AS295" s="292"/>
      <c r="AT295" s="292"/>
      <c r="AU295" s="295"/>
      <c r="AV295" s="292"/>
      <c r="AW295" s="292"/>
      <c r="AX295" s="292"/>
      <c r="AY295" s="292"/>
      <c r="AZ295" s="295"/>
      <c r="BA295" s="292"/>
      <c r="BB295" s="292"/>
      <c r="BC295" s="292"/>
      <c r="BD295" s="292"/>
      <c r="BE295" s="295"/>
      <c r="BF295" s="292"/>
      <c r="BG295" s="292"/>
      <c r="BH295" s="292"/>
      <c r="BI295" s="292"/>
      <c r="BJ295" s="295"/>
      <c r="BK295" s="293"/>
      <c r="BL295" s="292"/>
      <c r="BM295" s="296"/>
    </row>
    <row r="296" spans="1:65" x14ac:dyDescent="0.25">
      <c r="A296" s="314"/>
      <c r="B296" s="314"/>
      <c r="C296" s="314"/>
      <c r="D296" s="47" t="s">
        <v>170</v>
      </c>
      <c r="E296" s="19"/>
      <c r="F296" s="297"/>
      <c r="G296" s="19"/>
      <c r="H296" s="292"/>
      <c r="I296" s="176"/>
      <c r="J296" s="176"/>
      <c r="K296" s="176"/>
      <c r="L296" s="240"/>
      <c r="M296" s="240"/>
      <c r="N296" s="240"/>
      <c r="O296" s="292"/>
      <c r="P296" s="240"/>
      <c r="Q296" s="292"/>
      <c r="R296" s="292"/>
      <c r="S296" s="292"/>
      <c r="T296" s="292"/>
      <c r="U296" s="292"/>
      <c r="V296" s="292"/>
      <c r="W296" s="292"/>
      <c r="X296" s="292"/>
      <c r="Y296" s="292"/>
      <c r="Z296" s="292"/>
      <c r="AA296" s="292"/>
      <c r="AB296" s="292"/>
      <c r="AC296" s="292"/>
      <c r="AD296" s="308"/>
      <c r="AE296" s="308"/>
      <c r="AF296" s="308"/>
      <c r="AG296" s="292"/>
      <c r="AH296" s="292"/>
      <c r="AI296" s="292"/>
      <c r="AJ296" s="309"/>
      <c r="AK296" s="293"/>
      <c r="AL296" s="294"/>
      <c r="AM296" s="294"/>
      <c r="AN296" s="292"/>
      <c r="AO296" s="292"/>
      <c r="AP296" s="295"/>
      <c r="AQ296" s="292"/>
      <c r="AR296" s="292"/>
      <c r="AS296" s="292"/>
      <c r="AT296" s="292"/>
      <c r="AU296" s="295"/>
      <c r="AV296" s="292"/>
      <c r="AW296" s="292"/>
      <c r="AX296" s="292"/>
      <c r="AY296" s="292"/>
      <c r="AZ296" s="295"/>
      <c r="BA296" s="292"/>
      <c r="BB296" s="292"/>
      <c r="BC296" s="292"/>
      <c r="BD296" s="292"/>
      <c r="BE296" s="295"/>
      <c r="BF296" s="292"/>
      <c r="BG296" s="292"/>
      <c r="BH296" s="292"/>
      <c r="BI296" s="292"/>
      <c r="BJ296" s="295"/>
      <c r="BK296" s="293"/>
      <c r="BL296" s="292"/>
      <c r="BM296" s="296"/>
    </row>
    <row r="297" spans="1:65" x14ac:dyDescent="0.25">
      <c r="A297" s="314"/>
      <c r="B297" s="314"/>
      <c r="C297" s="314"/>
      <c r="D297" s="47" t="s">
        <v>135</v>
      </c>
      <c r="E297" s="19"/>
      <c r="F297" s="297"/>
      <c r="G297" s="19"/>
      <c r="H297" s="292"/>
      <c r="I297" s="176"/>
      <c r="J297" s="176"/>
      <c r="K297" s="176"/>
      <c r="L297" s="240"/>
      <c r="M297" s="240"/>
      <c r="N297" s="240"/>
      <c r="O297" s="292"/>
      <c r="P297" s="240"/>
      <c r="Q297" s="292"/>
      <c r="R297" s="292"/>
      <c r="S297" s="292"/>
      <c r="T297" s="292"/>
      <c r="U297" s="292"/>
      <c r="V297" s="292"/>
      <c r="W297" s="292"/>
      <c r="X297" s="292"/>
      <c r="Y297" s="292"/>
      <c r="Z297" s="292"/>
      <c r="AA297" s="292"/>
      <c r="AB297" s="292"/>
      <c r="AC297" s="292"/>
      <c r="AD297" s="308"/>
      <c r="AE297" s="308"/>
      <c r="AF297" s="308"/>
      <c r="AG297" s="292"/>
      <c r="AH297" s="292"/>
      <c r="AI297" s="292"/>
      <c r="AJ297" s="309"/>
      <c r="AK297" s="293"/>
      <c r="AL297" s="294"/>
      <c r="AM297" s="294"/>
      <c r="AN297" s="292"/>
      <c r="AO297" s="292"/>
      <c r="AP297" s="295"/>
      <c r="AQ297" s="292"/>
      <c r="AR297" s="292"/>
      <c r="AS297" s="292"/>
      <c r="AT297" s="292"/>
      <c r="AU297" s="295"/>
      <c r="AV297" s="292"/>
      <c r="AW297" s="292"/>
      <c r="AX297" s="292"/>
      <c r="AY297" s="292"/>
      <c r="AZ297" s="295"/>
      <c r="BA297" s="292"/>
      <c r="BB297" s="292"/>
      <c r="BC297" s="292"/>
      <c r="BD297" s="292"/>
      <c r="BE297" s="295"/>
      <c r="BF297" s="292"/>
      <c r="BG297" s="292"/>
      <c r="BH297" s="292"/>
      <c r="BI297" s="292"/>
      <c r="BJ297" s="295"/>
      <c r="BK297" s="293"/>
      <c r="BL297" s="292"/>
      <c r="BM297" s="296"/>
    </row>
    <row r="298" spans="1:65" x14ac:dyDescent="0.25">
      <c r="A298" s="314"/>
      <c r="B298" s="314"/>
      <c r="C298" s="314"/>
      <c r="D298" s="47" t="s">
        <v>171</v>
      </c>
      <c r="E298" s="19"/>
      <c r="F298" s="297"/>
      <c r="G298" s="19"/>
      <c r="H298" s="292"/>
      <c r="I298" s="176"/>
      <c r="J298" s="176"/>
      <c r="K298" s="176"/>
      <c r="L298" s="240"/>
      <c r="M298" s="240"/>
      <c r="N298" s="240"/>
      <c r="O298" s="292"/>
      <c r="P298" s="240"/>
      <c r="Q298" s="292"/>
      <c r="R298" s="292"/>
      <c r="S298" s="292"/>
      <c r="T298" s="292"/>
      <c r="U298" s="292"/>
      <c r="V298" s="292"/>
      <c r="W298" s="292"/>
      <c r="X298" s="292"/>
      <c r="Y298" s="292"/>
      <c r="Z298" s="292"/>
      <c r="AA298" s="292"/>
      <c r="AB298" s="292"/>
      <c r="AC298" s="292"/>
      <c r="AD298" s="308"/>
      <c r="AE298" s="308"/>
      <c r="AF298" s="308"/>
      <c r="AG298" s="292"/>
      <c r="AH298" s="292"/>
      <c r="AI298" s="292"/>
      <c r="AJ298" s="309"/>
      <c r="AK298" s="293"/>
      <c r="AL298" s="294"/>
      <c r="AM298" s="294"/>
      <c r="AN298" s="292"/>
      <c r="AO298" s="292"/>
      <c r="AP298" s="295"/>
      <c r="AQ298" s="292"/>
      <c r="AR298" s="292"/>
      <c r="AS298" s="292"/>
      <c r="AT298" s="292"/>
      <c r="AU298" s="295"/>
      <c r="AV298" s="292"/>
      <c r="AW298" s="292"/>
      <c r="AX298" s="292"/>
      <c r="AY298" s="292"/>
      <c r="AZ298" s="295"/>
      <c r="BA298" s="292"/>
      <c r="BB298" s="292"/>
      <c r="BC298" s="292"/>
      <c r="BD298" s="292"/>
      <c r="BE298" s="295"/>
      <c r="BF298" s="292"/>
      <c r="BG298" s="292"/>
      <c r="BH298" s="292"/>
      <c r="BI298" s="292"/>
      <c r="BJ298" s="295"/>
      <c r="BK298" s="293"/>
      <c r="BL298" s="292"/>
      <c r="BM298" s="296"/>
    </row>
    <row r="299" spans="1:65" x14ac:dyDescent="0.25">
      <c r="A299" s="314"/>
      <c r="B299" s="314"/>
      <c r="C299" s="314"/>
      <c r="D299" s="47" t="s">
        <v>129</v>
      </c>
      <c r="E299" s="19"/>
      <c r="F299" s="297"/>
      <c r="G299" s="19"/>
      <c r="H299" s="292"/>
      <c r="I299" s="176"/>
      <c r="J299" s="176"/>
      <c r="K299" s="176"/>
      <c r="L299" s="240"/>
      <c r="M299" s="240"/>
      <c r="N299" s="240"/>
      <c r="O299" s="292"/>
      <c r="P299" s="240"/>
      <c r="Q299" s="292"/>
      <c r="R299" s="292"/>
      <c r="S299" s="292"/>
      <c r="T299" s="292"/>
      <c r="U299" s="292"/>
      <c r="V299" s="292"/>
      <c r="W299" s="292"/>
      <c r="X299" s="292"/>
      <c r="Y299" s="292"/>
      <c r="Z299" s="292"/>
      <c r="AA299" s="292"/>
      <c r="AB299" s="292"/>
      <c r="AC299" s="292"/>
      <c r="AD299" s="308"/>
      <c r="AE299" s="308"/>
      <c r="AF299" s="308"/>
      <c r="AG299" s="292"/>
      <c r="AH299" s="292"/>
      <c r="AI299" s="292"/>
      <c r="AJ299" s="309"/>
      <c r="AK299" s="293"/>
      <c r="AL299" s="294"/>
      <c r="AM299" s="294"/>
      <c r="AN299" s="292"/>
      <c r="AO299" s="292"/>
      <c r="AP299" s="295"/>
      <c r="AQ299" s="292"/>
      <c r="AR299" s="292"/>
      <c r="AS299" s="292"/>
      <c r="AT299" s="292"/>
      <c r="AU299" s="295"/>
      <c r="AV299" s="292"/>
      <c r="AW299" s="292"/>
      <c r="AX299" s="292"/>
      <c r="AY299" s="292"/>
      <c r="AZ299" s="295"/>
      <c r="BA299" s="292"/>
      <c r="BB299" s="292"/>
      <c r="BC299" s="292"/>
      <c r="BD299" s="292"/>
      <c r="BE299" s="295"/>
      <c r="BF299" s="292"/>
      <c r="BG299" s="292"/>
      <c r="BH299" s="292"/>
      <c r="BI299" s="292"/>
      <c r="BJ299" s="295"/>
      <c r="BK299" s="293"/>
      <c r="BL299" s="292"/>
      <c r="BM299" s="296"/>
    </row>
    <row r="300" spans="1:65" x14ac:dyDescent="0.25">
      <c r="A300" s="314"/>
      <c r="B300" s="314"/>
      <c r="C300" s="314"/>
      <c r="D300" s="47" t="s">
        <v>253</v>
      </c>
      <c r="E300" s="19"/>
      <c r="F300" s="297"/>
      <c r="G300" s="19"/>
      <c r="H300" s="292"/>
      <c r="I300" s="176"/>
      <c r="J300" s="176"/>
      <c r="K300" s="176"/>
      <c r="L300" s="240"/>
      <c r="M300" s="240"/>
      <c r="N300" s="240"/>
      <c r="O300" s="292"/>
      <c r="P300" s="240"/>
      <c r="Q300" s="292"/>
      <c r="R300" s="292"/>
      <c r="S300" s="292"/>
      <c r="T300" s="292"/>
      <c r="U300" s="292"/>
      <c r="V300" s="292"/>
      <c r="W300" s="292"/>
      <c r="X300" s="292"/>
      <c r="Y300" s="292"/>
      <c r="Z300" s="292"/>
      <c r="AA300" s="292"/>
      <c r="AB300" s="292"/>
      <c r="AC300" s="292"/>
      <c r="AD300" s="308"/>
      <c r="AE300" s="308"/>
      <c r="AF300" s="308"/>
      <c r="AG300" s="292"/>
      <c r="AH300" s="292"/>
      <c r="AI300" s="292"/>
      <c r="AJ300" s="309"/>
      <c r="AK300" s="293"/>
      <c r="AL300" s="294"/>
      <c r="AM300" s="294"/>
      <c r="AN300" s="292"/>
      <c r="AO300" s="292"/>
      <c r="AP300" s="295"/>
      <c r="AQ300" s="292"/>
      <c r="AR300" s="292"/>
      <c r="AS300" s="292"/>
      <c r="AT300" s="292"/>
      <c r="AU300" s="295"/>
      <c r="AV300" s="292"/>
      <c r="AW300" s="292"/>
      <c r="AX300" s="292"/>
      <c r="AY300" s="292"/>
      <c r="AZ300" s="295"/>
      <c r="BA300" s="292"/>
      <c r="BB300" s="292"/>
      <c r="BC300" s="292"/>
      <c r="BD300" s="292"/>
      <c r="BE300" s="295"/>
      <c r="BF300" s="292"/>
      <c r="BG300" s="292"/>
      <c r="BH300" s="292"/>
      <c r="BI300" s="292"/>
      <c r="BJ300" s="295"/>
      <c r="BK300" s="293"/>
      <c r="BL300" s="292"/>
      <c r="BM300" s="296"/>
    </row>
    <row r="301" spans="1:65" x14ac:dyDescent="0.25">
      <c r="A301" s="314"/>
      <c r="B301" s="314"/>
      <c r="C301" s="314"/>
      <c r="D301" s="47" t="s">
        <v>190</v>
      </c>
      <c r="E301" s="19"/>
      <c r="F301" s="297"/>
      <c r="G301" s="19"/>
      <c r="H301" s="292"/>
      <c r="I301" s="176"/>
      <c r="J301" s="176"/>
      <c r="K301" s="176"/>
      <c r="L301" s="240"/>
      <c r="M301" s="240"/>
      <c r="N301" s="240"/>
      <c r="O301" s="292"/>
      <c r="P301" s="240"/>
      <c r="Q301" s="292"/>
      <c r="R301" s="292"/>
      <c r="S301" s="292"/>
      <c r="T301" s="292"/>
      <c r="U301" s="292"/>
      <c r="V301" s="292"/>
      <c r="W301" s="292"/>
      <c r="X301" s="292"/>
      <c r="Y301" s="292"/>
      <c r="Z301" s="292"/>
      <c r="AA301" s="292"/>
      <c r="AB301" s="292"/>
      <c r="AC301" s="292"/>
      <c r="AD301" s="308"/>
      <c r="AE301" s="308"/>
      <c r="AF301" s="308"/>
      <c r="AG301" s="292"/>
      <c r="AH301" s="292"/>
      <c r="AI301" s="292"/>
      <c r="AJ301" s="309"/>
      <c r="AK301" s="293"/>
      <c r="AL301" s="294"/>
      <c r="AM301" s="294"/>
      <c r="AN301" s="292"/>
      <c r="AO301" s="292"/>
      <c r="AP301" s="295"/>
      <c r="AQ301" s="292"/>
      <c r="AR301" s="292"/>
      <c r="AS301" s="292"/>
      <c r="AT301" s="292"/>
      <c r="AU301" s="295"/>
      <c r="AV301" s="292"/>
      <c r="AW301" s="292"/>
      <c r="AX301" s="292"/>
      <c r="AY301" s="292"/>
      <c r="AZ301" s="295"/>
      <c r="BA301" s="292"/>
      <c r="BB301" s="292"/>
      <c r="BC301" s="292"/>
      <c r="BD301" s="292"/>
      <c r="BE301" s="295"/>
      <c r="BF301" s="292"/>
      <c r="BG301" s="292"/>
      <c r="BH301" s="292"/>
      <c r="BI301" s="292"/>
      <c r="BJ301" s="295"/>
      <c r="BK301" s="293"/>
      <c r="BL301" s="292"/>
      <c r="BM301" s="296"/>
    </row>
    <row r="302" spans="1:65" x14ac:dyDescent="0.25">
      <c r="A302" s="314"/>
      <c r="B302" s="314"/>
      <c r="C302" s="314"/>
      <c r="D302" s="47" t="s">
        <v>191</v>
      </c>
      <c r="E302" s="19"/>
      <c r="F302" s="297"/>
      <c r="G302" s="19"/>
      <c r="H302" s="292"/>
      <c r="I302" s="176"/>
      <c r="J302" s="176"/>
      <c r="K302" s="176"/>
      <c r="L302" s="240"/>
      <c r="M302" s="240"/>
      <c r="N302" s="240"/>
      <c r="O302" s="292"/>
      <c r="P302" s="240"/>
      <c r="Q302" s="292"/>
      <c r="R302" s="292"/>
      <c r="S302" s="292"/>
      <c r="T302" s="292"/>
      <c r="U302" s="292"/>
      <c r="V302" s="292"/>
      <c r="W302" s="292"/>
      <c r="X302" s="292"/>
      <c r="Y302" s="292"/>
      <c r="Z302" s="292"/>
      <c r="AA302" s="292"/>
      <c r="AB302" s="292"/>
      <c r="AC302" s="292"/>
      <c r="AD302" s="308"/>
      <c r="AE302" s="308"/>
      <c r="AF302" s="308"/>
      <c r="AG302" s="292"/>
      <c r="AH302" s="292"/>
      <c r="AI302" s="292"/>
      <c r="AJ302" s="309"/>
      <c r="AK302" s="293"/>
      <c r="AL302" s="294"/>
      <c r="AM302" s="294"/>
      <c r="AN302" s="292"/>
      <c r="AO302" s="292"/>
      <c r="AP302" s="295"/>
      <c r="AQ302" s="292"/>
      <c r="AR302" s="292"/>
      <c r="AS302" s="292"/>
      <c r="AT302" s="292"/>
      <c r="AU302" s="295"/>
      <c r="AV302" s="292"/>
      <c r="AW302" s="292"/>
      <c r="AX302" s="292"/>
      <c r="AY302" s="292"/>
      <c r="AZ302" s="295"/>
      <c r="BA302" s="292"/>
      <c r="BB302" s="292"/>
      <c r="BC302" s="292"/>
      <c r="BD302" s="292"/>
      <c r="BE302" s="295"/>
      <c r="BF302" s="292"/>
      <c r="BG302" s="292"/>
      <c r="BH302" s="292"/>
      <c r="BI302" s="292"/>
      <c r="BJ302" s="295"/>
      <c r="BK302" s="293"/>
      <c r="BL302" s="292"/>
      <c r="BM302" s="296"/>
    </row>
    <row r="303" spans="1:65" x14ac:dyDescent="0.25">
      <c r="A303" s="314"/>
      <c r="B303" s="314"/>
      <c r="C303" s="314"/>
      <c r="D303" s="47" t="s">
        <v>258</v>
      </c>
      <c r="E303" s="19"/>
      <c r="F303" s="297"/>
      <c r="G303" s="19"/>
      <c r="H303" s="292"/>
      <c r="I303" s="176"/>
      <c r="J303" s="176"/>
      <c r="K303" s="176"/>
      <c r="L303" s="240"/>
      <c r="M303" s="240"/>
      <c r="N303" s="240"/>
      <c r="O303" s="292"/>
      <c r="P303" s="240"/>
      <c r="Q303" s="292"/>
      <c r="R303" s="292"/>
      <c r="S303" s="292"/>
      <c r="T303" s="292"/>
      <c r="U303" s="292"/>
      <c r="V303" s="292"/>
      <c r="W303" s="292"/>
      <c r="X303" s="292"/>
      <c r="Y303" s="292"/>
      <c r="Z303" s="292"/>
      <c r="AA303" s="292"/>
      <c r="AB303" s="292"/>
      <c r="AC303" s="292"/>
      <c r="AD303" s="308"/>
      <c r="AE303" s="308"/>
      <c r="AF303" s="308"/>
      <c r="AG303" s="292"/>
      <c r="AH303" s="292"/>
      <c r="AI303" s="292"/>
      <c r="AJ303" s="309"/>
      <c r="AK303" s="293"/>
      <c r="AL303" s="294"/>
      <c r="AM303" s="294"/>
      <c r="AN303" s="292"/>
      <c r="AO303" s="292"/>
      <c r="AP303" s="295"/>
      <c r="AQ303" s="292"/>
      <c r="AR303" s="292"/>
      <c r="AS303" s="292"/>
      <c r="AT303" s="292"/>
      <c r="AU303" s="295"/>
      <c r="AV303" s="292"/>
      <c r="AW303" s="292"/>
      <c r="AX303" s="292"/>
      <c r="AY303" s="292"/>
      <c r="AZ303" s="295"/>
      <c r="BA303" s="292"/>
      <c r="BB303" s="292"/>
      <c r="BC303" s="292"/>
      <c r="BD303" s="292"/>
      <c r="BE303" s="295"/>
      <c r="BF303" s="292"/>
      <c r="BG303" s="292"/>
      <c r="BH303" s="292"/>
      <c r="BI303" s="292"/>
      <c r="BJ303" s="295"/>
      <c r="BK303" s="293"/>
      <c r="BL303" s="292"/>
      <c r="BM303" s="296"/>
    </row>
    <row r="304" spans="1:65" x14ac:dyDescent="0.25">
      <c r="A304" s="314"/>
      <c r="B304" s="314"/>
      <c r="C304" s="314"/>
      <c r="D304" s="47" t="s">
        <v>180</v>
      </c>
      <c r="E304" s="19"/>
      <c r="F304" s="297"/>
      <c r="G304" s="19"/>
      <c r="H304" s="292"/>
      <c r="I304" s="176"/>
      <c r="J304" s="176"/>
      <c r="K304" s="176"/>
      <c r="L304" s="240"/>
      <c r="M304" s="240"/>
      <c r="N304" s="240"/>
      <c r="O304" s="292"/>
      <c r="P304" s="240"/>
      <c r="Q304" s="292"/>
      <c r="R304" s="292"/>
      <c r="S304" s="292"/>
      <c r="T304" s="292"/>
      <c r="U304" s="292"/>
      <c r="V304" s="292"/>
      <c r="W304" s="292"/>
      <c r="X304" s="292"/>
      <c r="Y304" s="292"/>
      <c r="Z304" s="292"/>
      <c r="AA304" s="292"/>
      <c r="AB304" s="292"/>
      <c r="AC304" s="292"/>
      <c r="AD304" s="308"/>
      <c r="AE304" s="308"/>
      <c r="AF304" s="308"/>
      <c r="AG304" s="292"/>
      <c r="AH304" s="292"/>
      <c r="AI304" s="292"/>
      <c r="AJ304" s="309"/>
      <c r="AK304" s="293"/>
      <c r="AL304" s="294"/>
      <c r="AM304" s="294"/>
      <c r="AN304" s="292"/>
      <c r="AO304" s="292"/>
      <c r="AP304" s="295"/>
      <c r="AQ304" s="292"/>
      <c r="AR304" s="292"/>
      <c r="AS304" s="292"/>
      <c r="AT304" s="292"/>
      <c r="AU304" s="295"/>
      <c r="AV304" s="292"/>
      <c r="AW304" s="292"/>
      <c r="AX304" s="292"/>
      <c r="AY304" s="292"/>
      <c r="AZ304" s="295"/>
      <c r="BA304" s="292"/>
      <c r="BB304" s="292"/>
      <c r="BC304" s="292"/>
      <c r="BD304" s="292"/>
      <c r="BE304" s="295"/>
      <c r="BF304" s="292"/>
      <c r="BG304" s="292"/>
      <c r="BH304" s="292"/>
      <c r="BI304" s="292"/>
      <c r="BJ304" s="295"/>
      <c r="BK304" s="293"/>
      <c r="BL304" s="292"/>
      <c r="BM304" s="296"/>
    </row>
    <row r="305" spans="1:65" x14ac:dyDescent="0.25">
      <c r="A305" s="314"/>
      <c r="B305" s="314"/>
      <c r="C305" s="314"/>
      <c r="D305" s="47" t="s">
        <v>181</v>
      </c>
      <c r="E305" s="19"/>
      <c r="F305" s="297"/>
      <c r="G305" s="19"/>
      <c r="H305" s="292"/>
      <c r="I305" s="176"/>
      <c r="J305" s="176"/>
      <c r="K305" s="176"/>
      <c r="L305" s="240"/>
      <c r="M305" s="240"/>
      <c r="N305" s="240"/>
      <c r="O305" s="292"/>
      <c r="P305" s="240"/>
      <c r="Q305" s="292"/>
      <c r="R305" s="292"/>
      <c r="S305" s="292"/>
      <c r="T305" s="292"/>
      <c r="U305" s="292"/>
      <c r="V305" s="292"/>
      <c r="W305" s="292"/>
      <c r="X305" s="292"/>
      <c r="Y305" s="292"/>
      <c r="Z305" s="292"/>
      <c r="AA305" s="292"/>
      <c r="AB305" s="292"/>
      <c r="AC305" s="292"/>
      <c r="AD305" s="308"/>
      <c r="AE305" s="308"/>
      <c r="AF305" s="308"/>
      <c r="AG305" s="292"/>
      <c r="AH305" s="292"/>
      <c r="AI305" s="292"/>
      <c r="AJ305" s="309"/>
      <c r="AK305" s="293"/>
      <c r="AL305" s="294"/>
      <c r="AM305" s="294"/>
      <c r="AN305" s="292"/>
      <c r="AO305" s="292"/>
      <c r="AP305" s="295"/>
      <c r="AQ305" s="292"/>
      <c r="AR305" s="292"/>
      <c r="AS305" s="292"/>
      <c r="AT305" s="292"/>
      <c r="AU305" s="295"/>
      <c r="AV305" s="292"/>
      <c r="AW305" s="292"/>
      <c r="AX305" s="292"/>
      <c r="AY305" s="292"/>
      <c r="AZ305" s="295"/>
      <c r="BA305" s="292"/>
      <c r="BB305" s="292"/>
      <c r="BC305" s="292"/>
      <c r="BD305" s="292"/>
      <c r="BE305" s="295"/>
      <c r="BF305" s="292"/>
      <c r="BG305" s="292"/>
      <c r="BH305" s="292"/>
      <c r="BI305" s="292"/>
      <c r="BJ305" s="295"/>
      <c r="BK305" s="293"/>
      <c r="BL305" s="292"/>
      <c r="BM305" s="296"/>
    </row>
    <row r="306" spans="1:65" x14ac:dyDescent="0.25">
      <c r="A306" s="314"/>
      <c r="B306" s="314"/>
      <c r="C306" s="314"/>
      <c r="D306" s="19" t="s">
        <v>183</v>
      </c>
      <c r="E306" s="19"/>
      <c r="F306" s="297"/>
      <c r="G306" s="19"/>
      <c r="H306" s="292"/>
      <c r="I306" s="176"/>
      <c r="J306" s="176"/>
      <c r="K306" s="176"/>
      <c r="L306" s="240"/>
      <c r="M306" s="240"/>
      <c r="N306" s="240"/>
      <c r="O306" s="292"/>
      <c r="P306" s="240"/>
      <c r="Q306" s="292"/>
      <c r="R306" s="292"/>
      <c r="S306" s="292"/>
      <c r="T306" s="292"/>
      <c r="U306" s="292"/>
      <c r="V306" s="292"/>
      <c r="W306" s="292"/>
      <c r="X306" s="292"/>
      <c r="Y306" s="292"/>
      <c r="Z306" s="292"/>
      <c r="AA306" s="292"/>
      <c r="AB306" s="292"/>
      <c r="AC306" s="292"/>
      <c r="AD306" s="308"/>
      <c r="AE306" s="308"/>
      <c r="AF306" s="308"/>
      <c r="AG306" s="292"/>
      <c r="AH306" s="292"/>
      <c r="AI306" s="292"/>
      <c r="AJ306" s="309"/>
      <c r="AK306" s="293"/>
      <c r="AL306" s="294"/>
      <c r="AM306" s="294"/>
      <c r="AN306" s="292"/>
      <c r="AO306" s="292"/>
      <c r="AP306" s="295"/>
      <c r="AQ306" s="292"/>
      <c r="AR306" s="292"/>
      <c r="AS306" s="292"/>
      <c r="AT306" s="292"/>
      <c r="AU306" s="295"/>
      <c r="AV306" s="292"/>
      <c r="AW306" s="292"/>
      <c r="AX306" s="292"/>
      <c r="AY306" s="292"/>
      <c r="AZ306" s="295"/>
      <c r="BA306" s="292"/>
      <c r="BB306" s="292"/>
      <c r="BC306" s="292"/>
      <c r="BD306" s="292"/>
      <c r="BE306" s="295"/>
      <c r="BF306" s="292"/>
      <c r="BG306" s="292"/>
      <c r="BH306" s="292"/>
      <c r="BI306" s="292"/>
      <c r="BJ306" s="295"/>
      <c r="BK306" s="293"/>
      <c r="BL306" s="292"/>
      <c r="BM306" s="296"/>
    </row>
    <row r="307" spans="1:65" x14ac:dyDescent="0.25">
      <c r="A307" s="314"/>
      <c r="B307" s="314"/>
      <c r="C307" s="314"/>
      <c r="D307" s="47"/>
      <c r="E307" s="19"/>
      <c r="F307" s="47"/>
      <c r="G307" s="19"/>
      <c r="H307" s="292"/>
      <c r="I307" s="176"/>
      <c r="J307" s="176"/>
      <c r="K307" s="176"/>
      <c r="L307" s="240"/>
      <c r="M307" s="240"/>
      <c r="N307" s="240"/>
      <c r="O307" s="292"/>
      <c r="P307" s="240"/>
      <c r="Q307" s="292"/>
      <c r="R307" s="292"/>
      <c r="S307" s="292"/>
      <c r="T307" s="310"/>
      <c r="U307" s="292"/>
      <c r="V307" s="311"/>
      <c r="W307" s="292"/>
      <c r="X307" s="292"/>
      <c r="Y307" s="292"/>
      <c r="Z307" s="292"/>
      <c r="AA307" s="292"/>
      <c r="AB307" s="292"/>
      <c r="AC307" s="292"/>
      <c r="AD307" s="308"/>
      <c r="AE307" s="308"/>
      <c r="AF307" s="308"/>
      <c r="AG307" s="292"/>
      <c r="AH307" s="292"/>
      <c r="AI307" s="292"/>
      <c r="AJ307" s="309"/>
      <c r="AK307" s="293"/>
      <c r="AL307" s="294"/>
      <c r="AM307" s="294"/>
      <c r="AN307" s="292"/>
      <c r="AO307" s="292"/>
      <c r="AP307" s="295"/>
      <c r="AQ307" s="292"/>
      <c r="AR307" s="292"/>
      <c r="AS307" s="292"/>
      <c r="AT307" s="292"/>
      <c r="AU307" s="295"/>
      <c r="AV307" s="292"/>
      <c r="AW307" s="292"/>
      <c r="AX307" s="292"/>
      <c r="AY307" s="292"/>
      <c r="AZ307" s="295"/>
      <c r="BA307" s="292"/>
      <c r="BB307" s="292"/>
      <c r="BC307" s="292"/>
      <c r="BD307" s="292"/>
      <c r="BE307" s="295"/>
      <c r="BF307" s="292"/>
      <c r="BG307" s="292"/>
      <c r="BH307" s="292"/>
      <c r="BI307" s="292"/>
      <c r="BJ307" s="295"/>
      <c r="BK307" s="293"/>
      <c r="BL307" s="292"/>
      <c r="BM307" s="296"/>
    </row>
    <row r="308" spans="1:65" x14ac:dyDescent="0.25">
      <c r="A308" s="314"/>
      <c r="B308" s="314"/>
      <c r="C308" s="314"/>
      <c r="D308" s="47" t="s">
        <v>167</v>
      </c>
      <c r="E308" s="19"/>
      <c r="F308" s="298">
        <v>0.25</v>
      </c>
      <c r="G308" s="299">
        <f>10013/AO6</f>
        <v>1141.83</v>
      </c>
      <c r="H308" s="292">
        <f>AO6</f>
        <v>8.7692307692307701</v>
      </c>
      <c r="I308" s="176"/>
      <c r="J308" s="176"/>
      <c r="K308" s="176"/>
      <c r="L308" s="240"/>
      <c r="M308" s="240"/>
      <c r="N308" s="240"/>
      <c r="O308" s="292"/>
      <c r="P308" s="240"/>
      <c r="Q308" s="292"/>
      <c r="R308" s="292"/>
      <c r="S308" s="292"/>
      <c r="T308" s="310"/>
      <c r="U308" s="292"/>
      <c r="V308" s="311"/>
      <c r="W308" s="292"/>
      <c r="X308" s="292"/>
      <c r="Y308" s="292"/>
      <c r="Z308" s="292"/>
      <c r="AA308" s="292"/>
      <c r="AB308" s="292"/>
      <c r="AC308" s="292"/>
      <c r="AD308" s="308"/>
      <c r="AE308" s="308"/>
      <c r="AF308" s="308"/>
      <c r="AG308" s="292"/>
      <c r="AH308" s="292"/>
      <c r="AI308" s="292"/>
      <c r="AJ308" s="309"/>
      <c r="AK308" s="293"/>
      <c r="AL308" s="294"/>
      <c r="AM308" s="294"/>
      <c r="AN308" s="292"/>
      <c r="AO308" s="292"/>
      <c r="AP308" s="295"/>
      <c r="AQ308" s="292"/>
      <c r="AR308" s="292"/>
      <c r="AS308" s="292"/>
      <c r="AT308" s="292"/>
      <c r="AU308" s="295"/>
      <c r="AV308" s="292"/>
      <c r="AW308" s="292"/>
      <c r="AX308" s="292"/>
      <c r="AY308" s="292"/>
      <c r="AZ308" s="295"/>
      <c r="BA308" s="292"/>
      <c r="BB308" s="292"/>
      <c r="BC308" s="292"/>
      <c r="BD308" s="292"/>
      <c r="BE308" s="295"/>
      <c r="BF308" s="292"/>
      <c r="BG308" s="292"/>
      <c r="BH308" s="292"/>
      <c r="BI308" s="292"/>
      <c r="BJ308" s="295"/>
      <c r="BK308" s="293"/>
      <c r="BL308" s="292"/>
      <c r="BM308" s="296"/>
    </row>
    <row r="309" spans="1:65" x14ac:dyDescent="0.25">
      <c r="A309" s="314"/>
      <c r="B309" s="314"/>
      <c r="C309" s="314"/>
      <c r="D309" s="47" t="s">
        <v>168</v>
      </c>
      <c r="E309" s="19"/>
      <c r="F309" s="298">
        <v>0.315</v>
      </c>
      <c r="G309" s="299">
        <v>1054</v>
      </c>
      <c r="H309" s="292">
        <f>$AO$7</f>
        <v>12</v>
      </c>
      <c r="I309" s="176"/>
      <c r="J309" s="176"/>
      <c r="K309" s="176"/>
      <c r="L309" s="240"/>
      <c r="M309" s="240"/>
      <c r="N309" s="240"/>
      <c r="O309" s="292"/>
      <c r="P309" s="240"/>
      <c r="Q309" s="292"/>
      <c r="R309" s="292"/>
      <c r="S309" s="292"/>
      <c r="T309" s="292"/>
      <c r="U309" s="292"/>
      <c r="V309" s="311"/>
      <c r="W309" s="292"/>
      <c r="X309" s="292"/>
      <c r="Y309" s="292"/>
      <c r="Z309" s="292"/>
      <c r="AA309" s="292"/>
      <c r="AB309" s="292"/>
      <c r="AC309" s="292"/>
      <c r="AD309" s="308"/>
      <c r="AE309" s="308"/>
      <c r="AF309" s="308"/>
      <c r="AG309" s="292"/>
      <c r="AH309" s="292"/>
      <c r="AI309" s="292"/>
      <c r="AJ309" s="309"/>
      <c r="AK309" s="293"/>
      <c r="AL309" s="294"/>
      <c r="AM309" s="294"/>
      <c r="AN309" s="292"/>
      <c r="AO309" s="292"/>
      <c r="AP309" s="295"/>
      <c r="AQ309" s="292"/>
      <c r="AR309" s="292"/>
      <c r="AS309" s="292"/>
      <c r="AT309" s="292"/>
      <c r="AU309" s="295"/>
      <c r="AV309" s="292"/>
      <c r="AW309" s="292"/>
      <c r="AX309" s="292"/>
      <c r="AY309" s="292"/>
      <c r="AZ309" s="295"/>
      <c r="BA309" s="292"/>
      <c r="BB309" s="292"/>
      <c r="BC309" s="292"/>
      <c r="BD309" s="292"/>
      <c r="BE309" s="295"/>
      <c r="BF309" s="292"/>
      <c r="BG309" s="292"/>
      <c r="BH309" s="292"/>
      <c r="BI309" s="292"/>
      <c r="BJ309" s="295"/>
      <c r="BK309" s="293"/>
      <c r="BL309" s="292"/>
      <c r="BM309" s="296"/>
    </row>
    <row r="310" spans="1:65" x14ac:dyDescent="0.25">
      <c r="A310" s="314"/>
      <c r="B310" s="314"/>
      <c r="C310" s="314"/>
      <c r="D310" s="47" t="s">
        <v>169</v>
      </c>
      <c r="E310" s="19"/>
      <c r="F310" s="298">
        <v>0.315</v>
      </c>
      <c r="G310" s="299">
        <v>1054</v>
      </c>
      <c r="H310" s="292">
        <f>$AO$7</f>
        <v>12</v>
      </c>
      <c r="I310" s="176"/>
      <c r="J310" s="176"/>
      <c r="K310" s="176"/>
      <c r="L310" s="240"/>
      <c r="M310" s="240"/>
      <c r="N310" s="240"/>
      <c r="O310" s="292"/>
      <c r="P310" s="240"/>
      <c r="Q310" s="292"/>
      <c r="R310" s="292"/>
      <c r="S310" s="292"/>
      <c r="T310" s="310"/>
      <c r="U310" s="292"/>
      <c r="V310" s="311"/>
      <c r="W310" s="292"/>
      <c r="X310" s="292"/>
      <c r="Y310" s="292"/>
      <c r="Z310" s="292"/>
      <c r="AA310" s="292"/>
      <c r="AB310" s="292"/>
      <c r="AC310" s="292"/>
      <c r="AD310" s="308"/>
      <c r="AE310" s="308"/>
      <c r="AF310" s="308"/>
      <c r="AG310" s="292"/>
      <c r="AH310" s="292"/>
      <c r="AI310" s="292"/>
      <c r="AJ310" s="309"/>
      <c r="AK310" s="293"/>
      <c r="AL310" s="294"/>
      <c r="AM310" s="294"/>
      <c r="AN310" s="292"/>
      <c r="AO310" s="292"/>
      <c r="AP310" s="295"/>
      <c r="AQ310" s="292"/>
      <c r="AR310" s="292"/>
      <c r="AS310" s="292"/>
      <c r="AT310" s="292"/>
      <c r="AU310" s="295"/>
      <c r="AV310" s="292"/>
      <c r="AW310" s="292"/>
      <c r="AX310" s="292"/>
      <c r="AY310" s="292"/>
      <c r="AZ310" s="295"/>
      <c r="BA310" s="292"/>
      <c r="BB310" s="292"/>
      <c r="BC310" s="292"/>
      <c r="BD310" s="292"/>
      <c r="BE310" s="295"/>
      <c r="BF310" s="292"/>
      <c r="BG310" s="292"/>
      <c r="BH310" s="292"/>
      <c r="BI310" s="292"/>
      <c r="BJ310" s="295"/>
      <c r="BK310" s="293"/>
      <c r="BL310" s="292"/>
      <c r="BM310" s="296"/>
    </row>
    <row r="311" spans="1:65" x14ac:dyDescent="0.25">
      <c r="A311" s="314"/>
      <c r="B311" s="314"/>
      <c r="C311" s="314"/>
      <c r="D311" s="47" t="s">
        <v>182</v>
      </c>
      <c r="E311" s="19"/>
      <c r="F311" s="298">
        <v>0.25</v>
      </c>
      <c r="G311" s="299">
        <v>1054</v>
      </c>
      <c r="H311" s="292">
        <f>AO6</f>
        <v>8.7692307692307701</v>
      </c>
      <c r="I311" s="176"/>
      <c r="J311" s="176"/>
      <c r="K311" s="176"/>
      <c r="L311" s="240"/>
      <c r="M311" s="240"/>
      <c r="N311" s="240"/>
      <c r="O311" s="292"/>
      <c r="P311" s="240"/>
      <c r="Q311" s="292"/>
      <c r="R311" s="292"/>
      <c r="S311" s="292"/>
      <c r="T311" s="310"/>
      <c r="U311" s="292"/>
      <c r="V311" s="311"/>
      <c r="W311" s="292"/>
      <c r="X311" s="292"/>
      <c r="Y311" s="292"/>
      <c r="Z311" s="292"/>
      <c r="AA311" s="292"/>
      <c r="AB311" s="292"/>
      <c r="AC311" s="292"/>
      <c r="AD311" s="308"/>
      <c r="AE311" s="308"/>
      <c r="AF311" s="308"/>
      <c r="AG311" s="292"/>
      <c r="AH311" s="292"/>
      <c r="AI311" s="292"/>
      <c r="AJ311" s="309"/>
      <c r="AK311" s="293"/>
      <c r="AL311" s="294"/>
      <c r="AM311" s="294"/>
      <c r="AN311" s="292"/>
      <c r="AO311" s="292"/>
      <c r="AP311" s="295"/>
      <c r="AQ311" s="292"/>
      <c r="AR311" s="292"/>
      <c r="AS311" s="292"/>
      <c r="AT311" s="292"/>
      <c r="AU311" s="295"/>
      <c r="AV311" s="292"/>
      <c r="AW311" s="292"/>
      <c r="AX311" s="292"/>
      <c r="AY311" s="292"/>
      <c r="AZ311" s="295"/>
      <c r="BA311" s="292"/>
      <c r="BB311" s="292"/>
      <c r="BC311" s="292"/>
      <c r="BD311" s="292"/>
      <c r="BE311" s="295"/>
      <c r="BF311" s="292"/>
      <c r="BG311" s="292"/>
      <c r="BH311" s="292"/>
      <c r="BI311" s="292"/>
      <c r="BJ311" s="295"/>
      <c r="BK311" s="293"/>
      <c r="BL311" s="292"/>
      <c r="BM311" s="296"/>
    </row>
    <row r="312" spans="1:65" x14ac:dyDescent="0.25">
      <c r="A312" s="314"/>
      <c r="B312" s="314"/>
      <c r="C312" s="314"/>
      <c r="D312" s="47" t="s">
        <v>170</v>
      </c>
      <c r="E312" s="19"/>
      <c r="F312" s="298">
        <v>0.315</v>
      </c>
      <c r="G312" s="299">
        <v>1054</v>
      </c>
      <c r="H312" s="292">
        <f>$AO$7</f>
        <v>12</v>
      </c>
      <c r="I312" s="176"/>
      <c r="J312" s="176"/>
      <c r="K312" s="176"/>
      <c r="L312" s="240"/>
      <c r="M312" s="240"/>
      <c r="N312" s="240"/>
      <c r="O312" s="292"/>
      <c r="P312" s="240"/>
      <c r="Q312" s="292"/>
      <c r="R312" s="292"/>
      <c r="S312" s="292"/>
      <c r="T312" s="310"/>
      <c r="U312" s="292"/>
      <c r="V312" s="311"/>
      <c r="W312" s="292"/>
      <c r="X312" s="292"/>
      <c r="Y312" s="292"/>
      <c r="Z312" s="292"/>
      <c r="AA312" s="292"/>
      <c r="AB312" s="292"/>
      <c r="AC312" s="292"/>
      <c r="AD312" s="308"/>
      <c r="AE312" s="308"/>
      <c r="AF312" s="308"/>
      <c r="AG312" s="292"/>
      <c r="AH312" s="292"/>
      <c r="AI312" s="292"/>
      <c r="AJ312" s="309"/>
      <c r="AK312" s="293"/>
      <c r="AL312" s="294"/>
      <c r="AM312" s="294"/>
      <c r="AN312" s="292"/>
      <c r="AO312" s="292"/>
      <c r="AP312" s="295"/>
      <c r="AQ312" s="292"/>
      <c r="AR312" s="292"/>
      <c r="AS312" s="292"/>
      <c r="AT312" s="292"/>
      <c r="AU312" s="295"/>
      <c r="AV312" s="292"/>
      <c r="AW312" s="292"/>
      <c r="AX312" s="292"/>
      <c r="AY312" s="292"/>
      <c r="AZ312" s="295"/>
      <c r="BA312" s="292"/>
      <c r="BB312" s="292"/>
      <c r="BC312" s="292"/>
      <c r="BD312" s="292"/>
      <c r="BE312" s="295"/>
      <c r="BF312" s="292"/>
      <c r="BG312" s="292"/>
      <c r="BH312" s="292"/>
      <c r="BI312" s="292"/>
      <c r="BJ312" s="295"/>
      <c r="BK312" s="293"/>
      <c r="BL312" s="292"/>
      <c r="BM312" s="296"/>
    </row>
    <row r="313" spans="1:65" x14ac:dyDescent="0.25">
      <c r="A313" s="314"/>
      <c r="B313" s="314"/>
      <c r="C313" s="314"/>
      <c r="D313" s="47" t="s">
        <v>135</v>
      </c>
      <c r="E313" s="19"/>
      <c r="F313" s="298">
        <v>0</v>
      </c>
      <c r="G313" s="299">
        <v>1054</v>
      </c>
      <c r="H313" s="292">
        <f>$AO$7</f>
        <v>12</v>
      </c>
      <c r="I313" s="176"/>
      <c r="J313" s="176"/>
      <c r="K313" s="176"/>
      <c r="L313" s="240"/>
      <c r="M313" s="240"/>
      <c r="N313" s="240"/>
      <c r="O313" s="292"/>
      <c r="P313" s="240"/>
      <c r="Q313" s="292"/>
      <c r="R313" s="292"/>
      <c r="S313" s="292"/>
      <c r="T313" s="310"/>
      <c r="U313" s="292"/>
      <c r="V313" s="311"/>
      <c r="W313" s="292"/>
      <c r="X313" s="292"/>
      <c r="Y313" s="292"/>
      <c r="Z313" s="292"/>
      <c r="AA313" s="292"/>
      <c r="AB313" s="292"/>
      <c r="AC313" s="292"/>
      <c r="AD313" s="308"/>
      <c r="AE313" s="308"/>
      <c r="AF313" s="308"/>
      <c r="AG313" s="292"/>
      <c r="AH313" s="292"/>
      <c r="AI313" s="292"/>
      <c r="AJ313" s="309"/>
      <c r="AK313" s="293"/>
      <c r="AL313" s="294"/>
      <c r="AM313" s="294"/>
      <c r="AN313" s="292"/>
      <c r="AO313" s="292"/>
      <c r="AP313" s="295"/>
      <c r="AQ313" s="292"/>
      <c r="AR313" s="292"/>
      <c r="AS313" s="292"/>
      <c r="AT313" s="292"/>
      <c r="AU313" s="295"/>
      <c r="AV313" s="292"/>
      <c r="AW313" s="292"/>
      <c r="AX313" s="292"/>
      <c r="AY313" s="292"/>
      <c r="AZ313" s="295"/>
      <c r="BA313" s="292"/>
      <c r="BB313" s="292"/>
      <c r="BC313" s="292"/>
      <c r="BD313" s="292"/>
      <c r="BE313" s="295"/>
      <c r="BF313" s="292"/>
      <c r="BG313" s="292"/>
      <c r="BH313" s="292"/>
      <c r="BI313" s="292"/>
      <c r="BJ313" s="295"/>
      <c r="BK313" s="293"/>
      <c r="BL313" s="292"/>
      <c r="BM313" s="296"/>
    </row>
    <row r="314" spans="1:65" x14ac:dyDescent="0.25">
      <c r="A314" s="314"/>
      <c r="B314" s="314"/>
      <c r="C314" s="314"/>
      <c r="D314" s="47" t="s">
        <v>171</v>
      </c>
      <c r="E314" s="19"/>
      <c r="F314" s="298">
        <v>0.315</v>
      </c>
      <c r="G314" s="299">
        <v>1054</v>
      </c>
      <c r="H314" s="292">
        <f>$AO$7</f>
        <v>12</v>
      </c>
      <c r="I314" s="176"/>
      <c r="J314" s="176"/>
      <c r="K314" s="176"/>
      <c r="L314" s="240"/>
      <c r="M314" s="240"/>
      <c r="N314" s="240"/>
      <c r="O314" s="292"/>
      <c r="P314" s="240"/>
      <c r="Q314" s="292"/>
      <c r="R314" s="292"/>
      <c r="S314" s="292"/>
      <c r="T314" s="310"/>
      <c r="U314" s="292"/>
      <c r="V314" s="311"/>
      <c r="W314" s="292"/>
      <c r="X314" s="292"/>
      <c r="Y314" s="292"/>
      <c r="Z314" s="292"/>
      <c r="AA314" s="292"/>
      <c r="AB314" s="292"/>
      <c r="AC314" s="292"/>
      <c r="AD314" s="308"/>
      <c r="AE314" s="308"/>
      <c r="AF314" s="308"/>
      <c r="AG314" s="292"/>
      <c r="AH314" s="292"/>
      <c r="AI314" s="292"/>
      <c r="AJ314" s="309"/>
      <c r="AK314" s="293"/>
      <c r="AL314" s="294"/>
      <c r="AM314" s="294"/>
      <c r="AN314" s="292"/>
      <c r="AO314" s="292"/>
      <c r="AP314" s="295"/>
      <c r="AQ314" s="292"/>
      <c r="AR314" s="292"/>
      <c r="AS314" s="292"/>
      <c r="AT314" s="292"/>
      <c r="AU314" s="295"/>
      <c r="AV314" s="292"/>
      <c r="AW314" s="292"/>
      <c r="AX314" s="292"/>
      <c r="AY314" s="292"/>
      <c r="AZ314" s="295"/>
      <c r="BA314" s="292"/>
      <c r="BB314" s="292"/>
      <c r="BC314" s="292"/>
      <c r="BD314" s="292"/>
      <c r="BE314" s="295"/>
      <c r="BF314" s="292"/>
      <c r="BG314" s="292"/>
      <c r="BH314" s="292"/>
      <c r="BI314" s="292"/>
      <c r="BJ314" s="295"/>
      <c r="BK314" s="293"/>
      <c r="BL314" s="292"/>
      <c r="BM314" s="296"/>
    </row>
    <row r="315" spans="1:65" x14ac:dyDescent="0.25">
      <c r="A315" s="314"/>
      <c r="B315" s="314"/>
      <c r="C315" s="314"/>
      <c r="D315" s="47" t="s">
        <v>129</v>
      </c>
      <c r="E315" s="19"/>
      <c r="F315" s="298">
        <v>0.315</v>
      </c>
      <c r="G315" s="299">
        <v>1054</v>
      </c>
      <c r="H315" s="292">
        <f>$AO$7</f>
        <v>12</v>
      </c>
      <c r="I315" s="176"/>
      <c r="J315" s="176"/>
      <c r="K315" s="176"/>
      <c r="L315" s="240"/>
      <c r="M315" s="240"/>
      <c r="N315" s="240"/>
      <c r="O315" s="292"/>
      <c r="P315" s="240"/>
      <c r="Q315" s="292"/>
      <c r="R315" s="292"/>
      <c r="S315" s="292"/>
      <c r="T315" s="310"/>
      <c r="U315" s="292"/>
      <c r="V315" s="311"/>
      <c r="W315" s="292"/>
      <c r="X315" s="292"/>
      <c r="Y315" s="292"/>
      <c r="Z315" s="292"/>
      <c r="AA315" s="292"/>
      <c r="AB315" s="292"/>
      <c r="AC315" s="292"/>
      <c r="AD315" s="308"/>
      <c r="AE315" s="308"/>
      <c r="AF315" s="308"/>
      <c r="AG315" s="292"/>
      <c r="AH315" s="292"/>
      <c r="AI315" s="292"/>
      <c r="AJ315" s="309"/>
      <c r="AK315" s="293"/>
      <c r="AL315" s="294"/>
      <c r="AM315" s="294"/>
      <c r="AN315" s="292"/>
      <c r="AO315" s="292"/>
      <c r="AP315" s="295"/>
      <c r="AQ315" s="292"/>
      <c r="AR315" s="292"/>
      <c r="AS315" s="292"/>
      <c r="AT315" s="292"/>
      <c r="AU315" s="295"/>
      <c r="AV315" s="292"/>
      <c r="AW315" s="292"/>
      <c r="AX315" s="292"/>
      <c r="AY315" s="292"/>
      <c r="AZ315" s="295"/>
      <c r="BA315" s="292"/>
      <c r="BB315" s="292"/>
      <c r="BC315" s="292"/>
      <c r="BD315" s="292"/>
      <c r="BE315" s="295"/>
      <c r="BF315" s="292"/>
      <c r="BG315" s="292"/>
      <c r="BH315" s="292"/>
      <c r="BI315" s="292"/>
      <c r="BJ315" s="295"/>
      <c r="BK315" s="293"/>
      <c r="BL315" s="292"/>
      <c r="BM315" s="296"/>
    </row>
    <row r="316" spans="1:65" x14ac:dyDescent="0.25">
      <c r="A316" s="314"/>
      <c r="B316" s="314"/>
      <c r="C316" s="314"/>
      <c r="D316" s="47" t="s">
        <v>253</v>
      </c>
      <c r="E316" s="19"/>
      <c r="F316" s="298">
        <v>0.28899999999999998</v>
      </c>
      <c r="G316" s="299">
        <v>1054</v>
      </c>
      <c r="H316" s="292">
        <f>$AO$7</f>
        <v>12</v>
      </c>
      <c r="I316" s="176"/>
      <c r="J316" s="176"/>
      <c r="K316" s="176"/>
      <c r="L316" s="240"/>
      <c r="M316" s="240"/>
      <c r="N316" s="240"/>
      <c r="O316" s="292"/>
      <c r="P316" s="240"/>
      <c r="Q316" s="292"/>
      <c r="R316" s="292"/>
      <c r="S316" s="292"/>
      <c r="T316" s="310"/>
      <c r="U316" s="292"/>
      <c r="V316" s="311"/>
      <c r="W316" s="292"/>
      <c r="X316" s="292"/>
      <c r="Y316" s="292"/>
      <c r="Z316" s="292"/>
      <c r="AA316" s="292"/>
      <c r="AB316" s="292"/>
      <c r="AC316" s="292"/>
      <c r="AD316" s="308"/>
      <c r="AE316" s="308"/>
      <c r="AF316" s="308"/>
      <c r="AG316" s="292"/>
      <c r="AH316" s="292"/>
      <c r="AI316" s="292"/>
      <c r="AJ316" s="309"/>
      <c r="AK316" s="293"/>
      <c r="AL316" s="294"/>
      <c r="AM316" s="294"/>
      <c r="AN316" s="292"/>
      <c r="AO316" s="292"/>
      <c r="AP316" s="295"/>
      <c r="AQ316" s="292"/>
      <c r="AR316" s="292"/>
      <c r="AS316" s="292"/>
      <c r="AT316" s="292"/>
      <c r="AU316" s="295"/>
      <c r="AV316" s="292"/>
      <c r="AW316" s="292"/>
      <c r="AX316" s="292"/>
      <c r="AY316" s="292"/>
      <c r="AZ316" s="295"/>
      <c r="BA316" s="292"/>
      <c r="BB316" s="292"/>
      <c r="BC316" s="292"/>
      <c r="BD316" s="292"/>
      <c r="BE316" s="295"/>
      <c r="BF316" s="292"/>
      <c r="BG316" s="292"/>
      <c r="BH316" s="292"/>
      <c r="BI316" s="292"/>
      <c r="BJ316" s="295"/>
      <c r="BK316" s="293"/>
      <c r="BL316" s="292"/>
      <c r="BM316" s="296"/>
    </row>
    <row r="317" spans="1:65" x14ac:dyDescent="0.25">
      <c r="A317" s="314"/>
      <c r="B317" s="314"/>
      <c r="C317" s="314"/>
      <c r="D317" s="47" t="s">
        <v>190</v>
      </c>
      <c r="E317" s="19"/>
      <c r="F317" s="298">
        <v>2.9000000000000001E-2</v>
      </c>
      <c r="G317" s="299">
        <v>0</v>
      </c>
      <c r="H317" s="292">
        <v>9</v>
      </c>
      <c r="I317" s="176"/>
      <c r="J317" s="176"/>
      <c r="K317" s="176"/>
      <c r="L317" s="240"/>
      <c r="M317" s="240"/>
      <c r="N317" s="240"/>
      <c r="O317" s="292"/>
      <c r="P317" s="240"/>
      <c r="Q317" s="292"/>
      <c r="R317" s="292"/>
      <c r="S317" s="292"/>
      <c r="T317" s="310"/>
      <c r="U317" s="292"/>
      <c r="V317" s="311"/>
      <c r="W317" s="292"/>
      <c r="X317" s="292"/>
      <c r="Y317" s="292"/>
      <c r="Z317" s="292"/>
      <c r="AA317" s="292"/>
      <c r="AB317" s="292"/>
      <c r="AC317" s="292"/>
      <c r="AD317" s="308"/>
      <c r="AE317" s="308"/>
      <c r="AF317" s="308"/>
      <c r="AG317" s="292"/>
      <c r="AH317" s="292"/>
      <c r="AI317" s="292"/>
      <c r="AJ317" s="309"/>
      <c r="AK317" s="293"/>
      <c r="AL317" s="294"/>
      <c r="AM317" s="294"/>
      <c r="AN317" s="292"/>
      <c r="AO317" s="292"/>
      <c r="AP317" s="295"/>
      <c r="AQ317" s="292"/>
      <c r="AR317" s="292"/>
      <c r="AS317" s="292"/>
      <c r="AT317" s="292"/>
      <c r="AU317" s="295"/>
      <c r="AV317" s="292"/>
      <c r="AW317" s="292"/>
      <c r="AX317" s="292"/>
      <c r="AY317" s="292"/>
      <c r="AZ317" s="295"/>
      <c r="BA317" s="292"/>
      <c r="BB317" s="292"/>
      <c r="BC317" s="292"/>
      <c r="BD317" s="292"/>
      <c r="BE317" s="295"/>
      <c r="BF317" s="292"/>
      <c r="BG317" s="292"/>
      <c r="BH317" s="292"/>
      <c r="BI317" s="292"/>
      <c r="BJ317" s="295"/>
      <c r="BK317" s="293"/>
      <c r="BL317" s="292"/>
      <c r="BM317" s="296"/>
    </row>
    <row r="318" spans="1:65" x14ac:dyDescent="0.25">
      <c r="A318" s="314"/>
      <c r="B318" s="314"/>
      <c r="C318" s="314"/>
      <c r="D318" s="47" t="s">
        <v>191</v>
      </c>
      <c r="E318" s="19"/>
      <c r="F318" s="298">
        <v>0.109</v>
      </c>
      <c r="G318" s="299">
        <v>0</v>
      </c>
      <c r="H318" s="292">
        <v>9</v>
      </c>
      <c r="I318" s="176"/>
      <c r="J318" s="176"/>
      <c r="K318" s="176"/>
      <c r="L318" s="240"/>
      <c r="M318" s="240"/>
      <c r="N318" s="240"/>
      <c r="O318" s="292"/>
      <c r="P318" s="240"/>
      <c r="Q318" s="292"/>
      <c r="R318" s="292"/>
      <c r="S318" s="292"/>
      <c r="T318" s="310"/>
      <c r="U318" s="292"/>
      <c r="V318" s="311"/>
      <c r="W318" s="292"/>
      <c r="X318" s="292"/>
      <c r="Y318" s="292"/>
      <c r="Z318" s="292"/>
      <c r="AA318" s="292"/>
      <c r="AB318" s="292"/>
      <c r="AC318" s="292"/>
      <c r="AD318" s="308"/>
      <c r="AE318" s="308"/>
      <c r="AF318" s="308"/>
      <c r="AG318" s="292"/>
      <c r="AH318" s="292"/>
      <c r="AI318" s="292"/>
      <c r="AJ318" s="309"/>
      <c r="AK318" s="293"/>
      <c r="AL318" s="294"/>
      <c r="AM318" s="294"/>
      <c r="AN318" s="292"/>
      <c r="AO318" s="292"/>
      <c r="AP318" s="295"/>
      <c r="AQ318" s="292"/>
      <c r="AR318" s="292"/>
      <c r="AS318" s="292"/>
      <c r="AT318" s="292"/>
      <c r="AU318" s="295"/>
      <c r="AV318" s="292"/>
      <c r="AW318" s="292"/>
      <c r="AX318" s="292"/>
      <c r="AY318" s="292"/>
      <c r="AZ318" s="295"/>
      <c r="BA318" s="292"/>
      <c r="BB318" s="292"/>
      <c r="BC318" s="292"/>
      <c r="BD318" s="292"/>
      <c r="BE318" s="295"/>
      <c r="BF318" s="292"/>
      <c r="BG318" s="292"/>
      <c r="BH318" s="292"/>
      <c r="BI318" s="292"/>
      <c r="BJ318" s="295"/>
      <c r="BK318" s="293"/>
      <c r="BL318" s="292"/>
      <c r="BM318" s="296"/>
    </row>
    <row r="319" spans="1:65" x14ac:dyDescent="0.25">
      <c r="A319" s="314"/>
      <c r="B319" s="314"/>
      <c r="C319" s="314"/>
      <c r="D319" s="47" t="s">
        <v>257</v>
      </c>
      <c r="E319" s="19"/>
      <c r="F319" s="298" t="str">
        <f>"MANUAL"</f>
        <v>MANUAL</v>
      </c>
      <c r="G319" s="299">
        <v>0</v>
      </c>
      <c r="H319" s="292"/>
      <c r="I319" s="176"/>
      <c r="J319" s="176"/>
      <c r="K319" s="176"/>
      <c r="L319" s="240"/>
      <c r="M319" s="240"/>
      <c r="N319" s="240"/>
      <c r="O319" s="292"/>
      <c r="P319" s="240"/>
      <c r="Q319" s="292"/>
      <c r="R319" s="292"/>
      <c r="S319" s="292"/>
      <c r="T319" s="310"/>
      <c r="U319" s="292"/>
      <c r="V319" s="311"/>
      <c r="W319" s="292"/>
      <c r="X319" s="292"/>
      <c r="Y319" s="292"/>
      <c r="Z319" s="292"/>
      <c r="AA319" s="292"/>
      <c r="AB319" s="292"/>
      <c r="AC319" s="292"/>
      <c r="AD319" s="308"/>
      <c r="AE319" s="308"/>
      <c r="AF319" s="308"/>
      <c r="AG319" s="292"/>
      <c r="AH319" s="292"/>
      <c r="AI319" s="292"/>
      <c r="AJ319" s="309"/>
      <c r="AK319" s="293"/>
      <c r="AL319" s="294"/>
      <c r="AM319" s="294"/>
      <c r="AN319" s="292"/>
      <c r="AO319" s="292"/>
      <c r="AP319" s="295"/>
      <c r="AQ319" s="292"/>
      <c r="AR319" s="292"/>
      <c r="AS319" s="292"/>
      <c r="AT319" s="292"/>
      <c r="AU319" s="295"/>
      <c r="AV319" s="292"/>
      <c r="AW319" s="292"/>
      <c r="AX319" s="292"/>
      <c r="AY319" s="292"/>
      <c r="AZ319" s="295"/>
      <c r="BA319" s="292"/>
      <c r="BB319" s="292"/>
      <c r="BC319" s="292"/>
      <c r="BD319" s="292"/>
      <c r="BE319" s="295"/>
      <c r="BF319" s="292"/>
      <c r="BG319" s="292"/>
      <c r="BH319" s="292"/>
      <c r="BI319" s="292"/>
      <c r="BJ319" s="295"/>
      <c r="BK319" s="293"/>
      <c r="BL319" s="292"/>
      <c r="BM319" s="296"/>
    </row>
    <row r="320" spans="1:65" x14ac:dyDescent="0.25">
      <c r="A320" s="314"/>
      <c r="B320" s="314"/>
      <c r="C320" s="314"/>
      <c r="D320" s="47" t="s">
        <v>180</v>
      </c>
      <c r="E320" s="19"/>
      <c r="F320" s="298">
        <v>0.109</v>
      </c>
      <c r="G320" s="299">
        <v>0</v>
      </c>
      <c r="H320" s="292"/>
      <c r="I320" s="176"/>
      <c r="J320" s="176"/>
      <c r="K320" s="176"/>
      <c r="L320" s="240"/>
      <c r="M320" s="240"/>
      <c r="N320" s="240"/>
      <c r="O320" s="292"/>
      <c r="P320" s="240"/>
      <c r="Q320" s="292"/>
      <c r="R320" s="292"/>
      <c r="S320" s="292"/>
      <c r="T320" s="310"/>
      <c r="U320" s="292"/>
      <c r="V320" s="311"/>
      <c r="W320" s="292"/>
      <c r="X320" s="292"/>
      <c r="Y320" s="292"/>
      <c r="Z320" s="292"/>
      <c r="AA320" s="292"/>
      <c r="AB320" s="292"/>
      <c r="AC320" s="292"/>
      <c r="AD320" s="308"/>
      <c r="AE320" s="308"/>
      <c r="AF320" s="308"/>
      <c r="AG320" s="292"/>
      <c r="AH320" s="292"/>
      <c r="AI320" s="292"/>
      <c r="AJ320" s="309"/>
      <c r="AK320" s="293"/>
      <c r="AL320" s="294"/>
      <c r="AM320" s="294"/>
      <c r="AN320" s="292"/>
      <c r="AO320" s="292"/>
      <c r="AP320" s="295"/>
      <c r="AQ320" s="292"/>
      <c r="AR320" s="292"/>
      <c r="AS320" s="292"/>
      <c r="AT320" s="292"/>
      <c r="AU320" s="295"/>
      <c r="AV320" s="292"/>
      <c r="AW320" s="292"/>
      <c r="AX320" s="292"/>
      <c r="AY320" s="292"/>
      <c r="AZ320" s="295"/>
      <c r="BA320" s="292"/>
      <c r="BB320" s="292"/>
      <c r="BC320" s="292"/>
      <c r="BD320" s="292"/>
      <c r="BE320" s="295"/>
      <c r="BF320" s="292"/>
      <c r="BG320" s="292"/>
      <c r="BH320" s="292"/>
      <c r="BI320" s="292"/>
      <c r="BJ320" s="295"/>
      <c r="BK320" s="293"/>
      <c r="BL320" s="292"/>
      <c r="BM320" s="296"/>
    </row>
    <row r="321" spans="1:65" x14ac:dyDescent="0.25">
      <c r="A321" s="314"/>
      <c r="B321" s="314"/>
      <c r="C321" s="314"/>
      <c r="D321" s="47" t="s">
        <v>181</v>
      </c>
      <c r="E321" s="19"/>
      <c r="F321" s="298">
        <v>2.9000000000000001E-2</v>
      </c>
      <c r="G321" s="299">
        <v>0</v>
      </c>
      <c r="H321" s="292"/>
      <c r="I321" s="176"/>
      <c r="J321" s="176"/>
      <c r="K321" s="176"/>
      <c r="L321" s="240"/>
      <c r="M321" s="240"/>
      <c r="N321" s="240"/>
      <c r="O321" s="292"/>
      <c r="P321" s="240"/>
      <c r="Q321" s="292"/>
      <c r="R321" s="292"/>
      <c r="S321" s="292"/>
      <c r="T321" s="310"/>
      <c r="U321" s="292"/>
      <c r="V321" s="311"/>
      <c r="W321" s="292"/>
      <c r="X321" s="292"/>
      <c r="Y321" s="292"/>
      <c r="Z321" s="292"/>
      <c r="AA321" s="292"/>
      <c r="AB321" s="292"/>
      <c r="AC321" s="292"/>
      <c r="AD321" s="308"/>
      <c r="AE321" s="308"/>
      <c r="AF321" s="308"/>
      <c r="AG321" s="292"/>
      <c r="AH321" s="292"/>
      <c r="AI321" s="292"/>
      <c r="AJ321" s="309"/>
      <c r="AK321" s="293"/>
      <c r="AL321" s="294"/>
      <c r="AM321" s="294"/>
      <c r="AN321" s="292"/>
      <c r="AO321" s="292"/>
      <c r="AP321" s="295"/>
      <c r="AQ321" s="292"/>
      <c r="AR321" s="292"/>
      <c r="AS321" s="292"/>
      <c r="AT321" s="292"/>
      <c r="AU321" s="295"/>
      <c r="AV321" s="292"/>
      <c r="AW321" s="292"/>
      <c r="AX321" s="292"/>
      <c r="AY321" s="292"/>
      <c r="AZ321" s="295"/>
      <c r="BA321" s="292"/>
      <c r="BB321" s="292"/>
      <c r="BC321" s="292"/>
      <c r="BD321" s="292"/>
      <c r="BE321" s="295"/>
      <c r="BF321" s="292"/>
      <c r="BG321" s="292"/>
      <c r="BH321" s="292"/>
      <c r="BI321" s="292"/>
      <c r="BJ321" s="295"/>
      <c r="BK321" s="293"/>
      <c r="BL321" s="292"/>
      <c r="BM321" s="296"/>
    </row>
    <row r="322" spans="1:65" x14ac:dyDescent="0.25">
      <c r="A322" s="314"/>
      <c r="B322" s="314"/>
      <c r="C322" s="314"/>
      <c r="D322" s="19" t="s">
        <v>183</v>
      </c>
      <c r="E322" s="19"/>
      <c r="F322" s="298">
        <v>0.315</v>
      </c>
      <c r="G322" s="299">
        <v>0</v>
      </c>
      <c r="H322" s="292"/>
      <c r="I322" s="176"/>
      <c r="J322" s="176"/>
      <c r="K322" s="176"/>
      <c r="L322" s="240"/>
      <c r="M322" s="240"/>
      <c r="N322" s="240"/>
      <c r="O322" s="292"/>
      <c r="P322" s="240"/>
      <c r="Q322" s="292"/>
      <c r="R322" s="292"/>
      <c r="S322" s="292"/>
      <c r="T322" s="292"/>
      <c r="U322" s="292"/>
      <c r="V322" s="292"/>
      <c r="W322" s="292"/>
      <c r="X322" s="292"/>
      <c r="Y322" s="292"/>
      <c r="Z322" s="292"/>
      <c r="AA322" s="292"/>
      <c r="AB322" s="292"/>
      <c r="AC322" s="292"/>
      <c r="AD322" s="308"/>
      <c r="AE322" s="308"/>
      <c r="AF322" s="308"/>
      <c r="AG322" s="292"/>
      <c r="AH322" s="292"/>
      <c r="AI322" s="292"/>
      <c r="AJ322" s="309"/>
      <c r="AK322" s="293"/>
      <c r="AL322" s="294"/>
      <c r="AM322" s="294"/>
      <c r="AN322" s="292"/>
      <c r="AO322" s="292"/>
      <c r="AP322" s="295"/>
      <c r="AQ322" s="292"/>
      <c r="AR322" s="292"/>
      <c r="AS322" s="292"/>
      <c r="AT322" s="292"/>
      <c r="AU322" s="295"/>
      <c r="AV322" s="292"/>
      <c r="AW322" s="292"/>
      <c r="AX322" s="292"/>
      <c r="AY322" s="292"/>
      <c r="AZ322" s="295"/>
      <c r="BA322" s="292"/>
      <c r="BB322" s="292"/>
      <c r="BC322" s="292"/>
      <c r="BD322" s="292"/>
      <c r="BE322" s="295"/>
      <c r="BF322" s="292"/>
      <c r="BG322" s="292"/>
      <c r="BH322" s="292"/>
      <c r="BI322" s="292"/>
      <c r="BJ322" s="295"/>
      <c r="BK322" s="293"/>
      <c r="BL322" s="292"/>
      <c r="BM322" s="296"/>
    </row>
    <row r="323" spans="1:65" x14ac:dyDescent="0.25">
      <c r="A323" s="314"/>
      <c r="B323" s="314"/>
      <c r="C323" s="314"/>
      <c r="D323" s="300"/>
      <c r="E323" s="300"/>
      <c r="F323" s="301"/>
      <c r="G323" s="19"/>
      <c r="H323" s="292"/>
      <c r="I323" s="176"/>
      <c r="J323" s="176"/>
      <c r="K323" s="176"/>
      <c r="L323" s="240"/>
      <c r="M323" s="240"/>
      <c r="N323" s="240"/>
      <c r="O323" s="292"/>
      <c r="P323" s="240"/>
      <c r="Q323" s="292"/>
      <c r="R323" s="292"/>
      <c r="S323" s="292"/>
      <c r="T323" s="292"/>
      <c r="U323" s="292"/>
      <c r="V323" s="292"/>
      <c r="W323" s="292"/>
      <c r="X323" s="292"/>
      <c r="Y323" s="292"/>
      <c r="Z323" s="292"/>
      <c r="AA323" s="292"/>
      <c r="AB323" s="292"/>
      <c r="AC323" s="292"/>
      <c r="AD323" s="308"/>
      <c r="AE323" s="308"/>
      <c r="AF323" s="308"/>
      <c r="AG323" s="292"/>
      <c r="AH323" s="292"/>
      <c r="AI323" s="292"/>
      <c r="AJ323" s="309"/>
      <c r="AK323" s="293"/>
      <c r="AL323" s="294"/>
      <c r="AM323" s="294"/>
      <c r="AN323" s="292"/>
      <c r="AO323" s="292"/>
      <c r="AP323" s="295"/>
      <c r="AQ323" s="292"/>
      <c r="AR323" s="292"/>
      <c r="AS323" s="292"/>
      <c r="AT323" s="292"/>
      <c r="AU323" s="295"/>
      <c r="AV323" s="292"/>
      <c r="AW323" s="292"/>
      <c r="AX323" s="292"/>
      <c r="AY323" s="292"/>
      <c r="AZ323" s="295"/>
      <c r="BA323" s="292"/>
      <c r="BB323" s="292"/>
      <c r="BC323" s="292"/>
      <c r="BD323" s="292"/>
      <c r="BE323" s="295"/>
      <c r="BF323" s="292"/>
      <c r="BG323" s="292"/>
      <c r="BH323" s="292"/>
      <c r="BI323" s="292"/>
      <c r="BJ323" s="295"/>
      <c r="BK323" s="293"/>
      <c r="BL323" s="292"/>
      <c r="BM323" s="296"/>
    </row>
    <row r="324" spans="1:65" x14ac:dyDescent="0.25">
      <c r="A324" s="314"/>
      <c r="B324" s="314"/>
      <c r="C324" s="314"/>
      <c r="D324" s="47"/>
      <c r="E324" s="19"/>
      <c r="F324" s="298"/>
      <c r="G324" s="19"/>
      <c r="H324" s="292"/>
      <c r="I324" s="176"/>
      <c r="J324" s="176"/>
      <c r="K324" s="176"/>
      <c r="L324" s="240"/>
      <c r="M324" s="240"/>
      <c r="N324" s="240"/>
      <c r="O324" s="292"/>
      <c r="P324" s="240"/>
      <c r="Q324" s="292"/>
      <c r="R324" s="292"/>
      <c r="S324" s="292"/>
      <c r="T324" s="292"/>
      <c r="U324" s="292"/>
      <c r="V324" s="292"/>
      <c r="W324" s="292"/>
      <c r="X324" s="292"/>
      <c r="Y324" s="292"/>
      <c r="Z324" s="292"/>
      <c r="AA324" s="292"/>
      <c r="AB324" s="292"/>
      <c r="AC324" s="292"/>
      <c r="AD324" s="308"/>
      <c r="AE324" s="308"/>
      <c r="AF324" s="308"/>
      <c r="AG324" s="292"/>
      <c r="AH324" s="292"/>
      <c r="AI324" s="292"/>
      <c r="AJ324" s="309"/>
      <c r="AK324" s="293"/>
      <c r="AL324" s="294"/>
      <c r="AM324" s="294"/>
      <c r="AN324" s="292"/>
      <c r="AO324" s="292"/>
      <c r="AP324" s="295"/>
      <c r="AQ324" s="292"/>
      <c r="AR324" s="292"/>
      <c r="AS324" s="292"/>
      <c r="AT324" s="292"/>
      <c r="AU324" s="295"/>
      <c r="AV324" s="292"/>
      <c r="AW324" s="292"/>
      <c r="AX324" s="292"/>
      <c r="AY324" s="292"/>
      <c r="AZ324" s="295"/>
      <c r="BA324" s="292"/>
      <c r="BB324" s="292"/>
      <c r="BC324" s="292"/>
      <c r="BD324" s="292"/>
      <c r="BE324" s="295"/>
      <c r="BF324" s="292"/>
      <c r="BG324" s="292"/>
      <c r="BH324" s="292"/>
      <c r="BI324" s="292"/>
      <c r="BJ324" s="295"/>
      <c r="BK324" s="293"/>
      <c r="BL324" s="292"/>
      <c r="BM324" s="296"/>
    </row>
    <row r="325" spans="1:65" x14ac:dyDescent="0.25">
      <c r="A325" s="314"/>
      <c r="B325" s="314"/>
      <c r="C325" s="314"/>
      <c r="D325" s="47"/>
      <c r="E325" s="47"/>
      <c r="F325" s="19"/>
      <c r="G325" s="19"/>
      <c r="H325" s="292"/>
      <c r="I325" s="176"/>
      <c r="J325" s="176"/>
      <c r="K325" s="176"/>
      <c r="L325" s="240"/>
      <c r="M325" s="240"/>
      <c r="N325" s="240"/>
      <c r="O325" s="292"/>
      <c r="P325" s="240"/>
      <c r="Q325" s="292"/>
      <c r="R325" s="292"/>
      <c r="S325" s="292"/>
      <c r="T325" s="292"/>
      <c r="U325" s="292"/>
      <c r="V325" s="292"/>
      <c r="W325" s="292"/>
      <c r="X325" s="292"/>
      <c r="Y325" s="292"/>
      <c r="Z325" s="292"/>
      <c r="AA325" s="292"/>
      <c r="AB325" s="292"/>
      <c r="AC325" s="292"/>
      <c r="AD325" s="308"/>
      <c r="AE325" s="308"/>
      <c r="AF325" s="308"/>
      <c r="AG325" s="292"/>
      <c r="AH325" s="292"/>
      <c r="AI325" s="292"/>
      <c r="AJ325" s="309"/>
      <c r="AK325" s="293"/>
      <c r="AL325" s="294"/>
      <c r="AM325" s="294"/>
      <c r="AN325" s="292"/>
      <c r="AO325" s="292"/>
      <c r="AP325" s="295"/>
      <c r="AQ325" s="292"/>
      <c r="AR325" s="292"/>
      <c r="AS325" s="292"/>
      <c r="AT325" s="292"/>
      <c r="AU325" s="295"/>
      <c r="AV325" s="292"/>
      <c r="AW325" s="292"/>
      <c r="AX325" s="292"/>
      <c r="AY325" s="292"/>
      <c r="AZ325" s="295"/>
      <c r="BA325" s="292"/>
      <c r="BB325" s="292"/>
      <c r="BC325" s="292"/>
      <c r="BD325" s="292"/>
      <c r="BE325" s="295"/>
      <c r="BF325" s="292"/>
      <c r="BG325" s="292"/>
      <c r="BH325" s="292"/>
      <c r="BI325" s="292"/>
      <c r="BJ325" s="295"/>
      <c r="BK325" s="293"/>
      <c r="BL325" s="292"/>
      <c r="BM325" s="296"/>
    </row>
    <row r="326" spans="1:65" x14ac:dyDescent="0.25">
      <c r="A326" s="314"/>
      <c r="B326" s="314"/>
      <c r="C326" s="314"/>
      <c r="D326" s="47" t="s">
        <v>231</v>
      </c>
      <c r="E326" s="302"/>
      <c r="F326" s="19"/>
      <c r="G326" s="19"/>
      <c r="H326" s="292"/>
      <c r="I326" s="176"/>
      <c r="J326" s="176"/>
      <c r="K326" s="176"/>
      <c r="L326" s="240"/>
      <c r="M326" s="240"/>
      <c r="N326" s="240"/>
      <c r="O326" s="292"/>
      <c r="P326" s="240"/>
      <c r="Q326" s="292"/>
      <c r="R326" s="292"/>
      <c r="S326" s="292"/>
      <c r="T326" s="292"/>
      <c r="U326" s="292"/>
      <c r="V326" s="292"/>
      <c r="W326" s="292"/>
      <c r="X326" s="292"/>
      <c r="Y326" s="292"/>
      <c r="Z326" s="292"/>
      <c r="AA326" s="292"/>
      <c r="AB326" s="292"/>
      <c r="AC326" s="292"/>
      <c r="AD326" s="308"/>
      <c r="AE326" s="308"/>
      <c r="AF326" s="308"/>
      <c r="AG326" s="292"/>
      <c r="AH326" s="292"/>
      <c r="AI326" s="292"/>
      <c r="AJ326" s="309"/>
      <c r="AK326" s="293"/>
      <c r="AL326" s="294"/>
      <c r="AM326" s="294"/>
      <c r="AN326" s="292"/>
      <c r="AO326" s="292"/>
      <c r="AP326" s="295"/>
      <c r="AQ326" s="292"/>
      <c r="AR326" s="292"/>
      <c r="AS326" s="292"/>
      <c r="AT326" s="292"/>
      <c r="AU326" s="295"/>
      <c r="AV326" s="292"/>
      <c r="AW326" s="292"/>
      <c r="AX326" s="292"/>
      <c r="AY326" s="292"/>
      <c r="AZ326" s="295"/>
      <c r="BA326" s="292"/>
      <c r="BB326" s="292"/>
      <c r="BC326" s="292"/>
      <c r="BD326" s="292"/>
      <c r="BE326" s="295"/>
      <c r="BF326" s="292"/>
      <c r="BG326" s="292"/>
      <c r="BH326" s="292"/>
      <c r="BI326" s="292"/>
      <c r="BJ326" s="295"/>
      <c r="BK326" s="293"/>
      <c r="BL326" s="292"/>
      <c r="BM326" s="296"/>
    </row>
    <row r="327" spans="1:65" x14ac:dyDescent="0.25">
      <c r="A327" s="314"/>
      <c r="B327" s="314"/>
      <c r="C327" s="314"/>
      <c r="D327" s="47" t="s">
        <v>232</v>
      </c>
      <c r="E327" s="302"/>
      <c r="F327" s="19"/>
      <c r="G327" s="301"/>
      <c r="H327" s="292"/>
      <c r="I327" s="176"/>
      <c r="J327" s="176"/>
      <c r="K327" s="176"/>
      <c r="L327" s="240"/>
      <c r="M327" s="240"/>
      <c r="N327" s="240"/>
      <c r="O327" s="292"/>
      <c r="P327" s="240"/>
      <c r="Q327" s="292"/>
      <c r="R327" s="292"/>
      <c r="S327" s="292"/>
      <c r="T327" s="292"/>
      <c r="U327" s="292"/>
      <c r="V327" s="292"/>
      <c r="W327" s="292"/>
      <c r="X327" s="292"/>
      <c r="Y327" s="292"/>
      <c r="Z327" s="292"/>
      <c r="AA327" s="292"/>
      <c r="AB327" s="292"/>
      <c r="AC327" s="292"/>
      <c r="AD327" s="308"/>
      <c r="AE327" s="308"/>
      <c r="AF327" s="308"/>
      <c r="AG327" s="292"/>
      <c r="AH327" s="292"/>
      <c r="AI327" s="292"/>
      <c r="AJ327" s="309"/>
      <c r="AK327" s="293"/>
      <c r="AL327" s="294"/>
      <c r="AM327" s="294"/>
      <c r="AN327" s="292"/>
      <c r="AO327" s="292"/>
      <c r="AP327" s="295"/>
      <c r="AQ327" s="292"/>
      <c r="AR327" s="292"/>
      <c r="AS327" s="292"/>
      <c r="AT327" s="292"/>
      <c r="AU327" s="295"/>
      <c r="AV327" s="292"/>
      <c r="AW327" s="292"/>
      <c r="AX327" s="292"/>
      <c r="AY327" s="292"/>
      <c r="AZ327" s="295"/>
      <c r="BA327" s="292"/>
      <c r="BB327" s="292"/>
      <c r="BC327" s="292"/>
      <c r="BD327" s="292"/>
      <c r="BE327" s="295"/>
      <c r="BF327" s="292"/>
      <c r="BG327" s="292"/>
      <c r="BH327" s="292"/>
      <c r="BI327" s="292"/>
      <c r="BJ327" s="295"/>
      <c r="BK327" s="293"/>
      <c r="BL327" s="292"/>
      <c r="BM327" s="296"/>
    </row>
    <row r="328" spans="1:65" x14ac:dyDescent="0.25">
      <c r="A328" s="314"/>
      <c r="B328" s="314"/>
      <c r="C328" s="314"/>
      <c r="D328" s="300"/>
      <c r="E328" s="302"/>
      <c r="F328" s="19"/>
      <c r="G328" s="301"/>
      <c r="H328" s="292"/>
      <c r="I328" s="176"/>
      <c r="J328" s="176"/>
      <c r="K328" s="176"/>
      <c r="L328" s="240"/>
      <c r="M328" s="240"/>
      <c r="N328" s="240"/>
      <c r="O328" s="292"/>
      <c r="P328" s="240"/>
      <c r="Q328" s="292"/>
      <c r="R328" s="292"/>
      <c r="S328" s="292"/>
      <c r="T328" s="292"/>
      <c r="U328" s="292"/>
      <c r="V328" s="292"/>
      <c r="W328" s="292"/>
      <c r="X328" s="292"/>
      <c r="Y328" s="292"/>
      <c r="Z328" s="292"/>
      <c r="AA328" s="292"/>
      <c r="AB328" s="292"/>
      <c r="AC328" s="292"/>
      <c r="AD328" s="308"/>
      <c r="AE328" s="308"/>
      <c r="AF328" s="308"/>
      <c r="AG328" s="292"/>
      <c r="AH328" s="292"/>
      <c r="AI328" s="292"/>
      <c r="AJ328" s="309"/>
      <c r="AK328" s="293"/>
      <c r="AL328" s="294"/>
      <c r="AM328" s="294"/>
      <c r="AN328" s="292"/>
      <c r="AO328" s="292"/>
      <c r="AP328" s="295"/>
      <c r="AQ328" s="292"/>
      <c r="AR328" s="292"/>
      <c r="AS328" s="292"/>
      <c r="AT328" s="292"/>
      <c r="AU328" s="295"/>
      <c r="AV328" s="292"/>
      <c r="AW328" s="292"/>
      <c r="AX328" s="292"/>
      <c r="AY328" s="292"/>
      <c r="AZ328" s="295"/>
      <c r="BA328" s="292"/>
      <c r="BB328" s="292"/>
      <c r="BC328" s="292"/>
      <c r="BD328" s="292"/>
      <c r="BE328" s="295"/>
      <c r="BF328" s="292"/>
      <c r="BG328" s="292"/>
      <c r="BH328" s="292"/>
      <c r="BI328" s="292"/>
      <c r="BJ328" s="295"/>
      <c r="BK328" s="293"/>
      <c r="BL328" s="292"/>
      <c r="BM328" s="296"/>
    </row>
    <row r="329" spans="1:65" x14ac:dyDescent="0.25">
      <c r="A329" s="314"/>
      <c r="B329" s="314"/>
      <c r="C329" s="314"/>
      <c r="D329" s="47"/>
      <c r="E329" s="303"/>
      <c r="F329" s="19"/>
      <c r="G329" s="19"/>
      <c r="H329" s="292"/>
      <c r="I329" s="176"/>
      <c r="J329" s="176"/>
      <c r="K329" s="176"/>
      <c r="L329" s="240"/>
      <c r="M329" s="240"/>
      <c r="N329" s="240"/>
      <c r="O329" s="292"/>
      <c r="P329" s="240"/>
      <c r="Q329" s="292"/>
      <c r="R329" s="292"/>
      <c r="S329" s="292"/>
      <c r="T329" s="292"/>
      <c r="U329" s="292"/>
      <c r="V329" s="292"/>
      <c r="W329" s="292"/>
      <c r="X329" s="292"/>
      <c r="Y329" s="292"/>
      <c r="Z329" s="292"/>
      <c r="AA329" s="292"/>
      <c r="AB329" s="292"/>
      <c r="AC329" s="292"/>
      <c r="AD329" s="308"/>
      <c r="AE329" s="308"/>
      <c r="AF329" s="308"/>
      <c r="AG329" s="292"/>
      <c r="AH329" s="292"/>
      <c r="AI329" s="292"/>
      <c r="AJ329" s="309"/>
      <c r="AK329" s="293"/>
      <c r="AL329" s="294"/>
      <c r="AM329" s="294"/>
      <c r="AN329" s="292"/>
      <c r="AO329" s="292"/>
      <c r="AP329" s="295"/>
      <c r="AQ329" s="292"/>
      <c r="AR329" s="292"/>
      <c r="AS329" s="292"/>
      <c r="AT329" s="292"/>
      <c r="AU329" s="295"/>
      <c r="AV329" s="292"/>
      <c r="AW329" s="292"/>
      <c r="AX329" s="292"/>
      <c r="AY329" s="292"/>
      <c r="AZ329" s="295"/>
      <c r="BA329" s="292"/>
      <c r="BB329" s="292"/>
      <c r="BC329" s="292"/>
      <c r="BD329" s="292"/>
      <c r="BE329" s="295"/>
      <c r="BF329" s="292"/>
      <c r="BG329" s="292"/>
      <c r="BH329" s="292"/>
      <c r="BI329" s="292"/>
      <c r="BJ329" s="295"/>
      <c r="BK329" s="293"/>
      <c r="BL329" s="292"/>
      <c r="BM329" s="296"/>
    </row>
    <row r="330" spans="1:65" x14ac:dyDescent="0.25">
      <c r="A330" s="314"/>
      <c r="B330" s="314"/>
      <c r="C330" s="314"/>
      <c r="D330" s="47" t="s">
        <v>197</v>
      </c>
      <c r="E330" s="303"/>
      <c r="F330" s="19"/>
      <c r="G330" s="19"/>
      <c r="H330" s="292"/>
      <c r="I330" s="176"/>
      <c r="J330" s="176"/>
      <c r="K330" s="176"/>
      <c r="L330" s="240"/>
      <c r="M330" s="240"/>
      <c r="N330" s="240"/>
      <c r="O330" s="292"/>
      <c r="P330" s="240"/>
      <c r="Q330" s="292"/>
      <c r="R330" s="292"/>
      <c r="S330" s="292"/>
      <c r="T330" s="292"/>
      <c r="U330" s="292"/>
      <c r="V330" s="292"/>
      <c r="W330" s="292"/>
      <c r="X330" s="292"/>
      <c r="Y330" s="292"/>
      <c r="Z330" s="292"/>
      <c r="AA330" s="292"/>
      <c r="AB330" s="292"/>
      <c r="AC330" s="292"/>
      <c r="AD330" s="308"/>
      <c r="AE330" s="308"/>
      <c r="AF330" s="308"/>
      <c r="AG330" s="292"/>
      <c r="AH330" s="292"/>
      <c r="AI330" s="292"/>
      <c r="AJ330" s="309"/>
      <c r="AK330" s="293"/>
      <c r="AL330" s="294"/>
      <c r="AM330" s="294"/>
      <c r="AN330" s="292"/>
      <c r="AO330" s="292"/>
      <c r="AP330" s="295"/>
      <c r="AQ330" s="292"/>
      <c r="AR330" s="292"/>
      <c r="AS330" s="292"/>
      <c r="AT330" s="292"/>
      <c r="AU330" s="295"/>
      <c r="AV330" s="292"/>
      <c r="AW330" s="292"/>
      <c r="AX330" s="292"/>
      <c r="AY330" s="292"/>
      <c r="AZ330" s="295"/>
      <c r="BA330" s="292"/>
      <c r="BB330" s="292"/>
      <c r="BC330" s="292"/>
      <c r="BD330" s="292"/>
      <c r="BE330" s="295"/>
      <c r="BF330" s="292"/>
      <c r="BG330" s="292"/>
      <c r="BH330" s="292"/>
      <c r="BI330" s="292"/>
      <c r="BJ330" s="295"/>
      <c r="BK330" s="293"/>
      <c r="BL330" s="292"/>
      <c r="BM330" s="296"/>
    </row>
    <row r="331" spans="1:65" x14ac:dyDescent="0.25">
      <c r="A331" s="314"/>
      <c r="B331" s="314"/>
      <c r="C331" s="314"/>
      <c r="D331" s="47" t="s">
        <v>210</v>
      </c>
      <c r="E331" s="303"/>
      <c r="F331" s="19"/>
      <c r="G331" s="19"/>
      <c r="H331" s="292"/>
      <c r="I331" s="176"/>
      <c r="J331" s="176"/>
      <c r="K331" s="176"/>
      <c r="L331" s="240"/>
      <c r="M331" s="240"/>
      <c r="N331" s="240"/>
      <c r="O331" s="292"/>
      <c r="P331" s="240"/>
      <c r="Q331" s="292"/>
      <c r="R331" s="292"/>
      <c r="S331" s="292"/>
      <c r="T331" s="292"/>
      <c r="U331" s="292"/>
      <c r="V331" s="292"/>
      <c r="W331" s="292"/>
      <c r="X331" s="292"/>
      <c r="Y331" s="292"/>
      <c r="Z331" s="292"/>
      <c r="AA331" s="292"/>
      <c r="AB331" s="292"/>
      <c r="AC331" s="292"/>
      <c r="AD331" s="308"/>
      <c r="AE331" s="308"/>
      <c r="AF331" s="308"/>
      <c r="AG331" s="292"/>
      <c r="AH331" s="292"/>
      <c r="AI331" s="292"/>
      <c r="AJ331" s="309"/>
      <c r="AK331" s="293"/>
      <c r="AL331" s="294"/>
      <c r="AM331" s="294"/>
      <c r="AN331" s="292"/>
      <c r="AO331" s="292"/>
      <c r="AP331" s="295"/>
      <c r="AQ331" s="292"/>
      <c r="AR331" s="292"/>
      <c r="AS331" s="292"/>
      <c r="AT331" s="292"/>
      <c r="AU331" s="295"/>
      <c r="AV331" s="292"/>
      <c r="AW331" s="292"/>
      <c r="AX331" s="292"/>
      <c r="AY331" s="292"/>
      <c r="AZ331" s="295"/>
      <c r="BA331" s="292"/>
      <c r="BB331" s="292"/>
      <c r="BC331" s="292"/>
      <c r="BD331" s="292"/>
      <c r="BE331" s="295"/>
      <c r="BF331" s="292"/>
      <c r="BG331" s="292"/>
      <c r="BH331" s="292"/>
      <c r="BI331" s="292"/>
      <c r="BJ331" s="295"/>
      <c r="BK331" s="293"/>
      <c r="BL331" s="292"/>
      <c r="BM331" s="296"/>
    </row>
    <row r="332" spans="1:65" x14ac:dyDescent="0.25">
      <c r="A332" s="314"/>
      <c r="B332" s="314"/>
      <c r="C332" s="314"/>
      <c r="D332" s="47" t="s">
        <v>237</v>
      </c>
      <c r="E332" s="303"/>
      <c r="F332" s="19"/>
      <c r="G332" s="19"/>
      <c r="H332" s="292"/>
      <c r="I332" s="176"/>
      <c r="J332" s="176"/>
      <c r="K332" s="176"/>
      <c r="L332" s="240"/>
      <c r="M332" s="240"/>
      <c r="N332" s="240"/>
      <c r="O332" s="292"/>
      <c r="P332" s="240"/>
      <c r="Q332" s="292"/>
      <c r="R332" s="292"/>
      <c r="S332" s="292"/>
      <c r="T332" s="292"/>
      <c r="U332" s="292"/>
      <c r="V332" s="292"/>
      <c r="W332" s="292"/>
      <c r="X332" s="292"/>
      <c r="Y332" s="292"/>
      <c r="Z332" s="292"/>
      <c r="AA332" s="292"/>
      <c r="AB332" s="292"/>
      <c r="AC332" s="292"/>
      <c r="AD332" s="308"/>
      <c r="AE332" s="308"/>
      <c r="AF332" s="308"/>
      <c r="AG332" s="292"/>
      <c r="AH332" s="292"/>
      <c r="AI332" s="292"/>
      <c r="AJ332" s="309"/>
      <c r="AK332" s="293"/>
      <c r="AL332" s="294"/>
      <c r="AM332" s="294"/>
      <c r="AN332" s="292"/>
      <c r="AO332" s="292"/>
      <c r="AP332" s="295"/>
      <c r="AQ332" s="292"/>
      <c r="AR332" s="292"/>
      <c r="AS332" s="292"/>
      <c r="AT332" s="292"/>
      <c r="AU332" s="295"/>
      <c r="AV332" s="292"/>
      <c r="AW332" s="292"/>
      <c r="AX332" s="292"/>
      <c r="AY332" s="292"/>
      <c r="AZ332" s="295"/>
      <c r="BA332" s="292"/>
      <c r="BB332" s="292"/>
      <c r="BC332" s="292"/>
      <c r="BD332" s="292"/>
      <c r="BE332" s="295"/>
      <c r="BF332" s="292"/>
      <c r="BG332" s="292"/>
      <c r="BH332" s="292"/>
      <c r="BI332" s="292"/>
      <c r="BJ332" s="295"/>
      <c r="BK332" s="293"/>
      <c r="BL332" s="292"/>
      <c r="BM332" s="296"/>
    </row>
    <row r="333" spans="1:65" x14ac:dyDescent="0.25">
      <c r="A333" s="314"/>
      <c r="B333" s="314"/>
      <c r="C333" s="314"/>
      <c r="D333" s="47" t="s">
        <v>199</v>
      </c>
      <c r="E333" s="303"/>
      <c r="F333" s="19"/>
      <c r="G333" s="19"/>
      <c r="H333" s="292"/>
      <c r="I333" s="176"/>
      <c r="J333" s="176"/>
      <c r="K333" s="176"/>
      <c r="L333" s="240"/>
      <c r="M333" s="240"/>
      <c r="N333" s="240"/>
      <c r="O333" s="292"/>
      <c r="P333" s="240"/>
      <c r="Q333" s="292"/>
      <c r="R333" s="292"/>
      <c r="S333" s="292"/>
      <c r="T333" s="292"/>
      <c r="U333" s="292"/>
      <c r="V333" s="292"/>
      <c r="W333" s="292"/>
      <c r="X333" s="292"/>
      <c r="Y333" s="292"/>
      <c r="Z333" s="292"/>
      <c r="AA333" s="292"/>
      <c r="AB333" s="292"/>
      <c r="AC333" s="292"/>
      <c r="AD333" s="308"/>
      <c r="AE333" s="308"/>
      <c r="AF333" s="308"/>
      <c r="AG333" s="292"/>
      <c r="AH333" s="292"/>
      <c r="AI333" s="292"/>
      <c r="AJ333" s="309"/>
      <c r="AK333" s="293"/>
      <c r="AL333" s="294"/>
      <c r="AM333" s="294"/>
      <c r="AN333" s="292"/>
      <c r="AO333" s="292"/>
      <c r="AP333" s="295"/>
      <c r="AQ333" s="292"/>
      <c r="AR333" s="292"/>
      <c r="AS333" s="292"/>
      <c r="AT333" s="292"/>
      <c r="AU333" s="295"/>
      <c r="AV333" s="292"/>
      <c r="AW333" s="292"/>
      <c r="AX333" s="292"/>
      <c r="AY333" s="292"/>
      <c r="AZ333" s="295"/>
      <c r="BA333" s="292"/>
      <c r="BB333" s="292"/>
      <c r="BC333" s="292"/>
      <c r="BD333" s="292"/>
      <c r="BE333" s="295"/>
      <c r="BF333" s="292"/>
      <c r="BG333" s="292"/>
      <c r="BH333" s="292"/>
      <c r="BI333" s="292"/>
      <c r="BJ333" s="295"/>
      <c r="BK333" s="293"/>
      <c r="BL333" s="292"/>
      <c r="BM333" s="296"/>
    </row>
    <row r="334" spans="1:65" x14ac:dyDescent="0.25">
      <c r="A334" s="314"/>
      <c r="B334" s="314"/>
      <c r="C334" s="314"/>
      <c r="D334" s="47" t="s">
        <v>200</v>
      </c>
      <c r="E334" s="303"/>
      <c r="F334" s="19"/>
      <c r="G334" s="19"/>
      <c r="H334" s="292"/>
      <c r="I334" s="176"/>
      <c r="J334" s="176"/>
      <c r="K334" s="176"/>
      <c r="L334" s="240"/>
      <c r="M334" s="240"/>
      <c r="N334" s="240"/>
      <c r="O334" s="292"/>
      <c r="P334" s="240"/>
      <c r="Q334" s="292"/>
      <c r="R334" s="292"/>
      <c r="S334" s="292"/>
      <c r="T334" s="292"/>
      <c r="U334" s="292"/>
      <c r="V334" s="292"/>
      <c r="W334" s="292"/>
      <c r="X334" s="292"/>
      <c r="Y334" s="292"/>
      <c r="Z334" s="292"/>
      <c r="AA334" s="292"/>
      <c r="AB334" s="292"/>
      <c r="AC334" s="292"/>
      <c r="AD334" s="308"/>
      <c r="AE334" s="308"/>
      <c r="AF334" s="308"/>
      <c r="AG334" s="292"/>
      <c r="AH334" s="292"/>
      <c r="AI334" s="292"/>
      <c r="AJ334" s="309"/>
      <c r="AK334" s="293"/>
      <c r="AL334" s="294"/>
      <c r="AM334" s="294"/>
      <c r="AN334" s="292"/>
      <c r="AO334" s="292"/>
      <c r="AP334" s="295"/>
      <c r="AQ334" s="292"/>
      <c r="AR334" s="292"/>
      <c r="AS334" s="292"/>
      <c r="AT334" s="292"/>
      <c r="AU334" s="295"/>
      <c r="AV334" s="292"/>
      <c r="AW334" s="292"/>
      <c r="AX334" s="292"/>
      <c r="AY334" s="292"/>
      <c r="AZ334" s="295"/>
      <c r="BA334" s="292"/>
      <c r="BB334" s="292"/>
      <c r="BC334" s="292"/>
      <c r="BD334" s="292"/>
      <c r="BE334" s="295"/>
      <c r="BF334" s="292"/>
      <c r="BG334" s="292"/>
      <c r="BH334" s="292"/>
      <c r="BI334" s="292"/>
      <c r="BJ334" s="295"/>
      <c r="BK334" s="293"/>
      <c r="BL334" s="292"/>
      <c r="BM334" s="296"/>
    </row>
    <row r="335" spans="1:65" x14ac:dyDescent="0.25">
      <c r="A335" s="314"/>
      <c r="B335" s="314"/>
      <c r="C335" s="314"/>
      <c r="D335" s="47" t="s">
        <v>198</v>
      </c>
      <c r="E335" s="303"/>
      <c r="F335" s="19"/>
      <c r="G335" s="19"/>
      <c r="H335" s="292"/>
      <c r="I335" s="176"/>
      <c r="J335" s="176"/>
      <c r="K335" s="176"/>
      <c r="L335" s="240"/>
      <c r="M335" s="240"/>
      <c r="N335" s="240"/>
      <c r="O335" s="292"/>
      <c r="P335" s="240"/>
      <c r="Q335" s="292"/>
      <c r="R335" s="292"/>
      <c r="S335" s="292"/>
      <c r="T335" s="292"/>
      <c r="U335" s="292"/>
      <c r="V335" s="292"/>
      <c r="W335" s="292"/>
      <c r="X335" s="292"/>
      <c r="Y335" s="292"/>
      <c r="Z335" s="292"/>
      <c r="AA335" s="292"/>
      <c r="AB335" s="292"/>
      <c r="AC335" s="292"/>
      <c r="AD335" s="308"/>
      <c r="AE335" s="308"/>
      <c r="AF335" s="308"/>
      <c r="AG335" s="292"/>
      <c r="AH335" s="292"/>
      <c r="AI335" s="292"/>
      <c r="AJ335" s="309"/>
      <c r="AK335" s="293"/>
      <c r="AL335" s="294"/>
      <c r="AM335" s="294"/>
      <c r="AN335" s="292"/>
      <c r="AO335" s="292"/>
      <c r="AP335" s="295"/>
      <c r="AQ335" s="292"/>
      <c r="AR335" s="292"/>
      <c r="AS335" s="292"/>
      <c r="AT335" s="292"/>
      <c r="AU335" s="295"/>
      <c r="AV335" s="292"/>
      <c r="AW335" s="292"/>
      <c r="AX335" s="292"/>
      <c r="AY335" s="292"/>
      <c r="AZ335" s="295"/>
      <c r="BA335" s="292"/>
      <c r="BB335" s="292"/>
      <c r="BC335" s="292"/>
      <c r="BD335" s="292"/>
      <c r="BE335" s="295"/>
      <c r="BF335" s="292"/>
      <c r="BG335" s="292"/>
      <c r="BH335" s="292"/>
      <c r="BI335" s="292"/>
      <c r="BJ335" s="295"/>
      <c r="BK335" s="293"/>
      <c r="BL335" s="292"/>
      <c r="BM335" s="296"/>
    </row>
    <row r="336" spans="1:65" x14ac:dyDescent="0.25">
      <c r="A336" s="314"/>
      <c r="B336" s="314"/>
      <c r="C336" s="314"/>
      <c r="D336" s="47" t="s">
        <v>201</v>
      </c>
      <c r="E336" s="303"/>
      <c r="F336" s="19"/>
      <c r="G336" s="19"/>
      <c r="H336" s="292"/>
      <c r="I336" s="176"/>
      <c r="J336" s="176"/>
      <c r="K336" s="176"/>
      <c r="L336" s="240"/>
      <c r="M336" s="240"/>
      <c r="N336" s="240"/>
      <c r="O336" s="292"/>
      <c r="P336" s="240"/>
      <c r="Q336" s="292"/>
      <c r="R336" s="292"/>
      <c r="S336" s="292"/>
      <c r="T336" s="292"/>
      <c r="U336" s="292"/>
      <c r="V336" s="292"/>
      <c r="W336" s="292"/>
      <c r="X336" s="292"/>
      <c r="Y336" s="292"/>
      <c r="Z336" s="292"/>
      <c r="AA336" s="292"/>
      <c r="AB336" s="292"/>
      <c r="AC336" s="292"/>
      <c r="AD336" s="308"/>
      <c r="AE336" s="308"/>
      <c r="AF336" s="308"/>
      <c r="AG336" s="292"/>
      <c r="AH336" s="292"/>
      <c r="AI336" s="292"/>
      <c r="AJ336" s="309"/>
      <c r="AK336" s="293"/>
      <c r="AL336" s="294"/>
      <c r="AM336" s="294"/>
      <c r="AN336" s="292"/>
      <c r="AO336" s="292"/>
      <c r="AP336" s="295"/>
      <c r="AQ336" s="292"/>
      <c r="AR336" s="292"/>
      <c r="AS336" s="292"/>
      <c r="AT336" s="292"/>
      <c r="AU336" s="295"/>
      <c r="AV336" s="292"/>
      <c r="AW336" s="292"/>
      <c r="AX336" s="292"/>
      <c r="AY336" s="292"/>
      <c r="AZ336" s="295"/>
      <c r="BA336" s="292"/>
      <c r="BB336" s="292"/>
      <c r="BC336" s="292"/>
      <c r="BD336" s="292"/>
      <c r="BE336" s="295"/>
      <c r="BF336" s="292"/>
      <c r="BG336" s="292"/>
      <c r="BH336" s="292"/>
      <c r="BI336" s="292"/>
      <c r="BJ336" s="295"/>
      <c r="BK336" s="293"/>
      <c r="BL336" s="292"/>
      <c r="BM336" s="296"/>
    </row>
    <row r="337" spans="1:65" x14ac:dyDescent="0.25">
      <c r="A337" s="314"/>
      <c r="B337" s="314"/>
      <c r="C337" s="314"/>
      <c r="D337" s="47" t="s">
        <v>202</v>
      </c>
      <c r="E337" s="303"/>
      <c r="F337" s="19"/>
      <c r="G337" s="19"/>
      <c r="H337" s="292"/>
      <c r="I337" s="176"/>
      <c r="J337" s="176"/>
      <c r="K337" s="176"/>
      <c r="L337" s="240"/>
      <c r="M337" s="240"/>
      <c r="N337" s="240"/>
      <c r="O337" s="292"/>
      <c r="P337" s="240"/>
      <c r="Q337" s="292"/>
      <c r="R337" s="292"/>
      <c r="S337" s="292"/>
      <c r="T337" s="292"/>
      <c r="U337" s="292"/>
      <c r="V337" s="292"/>
      <c r="W337" s="292"/>
      <c r="X337" s="292"/>
      <c r="Y337" s="292"/>
      <c r="Z337" s="292"/>
      <c r="AA337" s="292"/>
      <c r="AB337" s="292"/>
      <c r="AC337" s="292"/>
      <c r="AD337" s="308"/>
      <c r="AE337" s="308"/>
      <c r="AF337" s="308"/>
      <c r="AG337" s="292"/>
      <c r="AH337" s="292"/>
      <c r="AI337" s="292"/>
      <c r="AJ337" s="309"/>
      <c r="AK337" s="293"/>
      <c r="AL337" s="294"/>
      <c r="AM337" s="294"/>
      <c r="AN337" s="292"/>
      <c r="AO337" s="292"/>
      <c r="AP337" s="295"/>
      <c r="AQ337" s="292"/>
      <c r="AR337" s="292"/>
      <c r="AS337" s="292"/>
      <c r="AT337" s="292"/>
      <c r="AU337" s="295"/>
      <c r="AV337" s="292"/>
      <c r="AW337" s="292"/>
      <c r="AX337" s="292"/>
      <c r="AY337" s="292"/>
      <c r="AZ337" s="295"/>
      <c r="BA337" s="292"/>
      <c r="BB337" s="292"/>
      <c r="BC337" s="292"/>
      <c r="BD337" s="292"/>
      <c r="BE337" s="295"/>
      <c r="BF337" s="292"/>
      <c r="BG337" s="292"/>
      <c r="BH337" s="292"/>
      <c r="BI337" s="292"/>
      <c r="BJ337" s="295"/>
      <c r="BK337" s="293"/>
      <c r="BL337" s="292"/>
      <c r="BM337" s="296"/>
    </row>
    <row r="338" spans="1:65" x14ac:dyDescent="0.25">
      <c r="A338" s="314"/>
      <c r="B338" s="314"/>
      <c r="C338" s="314"/>
      <c r="D338" s="47" t="s">
        <v>203</v>
      </c>
      <c r="E338" s="47"/>
      <c r="F338" s="19"/>
      <c r="G338" s="19"/>
      <c r="H338" s="292"/>
      <c r="I338" s="176"/>
      <c r="J338" s="176"/>
      <c r="K338" s="176"/>
      <c r="L338" s="240"/>
      <c r="M338" s="240"/>
      <c r="N338" s="240"/>
      <c r="O338" s="292"/>
      <c r="P338" s="240"/>
      <c r="Q338" s="292"/>
      <c r="R338" s="292"/>
      <c r="S338" s="292"/>
      <c r="T338" s="292"/>
      <c r="U338" s="292"/>
      <c r="V338" s="292"/>
      <c r="W338" s="292"/>
      <c r="X338" s="292"/>
      <c r="Y338" s="292"/>
      <c r="Z338" s="292"/>
      <c r="AA338" s="292"/>
      <c r="AB338" s="292"/>
      <c r="AC338" s="292"/>
      <c r="AD338" s="308"/>
      <c r="AE338" s="308"/>
      <c r="AF338" s="308"/>
      <c r="AG338" s="292"/>
      <c r="AH338" s="292"/>
      <c r="AI338" s="292"/>
      <c r="AJ338" s="309"/>
      <c r="AK338" s="293"/>
      <c r="AL338" s="294"/>
      <c r="AM338" s="294"/>
      <c r="AN338" s="292"/>
      <c r="AO338" s="292"/>
      <c r="AP338" s="295"/>
      <c r="AQ338" s="292"/>
      <c r="AR338" s="292"/>
      <c r="AS338" s="292"/>
      <c r="AT338" s="292"/>
      <c r="AU338" s="295"/>
      <c r="AV338" s="292"/>
      <c r="AW338" s="292"/>
      <c r="AX338" s="292"/>
      <c r="AY338" s="292"/>
      <c r="AZ338" s="295"/>
      <c r="BA338" s="292"/>
      <c r="BB338" s="292"/>
      <c r="BC338" s="292"/>
      <c r="BD338" s="292"/>
      <c r="BE338" s="295"/>
      <c r="BF338" s="292"/>
      <c r="BG338" s="292"/>
      <c r="BH338" s="292"/>
      <c r="BI338" s="292"/>
      <c r="BJ338" s="295"/>
      <c r="BK338" s="293"/>
      <c r="BL338" s="292"/>
      <c r="BM338" s="296"/>
    </row>
    <row r="339" spans="1:65" x14ac:dyDescent="0.25">
      <c r="A339" s="314"/>
      <c r="B339" s="314"/>
      <c r="C339" s="314"/>
      <c r="D339" s="47" t="s">
        <v>204</v>
      </c>
      <c r="E339" s="47"/>
      <c r="F339" s="19"/>
      <c r="G339" s="19"/>
      <c r="H339" s="292"/>
      <c r="I339" s="176"/>
      <c r="J339" s="176"/>
      <c r="K339" s="176"/>
      <c r="L339" s="240"/>
      <c r="M339" s="240"/>
      <c r="N339" s="240"/>
      <c r="O339" s="292"/>
      <c r="P339" s="240"/>
      <c r="Q339" s="292"/>
      <c r="R339" s="292"/>
      <c r="S339" s="292"/>
      <c r="T339" s="292"/>
      <c r="U339" s="292"/>
      <c r="V339" s="292"/>
      <c r="W339" s="292"/>
      <c r="X339" s="292"/>
      <c r="Y339" s="292"/>
      <c r="Z339" s="292"/>
      <c r="AA339" s="292"/>
      <c r="AB339" s="292"/>
      <c r="AC339" s="292"/>
      <c r="AD339" s="308"/>
      <c r="AE339" s="308"/>
      <c r="AF339" s="308"/>
      <c r="AG339" s="292"/>
      <c r="AH339" s="292"/>
      <c r="AI339" s="292"/>
      <c r="AJ339" s="309"/>
      <c r="AK339" s="293"/>
      <c r="AL339" s="294"/>
      <c r="AM339" s="294"/>
      <c r="AN339" s="292"/>
      <c r="AO339" s="292"/>
      <c r="AP339" s="295"/>
      <c r="AQ339" s="292"/>
      <c r="AR339" s="292"/>
      <c r="AS339" s="292"/>
      <c r="AT339" s="292"/>
      <c r="AU339" s="295"/>
      <c r="AV339" s="292"/>
      <c r="AW339" s="292"/>
      <c r="AX339" s="292"/>
      <c r="AY339" s="292"/>
      <c r="AZ339" s="295"/>
      <c r="BA339" s="292"/>
      <c r="BB339" s="292"/>
      <c r="BC339" s="292"/>
      <c r="BD339" s="292"/>
      <c r="BE339" s="295"/>
      <c r="BF339" s="292"/>
      <c r="BG339" s="292"/>
      <c r="BH339" s="292"/>
      <c r="BI339" s="292"/>
      <c r="BJ339" s="295"/>
      <c r="BK339" s="293"/>
      <c r="BL339" s="292"/>
      <c r="BM339" s="296"/>
    </row>
    <row r="340" spans="1:65" x14ac:dyDescent="0.25">
      <c r="A340" s="314"/>
      <c r="B340" s="314"/>
      <c r="C340" s="314"/>
      <c r="D340" s="47" t="s">
        <v>240</v>
      </c>
      <c r="E340" s="303"/>
      <c r="F340" s="19"/>
      <c r="G340" s="19"/>
      <c r="H340" s="292"/>
      <c r="I340" s="176"/>
      <c r="J340" s="176"/>
      <c r="K340" s="176"/>
      <c r="L340" s="240"/>
      <c r="M340" s="240"/>
      <c r="N340" s="240"/>
      <c r="O340" s="292"/>
      <c r="P340" s="240"/>
      <c r="Q340" s="292"/>
      <c r="R340" s="292"/>
      <c r="S340" s="292"/>
      <c r="T340" s="292"/>
      <c r="U340" s="292"/>
      <c r="V340" s="292"/>
      <c r="W340" s="292"/>
      <c r="X340" s="292"/>
      <c r="Y340" s="292"/>
      <c r="Z340" s="292"/>
      <c r="AA340" s="292"/>
      <c r="AB340" s="292"/>
      <c r="AC340" s="292"/>
      <c r="AD340" s="308"/>
      <c r="AE340" s="308"/>
      <c r="AF340" s="308"/>
      <c r="AG340" s="292"/>
      <c r="AH340" s="292"/>
      <c r="AI340" s="292"/>
      <c r="AJ340" s="309"/>
      <c r="AK340" s="293"/>
      <c r="AL340" s="294"/>
      <c r="AM340" s="294"/>
      <c r="AN340" s="292"/>
      <c r="AO340" s="292"/>
      <c r="AP340" s="295"/>
      <c r="AQ340" s="292"/>
      <c r="AR340" s="292"/>
      <c r="AS340" s="292"/>
      <c r="AT340" s="292"/>
      <c r="AU340" s="295"/>
      <c r="AV340" s="292"/>
      <c r="AW340" s="292"/>
      <c r="AX340" s="292"/>
      <c r="AY340" s="292"/>
      <c r="AZ340" s="295"/>
      <c r="BA340" s="292"/>
      <c r="BB340" s="292"/>
      <c r="BC340" s="292"/>
      <c r="BD340" s="292"/>
      <c r="BE340" s="295"/>
      <c r="BF340" s="292"/>
      <c r="BG340" s="292"/>
      <c r="BH340" s="292"/>
      <c r="BI340" s="292"/>
      <c r="BJ340" s="295"/>
      <c r="BK340" s="293"/>
      <c r="BL340" s="292"/>
      <c r="BM340" s="296"/>
    </row>
    <row r="341" spans="1:65" x14ac:dyDescent="0.25">
      <c r="A341" s="314"/>
      <c r="B341" s="314"/>
      <c r="C341" s="314"/>
      <c r="D341" s="47" t="s">
        <v>241</v>
      </c>
      <c r="E341" s="303"/>
      <c r="F341" s="19"/>
      <c r="G341" s="19"/>
      <c r="H341" s="292"/>
      <c r="I341" s="176"/>
      <c r="J341" s="176"/>
      <c r="K341" s="176"/>
      <c r="L341" s="240"/>
      <c r="M341" s="240"/>
      <c r="N341" s="240"/>
      <c r="O341" s="292"/>
      <c r="P341" s="240"/>
      <c r="Q341" s="292"/>
      <c r="R341" s="292"/>
      <c r="S341" s="292"/>
      <c r="T341" s="292"/>
      <c r="U341" s="292"/>
      <c r="V341" s="292"/>
      <c r="W341" s="292"/>
      <c r="X341" s="292"/>
      <c r="Y341" s="292"/>
      <c r="Z341" s="292"/>
      <c r="AA341" s="292"/>
      <c r="AB341" s="292"/>
      <c r="AC341" s="292"/>
      <c r="AD341" s="308"/>
      <c r="AE341" s="308"/>
      <c r="AF341" s="308"/>
      <c r="AG341" s="292"/>
      <c r="AH341" s="292"/>
      <c r="AI341" s="292"/>
      <c r="AJ341" s="309"/>
      <c r="AK341" s="293"/>
      <c r="AL341" s="294"/>
      <c r="AM341" s="294"/>
      <c r="AN341" s="292"/>
      <c r="AO341" s="292"/>
      <c r="AP341" s="295"/>
      <c r="AQ341" s="292"/>
      <c r="AR341" s="292"/>
      <c r="AS341" s="292"/>
      <c r="AT341" s="292"/>
      <c r="AU341" s="295"/>
      <c r="AV341" s="292"/>
      <c r="AW341" s="292"/>
      <c r="AX341" s="292"/>
      <c r="AY341" s="292"/>
      <c r="AZ341" s="295"/>
      <c r="BA341" s="292"/>
      <c r="BB341" s="292"/>
      <c r="BC341" s="292"/>
      <c r="BD341" s="292"/>
      <c r="BE341" s="295"/>
      <c r="BF341" s="292"/>
      <c r="BG341" s="292"/>
      <c r="BH341" s="292"/>
      <c r="BI341" s="292"/>
      <c r="BJ341" s="295"/>
      <c r="BK341" s="293"/>
      <c r="BL341" s="292"/>
      <c r="BM341" s="296"/>
    </row>
    <row r="342" spans="1:65" x14ac:dyDescent="0.25">
      <c r="A342" s="314"/>
      <c r="B342" s="314"/>
      <c r="C342" s="314"/>
      <c r="D342" s="47" t="s">
        <v>205</v>
      </c>
      <c r="E342" s="303"/>
      <c r="F342" s="19"/>
      <c r="G342" s="19"/>
      <c r="H342" s="292"/>
      <c r="I342" s="176"/>
      <c r="J342" s="176"/>
      <c r="K342" s="176"/>
      <c r="L342" s="240"/>
      <c r="M342" s="240"/>
      <c r="N342" s="240"/>
      <c r="O342" s="292"/>
      <c r="P342" s="240"/>
      <c r="Q342" s="292"/>
      <c r="R342" s="292"/>
      <c r="S342" s="292"/>
      <c r="T342" s="292"/>
      <c r="U342" s="292"/>
      <c r="V342" s="292"/>
      <c r="W342" s="292"/>
      <c r="X342" s="292"/>
      <c r="Y342" s="292"/>
      <c r="Z342" s="292"/>
      <c r="AA342" s="292"/>
      <c r="AB342" s="292"/>
      <c r="AC342" s="292"/>
      <c r="AD342" s="308"/>
      <c r="AE342" s="308"/>
      <c r="AF342" s="308"/>
      <c r="AG342" s="292"/>
      <c r="AH342" s="292"/>
      <c r="AI342" s="292"/>
      <c r="AJ342" s="309"/>
      <c r="AK342" s="293"/>
      <c r="AL342" s="294"/>
      <c r="AM342" s="294"/>
      <c r="AN342" s="292"/>
      <c r="AO342" s="292"/>
      <c r="AP342" s="295"/>
      <c r="AQ342" s="292"/>
      <c r="AR342" s="292"/>
      <c r="AS342" s="292"/>
      <c r="AT342" s="292"/>
      <c r="AU342" s="295"/>
      <c r="AV342" s="292"/>
      <c r="AW342" s="292"/>
      <c r="AX342" s="292"/>
      <c r="AY342" s="292"/>
      <c r="AZ342" s="295"/>
      <c r="BA342" s="292"/>
      <c r="BB342" s="292"/>
      <c r="BC342" s="292"/>
      <c r="BD342" s="292"/>
      <c r="BE342" s="295"/>
      <c r="BF342" s="292"/>
      <c r="BG342" s="292"/>
      <c r="BH342" s="292"/>
      <c r="BI342" s="292"/>
      <c r="BJ342" s="295"/>
      <c r="BK342" s="293"/>
      <c r="BL342" s="292"/>
      <c r="BM342" s="296"/>
    </row>
    <row r="343" spans="1:65" x14ac:dyDescent="0.25">
      <c r="A343" s="314"/>
      <c r="B343" s="314"/>
      <c r="C343" s="314"/>
      <c r="D343" s="47" t="s">
        <v>242</v>
      </c>
      <c r="E343" s="303"/>
      <c r="F343" s="19"/>
      <c r="G343" s="19"/>
      <c r="H343" s="292"/>
      <c r="I343" s="176"/>
      <c r="J343" s="176"/>
      <c r="K343" s="176"/>
      <c r="L343" s="240"/>
      <c r="M343" s="240"/>
      <c r="N343" s="240"/>
      <c r="O343" s="292"/>
      <c r="P343" s="240"/>
      <c r="Q343" s="292"/>
      <c r="R343" s="292"/>
      <c r="S343" s="292"/>
      <c r="T343" s="292"/>
      <c r="U343" s="292"/>
      <c r="V343" s="292"/>
      <c r="W343" s="292"/>
      <c r="X343" s="292"/>
      <c r="Y343" s="292"/>
      <c r="Z343" s="292"/>
      <c r="AA343" s="292"/>
      <c r="AB343" s="292"/>
      <c r="AC343" s="292"/>
      <c r="AD343" s="308"/>
      <c r="AE343" s="308"/>
      <c r="AF343" s="308"/>
      <c r="AG343" s="292"/>
      <c r="AH343" s="292"/>
      <c r="AI343" s="292"/>
      <c r="AJ343" s="309"/>
      <c r="AK343" s="293"/>
      <c r="AL343" s="294"/>
      <c r="AM343" s="294"/>
      <c r="AN343" s="292"/>
      <c r="AO343" s="292"/>
      <c r="AP343" s="295"/>
      <c r="AQ343" s="292"/>
      <c r="AR343" s="292"/>
      <c r="AS343" s="292"/>
      <c r="AT343" s="292"/>
      <c r="AU343" s="295"/>
      <c r="AV343" s="292"/>
      <c r="AW343" s="292"/>
      <c r="AX343" s="292"/>
      <c r="AY343" s="292"/>
      <c r="AZ343" s="295"/>
      <c r="BA343" s="292"/>
      <c r="BB343" s="292"/>
      <c r="BC343" s="292"/>
      <c r="BD343" s="292"/>
      <c r="BE343" s="295"/>
      <c r="BF343" s="292"/>
      <c r="BG343" s="292"/>
      <c r="BH343" s="292"/>
      <c r="BI343" s="292"/>
      <c r="BJ343" s="295"/>
      <c r="BK343" s="293"/>
      <c r="BL343" s="292"/>
      <c r="BM343" s="296"/>
    </row>
    <row r="344" spans="1:65" x14ac:dyDescent="0.25">
      <c r="A344" s="314"/>
      <c r="B344" s="314"/>
      <c r="C344" s="314"/>
      <c r="D344" s="47" t="s">
        <v>206</v>
      </c>
      <c r="E344" s="303"/>
      <c r="F344" s="19"/>
      <c r="G344" s="19"/>
      <c r="H344" s="292"/>
      <c r="I344" s="176"/>
      <c r="J344" s="176"/>
      <c r="K344" s="176"/>
      <c r="L344" s="240"/>
      <c r="M344" s="240"/>
      <c r="N344" s="240"/>
      <c r="O344" s="292"/>
      <c r="P344" s="240"/>
      <c r="Q344" s="292"/>
      <c r="R344" s="292"/>
      <c r="S344" s="292"/>
      <c r="T344" s="292"/>
      <c r="U344" s="292"/>
      <c r="V344" s="292"/>
      <c r="W344" s="292"/>
      <c r="X344" s="292"/>
      <c r="Y344" s="292"/>
      <c r="Z344" s="292"/>
      <c r="AA344" s="292"/>
      <c r="AB344" s="292"/>
      <c r="AC344" s="292"/>
      <c r="AD344" s="308"/>
      <c r="AE344" s="308"/>
      <c r="AF344" s="308"/>
      <c r="AG344" s="292"/>
      <c r="AH344" s="292"/>
      <c r="AI344" s="292"/>
      <c r="AJ344" s="309"/>
      <c r="AK344" s="293"/>
      <c r="AL344" s="294"/>
      <c r="AM344" s="294"/>
      <c r="AN344" s="292"/>
      <c r="AO344" s="292"/>
      <c r="AP344" s="295"/>
      <c r="AQ344" s="292"/>
      <c r="AR344" s="292"/>
      <c r="AS344" s="292"/>
      <c r="AT344" s="292"/>
      <c r="AU344" s="295"/>
      <c r="AV344" s="292"/>
      <c r="AW344" s="292"/>
      <c r="AX344" s="292"/>
      <c r="AY344" s="292"/>
      <c r="AZ344" s="295"/>
      <c r="BA344" s="292"/>
      <c r="BB344" s="292"/>
      <c r="BC344" s="292"/>
      <c r="BD344" s="292"/>
      <c r="BE344" s="295"/>
      <c r="BF344" s="292"/>
      <c r="BG344" s="292"/>
      <c r="BH344" s="292"/>
      <c r="BI344" s="292"/>
      <c r="BJ344" s="295"/>
      <c r="BK344" s="293"/>
      <c r="BL344" s="292"/>
      <c r="BM344" s="296"/>
    </row>
    <row r="345" spans="1:65" x14ac:dyDescent="0.25">
      <c r="A345" s="314"/>
      <c r="B345" s="314"/>
      <c r="C345" s="314"/>
      <c r="D345" s="47" t="s">
        <v>243</v>
      </c>
      <c r="E345" s="303"/>
      <c r="F345" s="19"/>
      <c r="G345" s="19"/>
      <c r="H345" s="292"/>
      <c r="I345" s="176"/>
      <c r="J345" s="176"/>
      <c r="K345" s="176"/>
      <c r="L345" s="240"/>
      <c r="M345" s="240"/>
      <c r="N345" s="240"/>
      <c r="O345" s="292"/>
      <c r="P345" s="240"/>
      <c r="Q345" s="292"/>
      <c r="R345" s="292"/>
      <c r="S345" s="292"/>
      <c r="T345" s="292"/>
      <c r="U345" s="292"/>
      <c r="V345" s="292"/>
      <c r="W345" s="292"/>
      <c r="X345" s="292"/>
      <c r="Y345" s="292"/>
      <c r="Z345" s="292"/>
      <c r="AA345" s="292"/>
      <c r="AB345" s="292"/>
      <c r="AC345" s="292"/>
      <c r="AD345" s="308"/>
      <c r="AE345" s="308"/>
      <c r="AF345" s="308"/>
      <c r="AG345" s="292"/>
      <c r="AH345" s="292"/>
      <c r="AI345" s="292"/>
      <c r="AJ345" s="309"/>
      <c r="AK345" s="293"/>
      <c r="AL345" s="294"/>
      <c r="AM345" s="294"/>
      <c r="AN345" s="292"/>
      <c r="AO345" s="292"/>
      <c r="AP345" s="295"/>
      <c r="AQ345" s="292"/>
      <c r="AR345" s="292"/>
      <c r="AS345" s="292"/>
      <c r="AT345" s="292"/>
      <c r="AU345" s="295"/>
      <c r="AV345" s="292"/>
      <c r="AW345" s="292"/>
      <c r="AX345" s="292"/>
      <c r="AY345" s="292"/>
      <c r="AZ345" s="295"/>
      <c r="BA345" s="292"/>
      <c r="BB345" s="292"/>
      <c r="BC345" s="292"/>
      <c r="BD345" s="292"/>
      <c r="BE345" s="295"/>
      <c r="BF345" s="292"/>
      <c r="BG345" s="292"/>
      <c r="BH345" s="292"/>
      <c r="BI345" s="292"/>
      <c r="BJ345" s="295"/>
      <c r="BK345" s="293"/>
      <c r="BL345" s="292"/>
      <c r="BM345" s="296"/>
    </row>
    <row r="346" spans="1:65" x14ac:dyDescent="0.25">
      <c r="A346" s="314"/>
      <c r="B346" s="314"/>
      <c r="C346" s="314"/>
      <c r="D346" s="47" t="s">
        <v>244</v>
      </c>
      <c r="E346" s="303"/>
      <c r="F346" s="19"/>
      <c r="G346" s="19"/>
      <c r="H346" s="292"/>
      <c r="I346" s="176"/>
      <c r="J346" s="176"/>
      <c r="K346" s="176"/>
      <c r="L346" s="240"/>
      <c r="M346" s="240"/>
      <c r="N346" s="240"/>
      <c r="O346" s="292"/>
      <c r="P346" s="240"/>
      <c r="Q346" s="292"/>
      <c r="R346" s="292"/>
      <c r="S346" s="292"/>
      <c r="T346" s="292"/>
      <c r="U346" s="292"/>
      <c r="V346" s="292"/>
      <c r="W346" s="292"/>
      <c r="X346" s="292"/>
      <c r="Y346" s="292"/>
      <c r="Z346" s="292"/>
      <c r="AA346" s="292"/>
      <c r="AB346" s="292"/>
      <c r="AC346" s="292"/>
      <c r="AD346" s="308"/>
      <c r="AE346" s="308"/>
      <c r="AF346" s="308"/>
      <c r="AG346" s="292"/>
      <c r="AH346" s="292"/>
      <c r="AI346" s="292"/>
      <c r="AJ346" s="309"/>
      <c r="AK346" s="293"/>
      <c r="AL346" s="294"/>
      <c r="AM346" s="294"/>
      <c r="AN346" s="292"/>
      <c r="AO346" s="292"/>
      <c r="AP346" s="295"/>
      <c r="AQ346" s="292"/>
      <c r="AR346" s="292"/>
      <c r="AS346" s="292"/>
      <c r="AT346" s="292"/>
      <c r="AU346" s="295"/>
      <c r="AV346" s="292"/>
      <c r="AW346" s="292"/>
      <c r="AX346" s="292"/>
      <c r="AY346" s="292"/>
      <c r="AZ346" s="295"/>
      <c r="BA346" s="292"/>
      <c r="BB346" s="292"/>
      <c r="BC346" s="292"/>
      <c r="BD346" s="292"/>
      <c r="BE346" s="295"/>
      <c r="BF346" s="292"/>
      <c r="BG346" s="292"/>
      <c r="BH346" s="292"/>
      <c r="BI346" s="292"/>
      <c r="BJ346" s="295"/>
      <c r="BK346" s="293"/>
      <c r="BL346" s="292"/>
      <c r="BM346" s="296"/>
    </row>
    <row r="347" spans="1:65" x14ac:dyDescent="0.25">
      <c r="A347" s="314"/>
      <c r="B347" s="314"/>
      <c r="C347" s="314"/>
      <c r="D347" s="47" t="s">
        <v>207</v>
      </c>
      <c r="E347" s="303"/>
      <c r="F347" s="19"/>
      <c r="G347" s="19"/>
      <c r="H347" s="292"/>
      <c r="I347" s="176"/>
      <c r="J347" s="176"/>
      <c r="K347" s="176"/>
      <c r="L347" s="240"/>
      <c r="M347" s="240"/>
      <c r="N347" s="240"/>
      <c r="O347" s="292"/>
      <c r="P347" s="240"/>
      <c r="Q347" s="292"/>
      <c r="R347" s="292"/>
      <c r="S347" s="292"/>
      <c r="T347" s="292"/>
      <c r="U347" s="292"/>
      <c r="V347" s="292"/>
      <c r="W347" s="292"/>
      <c r="X347" s="292"/>
      <c r="Y347" s="292"/>
      <c r="Z347" s="292"/>
      <c r="AA347" s="292"/>
      <c r="AB347" s="292"/>
      <c r="AC347" s="292"/>
      <c r="AD347" s="308"/>
      <c r="AE347" s="308"/>
      <c r="AF347" s="308"/>
      <c r="AG347" s="292"/>
      <c r="AH347" s="292"/>
      <c r="AI347" s="292"/>
      <c r="AJ347" s="309"/>
      <c r="AK347" s="293"/>
      <c r="AL347" s="294"/>
      <c r="AM347" s="294"/>
      <c r="AN347" s="292"/>
      <c r="AO347" s="292"/>
      <c r="AP347" s="295"/>
      <c r="AQ347" s="292"/>
      <c r="AR347" s="292"/>
      <c r="AS347" s="292"/>
      <c r="AT347" s="292"/>
      <c r="AU347" s="295"/>
      <c r="AV347" s="292"/>
      <c r="AW347" s="292"/>
      <c r="AX347" s="292"/>
      <c r="AY347" s="292"/>
      <c r="AZ347" s="295"/>
      <c r="BA347" s="292"/>
      <c r="BB347" s="292"/>
      <c r="BC347" s="292"/>
      <c r="BD347" s="292"/>
      <c r="BE347" s="295"/>
      <c r="BF347" s="292"/>
      <c r="BG347" s="292"/>
      <c r="BH347" s="292"/>
      <c r="BI347" s="292"/>
      <c r="BJ347" s="295"/>
      <c r="BK347" s="293"/>
      <c r="BL347" s="292"/>
      <c r="BM347" s="296"/>
    </row>
    <row r="348" spans="1:65" x14ac:dyDescent="0.25">
      <c r="A348" s="314"/>
      <c r="B348" s="314"/>
      <c r="C348" s="314"/>
      <c r="D348" s="47" t="s">
        <v>239</v>
      </c>
      <c r="E348" s="303"/>
      <c r="F348" s="19"/>
      <c r="G348" s="19"/>
      <c r="H348" s="292"/>
      <c r="I348" s="176"/>
      <c r="J348" s="176"/>
      <c r="K348" s="176"/>
      <c r="L348" s="240"/>
      <c r="M348" s="240"/>
      <c r="N348" s="240"/>
      <c r="O348" s="292"/>
      <c r="P348" s="240"/>
      <c r="Q348" s="292"/>
      <c r="R348" s="292"/>
      <c r="S348" s="292"/>
      <c r="T348" s="292"/>
      <c r="U348" s="292"/>
      <c r="V348" s="292"/>
      <c r="W348" s="292"/>
      <c r="X348" s="292"/>
      <c r="Y348" s="292"/>
      <c r="Z348" s="292"/>
      <c r="AA348" s="292"/>
      <c r="AB348" s="292"/>
      <c r="AC348" s="292"/>
      <c r="AD348" s="308"/>
      <c r="AE348" s="308"/>
      <c r="AF348" s="308"/>
      <c r="AG348" s="292"/>
      <c r="AH348" s="292"/>
      <c r="AI348" s="292"/>
      <c r="AJ348" s="309"/>
      <c r="AK348" s="293"/>
      <c r="AL348" s="294"/>
      <c r="AM348" s="294"/>
      <c r="AN348" s="292"/>
      <c r="AO348" s="292"/>
      <c r="AP348" s="295"/>
      <c r="AQ348" s="292"/>
      <c r="AR348" s="292"/>
      <c r="AS348" s="292"/>
      <c r="AT348" s="292"/>
      <c r="AU348" s="295"/>
      <c r="AV348" s="292"/>
      <c r="AW348" s="292"/>
      <c r="AX348" s="292"/>
      <c r="AY348" s="292"/>
      <c r="AZ348" s="295"/>
      <c r="BA348" s="292"/>
      <c r="BB348" s="292"/>
      <c r="BC348" s="292"/>
      <c r="BD348" s="292"/>
      <c r="BE348" s="295"/>
      <c r="BF348" s="292"/>
      <c r="BG348" s="292"/>
      <c r="BH348" s="292"/>
      <c r="BI348" s="292"/>
      <c r="BJ348" s="295"/>
      <c r="BK348" s="293"/>
      <c r="BL348" s="292"/>
      <c r="BM348" s="296"/>
    </row>
    <row r="349" spans="1:65" x14ac:dyDescent="0.25">
      <c r="A349" s="314"/>
      <c r="B349" s="314"/>
      <c r="C349" s="314"/>
      <c r="D349" s="47" t="s">
        <v>245</v>
      </c>
      <c r="E349" s="303"/>
      <c r="F349" s="19"/>
      <c r="G349" s="19"/>
      <c r="H349" s="292"/>
      <c r="I349" s="176"/>
      <c r="J349" s="176"/>
      <c r="K349" s="176"/>
      <c r="L349" s="240"/>
      <c r="M349" s="240"/>
      <c r="N349" s="240"/>
      <c r="O349" s="292"/>
      <c r="P349" s="240"/>
      <c r="Q349" s="292"/>
      <c r="R349" s="292"/>
      <c r="S349" s="292"/>
      <c r="T349" s="292"/>
      <c r="U349" s="292"/>
      <c r="V349" s="292"/>
      <c r="W349" s="292"/>
      <c r="X349" s="292"/>
      <c r="Y349" s="292"/>
      <c r="Z349" s="292"/>
      <c r="AA349" s="292"/>
      <c r="AB349" s="292"/>
      <c r="AC349" s="292"/>
      <c r="AD349" s="308"/>
      <c r="AE349" s="308"/>
      <c r="AF349" s="308"/>
      <c r="AG349" s="292"/>
      <c r="AH349" s="292"/>
      <c r="AI349" s="292"/>
      <c r="AJ349" s="309"/>
      <c r="AK349" s="293"/>
      <c r="AL349" s="294"/>
      <c r="AM349" s="294"/>
      <c r="AN349" s="292"/>
      <c r="AO349" s="292"/>
      <c r="AP349" s="295"/>
      <c r="AQ349" s="292"/>
      <c r="AR349" s="292"/>
      <c r="AS349" s="292"/>
      <c r="AT349" s="292"/>
      <c r="AU349" s="295"/>
      <c r="AV349" s="292"/>
      <c r="AW349" s="292"/>
      <c r="AX349" s="292"/>
      <c r="AY349" s="292"/>
      <c r="AZ349" s="295"/>
      <c r="BA349" s="292"/>
      <c r="BB349" s="292"/>
      <c r="BC349" s="292"/>
      <c r="BD349" s="292"/>
      <c r="BE349" s="295"/>
      <c r="BF349" s="292"/>
      <c r="BG349" s="292"/>
      <c r="BH349" s="292"/>
      <c r="BI349" s="292"/>
      <c r="BJ349" s="295"/>
      <c r="BK349" s="293"/>
      <c r="BL349" s="292"/>
      <c r="BM349" s="296"/>
    </row>
    <row r="350" spans="1:65" x14ac:dyDescent="0.25">
      <c r="A350" s="314"/>
      <c r="B350" s="314"/>
      <c r="C350" s="314"/>
      <c r="D350" s="47" t="s">
        <v>209</v>
      </c>
      <c r="E350" s="303"/>
      <c r="F350" s="19"/>
      <c r="G350" s="19"/>
      <c r="H350" s="292"/>
      <c r="I350" s="176"/>
      <c r="J350" s="176"/>
      <c r="K350" s="176"/>
      <c r="L350" s="240"/>
      <c r="M350" s="240"/>
      <c r="N350" s="240"/>
      <c r="O350" s="292"/>
      <c r="P350" s="240"/>
      <c r="Q350" s="292"/>
      <c r="R350" s="292"/>
      <c r="S350" s="292"/>
      <c r="T350" s="292"/>
      <c r="U350" s="292"/>
      <c r="V350" s="292"/>
      <c r="W350" s="292"/>
      <c r="X350" s="292"/>
      <c r="Y350" s="292"/>
      <c r="Z350" s="292"/>
      <c r="AA350" s="292"/>
      <c r="AB350" s="292"/>
      <c r="AC350" s="292"/>
      <c r="AD350" s="308"/>
      <c r="AE350" s="308"/>
      <c r="AF350" s="308"/>
      <c r="AG350" s="292"/>
      <c r="AH350" s="292"/>
      <c r="AI350" s="292"/>
      <c r="AJ350" s="309"/>
      <c r="AK350" s="293"/>
      <c r="AL350" s="294"/>
      <c r="AM350" s="294"/>
      <c r="AN350" s="292"/>
      <c r="AO350" s="292"/>
      <c r="AP350" s="295"/>
      <c r="AQ350" s="292"/>
      <c r="AR350" s="292"/>
      <c r="AS350" s="292"/>
      <c r="AT350" s="292"/>
      <c r="AU350" s="295"/>
      <c r="AV350" s="292"/>
      <c r="AW350" s="292"/>
      <c r="AX350" s="292"/>
      <c r="AY350" s="292"/>
      <c r="AZ350" s="295"/>
      <c r="BA350" s="292"/>
      <c r="BB350" s="292"/>
      <c r="BC350" s="292"/>
      <c r="BD350" s="292"/>
      <c r="BE350" s="295"/>
      <c r="BF350" s="292"/>
      <c r="BG350" s="292"/>
      <c r="BH350" s="292"/>
      <c r="BI350" s="292"/>
      <c r="BJ350" s="295"/>
      <c r="BK350" s="293"/>
      <c r="BL350" s="292"/>
      <c r="BM350" s="296"/>
    </row>
    <row r="351" spans="1:65" x14ac:dyDescent="0.25">
      <c r="A351" s="314"/>
      <c r="B351" s="314"/>
      <c r="C351" s="314"/>
      <c r="D351" s="47" t="s">
        <v>246</v>
      </c>
      <c r="E351" s="303"/>
      <c r="F351" s="19"/>
      <c r="G351" s="19"/>
      <c r="H351" s="292"/>
      <c r="I351" s="176"/>
      <c r="J351" s="176"/>
      <c r="K351" s="176"/>
      <c r="L351" s="240"/>
      <c r="M351" s="240"/>
      <c r="N351" s="240"/>
      <c r="O351" s="292"/>
      <c r="P351" s="240"/>
      <c r="Q351" s="292"/>
      <c r="R351" s="292"/>
      <c r="S351" s="292"/>
      <c r="T351" s="292"/>
      <c r="U351" s="292"/>
      <c r="V351" s="292"/>
      <c r="W351" s="292"/>
      <c r="X351" s="292"/>
      <c r="Y351" s="292"/>
      <c r="Z351" s="292"/>
      <c r="AA351" s="292"/>
      <c r="AB351" s="292"/>
      <c r="AC351" s="292"/>
      <c r="AD351" s="308"/>
      <c r="AE351" s="308"/>
      <c r="AF351" s="308"/>
      <c r="AG351" s="292"/>
      <c r="AH351" s="292"/>
      <c r="AI351" s="292"/>
      <c r="AJ351" s="309"/>
      <c r="AK351" s="293"/>
      <c r="AL351" s="294"/>
      <c r="AM351" s="294"/>
      <c r="AN351" s="292"/>
      <c r="AO351" s="292"/>
      <c r="AP351" s="295"/>
      <c r="AQ351" s="292"/>
      <c r="AR351" s="292"/>
      <c r="AS351" s="292"/>
      <c r="AT351" s="292"/>
      <c r="AU351" s="295"/>
      <c r="AV351" s="292"/>
      <c r="AW351" s="292"/>
      <c r="AX351" s="292"/>
      <c r="AY351" s="292"/>
      <c r="AZ351" s="295"/>
      <c r="BA351" s="292"/>
      <c r="BB351" s="292"/>
      <c r="BC351" s="292"/>
      <c r="BD351" s="292"/>
      <c r="BE351" s="295"/>
      <c r="BF351" s="292"/>
      <c r="BG351" s="292"/>
      <c r="BH351" s="292"/>
      <c r="BI351" s="292"/>
      <c r="BJ351" s="295"/>
      <c r="BK351" s="293"/>
      <c r="BL351" s="292"/>
      <c r="BM351" s="296"/>
    </row>
    <row r="352" spans="1:65" x14ac:dyDescent="0.25">
      <c r="A352" s="314"/>
      <c r="B352" s="314"/>
      <c r="C352" s="314"/>
      <c r="D352" s="47" t="s">
        <v>208</v>
      </c>
      <c r="E352" s="303"/>
      <c r="F352" s="19"/>
      <c r="G352" s="19"/>
      <c r="H352" s="292"/>
      <c r="I352" s="176"/>
      <c r="J352" s="176"/>
      <c r="K352" s="176"/>
      <c r="L352" s="240"/>
      <c r="M352" s="240"/>
      <c r="N352" s="240"/>
      <c r="O352" s="292"/>
      <c r="P352" s="240"/>
      <c r="Q352" s="292"/>
      <c r="R352" s="292"/>
      <c r="S352" s="292"/>
      <c r="T352" s="292"/>
      <c r="U352" s="292"/>
      <c r="V352" s="292"/>
      <c r="W352" s="292"/>
      <c r="X352" s="292"/>
      <c r="Y352" s="292"/>
      <c r="Z352" s="292"/>
      <c r="AA352" s="292"/>
      <c r="AB352" s="292"/>
      <c r="AC352" s="292"/>
      <c r="AD352" s="308"/>
      <c r="AE352" s="308"/>
      <c r="AF352" s="308"/>
      <c r="AG352" s="292"/>
      <c r="AH352" s="292"/>
      <c r="AI352" s="292"/>
      <c r="AJ352" s="309"/>
      <c r="AK352" s="293"/>
      <c r="AL352" s="294"/>
      <c r="AM352" s="294"/>
      <c r="AN352" s="292"/>
      <c r="AO352" s="292"/>
      <c r="AP352" s="295"/>
      <c r="AQ352" s="292"/>
      <c r="AR352" s="292"/>
      <c r="AS352" s="292"/>
      <c r="AT352" s="292"/>
      <c r="AU352" s="295"/>
      <c r="AV352" s="292"/>
      <c r="AW352" s="292"/>
      <c r="AX352" s="292"/>
      <c r="AY352" s="292"/>
      <c r="AZ352" s="295"/>
      <c r="BA352" s="292"/>
      <c r="BB352" s="292"/>
      <c r="BC352" s="292"/>
      <c r="BD352" s="292"/>
      <c r="BE352" s="295"/>
      <c r="BF352" s="292"/>
      <c r="BG352" s="292"/>
      <c r="BH352" s="292"/>
      <c r="BI352" s="292"/>
      <c r="BJ352" s="295"/>
      <c r="BK352" s="293"/>
      <c r="BL352" s="292"/>
      <c r="BM352" s="296"/>
    </row>
    <row r="353" spans="1:65" x14ac:dyDescent="0.25">
      <c r="A353" s="314"/>
      <c r="B353" s="314"/>
      <c r="C353" s="314"/>
      <c r="D353" s="47" t="s">
        <v>35</v>
      </c>
      <c r="E353" s="47"/>
      <c r="F353" s="19"/>
      <c r="G353" s="19"/>
      <c r="H353" s="292"/>
      <c r="I353" s="176"/>
      <c r="J353" s="176"/>
      <c r="K353" s="176"/>
      <c r="L353" s="240"/>
      <c r="M353" s="240"/>
      <c r="N353" s="240"/>
      <c r="O353" s="292"/>
      <c r="P353" s="240"/>
      <c r="Q353" s="292"/>
      <c r="R353" s="292"/>
      <c r="S353" s="292"/>
      <c r="T353" s="292"/>
      <c r="U353" s="292"/>
      <c r="V353" s="292"/>
      <c r="W353" s="292"/>
      <c r="X353" s="292"/>
      <c r="Y353" s="292"/>
      <c r="Z353" s="292"/>
      <c r="AA353" s="292"/>
      <c r="AB353" s="292"/>
      <c r="AC353" s="292"/>
      <c r="AD353" s="308"/>
      <c r="AE353" s="308"/>
      <c r="AF353" s="308"/>
      <c r="AG353" s="292"/>
      <c r="AH353" s="292"/>
      <c r="AI353" s="292"/>
      <c r="AJ353" s="309"/>
      <c r="AK353" s="293"/>
      <c r="AL353" s="294"/>
      <c r="AM353" s="294"/>
      <c r="AN353" s="292"/>
      <c r="AO353" s="292"/>
      <c r="AP353" s="295"/>
      <c r="AQ353" s="292"/>
      <c r="AR353" s="292"/>
      <c r="AS353" s="292"/>
      <c r="AT353" s="292"/>
      <c r="AU353" s="295"/>
      <c r="AV353" s="292"/>
      <c r="AW353" s="292"/>
      <c r="AX353" s="292"/>
      <c r="AY353" s="292"/>
      <c r="AZ353" s="295"/>
      <c r="BA353" s="292"/>
      <c r="BB353" s="292"/>
      <c r="BC353" s="292"/>
      <c r="BD353" s="292"/>
      <c r="BE353" s="295"/>
      <c r="BF353" s="292"/>
      <c r="BG353" s="292"/>
      <c r="BH353" s="292"/>
      <c r="BI353" s="292"/>
      <c r="BJ353" s="295"/>
      <c r="BK353" s="293"/>
      <c r="BL353" s="292"/>
      <c r="BM353" s="296"/>
    </row>
    <row r="354" spans="1:65" x14ac:dyDescent="0.25">
      <c r="A354" s="314"/>
      <c r="B354" s="314"/>
      <c r="C354" s="314"/>
      <c r="D354" s="47"/>
      <c r="E354" s="47"/>
      <c r="F354" s="19"/>
      <c r="G354" s="19"/>
      <c r="H354" s="292"/>
      <c r="I354" s="176"/>
      <c r="J354" s="176"/>
      <c r="K354" s="176"/>
      <c r="L354" s="240"/>
      <c r="M354" s="240"/>
      <c r="N354" s="240"/>
      <c r="O354" s="292"/>
      <c r="P354" s="240"/>
      <c r="Q354" s="292"/>
      <c r="R354" s="292"/>
      <c r="S354" s="292"/>
      <c r="T354" s="292"/>
      <c r="U354" s="292"/>
      <c r="V354" s="292"/>
      <c r="W354" s="292"/>
      <c r="X354" s="292"/>
      <c r="Y354" s="292"/>
      <c r="Z354" s="292"/>
      <c r="AA354" s="292"/>
      <c r="AB354" s="292"/>
      <c r="AC354" s="292"/>
      <c r="AD354" s="308"/>
      <c r="AE354" s="308"/>
      <c r="AF354" s="308"/>
      <c r="AG354" s="292"/>
      <c r="AH354" s="292"/>
      <c r="AI354" s="292"/>
      <c r="AJ354" s="309"/>
      <c r="AK354" s="293"/>
      <c r="AL354" s="294"/>
      <c r="AM354" s="294"/>
      <c r="AN354" s="292"/>
      <c r="AO354" s="292"/>
      <c r="AP354" s="295"/>
      <c r="AQ354" s="292"/>
      <c r="AR354" s="292"/>
      <c r="AS354" s="292"/>
      <c r="AT354" s="292"/>
      <c r="AU354" s="295"/>
      <c r="AV354" s="292"/>
      <c r="AW354" s="292"/>
      <c r="AX354" s="292"/>
      <c r="AY354" s="292"/>
      <c r="AZ354" s="295"/>
      <c r="BA354" s="292"/>
      <c r="BB354" s="292"/>
      <c r="BC354" s="292"/>
      <c r="BD354" s="292"/>
      <c r="BE354" s="295"/>
      <c r="BF354" s="292"/>
      <c r="BG354" s="292"/>
      <c r="BH354" s="292"/>
      <c r="BI354" s="292"/>
      <c r="BJ354" s="295"/>
      <c r="BK354" s="293"/>
      <c r="BL354" s="292"/>
      <c r="BM354" s="296"/>
    </row>
    <row r="355" spans="1:65" x14ac:dyDescent="0.25">
      <c r="A355" s="314"/>
      <c r="B355" s="314"/>
      <c r="C355" s="314"/>
      <c r="D355" s="47" t="s">
        <v>233</v>
      </c>
      <c r="E355" s="47"/>
      <c r="F355" s="19"/>
      <c r="G355" s="19"/>
      <c r="H355" s="292"/>
      <c r="I355" s="176"/>
      <c r="J355" s="176"/>
      <c r="K355" s="176"/>
      <c r="L355" s="240"/>
      <c r="M355" s="240"/>
      <c r="N355" s="240"/>
      <c r="O355" s="292"/>
      <c r="P355" s="240"/>
      <c r="Q355" s="292"/>
      <c r="R355" s="292"/>
      <c r="S355" s="292"/>
      <c r="T355" s="292"/>
      <c r="U355" s="292"/>
      <c r="V355" s="292"/>
      <c r="W355" s="292"/>
      <c r="X355" s="292"/>
      <c r="Y355" s="292"/>
      <c r="Z355" s="292"/>
      <c r="AA355" s="292"/>
      <c r="AB355" s="292"/>
      <c r="AC355" s="292"/>
      <c r="AD355" s="308"/>
      <c r="AE355" s="308"/>
      <c r="AF355" s="308"/>
      <c r="AG355" s="292"/>
      <c r="AH355" s="292"/>
      <c r="AI355" s="292"/>
      <c r="AJ355" s="309"/>
      <c r="AK355" s="293"/>
      <c r="AL355" s="294"/>
      <c r="AM355" s="294"/>
      <c r="AN355" s="292"/>
      <c r="AO355" s="292"/>
      <c r="AP355" s="295"/>
      <c r="AQ355" s="292"/>
      <c r="AR355" s="292"/>
      <c r="AS355" s="292"/>
      <c r="AT355" s="292"/>
      <c r="AU355" s="295"/>
      <c r="AV355" s="292"/>
      <c r="AW355" s="292"/>
      <c r="AX355" s="292"/>
      <c r="AY355" s="292"/>
      <c r="AZ355" s="295"/>
      <c r="BA355" s="292"/>
      <c r="BB355" s="292"/>
      <c r="BC355" s="292"/>
      <c r="BD355" s="292"/>
      <c r="BE355" s="295"/>
      <c r="BF355" s="292"/>
      <c r="BG355" s="292"/>
      <c r="BH355" s="292"/>
      <c r="BI355" s="292"/>
      <c r="BJ355" s="295"/>
      <c r="BK355" s="293"/>
      <c r="BL355" s="292"/>
      <c r="BM355" s="296"/>
    </row>
    <row r="356" spans="1:65" x14ac:dyDescent="0.25">
      <c r="A356" s="314"/>
      <c r="B356" s="314"/>
      <c r="C356" s="314"/>
      <c r="D356" s="47" t="s">
        <v>234</v>
      </c>
      <c r="E356" s="47"/>
      <c r="F356" s="19"/>
      <c r="G356" s="19"/>
      <c r="H356" s="292"/>
      <c r="I356" s="176"/>
      <c r="J356" s="176"/>
      <c r="K356" s="176"/>
      <c r="L356" s="240"/>
      <c r="M356" s="240"/>
      <c r="N356" s="240"/>
      <c r="O356" s="292"/>
      <c r="P356" s="240"/>
      <c r="Q356" s="292"/>
      <c r="R356" s="292"/>
      <c r="S356" s="292"/>
      <c r="T356" s="292"/>
      <c r="U356" s="292"/>
      <c r="V356" s="292"/>
      <c r="W356" s="292"/>
      <c r="X356" s="292"/>
      <c r="Y356" s="292"/>
      <c r="Z356" s="292"/>
      <c r="AA356" s="292"/>
      <c r="AB356" s="292"/>
      <c r="AC356" s="292"/>
      <c r="AD356" s="308"/>
      <c r="AE356" s="308"/>
      <c r="AF356" s="308"/>
      <c r="AG356" s="292"/>
      <c r="AH356" s="292"/>
      <c r="AI356" s="292"/>
      <c r="AJ356" s="309"/>
      <c r="AK356" s="293"/>
      <c r="AL356" s="294"/>
      <c r="AM356" s="294"/>
      <c r="AN356" s="292"/>
      <c r="AO356" s="292"/>
      <c r="AP356" s="295"/>
      <c r="AQ356" s="292"/>
      <c r="AR356" s="292"/>
      <c r="AS356" s="292"/>
      <c r="AT356" s="292"/>
      <c r="AU356" s="295"/>
      <c r="AV356" s="292"/>
      <c r="AW356" s="292"/>
      <c r="AX356" s="292"/>
      <c r="AY356" s="292"/>
      <c r="AZ356" s="295"/>
      <c r="BA356" s="292"/>
      <c r="BB356" s="292"/>
      <c r="BC356" s="292"/>
      <c r="BD356" s="292"/>
      <c r="BE356" s="295"/>
      <c r="BF356" s="292"/>
      <c r="BG356" s="292"/>
      <c r="BH356" s="292"/>
      <c r="BI356" s="292"/>
      <c r="BJ356" s="295"/>
      <c r="BK356" s="293"/>
      <c r="BL356" s="292"/>
      <c r="BM356" s="296"/>
    </row>
    <row r="357" spans="1:65" x14ac:dyDescent="0.25">
      <c r="A357" s="314"/>
      <c r="B357" s="314"/>
      <c r="C357" s="314"/>
      <c r="D357" s="47" t="s">
        <v>236</v>
      </c>
      <c r="E357" s="47"/>
      <c r="F357" s="19"/>
      <c r="G357" s="19"/>
      <c r="H357" s="292"/>
      <c r="I357" s="176"/>
      <c r="J357" s="176"/>
      <c r="K357" s="176"/>
      <c r="L357" s="240"/>
      <c r="M357" s="240"/>
      <c r="N357" s="240"/>
      <c r="O357" s="292"/>
      <c r="P357" s="240"/>
      <c r="Q357" s="292"/>
      <c r="R357" s="292"/>
      <c r="S357" s="292"/>
      <c r="T357" s="292"/>
      <c r="U357" s="292"/>
      <c r="V357" s="292"/>
      <c r="W357" s="292"/>
      <c r="X357" s="292"/>
      <c r="Y357" s="292"/>
      <c r="Z357" s="292"/>
      <c r="AA357" s="292"/>
      <c r="AB357" s="292"/>
      <c r="AC357" s="292"/>
      <c r="AD357" s="308"/>
      <c r="AE357" s="308"/>
      <c r="AF357" s="308"/>
      <c r="AG357" s="292"/>
      <c r="AH357" s="292"/>
      <c r="AI357" s="292"/>
      <c r="AJ357" s="309"/>
      <c r="AK357" s="293"/>
      <c r="AL357" s="294"/>
      <c r="AM357" s="294"/>
      <c r="AN357" s="292"/>
      <c r="AO357" s="292"/>
      <c r="AP357" s="295"/>
      <c r="AQ357" s="292"/>
      <c r="AR357" s="292"/>
      <c r="AS357" s="292"/>
      <c r="AT357" s="292"/>
      <c r="AU357" s="295"/>
      <c r="AV357" s="292"/>
      <c r="AW357" s="292"/>
      <c r="AX357" s="292"/>
      <c r="AY357" s="292"/>
      <c r="AZ357" s="295"/>
      <c r="BA357" s="292"/>
      <c r="BB357" s="292"/>
      <c r="BC357" s="292"/>
      <c r="BD357" s="292"/>
      <c r="BE357" s="295"/>
      <c r="BF357" s="292"/>
      <c r="BG357" s="292"/>
      <c r="BH357" s="292"/>
      <c r="BI357" s="292"/>
      <c r="BJ357" s="295"/>
      <c r="BK357" s="293"/>
      <c r="BL357" s="292"/>
      <c r="BM357" s="296"/>
    </row>
    <row r="358" spans="1:65" x14ac:dyDescent="0.25">
      <c r="A358" s="314"/>
      <c r="B358" s="314"/>
      <c r="C358" s="314"/>
      <c r="D358" s="47" t="s">
        <v>238</v>
      </c>
      <c r="E358" s="47"/>
      <c r="F358" s="19"/>
      <c r="G358" s="19"/>
      <c r="H358" s="292"/>
      <c r="I358" s="176"/>
      <c r="J358" s="176"/>
      <c r="K358" s="176"/>
      <c r="L358" s="240"/>
      <c r="M358" s="240"/>
      <c r="N358" s="240"/>
      <c r="O358" s="292"/>
      <c r="P358" s="240"/>
      <c r="Q358" s="292"/>
      <c r="R358" s="292"/>
      <c r="S358" s="292"/>
      <c r="T358" s="292"/>
      <c r="U358" s="292"/>
      <c r="V358" s="292"/>
      <c r="W358" s="292"/>
      <c r="X358" s="292"/>
      <c r="Y358" s="292"/>
      <c r="Z358" s="292"/>
      <c r="AA358" s="292"/>
      <c r="AB358" s="292"/>
      <c r="AC358" s="292"/>
      <c r="AD358" s="308"/>
      <c r="AE358" s="308"/>
      <c r="AF358" s="308"/>
      <c r="AG358" s="292"/>
      <c r="AH358" s="292"/>
      <c r="AI358" s="292"/>
      <c r="AJ358" s="309"/>
      <c r="AK358" s="293"/>
      <c r="AL358" s="294"/>
      <c r="AM358" s="294"/>
      <c r="AN358" s="292"/>
      <c r="AO358" s="292"/>
      <c r="AP358" s="295"/>
      <c r="AQ358" s="292"/>
      <c r="AR358" s="292"/>
      <c r="AS358" s="292"/>
      <c r="AT358" s="292"/>
      <c r="AU358" s="295"/>
      <c r="AV358" s="292"/>
      <c r="AW358" s="292"/>
      <c r="AX358" s="292"/>
      <c r="AY358" s="292"/>
      <c r="AZ358" s="295"/>
      <c r="BA358" s="292"/>
      <c r="BB358" s="292"/>
      <c r="BC358" s="292"/>
      <c r="BD358" s="292"/>
      <c r="BE358" s="295"/>
      <c r="BF358" s="292"/>
      <c r="BG358" s="292"/>
      <c r="BH358" s="292"/>
      <c r="BI358" s="292"/>
      <c r="BJ358" s="295"/>
      <c r="BK358" s="293"/>
      <c r="BL358" s="292"/>
      <c r="BM358" s="296"/>
    </row>
    <row r="359" spans="1:65" x14ac:dyDescent="0.25">
      <c r="A359" s="314"/>
      <c r="B359" s="314"/>
      <c r="C359" s="314"/>
      <c r="D359" s="47" t="s">
        <v>235</v>
      </c>
      <c r="E359" s="47"/>
      <c r="F359" s="19"/>
      <c r="G359" s="19"/>
      <c r="H359" s="292"/>
      <c r="I359" s="176"/>
      <c r="J359" s="176"/>
      <c r="K359" s="176"/>
      <c r="L359" s="240"/>
      <c r="M359" s="240"/>
      <c r="N359" s="240"/>
      <c r="O359" s="292"/>
      <c r="P359" s="240"/>
      <c r="Q359" s="292"/>
      <c r="R359" s="292"/>
      <c r="S359" s="292"/>
      <c r="T359" s="292"/>
      <c r="U359" s="292"/>
      <c r="V359" s="292"/>
      <c r="W359" s="292"/>
      <c r="X359" s="292"/>
      <c r="Y359" s="292"/>
      <c r="Z359" s="292"/>
      <c r="AA359" s="292"/>
      <c r="AB359" s="292"/>
      <c r="AC359" s="292"/>
      <c r="AD359" s="308"/>
      <c r="AE359" s="308"/>
      <c r="AF359" s="308"/>
      <c r="AG359" s="292"/>
      <c r="AH359" s="292"/>
      <c r="AI359" s="292"/>
      <c r="AJ359" s="309"/>
      <c r="AK359" s="293"/>
      <c r="AL359" s="294"/>
      <c r="AM359" s="294"/>
      <c r="AN359" s="292"/>
      <c r="AO359" s="292"/>
      <c r="AP359" s="295"/>
      <c r="AQ359" s="292"/>
      <c r="AR359" s="292"/>
      <c r="AS359" s="292"/>
      <c r="AT359" s="292"/>
      <c r="AU359" s="295"/>
      <c r="AV359" s="292"/>
      <c r="AW359" s="292"/>
      <c r="AX359" s="292"/>
      <c r="AY359" s="292"/>
      <c r="AZ359" s="295"/>
      <c r="BA359" s="292"/>
      <c r="BB359" s="292"/>
      <c r="BC359" s="292"/>
      <c r="BD359" s="292"/>
      <c r="BE359" s="295"/>
      <c r="BF359" s="292"/>
      <c r="BG359" s="292"/>
      <c r="BH359" s="292"/>
      <c r="BI359" s="292"/>
      <c r="BJ359" s="295"/>
      <c r="BK359" s="293"/>
      <c r="BL359" s="292"/>
      <c r="BM359" s="296"/>
    </row>
    <row r="360" spans="1:65" x14ac:dyDescent="0.25">
      <c r="A360" s="314"/>
      <c r="B360" s="314"/>
      <c r="C360" s="314"/>
      <c r="D360" s="47"/>
      <c r="E360" s="47"/>
      <c r="F360" s="19"/>
      <c r="G360" s="19"/>
      <c r="H360" s="292"/>
      <c r="I360" s="176"/>
      <c r="J360" s="176"/>
      <c r="K360" s="176"/>
      <c r="L360" s="240"/>
      <c r="M360" s="240"/>
      <c r="N360" s="240"/>
      <c r="O360" s="292"/>
      <c r="P360" s="240"/>
      <c r="Q360" s="292"/>
      <c r="R360" s="292"/>
      <c r="S360" s="292"/>
      <c r="T360" s="292"/>
      <c r="U360" s="292"/>
      <c r="V360" s="292"/>
      <c r="W360" s="292"/>
      <c r="X360" s="292"/>
      <c r="Y360" s="292"/>
      <c r="Z360" s="292"/>
      <c r="AA360" s="292"/>
      <c r="AB360" s="292"/>
      <c r="AC360" s="292"/>
      <c r="AD360" s="308"/>
      <c r="AE360" s="308"/>
      <c r="AF360" s="308"/>
      <c r="AG360" s="292"/>
      <c r="AH360" s="292"/>
      <c r="AI360" s="292"/>
      <c r="AJ360" s="309"/>
      <c r="AK360" s="293"/>
      <c r="AL360" s="294"/>
      <c r="AM360" s="294"/>
      <c r="AN360" s="292"/>
      <c r="AO360" s="292"/>
      <c r="AP360" s="295"/>
      <c r="AQ360" s="292"/>
      <c r="AR360" s="292"/>
      <c r="AS360" s="292"/>
      <c r="AT360" s="292"/>
      <c r="AU360" s="295"/>
      <c r="AV360" s="292"/>
      <c r="AW360" s="292"/>
      <c r="AX360" s="292"/>
      <c r="AY360" s="292"/>
      <c r="AZ360" s="295"/>
      <c r="BA360" s="292"/>
      <c r="BB360" s="292"/>
      <c r="BC360" s="292"/>
      <c r="BD360" s="292"/>
      <c r="BE360" s="295"/>
      <c r="BF360" s="292"/>
      <c r="BG360" s="292"/>
      <c r="BH360" s="292"/>
      <c r="BI360" s="292"/>
      <c r="BJ360" s="295"/>
      <c r="BK360" s="293"/>
      <c r="BL360" s="292"/>
      <c r="BM360" s="296"/>
    </row>
    <row r="361" spans="1:65" x14ac:dyDescent="0.25">
      <c r="A361" s="314"/>
      <c r="B361" s="314"/>
      <c r="C361" s="314"/>
      <c r="D361" s="300"/>
      <c r="E361" s="47"/>
      <c r="F361" s="19"/>
      <c r="G361" s="19"/>
      <c r="H361" s="292"/>
      <c r="I361" s="176"/>
      <c r="J361" s="176"/>
      <c r="K361" s="176"/>
      <c r="L361" s="240"/>
      <c r="M361" s="240"/>
      <c r="N361" s="240"/>
      <c r="O361" s="292"/>
      <c r="P361" s="240"/>
      <c r="Q361" s="292"/>
      <c r="R361" s="292"/>
      <c r="S361" s="292"/>
      <c r="T361" s="292"/>
      <c r="U361" s="292"/>
      <c r="V361" s="292"/>
      <c r="W361" s="292"/>
      <c r="X361" s="292"/>
      <c r="Y361" s="292"/>
      <c r="Z361" s="292"/>
      <c r="AA361" s="292"/>
      <c r="AB361" s="292"/>
      <c r="AC361" s="292"/>
      <c r="AD361" s="308"/>
      <c r="AE361" s="308"/>
      <c r="AF361" s="308"/>
      <c r="AG361" s="292"/>
      <c r="AH361" s="292"/>
      <c r="AI361" s="292"/>
      <c r="AJ361" s="309"/>
      <c r="AK361" s="293"/>
      <c r="AL361" s="294"/>
      <c r="AM361" s="294"/>
      <c r="AN361" s="292"/>
      <c r="AO361" s="292"/>
      <c r="AP361" s="295"/>
      <c r="AQ361" s="292"/>
      <c r="AR361" s="292"/>
      <c r="AS361" s="292"/>
      <c r="AT361" s="292"/>
      <c r="AU361" s="295"/>
      <c r="AV361" s="292"/>
      <c r="AW361" s="292"/>
      <c r="AX361" s="292"/>
      <c r="AY361" s="292"/>
      <c r="AZ361" s="295"/>
      <c r="BA361" s="292"/>
      <c r="BB361" s="292"/>
      <c r="BC361" s="292"/>
      <c r="BD361" s="292"/>
      <c r="BE361" s="295"/>
      <c r="BF361" s="292"/>
      <c r="BG361" s="292"/>
      <c r="BH361" s="292"/>
      <c r="BI361" s="292"/>
      <c r="BJ361" s="295"/>
      <c r="BK361" s="293"/>
      <c r="BL361" s="292"/>
      <c r="BM361" s="296"/>
    </row>
    <row r="362" spans="1:65" x14ac:dyDescent="0.25">
      <c r="A362" s="314"/>
      <c r="B362" s="314"/>
      <c r="C362" s="314"/>
      <c r="D362" s="19"/>
      <c r="E362" s="47"/>
      <c r="F362" s="19"/>
      <c r="G362" s="19"/>
      <c r="H362" s="292"/>
      <c r="I362" s="176"/>
      <c r="J362" s="176"/>
      <c r="K362" s="176"/>
      <c r="L362" s="240"/>
      <c r="M362" s="240"/>
      <c r="N362" s="240"/>
      <c r="O362" s="292"/>
      <c r="P362" s="240"/>
      <c r="Q362" s="292"/>
      <c r="R362" s="292"/>
      <c r="S362" s="292"/>
      <c r="T362" s="292"/>
      <c r="U362" s="292"/>
      <c r="V362" s="292"/>
      <c r="W362" s="292"/>
      <c r="X362" s="292"/>
      <c r="Y362" s="292"/>
      <c r="Z362" s="292"/>
      <c r="AA362" s="292"/>
      <c r="AB362" s="292"/>
      <c r="AC362" s="292"/>
      <c r="AD362" s="308"/>
      <c r="AE362" s="308"/>
      <c r="AF362" s="308"/>
      <c r="AG362" s="292"/>
      <c r="AH362" s="292"/>
      <c r="AI362" s="292"/>
      <c r="AJ362" s="309"/>
      <c r="AK362" s="293"/>
      <c r="AL362" s="294"/>
      <c r="AM362" s="294"/>
      <c r="AN362" s="292"/>
      <c r="AO362" s="292"/>
      <c r="AP362" s="295"/>
      <c r="AQ362" s="292"/>
      <c r="AR362" s="292"/>
      <c r="AS362" s="292"/>
      <c r="AT362" s="292"/>
      <c r="AU362" s="295"/>
      <c r="AV362" s="292"/>
      <c r="AW362" s="292"/>
      <c r="AX362" s="292"/>
      <c r="AY362" s="292"/>
      <c r="AZ362" s="295"/>
      <c r="BA362" s="292"/>
      <c r="BB362" s="292"/>
      <c r="BC362" s="292"/>
      <c r="BD362" s="292"/>
      <c r="BE362" s="295"/>
      <c r="BF362" s="292"/>
      <c r="BG362" s="292"/>
      <c r="BH362" s="292"/>
      <c r="BI362" s="292"/>
      <c r="BJ362" s="295"/>
      <c r="BK362" s="293"/>
      <c r="BL362" s="292"/>
      <c r="BM362" s="296"/>
    </row>
    <row r="363" spans="1:65" x14ac:dyDescent="0.25">
      <c r="A363" s="314"/>
      <c r="B363" s="314"/>
      <c r="C363" s="314"/>
      <c r="D363" s="304"/>
      <c r="E363" s="47"/>
      <c r="F363" s="19"/>
      <c r="G363" s="19"/>
      <c r="H363" s="292"/>
      <c r="I363" s="176"/>
      <c r="J363" s="176"/>
      <c r="K363" s="176"/>
      <c r="L363" s="240"/>
      <c r="M363" s="240"/>
      <c r="N363" s="240"/>
      <c r="O363" s="292"/>
      <c r="P363" s="240"/>
      <c r="Q363" s="292"/>
      <c r="R363" s="292"/>
      <c r="S363" s="292"/>
      <c r="T363" s="292"/>
      <c r="U363" s="292"/>
      <c r="V363" s="292"/>
      <c r="W363" s="292"/>
      <c r="X363" s="292"/>
      <c r="Y363" s="292"/>
      <c r="Z363" s="292"/>
      <c r="AA363" s="292"/>
      <c r="AB363" s="292"/>
      <c r="AC363" s="292"/>
      <c r="AD363" s="308"/>
      <c r="AE363" s="308"/>
      <c r="AF363" s="308"/>
      <c r="AG363" s="292"/>
      <c r="AH363" s="292"/>
      <c r="AI363" s="292"/>
      <c r="AJ363" s="309"/>
      <c r="AK363" s="293"/>
      <c r="AL363" s="294"/>
      <c r="AM363" s="294"/>
      <c r="AN363" s="292"/>
      <c r="AO363" s="292"/>
      <c r="AP363" s="295"/>
      <c r="AQ363" s="292"/>
      <c r="AR363" s="292"/>
      <c r="AS363" s="292"/>
      <c r="AT363" s="292"/>
      <c r="AU363" s="295"/>
      <c r="AV363" s="292"/>
      <c r="AW363" s="292"/>
      <c r="AX363" s="292"/>
      <c r="AY363" s="292"/>
      <c r="AZ363" s="295"/>
      <c r="BA363" s="292"/>
      <c r="BB363" s="292"/>
      <c r="BC363" s="292"/>
      <c r="BD363" s="292"/>
      <c r="BE363" s="295"/>
      <c r="BF363" s="292"/>
      <c r="BG363" s="292"/>
      <c r="BH363" s="292"/>
      <c r="BI363" s="292"/>
      <c r="BJ363" s="295"/>
      <c r="BK363" s="293"/>
      <c r="BL363" s="292"/>
      <c r="BM363" s="296"/>
    </row>
    <row r="364" spans="1:65" x14ac:dyDescent="0.25">
      <c r="A364" s="314"/>
      <c r="B364" s="314"/>
      <c r="C364" s="314"/>
      <c r="D364" s="304"/>
      <c r="E364" s="47"/>
      <c r="F364" s="19"/>
      <c r="G364" s="19"/>
      <c r="H364" s="292"/>
      <c r="I364" s="176"/>
      <c r="J364" s="176"/>
      <c r="K364" s="176"/>
      <c r="L364" s="240"/>
      <c r="M364" s="240"/>
      <c r="N364" s="240"/>
      <c r="O364" s="292"/>
      <c r="P364" s="240"/>
      <c r="Q364" s="292"/>
      <c r="R364" s="292"/>
      <c r="S364" s="292"/>
      <c r="T364" s="292"/>
      <c r="U364" s="292"/>
      <c r="V364" s="292"/>
      <c r="W364" s="292"/>
      <c r="X364" s="292"/>
      <c r="Y364" s="292"/>
      <c r="Z364" s="292"/>
      <c r="AA364" s="292"/>
      <c r="AB364" s="292"/>
      <c r="AC364" s="292"/>
      <c r="AD364" s="308"/>
      <c r="AE364" s="308"/>
      <c r="AF364" s="308"/>
      <c r="AG364" s="292"/>
      <c r="AH364" s="292"/>
      <c r="AI364" s="292"/>
      <c r="AJ364" s="309"/>
      <c r="AK364" s="293"/>
      <c r="AL364" s="294"/>
      <c r="AM364" s="294"/>
      <c r="AN364" s="292"/>
      <c r="AO364" s="292"/>
      <c r="AP364" s="295"/>
      <c r="AQ364" s="292"/>
      <c r="AR364" s="292"/>
      <c r="AS364" s="292"/>
      <c r="AT364" s="292"/>
      <c r="AU364" s="295"/>
      <c r="AV364" s="292"/>
      <c r="AW364" s="292"/>
      <c r="AX364" s="292"/>
      <c r="AY364" s="292"/>
      <c r="AZ364" s="295"/>
      <c r="BA364" s="292"/>
      <c r="BB364" s="292"/>
      <c r="BC364" s="292"/>
      <c r="BD364" s="292"/>
      <c r="BE364" s="295"/>
      <c r="BF364" s="292"/>
      <c r="BG364" s="292"/>
      <c r="BH364" s="292"/>
      <c r="BI364" s="292"/>
      <c r="BJ364" s="295"/>
      <c r="BK364" s="293"/>
      <c r="BL364" s="292"/>
      <c r="BM364" s="296"/>
    </row>
    <row r="365" spans="1:65" x14ac:dyDescent="0.25">
      <c r="A365" s="314"/>
      <c r="B365" s="314"/>
      <c r="C365" s="314"/>
      <c r="D365" s="304"/>
      <c r="E365" s="47"/>
      <c r="F365" s="19"/>
      <c r="G365" s="19"/>
      <c r="H365" s="292"/>
      <c r="I365" s="176"/>
      <c r="J365" s="176"/>
      <c r="K365" s="176"/>
      <c r="L365" s="240"/>
      <c r="M365" s="240"/>
      <c r="N365" s="240"/>
      <c r="O365" s="292"/>
      <c r="P365" s="240"/>
      <c r="Q365" s="292"/>
      <c r="R365" s="292"/>
      <c r="S365" s="292"/>
      <c r="T365" s="292"/>
      <c r="U365" s="292"/>
      <c r="V365" s="292"/>
      <c r="W365" s="292"/>
      <c r="X365" s="292"/>
      <c r="Y365" s="292"/>
      <c r="Z365" s="292"/>
      <c r="AA365" s="292"/>
      <c r="AB365" s="292"/>
      <c r="AC365" s="292"/>
      <c r="AD365" s="308"/>
      <c r="AE365" s="308"/>
      <c r="AF365" s="308"/>
      <c r="AG365" s="292"/>
      <c r="AH365" s="292"/>
      <c r="AI365" s="292"/>
      <c r="AJ365" s="309"/>
      <c r="AK365" s="293"/>
      <c r="AL365" s="294"/>
      <c r="AM365" s="294"/>
      <c r="AN365" s="292"/>
      <c r="AO365" s="292"/>
      <c r="AP365" s="295"/>
      <c r="AQ365" s="292"/>
      <c r="AR365" s="292"/>
      <c r="AS365" s="292"/>
      <c r="AT365" s="292"/>
      <c r="AU365" s="295"/>
      <c r="AV365" s="292"/>
      <c r="AW365" s="292"/>
      <c r="AX365" s="292"/>
      <c r="AY365" s="292"/>
      <c r="AZ365" s="295"/>
      <c r="BA365" s="292"/>
      <c r="BB365" s="292"/>
      <c r="BC365" s="292"/>
      <c r="BD365" s="292"/>
      <c r="BE365" s="295"/>
      <c r="BF365" s="292"/>
      <c r="BG365" s="292"/>
      <c r="BH365" s="292"/>
      <c r="BI365" s="292"/>
      <c r="BJ365" s="295"/>
      <c r="BK365" s="293"/>
      <c r="BL365" s="292"/>
      <c r="BM365" s="296"/>
    </row>
    <row r="366" spans="1:65" x14ac:dyDescent="0.25">
      <c r="A366" s="314"/>
      <c r="B366" s="314"/>
      <c r="C366" s="314"/>
      <c r="D366" s="304"/>
      <c r="E366" s="47"/>
      <c r="F366" s="19"/>
      <c r="G366" s="19"/>
      <c r="H366" s="292"/>
      <c r="I366" s="176"/>
      <c r="J366" s="176"/>
      <c r="K366" s="176"/>
      <c r="L366" s="240"/>
      <c r="M366" s="240"/>
      <c r="N366" s="240"/>
      <c r="O366" s="292"/>
      <c r="P366" s="240"/>
      <c r="Q366" s="292"/>
      <c r="R366" s="292"/>
      <c r="S366" s="292"/>
      <c r="T366" s="292"/>
      <c r="U366" s="292"/>
      <c r="V366" s="292"/>
      <c r="W366" s="292"/>
      <c r="X366" s="292"/>
      <c r="Y366" s="292"/>
      <c r="Z366" s="292"/>
      <c r="AA366" s="292"/>
      <c r="AB366" s="292"/>
      <c r="AC366" s="292"/>
      <c r="AD366" s="308"/>
      <c r="AE366" s="308"/>
      <c r="AF366" s="308"/>
      <c r="AG366" s="292"/>
      <c r="AH366" s="292"/>
      <c r="AI366" s="292"/>
      <c r="AJ366" s="309"/>
      <c r="AK366" s="293"/>
      <c r="AL366" s="294"/>
      <c r="AM366" s="294"/>
      <c r="AN366" s="292"/>
      <c r="AO366" s="292"/>
      <c r="AP366" s="295"/>
      <c r="AQ366" s="292"/>
      <c r="AR366" s="292"/>
      <c r="AS366" s="292"/>
      <c r="AT366" s="292"/>
      <c r="AU366" s="295"/>
      <c r="AV366" s="292"/>
      <c r="AW366" s="292"/>
      <c r="AX366" s="292"/>
      <c r="AY366" s="292"/>
      <c r="AZ366" s="295"/>
      <c r="BA366" s="292"/>
      <c r="BB366" s="292"/>
      <c r="BC366" s="292"/>
      <c r="BD366" s="292"/>
      <c r="BE366" s="295"/>
      <c r="BF366" s="292"/>
      <c r="BG366" s="292"/>
      <c r="BH366" s="292"/>
      <c r="BI366" s="292"/>
      <c r="BJ366" s="295"/>
      <c r="BK366" s="293"/>
      <c r="BL366" s="292"/>
      <c r="BM366" s="296"/>
    </row>
    <row r="367" spans="1:65" x14ac:dyDescent="0.25">
      <c r="A367" s="314"/>
      <c r="B367" s="314"/>
      <c r="C367" s="314"/>
      <c r="D367" s="304"/>
      <c r="E367" s="47"/>
      <c r="F367" s="19"/>
      <c r="G367" s="19"/>
      <c r="H367" s="292"/>
      <c r="I367" s="176"/>
      <c r="J367" s="176"/>
      <c r="K367" s="176"/>
      <c r="L367" s="240"/>
      <c r="M367" s="240"/>
      <c r="N367" s="240"/>
      <c r="O367" s="292"/>
      <c r="P367" s="240"/>
      <c r="Q367" s="292"/>
      <c r="R367" s="292"/>
      <c r="S367" s="292"/>
      <c r="T367" s="292"/>
      <c r="U367" s="292"/>
      <c r="V367" s="292"/>
      <c r="W367" s="292"/>
      <c r="X367" s="292"/>
      <c r="Y367" s="292"/>
      <c r="Z367" s="292"/>
      <c r="AA367" s="292"/>
      <c r="AB367" s="292"/>
      <c r="AC367" s="292"/>
      <c r="AD367" s="308"/>
      <c r="AE367" s="308"/>
      <c r="AF367" s="308"/>
      <c r="AG367" s="292"/>
      <c r="AH367" s="292"/>
      <c r="AI367" s="292"/>
      <c r="AJ367" s="309"/>
      <c r="AK367" s="293"/>
      <c r="AL367" s="294"/>
      <c r="AM367" s="294"/>
      <c r="AN367" s="292"/>
      <c r="AO367" s="292"/>
      <c r="AP367" s="295"/>
      <c r="AQ367" s="292"/>
      <c r="AR367" s="292"/>
      <c r="AS367" s="292"/>
      <c r="AT367" s="292"/>
      <c r="AU367" s="295"/>
      <c r="AV367" s="292"/>
      <c r="AW367" s="292"/>
      <c r="AX367" s="292"/>
      <c r="AY367" s="292"/>
      <c r="AZ367" s="295"/>
      <c r="BA367" s="292"/>
      <c r="BB367" s="292"/>
      <c r="BC367" s="292"/>
      <c r="BD367" s="292"/>
      <c r="BE367" s="295"/>
      <c r="BF367" s="292"/>
      <c r="BG367" s="292"/>
      <c r="BH367" s="292"/>
      <c r="BI367" s="292"/>
      <c r="BJ367" s="295"/>
      <c r="BK367" s="293"/>
      <c r="BL367" s="292"/>
      <c r="BM367" s="296"/>
    </row>
    <row r="368" spans="1:65" x14ac:dyDescent="0.25">
      <c r="A368" s="314"/>
      <c r="B368" s="314"/>
      <c r="C368" s="314"/>
      <c r="D368" s="304"/>
      <c r="E368" s="47"/>
      <c r="F368" s="19"/>
      <c r="G368" s="19"/>
      <c r="H368" s="292"/>
      <c r="I368" s="176"/>
      <c r="J368" s="176"/>
      <c r="K368" s="176"/>
      <c r="L368" s="240"/>
      <c r="M368" s="240"/>
      <c r="N368" s="240"/>
      <c r="O368" s="292"/>
      <c r="P368" s="240"/>
      <c r="Q368" s="292"/>
      <c r="R368" s="292"/>
      <c r="S368" s="292"/>
      <c r="T368" s="292"/>
      <c r="U368" s="292"/>
      <c r="V368" s="292"/>
      <c r="W368" s="292"/>
      <c r="X368" s="292"/>
      <c r="Y368" s="292"/>
      <c r="Z368" s="292"/>
      <c r="AA368" s="292"/>
      <c r="AB368" s="292"/>
      <c r="AC368" s="292"/>
      <c r="AD368" s="308"/>
      <c r="AE368" s="308"/>
      <c r="AF368" s="308"/>
      <c r="AG368" s="292"/>
      <c r="AH368" s="292"/>
      <c r="AI368" s="292"/>
      <c r="AJ368" s="309"/>
      <c r="AK368" s="293"/>
      <c r="AL368" s="294"/>
      <c r="AM368" s="294"/>
      <c r="AN368" s="292"/>
      <c r="AO368" s="292"/>
      <c r="AP368" s="295"/>
      <c r="AQ368" s="292"/>
      <c r="AR368" s="292"/>
      <c r="AS368" s="292"/>
      <c r="AT368" s="292"/>
      <c r="AU368" s="295"/>
      <c r="AV368" s="292"/>
      <c r="AW368" s="292"/>
      <c r="AX368" s="292"/>
      <c r="AY368" s="292"/>
      <c r="AZ368" s="295"/>
      <c r="BA368" s="292"/>
      <c r="BB368" s="292"/>
      <c r="BC368" s="292"/>
      <c r="BD368" s="292"/>
      <c r="BE368" s="295"/>
      <c r="BF368" s="292"/>
      <c r="BG368" s="292"/>
      <c r="BH368" s="292"/>
      <c r="BI368" s="292"/>
      <c r="BJ368" s="295"/>
      <c r="BK368" s="293"/>
      <c r="BL368" s="292"/>
      <c r="BM368" s="296"/>
    </row>
    <row r="369" spans="1:65" x14ac:dyDescent="0.25">
      <c r="A369" s="314"/>
      <c r="B369" s="314"/>
      <c r="C369" s="314"/>
      <c r="D369" s="304"/>
      <c r="E369" s="47"/>
      <c r="F369" s="19"/>
      <c r="G369" s="19"/>
      <c r="H369" s="292"/>
      <c r="I369" s="176"/>
      <c r="J369" s="176"/>
      <c r="K369" s="176"/>
      <c r="L369" s="240"/>
      <c r="M369" s="240"/>
      <c r="N369" s="240"/>
      <c r="O369" s="292"/>
      <c r="P369" s="240"/>
      <c r="Q369" s="292"/>
      <c r="R369" s="292"/>
      <c r="S369" s="292"/>
      <c r="T369" s="292"/>
      <c r="U369" s="292"/>
      <c r="V369" s="292"/>
      <c r="W369" s="292"/>
      <c r="X369" s="292"/>
      <c r="Y369" s="292"/>
      <c r="Z369" s="292"/>
      <c r="AA369" s="292"/>
      <c r="AB369" s="292"/>
      <c r="AC369" s="292"/>
      <c r="AD369" s="308"/>
      <c r="AE369" s="308"/>
      <c r="AF369" s="308"/>
      <c r="AG369" s="292"/>
      <c r="AH369" s="292"/>
      <c r="AI369" s="292"/>
      <c r="AJ369" s="309"/>
      <c r="AK369" s="293"/>
      <c r="AL369" s="294"/>
      <c r="AM369" s="294"/>
      <c r="AN369" s="292"/>
      <c r="AO369" s="292"/>
      <c r="AP369" s="295"/>
      <c r="AQ369" s="292"/>
      <c r="AR369" s="292"/>
      <c r="AS369" s="292"/>
      <c r="AT369" s="292"/>
      <c r="AU369" s="295"/>
      <c r="AV369" s="292"/>
      <c r="AW369" s="292"/>
      <c r="AX369" s="292"/>
      <c r="AY369" s="292"/>
      <c r="AZ369" s="295"/>
      <c r="BA369" s="292"/>
      <c r="BB369" s="292"/>
      <c r="BC369" s="292"/>
      <c r="BD369" s="292"/>
      <c r="BE369" s="295"/>
      <c r="BF369" s="292"/>
      <c r="BG369" s="292"/>
      <c r="BH369" s="292"/>
      <c r="BI369" s="292"/>
      <c r="BJ369" s="295"/>
      <c r="BK369" s="293"/>
      <c r="BL369" s="292"/>
      <c r="BM369" s="296"/>
    </row>
    <row r="370" spans="1:65" x14ac:dyDescent="0.25">
      <c r="A370" s="314"/>
      <c r="B370" s="314"/>
      <c r="C370" s="314"/>
      <c r="D370" s="304"/>
      <c r="E370" s="47"/>
      <c r="F370" s="19"/>
      <c r="G370" s="19"/>
      <c r="H370" s="292"/>
      <c r="I370" s="176"/>
      <c r="J370" s="176"/>
      <c r="K370" s="176"/>
      <c r="L370" s="240"/>
      <c r="M370" s="240"/>
      <c r="N370" s="240"/>
      <c r="O370" s="292"/>
      <c r="P370" s="240"/>
      <c r="Q370" s="292"/>
      <c r="R370" s="292"/>
      <c r="S370" s="292"/>
      <c r="T370" s="292"/>
      <c r="U370" s="292"/>
      <c r="V370" s="292"/>
      <c r="W370" s="292"/>
      <c r="X370" s="292"/>
      <c r="Y370" s="292"/>
      <c r="Z370" s="292"/>
      <c r="AA370" s="292"/>
      <c r="AB370" s="292"/>
      <c r="AC370" s="292"/>
      <c r="AD370" s="308"/>
      <c r="AE370" s="308"/>
      <c r="AF370" s="308"/>
      <c r="AG370" s="292"/>
      <c r="AH370" s="292"/>
      <c r="AI370" s="292"/>
      <c r="AJ370" s="309"/>
      <c r="AK370" s="293"/>
      <c r="AL370" s="294"/>
      <c r="AM370" s="294"/>
      <c r="AN370" s="292"/>
      <c r="AO370" s="292"/>
      <c r="AP370" s="295"/>
      <c r="AQ370" s="292"/>
      <c r="AR370" s="292"/>
      <c r="AS370" s="292"/>
      <c r="AT370" s="292"/>
      <c r="AU370" s="295"/>
      <c r="AV370" s="292"/>
      <c r="AW370" s="292"/>
      <c r="AX370" s="292"/>
      <c r="AY370" s="292"/>
      <c r="AZ370" s="295"/>
      <c r="BA370" s="292"/>
      <c r="BB370" s="292"/>
      <c r="BC370" s="292"/>
      <c r="BD370" s="292"/>
      <c r="BE370" s="295"/>
      <c r="BF370" s="292"/>
      <c r="BG370" s="292"/>
      <c r="BH370" s="292"/>
      <c r="BI370" s="292"/>
      <c r="BJ370" s="295"/>
      <c r="BK370" s="293"/>
      <c r="BL370" s="292"/>
      <c r="BM370" s="296"/>
    </row>
    <row r="371" spans="1:65" x14ac:dyDescent="0.25">
      <c r="A371" s="314"/>
      <c r="B371" s="314"/>
      <c r="C371" s="314"/>
      <c r="D371" s="304"/>
      <c r="E371" s="47"/>
      <c r="F371" s="19"/>
      <c r="G371" s="19"/>
      <c r="H371" s="292"/>
      <c r="I371" s="176"/>
      <c r="J371" s="176"/>
      <c r="K371" s="176"/>
      <c r="L371" s="240"/>
      <c r="M371" s="240"/>
      <c r="N371" s="240"/>
      <c r="O371" s="292"/>
      <c r="P371" s="240"/>
      <c r="Q371" s="292"/>
      <c r="R371" s="292"/>
      <c r="S371" s="292"/>
      <c r="T371" s="292"/>
      <c r="U371" s="292"/>
      <c r="V371" s="292"/>
      <c r="W371" s="292"/>
      <c r="X371" s="292"/>
      <c r="Y371" s="292"/>
      <c r="Z371" s="292"/>
      <c r="AA371" s="292"/>
      <c r="AB371" s="292"/>
      <c r="AC371" s="292"/>
      <c r="AD371" s="308"/>
      <c r="AE371" s="308"/>
      <c r="AF371" s="308"/>
      <c r="AG371" s="292"/>
      <c r="AH371" s="292"/>
      <c r="AI371" s="292"/>
      <c r="AJ371" s="309"/>
      <c r="AK371" s="293"/>
      <c r="AL371" s="294"/>
      <c r="AM371" s="294"/>
      <c r="AN371" s="292"/>
      <c r="AO371" s="292"/>
      <c r="AP371" s="295"/>
      <c r="AQ371" s="292"/>
      <c r="AR371" s="292"/>
      <c r="AS371" s="292"/>
      <c r="AT371" s="292"/>
      <c r="AU371" s="295"/>
      <c r="AV371" s="292"/>
      <c r="AW371" s="292"/>
      <c r="AX371" s="292"/>
      <c r="AY371" s="292"/>
      <c r="AZ371" s="295"/>
      <c r="BA371" s="292"/>
      <c r="BB371" s="292"/>
      <c r="BC371" s="292"/>
      <c r="BD371" s="292"/>
      <c r="BE371" s="295"/>
      <c r="BF371" s="292"/>
      <c r="BG371" s="292"/>
      <c r="BH371" s="292"/>
      <c r="BI371" s="292"/>
      <c r="BJ371" s="295"/>
      <c r="BK371" s="293"/>
      <c r="BL371" s="292"/>
      <c r="BM371" s="296"/>
    </row>
    <row r="372" spans="1:65" x14ac:dyDescent="0.25">
      <c r="A372" s="314"/>
      <c r="B372" s="314"/>
      <c r="C372" s="314"/>
      <c r="D372" s="304"/>
      <c r="E372" s="47"/>
      <c r="F372" s="19"/>
      <c r="G372" s="19"/>
      <c r="H372" s="292"/>
      <c r="I372" s="176"/>
      <c r="J372" s="176"/>
      <c r="K372" s="176"/>
      <c r="L372" s="240"/>
      <c r="M372" s="240"/>
      <c r="N372" s="240"/>
      <c r="O372" s="292"/>
      <c r="P372" s="240"/>
      <c r="Q372" s="292"/>
      <c r="R372" s="292"/>
      <c r="S372" s="292"/>
      <c r="T372" s="292"/>
      <c r="U372" s="292"/>
      <c r="V372" s="292"/>
      <c r="W372" s="292"/>
      <c r="X372" s="292"/>
      <c r="Y372" s="292"/>
      <c r="Z372" s="292"/>
      <c r="AA372" s="292"/>
      <c r="AB372" s="292"/>
      <c r="AC372" s="292"/>
      <c r="AD372" s="308"/>
      <c r="AE372" s="308"/>
      <c r="AF372" s="308"/>
      <c r="AG372" s="292"/>
      <c r="AH372" s="292"/>
      <c r="AI372" s="292"/>
      <c r="AJ372" s="309"/>
      <c r="AK372" s="293"/>
      <c r="AL372" s="294"/>
      <c r="AM372" s="294"/>
      <c r="AN372" s="292"/>
      <c r="AO372" s="292"/>
      <c r="AP372" s="295"/>
      <c r="AQ372" s="292"/>
      <c r="AR372" s="292"/>
      <c r="AS372" s="292"/>
      <c r="AT372" s="292"/>
      <c r="AU372" s="295"/>
      <c r="AV372" s="292"/>
      <c r="AW372" s="292"/>
      <c r="AX372" s="292"/>
      <c r="AY372" s="292"/>
      <c r="AZ372" s="295"/>
      <c r="BA372" s="292"/>
      <c r="BB372" s="292"/>
      <c r="BC372" s="292"/>
      <c r="BD372" s="292"/>
      <c r="BE372" s="295"/>
      <c r="BF372" s="292"/>
      <c r="BG372" s="292"/>
      <c r="BH372" s="292"/>
      <c r="BI372" s="292"/>
      <c r="BJ372" s="295"/>
      <c r="BK372" s="293"/>
      <c r="BL372" s="292"/>
      <c r="BM372" s="296"/>
    </row>
    <row r="373" spans="1:65" x14ac:dyDescent="0.25">
      <c r="A373" s="314"/>
      <c r="B373" s="314"/>
      <c r="C373" s="314"/>
      <c r="D373" s="304"/>
      <c r="E373" s="47"/>
      <c r="F373" s="19"/>
      <c r="G373" s="19"/>
      <c r="H373" s="292"/>
      <c r="I373" s="176"/>
      <c r="J373" s="176"/>
      <c r="K373" s="176"/>
      <c r="L373" s="240"/>
      <c r="M373" s="240"/>
      <c r="N373" s="240"/>
      <c r="O373" s="292"/>
      <c r="P373" s="240"/>
      <c r="Q373" s="292"/>
      <c r="R373" s="292"/>
      <c r="S373" s="292"/>
      <c r="T373" s="292"/>
      <c r="U373" s="292"/>
      <c r="V373" s="292"/>
      <c r="W373" s="292"/>
      <c r="X373" s="292"/>
      <c r="Y373" s="292"/>
      <c r="Z373" s="292"/>
      <c r="AA373" s="292"/>
      <c r="AB373" s="292"/>
      <c r="AC373" s="292"/>
      <c r="AD373" s="308"/>
      <c r="AE373" s="308"/>
      <c r="AF373" s="308"/>
      <c r="AG373" s="292"/>
      <c r="AH373" s="292"/>
      <c r="AI373" s="292"/>
      <c r="AJ373" s="309"/>
      <c r="AK373" s="293"/>
      <c r="AL373" s="294"/>
      <c r="AM373" s="294"/>
      <c r="AN373" s="292"/>
      <c r="AO373" s="292"/>
      <c r="AP373" s="295"/>
      <c r="AQ373" s="292"/>
      <c r="AR373" s="292"/>
      <c r="AS373" s="292"/>
      <c r="AT373" s="292"/>
      <c r="AU373" s="295"/>
      <c r="AV373" s="292"/>
      <c r="AW373" s="292"/>
      <c r="AX373" s="292"/>
      <c r="AY373" s="292"/>
      <c r="AZ373" s="295"/>
      <c r="BA373" s="292"/>
      <c r="BB373" s="292"/>
      <c r="BC373" s="292"/>
      <c r="BD373" s="292"/>
      <c r="BE373" s="295"/>
      <c r="BF373" s="292"/>
      <c r="BG373" s="292"/>
      <c r="BH373" s="292"/>
      <c r="BI373" s="292"/>
      <c r="BJ373" s="295"/>
      <c r="BK373" s="293"/>
      <c r="BL373" s="292"/>
      <c r="BM373" s="296"/>
    </row>
    <row r="374" spans="1:65" x14ac:dyDescent="0.25">
      <c r="A374" s="314"/>
      <c r="B374" s="314"/>
      <c r="C374" s="314"/>
      <c r="D374" s="304"/>
      <c r="E374" s="47"/>
      <c r="F374" s="19"/>
      <c r="G374" s="19"/>
      <c r="H374" s="292"/>
      <c r="I374" s="176"/>
      <c r="J374" s="176"/>
      <c r="K374" s="176"/>
      <c r="L374" s="240"/>
      <c r="M374" s="240"/>
      <c r="N374" s="240"/>
      <c r="O374" s="292"/>
      <c r="P374" s="240"/>
      <c r="Q374" s="292"/>
      <c r="R374" s="292"/>
      <c r="S374" s="292"/>
      <c r="T374" s="292"/>
      <c r="U374" s="292"/>
      <c r="V374" s="292"/>
      <c r="W374" s="292"/>
      <c r="X374" s="292"/>
      <c r="Y374" s="292"/>
      <c r="Z374" s="292"/>
      <c r="AA374" s="292"/>
      <c r="AB374" s="292"/>
      <c r="AC374" s="292"/>
      <c r="AD374" s="308"/>
      <c r="AE374" s="308"/>
      <c r="AF374" s="308"/>
      <c r="AG374" s="292"/>
      <c r="AH374" s="292"/>
      <c r="AI374" s="292"/>
      <c r="AJ374" s="309"/>
      <c r="AK374" s="293"/>
      <c r="AL374" s="294"/>
      <c r="AM374" s="294"/>
      <c r="AN374" s="292"/>
      <c r="AO374" s="292"/>
      <c r="AP374" s="295"/>
      <c r="AQ374" s="292"/>
      <c r="AR374" s="292"/>
      <c r="AS374" s="292"/>
      <c r="AT374" s="292"/>
      <c r="AU374" s="295"/>
      <c r="AV374" s="292"/>
      <c r="AW374" s="292"/>
      <c r="AX374" s="292"/>
      <c r="AY374" s="292"/>
      <c r="AZ374" s="295"/>
      <c r="BA374" s="292"/>
      <c r="BB374" s="292"/>
      <c r="BC374" s="292"/>
      <c r="BD374" s="292"/>
      <c r="BE374" s="295"/>
      <c r="BF374" s="292"/>
      <c r="BG374" s="292"/>
      <c r="BH374" s="292"/>
      <c r="BI374" s="292"/>
      <c r="BJ374" s="295"/>
      <c r="BK374" s="293"/>
      <c r="BL374" s="292"/>
      <c r="BM374" s="296"/>
    </row>
    <row r="375" spans="1:65" x14ac:dyDescent="0.25">
      <c r="A375" s="314"/>
      <c r="B375" s="314"/>
      <c r="C375" s="314"/>
      <c r="D375" s="304"/>
      <c r="E375" s="47"/>
      <c r="F375" s="19"/>
      <c r="G375" s="19"/>
      <c r="H375" s="292"/>
      <c r="I375" s="176"/>
      <c r="J375" s="176"/>
      <c r="K375" s="176"/>
      <c r="L375" s="240"/>
      <c r="M375" s="240"/>
      <c r="N375" s="240"/>
      <c r="O375" s="292"/>
      <c r="P375" s="240"/>
      <c r="Q375" s="292"/>
      <c r="R375" s="292"/>
      <c r="S375" s="292"/>
      <c r="T375" s="292"/>
      <c r="U375" s="292"/>
      <c r="V375" s="292"/>
      <c r="W375" s="292"/>
      <c r="X375" s="292"/>
      <c r="Y375" s="292"/>
      <c r="Z375" s="292"/>
      <c r="AA375" s="292"/>
      <c r="AB375" s="292"/>
      <c r="AC375" s="292"/>
      <c r="AD375" s="308"/>
      <c r="AE375" s="308"/>
      <c r="AF375" s="308"/>
      <c r="AG375" s="292"/>
      <c r="AH375" s="292"/>
      <c r="AI375" s="292"/>
      <c r="AJ375" s="309"/>
      <c r="AK375" s="293"/>
      <c r="AL375" s="294"/>
      <c r="AM375" s="294"/>
      <c r="AN375" s="292"/>
      <c r="AO375" s="292"/>
      <c r="AP375" s="295"/>
      <c r="AQ375" s="292"/>
      <c r="AR375" s="292"/>
      <c r="AS375" s="292"/>
      <c r="AT375" s="292"/>
      <c r="AU375" s="295"/>
      <c r="AV375" s="292"/>
      <c r="AW375" s="292"/>
      <c r="AX375" s="292"/>
      <c r="AY375" s="292"/>
      <c r="AZ375" s="295"/>
      <c r="BA375" s="292"/>
      <c r="BB375" s="292"/>
      <c r="BC375" s="292"/>
      <c r="BD375" s="292"/>
      <c r="BE375" s="295"/>
      <c r="BF375" s="292"/>
      <c r="BG375" s="292"/>
      <c r="BH375" s="292"/>
      <c r="BI375" s="292"/>
      <c r="BJ375" s="295"/>
      <c r="BK375" s="293"/>
      <c r="BL375" s="292"/>
      <c r="BM375" s="296"/>
    </row>
    <row r="376" spans="1:65" x14ac:dyDescent="0.25">
      <c r="A376" s="314"/>
      <c r="B376" s="314"/>
      <c r="C376" s="314"/>
      <c r="D376" s="304"/>
      <c r="E376" s="47"/>
      <c r="F376" s="19"/>
      <c r="G376" s="19"/>
      <c r="H376" s="292"/>
      <c r="I376" s="176"/>
      <c r="J376" s="176"/>
      <c r="K376" s="176"/>
      <c r="L376" s="240"/>
      <c r="M376" s="240"/>
      <c r="N376" s="240"/>
      <c r="O376" s="292"/>
      <c r="P376" s="240"/>
      <c r="Q376" s="292"/>
      <c r="R376" s="292"/>
      <c r="S376" s="292"/>
      <c r="T376" s="292"/>
      <c r="U376" s="292"/>
      <c r="V376" s="292"/>
      <c r="W376" s="292"/>
      <c r="X376" s="292"/>
      <c r="Y376" s="292"/>
      <c r="Z376" s="292"/>
      <c r="AA376" s="292"/>
      <c r="AB376" s="292"/>
      <c r="AC376" s="292"/>
      <c r="AD376" s="308"/>
      <c r="AE376" s="308"/>
      <c r="AF376" s="308"/>
      <c r="AG376" s="292"/>
      <c r="AH376" s="292"/>
      <c r="AI376" s="292"/>
      <c r="AJ376" s="309"/>
      <c r="AK376" s="293"/>
      <c r="AL376" s="294"/>
      <c r="AM376" s="294"/>
      <c r="AN376" s="292"/>
      <c r="AO376" s="292"/>
      <c r="AP376" s="295"/>
      <c r="AQ376" s="292"/>
      <c r="AR376" s="292"/>
      <c r="AS376" s="292"/>
      <c r="AT376" s="292"/>
      <c r="AU376" s="295"/>
      <c r="AV376" s="292"/>
      <c r="AW376" s="292"/>
      <c r="AX376" s="292"/>
      <c r="AY376" s="292"/>
      <c r="AZ376" s="295"/>
      <c r="BA376" s="292"/>
      <c r="BB376" s="292"/>
      <c r="BC376" s="292"/>
      <c r="BD376" s="292"/>
      <c r="BE376" s="295"/>
      <c r="BF376" s="292"/>
      <c r="BG376" s="292"/>
      <c r="BH376" s="292"/>
      <c r="BI376" s="292"/>
      <c r="BJ376" s="295"/>
      <c r="BK376" s="293"/>
      <c r="BL376" s="292"/>
      <c r="BM376" s="296"/>
    </row>
    <row r="377" spans="1:65" x14ac:dyDescent="0.25">
      <c r="A377" s="314"/>
      <c r="B377" s="314"/>
      <c r="C377" s="314"/>
      <c r="D377" s="305"/>
      <c r="E377" s="47"/>
      <c r="F377" s="19"/>
      <c r="G377" s="19"/>
      <c r="H377" s="292"/>
      <c r="I377" s="176"/>
      <c r="J377" s="292"/>
      <c r="K377" s="292"/>
      <c r="L377" s="240"/>
      <c r="M377" s="240"/>
      <c r="N377" s="240"/>
      <c r="O377" s="292"/>
      <c r="P377" s="240"/>
      <c r="Q377" s="292"/>
      <c r="R377" s="292"/>
      <c r="S377" s="292"/>
      <c r="T377" s="292"/>
      <c r="U377" s="292"/>
      <c r="V377" s="292"/>
      <c r="W377" s="292"/>
      <c r="X377" s="292"/>
      <c r="Y377" s="292"/>
      <c r="Z377" s="292"/>
      <c r="AA377" s="292"/>
      <c r="AB377" s="292"/>
      <c r="AC377" s="292"/>
      <c r="AD377" s="308"/>
      <c r="AE377" s="308"/>
      <c r="AF377" s="308"/>
      <c r="AG377" s="292"/>
      <c r="AH377" s="292"/>
      <c r="AI377" s="292"/>
      <c r="AJ377" s="309"/>
      <c r="AK377" s="293"/>
      <c r="AL377" s="294"/>
      <c r="AM377" s="294"/>
      <c r="AN377" s="292"/>
      <c r="AO377" s="292"/>
      <c r="AP377" s="295"/>
      <c r="AQ377" s="292"/>
      <c r="AR377" s="292"/>
      <c r="AS377" s="292"/>
      <c r="AT377" s="292"/>
      <c r="AU377" s="295"/>
      <c r="AV377" s="292"/>
      <c r="AW377" s="292"/>
      <c r="AX377" s="292"/>
      <c r="AY377" s="292"/>
      <c r="AZ377" s="295"/>
      <c r="BA377" s="292"/>
      <c r="BB377" s="292"/>
      <c r="BC377" s="292"/>
      <c r="BD377" s="292"/>
      <c r="BE377" s="295"/>
      <c r="BF377" s="292"/>
      <c r="BG377" s="292"/>
      <c r="BH377" s="292"/>
      <c r="BI377" s="292"/>
      <c r="BJ377" s="295"/>
      <c r="BK377" s="293"/>
      <c r="BL377" s="292"/>
      <c r="BM377" s="296"/>
    </row>
    <row r="378" spans="1:65" x14ac:dyDescent="0.25">
      <c r="A378" s="314"/>
      <c r="B378" s="314"/>
      <c r="C378" s="314"/>
      <c r="D378" s="19" t="s">
        <v>120</v>
      </c>
      <c r="E378" s="19"/>
      <c r="F378" s="19"/>
      <c r="G378" s="19"/>
      <c r="H378" s="292"/>
      <c r="I378" s="176"/>
      <c r="J378" s="292"/>
      <c r="K378" s="292"/>
      <c r="L378" s="240"/>
      <c r="M378" s="240"/>
      <c r="N378" s="240"/>
      <c r="O378" s="292"/>
      <c r="P378" s="240"/>
      <c r="Q378" s="292"/>
      <c r="R378" s="292"/>
      <c r="S378" s="292"/>
      <c r="T378" s="292"/>
      <c r="U378" s="292"/>
      <c r="V378" s="292"/>
      <c r="W378" s="292"/>
      <c r="X378" s="292"/>
      <c r="Y378" s="292"/>
      <c r="Z378" s="292"/>
      <c r="AA378" s="292"/>
      <c r="AB378" s="292"/>
      <c r="AC378" s="292"/>
      <c r="AD378" s="308"/>
      <c r="AE378" s="308"/>
      <c r="AF378" s="308"/>
      <c r="AG378" s="292"/>
      <c r="AH378" s="292"/>
      <c r="AI378" s="292"/>
      <c r="AJ378" s="309"/>
      <c r="AK378" s="293"/>
      <c r="AL378" s="294"/>
      <c r="AM378" s="294"/>
      <c r="AN378" s="292"/>
      <c r="AO378" s="292"/>
      <c r="AP378" s="295"/>
      <c r="AQ378" s="292"/>
      <c r="AR378" s="292"/>
      <c r="AS378" s="292"/>
      <c r="AT378" s="292"/>
      <c r="AU378" s="295"/>
      <c r="AV378" s="292"/>
      <c r="AW378" s="292"/>
      <c r="AX378" s="292"/>
      <c r="AY378" s="292"/>
      <c r="AZ378" s="295"/>
      <c r="BA378" s="292"/>
      <c r="BB378" s="292"/>
      <c r="BC378" s="292"/>
      <c r="BD378" s="292"/>
      <c r="BE378" s="295"/>
      <c r="BF378" s="292"/>
      <c r="BG378" s="292"/>
      <c r="BH378" s="292"/>
      <c r="BI378" s="292"/>
      <c r="BJ378" s="295"/>
      <c r="BK378" s="293"/>
      <c r="BL378" s="292"/>
      <c r="BM378" s="296"/>
    </row>
    <row r="379" spans="1:65" x14ac:dyDescent="0.25">
      <c r="A379" s="314"/>
      <c r="B379" s="314"/>
      <c r="C379" s="314"/>
      <c r="D379" s="19" t="s">
        <v>121</v>
      </c>
      <c r="E379" s="47"/>
      <c r="F379" s="19"/>
      <c r="G379" s="19"/>
      <c r="H379" s="292"/>
      <c r="I379" s="176"/>
      <c r="J379" s="292"/>
      <c r="K379" s="292"/>
      <c r="L379" s="240"/>
      <c r="M379" s="240"/>
      <c r="N379" s="240"/>
      <c r="O379" s="292"/>
      <c r="P379" s="240"/>
      <c r="Q379" s="292"/>
      <c r="R379" s="292"/>
      <c r="S379" s="292"/>
      <c r="T379" s="292"/>
      <c r="U379" s="292"/>
      <c r="V379" s="292"/>
      <c r="W379" s="292"/>
      <c r="X379" s="292"/>
      <c r="Y379" s="292"/>
      <c r="Z379" s="292"/>
      <c r="AA379" s="292"/>
      <c r="AB379" s="292"/>
      <c r="AC379" s="292"/>
      <c r="AD379" s="308"/>
      <c r="AE379" s="308"/>
      <c r="AF379" s="308"/>
      <c r="AG379" s="292"/>
      <c r="AH379" s="292"/>
      <c r="AI379" s="292"/>
      <c r="AJ379" s="309"/>
      <c r="AK379" s="293"/>
      <c r="AL379" s="294"/>
      <c r="AM379" s="294"/>
      <c r="AN379" s="292"/>
      <c r="AO379" s="292"/>
      <c r="AP379" s="295"/>
      <c r="AQ379" s="292"/>
      <c r="AR379" s="292"/>
      <c r="AS379" s="292"/>
      <c r="AT379" s="292"/>
      <c r="AU379" s="295"/>
      <c r="AV379" s="292"/>
      <c r="AW379" s="292"/>
      <c r="AX379" s="292"/>
      <c r="AY379" s="292"/>
      <c r="AZ379" s="295"/>
      <c r="BA379" s="292"/>
      <c r="BB379" s="292"/>
      <c r="BC379" s="292"/>
      <c r="BD379" s="292"/>
      <c r="BE379" s="295"/>
      <c r="BF379" s="292"/>
      <c r="BG379" s="292"/>
      <c r="BH379" s="292"/>
      <c r="BI379" s="292"/>
      <c r="BJ379" s="295"/>
      <c r="BK379" s="293"/>
      <c r="BL379" s="292"/>
      <c r="BM379" s="296"/>
    </row>
    <row r="380" spans="1:65" x14ac:dyDescent="0.25">
      <c r="A380" s="314"/>
      <c r="B380" s="314"/>
      <c r="C380" s="314"/>
      <c r="D380" s="19"/>
      <c r="E380" s="19"/>
      <c r="F380" s="19"/>
      <c r="G380" s="19"/>
      <c r="H380" s="292"/>
      <c r="I380" s="176"/>
      <c r="J380" s="292"/>
      <c r="K380" s="292"/>
      <c r="L380" s="240"/>
      <c r="M380" s="240"/>
      <c r="N380" s="240"/>
      <c r="O380" s="292"/>
      <c r="P380" s="240"/>
      <c r="Q380" s="292"/>
      <c r="R380" s="292"/>
      <c r="S380" s="292"/>
      <c r="T380" s="292"/>
      <c r="U380" s="292"/>
      <c r="V380" s="292"/>
      <c r="W380" s="292"/>
      <c r="X380" s="292"/>
      <c r="Y380" s="292"/>
      <c r="Z380" s="292"/>
      <c r="AA380" s="292"/>
      <c r="AB380" s="292"/>
      <c r="AC380" s="292"/>
      <c r="AD380" s="308"/>
      <c r="AE380" s="308"/>
      <c r="AF380" s="308"/>
      <c r="AG380" s="292"/>
      <c r="AH380" s="292"/>
      <c r="AI380" s="292"/>
      <c r="AJ380" s="309"/>
      <c r="AK380" s="293"/>
      <c r="AL380" s="294"/>
      <c r="AM380" s="294"/>
      <c r="AN380" s="292"/>
      <c r="AO380" s="292"/>
      <c r="AP380" s="295"/>
      <c r="AQ380" s="292"/>
      <c r="AR380" s="292"/>
      <c r="AS380" s="292"/>
      <c r="AT380" s="292"/>
      <c r="AU380" s="295"/>
      <c r="AV380" s="292"/>
      <c r="AW380" s="292"/>
      <c r="AX380" s="292"/>
      <c r="AY380" s="292"/>
      <c r="AZ380" s="295"/>
      <c r="BA380" s="292"/>
      <c r="BB380" s="292"/>
      <c r="BC380" s="292"/>
      <c r="BD380" s="292"/>
      <c r="BE380" s="295"/>
      <c r="BF380" s="292"/>
      <c r="BG380" s="292"/>
      <c r="BH380" s="292"/>
      <c r="BI380" s="292"/>
      <c r="BJ380" s="295"/>
      <c r="BK380" s="293"/>
      <c r="BL380" s="292"/>
      <c r="BM380" s="296"/>
    </row>
    <row r="381" spans="1:65" x14ac:dyDescent="0.25">
      <c r="A381" s="314"/>
      <c r="B381" s="314"/>
      <c r="C381" s="314"/>
      <c r="D381" s="19" t="s">
        <v>84</v>
      </c>
      <c r="E381" s="47"/>
      <c r="F381" s="19"/>
      <c r="G381" s="19"/>
      <c r="H381" s="292"/>
      <c r="I381" s="176"/>
      <c r="J381" s="292"/>
      <c r="K381" s="292"/>
      <c r="L381" s="240"/>
      <c r="M381" s="240"/>
      <c r="N381" s="240"/>
      <c r="O381" s="292"/>
      <c r="P381" s="240"/>
      <c r="Q381" s="292"/>
      <c r="R381" s="292"/>
      <c r="S381" s="292"/>
      <c r="T381" s="292"/>
      <c r="U381" s="292"/>
      <c r="V381" s="292"/>
      <c r="W381" s="292"/>
      <c r="X381" s="292"/>
      <c r="Y381" s="292"/>
      <c r="Z381" s="292"/>
      <c r="AA381" s="292"/>
      <c r="AB381" s="292"/>
      <c r="AC381" s="292"/>
      <c r="AD381" s="308"/>
      <c r="AE381" s="308"/>
      <c r="AF381" s="308"/>
      <c r="AG381" s="292"/>
      <c r="AH381" s="292"/>
      <c r="AI381" s="292"/>
      <c r="AJ381" s="309"/>
      <c r="AK381" s="293"/>
      <c r="AL381" s="294"/>
      <c r="AM381" s="294"/>
      <c r="AN381" s="292"/>
      <c r="AO381" s="292"/>
      <c r="AP381" s="295"/>
      <c r="AQ381" s="292"/>
      <c r="AR381" s="292"/>
      <c r="AS381" s="292"/>
      <c r="AT381" s="292"/>
      <c r="AU381" s="295"/>
      <c r="AV381" s="292"/>
      <c r="AW381" s="292"/>
      <c r="AX381" s="292"/>
      <c r="AY381" s="292"/>
      <c r="AZ381" s="295"/>
      <c r="BA381" s="292"/>
      <c r="BB381" s="292"/>
      <c r="BC381" s="292"/>
      <c r="BD381" s="292"/>
      <c r="BE381" s="295"/>
      <c r="BF381" s="292"/>
      <c r="BG381" s="292"/>
      <c r="BH381" s="292"/>
      <c r="BI381" s="292"/>
      <c r="BJ381" s="295"/>
      <c r="BK381" s="293"/>
      <c r="BL381" s="292"/>
      <c r="BM381" s="296"/>
    </row>
    <row r="382" spans="1:65" x14ac:dyDescent="0.25">
      <c r="A382" s="314"/>
      <c r="B382" s="314"/>
      <c r="C382" s="314"/>
      <c r="D382" s="19" t="s">
        <v>83</v>
      </c>
      <c r="E382" s="19"/>
      <c r="F382" s="19"/>
      <c r="G382" s="19"/>
      <c r="H382" s="292"/>
      <c r="I382" s="176"/>
      <c r="J382" s="292"/>
      <c r="K382" s="292"/>
      <c r="L382" s="240"/>
      <c r="M382" s="240"/>
      <c r="N382" s="240"/>
      <c r="O382" s="292"/>
      <c r="P382" s="240"/>
      <c r="Q382" s="292"/>
      <c r="R382" s="292"/>
      <c r="S382" s="292"/>
      <c r="T382" s="292"/>
      <c r="U382" s="292"/>
      <c r="V382" s="292"/>
      <c r="W382" s="292"/>
      <c r="X382" s="292"/>
      <c r="Y382" s="292"/>
      <c r="Z382" s="292"/>
      <c r="AA382" s="292"/>
      <c r="AB382" s="292"/>
      <c r="AC382" s="292"/>
      <c r="AD382" s="308"/>
      <c r="AE382" s="308"/>
      <c r="AF382" s="308"/>
      <c r="AG382" s="292"/>
      <c r="AH382" s="292"/>
      <c r="AI382" s="292"/>
      <c r="AJ382" s="309"/>
      <c r="AK382" s="293"/>
      <c r="AL382" s="294"/>
      <c r="AM382" s="294"/>
      <c r="AN382" s="292"/>
      <c r="AO382" s="292"/>
      <c r="AP382" s="295"/>
      <c r="AQ382" s="292"/>
      <c r="AR382" s="292"/>
      <c r="AS382" s="292"/>
      <c r="AT382" s="292"/>
      <c r="AU382" s="295"/>
      <c r="AV382" s="292"/>
      <c r="AW382" s="292"/>
      <c r="AX382" s="292"/>
      <c r="AY382" s="292"/>
      <c r="AZ382" s="295"/>
      <c r="BA382" s="292"/>
      <c r="BB382" s="292"/>
      <c r="BC382" s="292"/>
      <c r="BD382" s="292"/>
      <c r="BE382" s="295"/>
      <c r="BF382" s="292"/>
      <c r="BG382" s="292"/>
      <c r="BH382" s="292"/>
      <c r="BI382" s="292"/>
      <c r="BJ382" s="295"/>
      <c r="BK382" s="293"/>
      <c r="BL382" s="292"/>
      <c r="BM382" s="296"/>
    </row>
    <row r="383" spans="1:65" x14ac:dyDescent="0.25">
      <c r="A383" s="314"/>
      <c r="B383" s="314"/>
      <c r="C383" s="314"/>
      <c r="D383" s="19" t="s">
        <v>85</v>
      </c>
      <c r="E383" s="47"/>
      <c r="F383" s="19"/>
      <c r="G383" s="19"/>
      <c r="H383" s="292"/>
      <c r="I383" s="176"/>
      <c r="J383" s="292"/>
      <c r="K383" s="292"/>
      <c r="L383" s="240"/>
      <c r="M383" s="240"/>
      <c r="N383" s="240"/>
      <c r="O383" s="292"/>
      <c r="P383" s="240"/>
      <c r="Q383" s="292"/>
      <c r="R383" s="292"/>
      <c r="S383" s="292"/>
      <c r="T383" s="292"/>
      <c r="U383" s="292"/>
      <c r="V383" s="292"/>
      <c r="W383" s="292"/>
      <c r="X383" s="292"/>
      <c r="Y383" s="292"/>
      <c r="Z383" s="292"/>
      <c r="AA383" s="292"/>
      <c r="AB383" s="292"/>
      <c r="AC383" s="292"/>
      <c r="AD383" s="308"/>
      <c r="AE383" s="308"/>
      <c r="AF383" s="308"/>
      <c r="AG383" s="292"/>
      <c r="AH383" s="292"/>
      <c r="AI383" s="292"/>
      <c r="AJ383" s="309"/>
      <c r="AK383" s="293"/>
      <c r="AL383" s="294"/>
      <c r="AM383" s="294"/>
      <c r="AN383" s="292"/>
      <c r="AO383" s="292"/>
      <c r="AP383" s="295"/>
      <c r="AQ383" s="292"/>
      <c r="AR383" s="292"/>
      <c r="AS383" s="292"/>
      <c r="AT383" s="292"/>
      <c r="AU383" s="295"/>
      <c r="AV383" s="292"/>
      <c r="AW383" s="292"/>
      <c r="AX383" s="292"/>
      <c r="AY383" s="292"/>
      <c r="AZ383" s="295"/>
      <c r="BA383" s="292"/>
      <c r="BB383" s="292"/>
      <c r="BC383" s="292"/>
      <c r="BD383" s="292"/>
      <c r="BE383" s="295"/>
      <c r="BF383" s="292"/>
      <c r="BG383" s="292"/>
      <c r="BH383" s="292"/>
      <c r="BI383" s="292"/>
      <c r="BJ383" s="295"/>
      <c r="BK383" s="293"/>
      <c r="BL383" s="292"/>
      <c r="BM383" s="296"/>
    </row>
    <row r="384" spans="1:65" x14ac:dyDescent="0.25">
      <c r="D384" s="315"/>
      <c r="E384" s="315"/>
      <c r="F384" s="315"/>
      <c r="G384" s="315"/>
      <c r="H384" s="315"/>
    </row>
  </sheetData>
  <mergeCells count="15">
    <mergeCell ref="E3:G3"/>
    <mergeCell ref="E4:G4"/>
    <mergeCell ref="AM5:AO5"/>
    <mergeCell ref="I7:AA10"/>
    <mergeCell ref="AM10:AN10"/>
    <mergeCell ref="AX17:AZ17"/>
    <mergeCell ref="BC17:BE17"/>
    <mergeCell ref="BH17:BJ17"/>
    <mergeCell ref="AH11:AJ11"/>
    <mergeCell ref="I12:N12"/>
    <mergeCell ref="AH12:AJ12"/>
    <mergeCell ref="AH13:AJ13"/>
    <mergeCell ref="AM14:AU14"/>
    <mergeCell ref="AN17:AP17"/>
    <mergeCell ref="AS17:AU17"/>
  </mergeCells>
  <dataValidations disablePrompts="1" count="6">
    <dataValidation type="list" allowBlank="1" showInputMessage="1" showErrorMessage="1" sqref="A228:A239 A241:A260" xr:uid="{841360AD-D439-4D0F-8FFF-0FF86CB0288D}">
      <formula1>$D$329:$D$353</formula1>
    </dataValidation>
    <dataValidation type="list" allowBlank="1" showInputMessage="1" showErrorMessage="1" sqref="A215:A223" xr:uid="{BEE1D860-7495-4045-AC07-93512B9A3D88}">
      <formula1>$D$355:$D$359</formula1>
    </dataValidation>
    <dataValidation type="list" allowBlank="1" showInputMessage="1" showErrorMessage="1" sqref="A17:A70" xr:uid="{8476A853-4CAF-43D9-A324-FF610E3BD259}">
      <formula1>$D$292:$D$307</formula1>
    </dataValidation>
    <dataValidation type="list" allowBlank="1" showInputMessage="1" showErrorMessage="1" sqref="AL18:AL68" xr:uid="{00763057-5C8E-4F5E-BF48-14E6C9D54EB2}">
      <formula1>$D$381:$D$383</formula1>
    </dataValidation>
    <dataValidation type="list" allowBlank="1" showInputMessage="1" showErrorMessage="1" sqref="AK11:AK13 AI18:AI48" xr:uid="{822837E4-4D75-4C10-A93E-E02000EDC607}">
      <formula1>$D$378:$D$379</formula1>
    </dataValidation>
    <dataValidation type="list" allowBlank="1" showInputMessage="1" showErrorMessage="1" sqref="A150:A209" xr:uid="{3071F84F-DCC4-4A35-A9F9-ED68D3439F15}">
      <formula1>$D$326:$D$327</formula1>
    </dataValidation>
  </dataValidations>
  <hyperlinks>
    <hyperlink ref="D153" r:id="rId1" display="Lodging (GSA rate)" xr:uid="{4DCFAD28-7F15-4642-99A7-258CCFC9354B}"/>
    <hyperlink ref="D154" r:id="rId2" location="meal" xr:uid="{D7E2D0FA-C309-4B25-825D-6B0CE89AAAA0}"/>
    <hyperlink ref="D162" r:id="rId3" location="meal" xr:uid="{A0327A27-F42A-40DF-AF0D-933755475313}"/>
    <hyperlink ref="D170" r:id="rId4" location="meal" xr:uid="{5ECD1255-4E44-4D91-9F84-010A860E30B4}"/>
    <hyperlink ref="D178" r:id="rId5" location="meal" xr:uid="{7A1118D5-ADDD-41E1-A2B9-42675B80D0AC}"/>
    <hyperlink ref="D191" r:id="rId6" xr:uid="{C003BFB9-7814-4D11-A3A9-399CE78E0668}"/>
    <hyperlink ref="D198" r:id="rId7" xr:uid="{41C18CFD-DF95-4185-B501-8B589F3382CF}"/>
    <hyperlink ref="D205" r:id="rId8" xr:uid="{624C2F05-6AB5-4DEC-B0E3-6F0B941710A8}"/>
    <hyperlink ref="D161" r:id="rId9" display="Lodging (GSA rate)" xr:uid="{54FE5162-3F02-4176-95DF-5F0BFCA98EAC}"/>
    <hyperlink ref="D169" r:id="rId10" display="Lodging (GSA rate)" xr:uid="{C7EA23D8-D566-4215-A6E9-86D9AA77C1BE}"/>
    <hyperlink ref="D177" r:id="rId11" display="Lodging (GSA rate)" xr:uid="{B261677B-9764-4E4B-99D8-C7C63321FBDB}"/>
  </hyperlinks>
  <pageMargins left="0.7" right="0.7" top="0.75" bottom="0.75" header="0.3" footer="0.3"/>
  <pageSetup orientation="portrait" r:id="rId12"/>
  <drawing r:id="rId13"/>
  <legacy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70"/>
  <sheetViews>
    <sheetView zoomScale="75" zoomScaleNormal="75" workbookViewId="0">
      <selection activeCell="P33" sqref="P33"/>
    </sheetView>
  </sheetViews>
  <sheetFormatPr defaultColWidth="9" defaultRowHeight="15" outlineLevelRow="1" x14ac:dyDescent="0.25"/>
  <cols>
    <col min="1" max="1" width="2.75" style="8" customWidth="1"/>
    <col min="2" max="2" width="4.625" style="8" customWidth="1"/>
    <col min="3" max="3" width="18.625" style="8" customWidth="1"/>
    <col min="4" max="4" width="7.75" style="8" customWidth="1"/>
    <col min="5" max="5" width="1.75" style="9" customWidth="1"/>
    <col min="6" max="6" width="11.375" style="8" customWidth="1"/>
    <col min="7" max="7" width="1.75" style="8" customWidth="1"/>
    <col min="8" max="8" width="11.375" style="8" customWidth="1"/>
    <col min="9" max="9" width="1.75" style="8" customWidth="1"/>
    <col min="10" max="10" width="11.375" style="8" customWidth="1"/>
    <col min="11" max="11" width="1.75" style="8" customWidth="1"/>
    <col min="12" max="12" width="11.375" style="8" customWidth="1"/>
    <col min="13" max="13" width="1.75" style="8" customWidth="1"/>
    <col min="14" max="14" width="11.375" style="8" customWidth="1"/>
    <col min="15" max="15" width="1.5" style="8" customWidth="1"/>
    <col min="16" max="16" width="11.375" style="8" customWidth="1"/>
    <col min="17" max="17" width="1.75" style="8" customWidth="1"/>
    <col min="18" max="18" width="3.25" style="8" customWidth="1"/>
    <col min="19" max="19" width="10.875" style="8" customWidth="1"/>
    <col min="20" max="20" width="9" style="8"/>
    <col min="21" max="21" width="1.75" style="8" customWidth="1"/>
    <col min="22" max="22" width="9" style="8" customWidth="1"/>
    <col min="23" max="23" width="2.125" style="8" customWidth="1"/>
    <col min="24" max="24" width="9" style="8"/>
    <col min="25" max="25" width="2" style="8" customWidth="1"/>
    <col min="26" max="26" width="9" style="8"/>
    <col min="27" max="27" width="2.125" style="8" customWidth="1"/>
    <col min="28" max="28" width="9" style="8"/>
    <col min="29" max="29" width="1.75" style="8" customWidth="1"/>
    <col min="30" max="30" width="9" style="8"/>
    <col min="31" max="31" width="2" style="8" customWidth="1"/>
    <col min="32" max="32" width="10.625" style="8" customWidth="1"/>
    <col min="33" max="16384" width="9" style="8"/>
  </cols>
  <sheetData>
    <row r="1" spans="1:32" ht="43.9" customHeight="1" x14ac:dyDescent="0.25"/>
    <row r="2" spans="1:32" ht="14.65" customHeight="1" x14ac:dyDescent="0.25"/>
    <row r="3" spans="1:32" ht="19.5" x14ac:dyDescent="0.25">
      <c r="A3" s="409" t="s">
        <v>115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"/>
      <c r="S3"/>
      <c r="T3"/>
      <c r="U3"/>
      <c r="V3"/>
      <c r="W3"/>
      <c r="X3"/>
      <c r="Y3"/>
      <c r="Z3"/>
      <c r="AA3"/>
    </row>
    <row r="4" spans="1:32" ht="15.75" x14ac:dyDescent="0.25">
      <c r="B4" s="38"/>
      <c r="C4" s="38"/>
      <c r="D4" s="1"/>
      <c r="E4" s="2"/>
      <c r="F4" s="2"/>
      <c r="G4" s="2"/>
      <c r="H4" s="3"/>
      <c r="I4" s="3"/>
      <c r="J4" s="10"/>
      <c r="K4" s="4"/>
      <c r="L4" s="4"/>
      <c r="M4" s="4"/>
      <c r="N4" s="4"/>
      <c r="O4" s="4"/>
      <c r="P4" s="4"/>
      <c r="Q4" s="2"/>
      <c r="R4" s="4"/>
      <c r="S4"/>
      <c r="T4"/>
      <c r="U4"/>
      <c r="V4"/>
      <c r="W4"/>
      <c r="X4"/>
      <c r="Y4"/>
      <c r="Z4"/>
      <c r="AA4"/>
    </row>
    <row r="5" spans="1:32" ht="15.75" x14ac:dyDescent="0.25">
      <c r="B5" s="7" t="s">
        <v>165</v>
      </c>
      <c r="C5" s="38"/>
      <c r="D5" s="410">
        <f>Estimation!E1</f>
        <v>0</v>
      </c>
      <c r="E5" s="410"/>
      <c r="F5" s="410"/>
      <c r="J5" s="7" t="s">
        <v>50</v>
      </c>
      <c r="K5" s="38"/>
      <c r="M5" s="411">
        <f>Estimation!E6</f>
        <v>0</v>
      </c>
      <c r="N5" s="411"/>
      <c r="O5" s="411"/>
      <c r="P5" s="411"/>
      <c r="R5" s="39"/>
      <c r="S5"/>
      <c r="T5"/>
      <c r="U5"/>
      <c r="V5"/>
      <c r="W5"/>
      <c r="X5"/>
      <c r="Y5"/>
      <c r="Z5"/>
      <c r="AA5"/>
    </row>
    <row r="6" spans="1:32" ht="15.75" x14ac:dyDescent="0.25">
      <c r="B6" s="7" t="s">
        <v>155</v>
      </c>
      <c r="C6" s="38"/>
      <c r="D6" s="410">
        <f>Estimation!E2</f>
        <v>0</v>
      </c>
      <c r="E6" s="410"/>
      <c r="F6" s="410"/>
      <c r="J6" s="7" t="s">
        <v>51</v>
      </c>
      <c r="K6" s="38"/>
      <c r="M6" s="411">
        <f>Estimation!E7</f>
        <v>0</v>
      </c>
      <c r="N6" s="411"/>
      <c r="O6" s="411"/>
      <c r="P6" s="411"/>
      <c r="R6" s="39"/>
      <c r="S6"/>
      <c r="T6"/>
      <c r="U6"/>
      <c r="V6"/>
      <c r="W6"/>
      <c r="X6"/>
      <c r="Y6"/>
      <c r="Z6"/>
      <c r="AA6"/>
    </row>
    <row r="7" spans="1:32" ht="15.75" x14ac:dyDescent="0.25">
      <c r="B7" s="38"/>
      <c r="C7" s="38"/>
      <c r="D7" s="38"/>
      <c r="E7" s="38"/>
      <c r="F7" s="38"/>
      <c r="G7" s="38"/>
      <c r="H7" s="22"/>
      <c r="I7" s="22"/>
      <c r="J7" s="38"/>
      <c r="K7" s="38"/>
      <c r="M7" s="411">
        <f>Estimation!E8</f>
        <v>0</v>
      </c>
      <c r="N7" s="411"/>
      <c r="O7" s="411"/>
      <c r="P7" s="411"/>
      <c r="R7" s="39"/>
      <c r="S7"/>
      <c r="T7"/>
      <c r="U7"/>
      <c r="V7"/>
      <c r="W7"/>
      <c r="X7"/>
      <c r="Y7"/>
      <c r="Z7"/>
      <c r="AA7"/>
    </row>
    <row r="8" spans="1:32" ht="15.75" x14ac:dyDescent="0.25">
      <c r="B8" s="38"/>
      <c r="C8" s="38"/>
      <c r="D8" s="38"/>
      <c r="E8" s="38"/>
      <c r="F8" s="38"/>
      <c r="G8" s="38"/>
      <c r="H8" s="5"/>
      <c r="I8" s="5"/>
      <c r="J8" s="39"/>
      <c r="K8" s="39"/>
      <c r="L8" s="39"/>
      <c r="M8" s="39"/>
      <c r="N8" s="39"/>
      <c r="O8" s="39"/>
      <c r="P8" s="39"/>
      <c r="R8" s="39"/>
      <c r="S8"/>
      <c r="T8"/>
      <c r="U8"/>
      <c r="V8"/>
      <c r="W8"/>
      <c r="X8"/>
      <c r="Y8"/>
      <c r="Z8"/>
      <c r="AA8"/>
    </row>
    <row r="9" spans="1:32" ht="15.6" customHeight="1" x14ac:dyDescent="0.25">
      <c r="B9" s="7" t="s">
        <v>20</v>
      </c>
      <c r="C9" s="408">
        <f>Estimation!I7</f>
        <v>0</v>
      </c>
      <c r="D9" s="408"/>
      <c r="E9" s="408"/>
      <c r="F9" s="408"/>
      <c r="G9" s="408"/>
      <c r="H9" s="408"/>
      <c r="J9" s="57" t="s">
        <v>116</v>
      </c>
      <c r="M9" s="412">
        <f>Estimation!E3</f>
        <v>0</v>
      </c>
      <c r="N9" s="412"/>
      <c r="O9" s="412"/>
      <c r="P9" s="412"/>
      <c r="S9"/>
      <c r="T9"/>
      <c r="U9"/>
      <c r="V9"/>
      <c r="W9"/>
      <c r="X9"/>
      <c r="Y9"/>
      <c r="Z9"/>
      <c r="AA9"/>
    </row>
    <row r="10" spans="1:32" ht="15.75" x14ac:dyDescent="0.25">
      <c r="C10" s="408"/>
      <c r="D10" s="408"/>
      <c r="E10" s="408"/>
      <c r="F10" s="408"/>
      <c r="G10" s="408"/>
      <c r="H10" s="408"/>
      <c r="S10"/>
      <c r="T10"/>
      <c r="U10"/>
      <c r="V10"/>
      <c r="W10"/>
      <c r="X10"/>
      <c r="Y10"/>
      <c r="Z10"/>
      <c r="AA10"/>
    </row>
    <row r="11" spans="1:32" ht="15.75" x14ac:dyDescent="0.25">
      <c r="B11" s="6"/>
      <c r="C11" s="408"/>
      <c r="D11" s="408"/>
      <c r="E11" s="408"/>
      <c r="F11" s="408"/>
      <c r="G11" s="408"/>
      <c r="H11" s="408"/>
      <c r="J11" s="64" t="s">
        <v>18</v>
      </c>
      <c r="M11" s="411">
        <f>Estimation!I12</f>
        <v>0</v>
      </c>
      <c r="N11" s="411"/>
      <c r="O11" s="411"/>
      <c r="P11" s="411"/>
      <c r="S11"/>
      <c r="T11"/>
      <c r="U11"/>
      <c r="V11"/>
      <c r="W11"/>
      <c r="X11"/>
      <c r="Y11"/>
      <c r="Z11"/>
      <c r="AA11"/>
    </row>
    <row r="12" spans="1:32" ht="15.75" x14ac:dyDescent="0.25">
      <c r="B12" s="6"/>
      <c r="C12" s="408"/>
      <c r="D12" s="408"/>
      <c r="E12" s="408"/>
      <c r="F12" s="408"/>
      <c r="G12" s="408"/>
      <c r="H12" s="408"/>
      <c r="S12"/>
      <c r="T12"/>
      <c r="U12"/>
      <c r="V12"/>
      <c r="W12"/>
      <c r="X12"/>
      <c r="Y12"/>
      <c r="Z12"/>
      <c r="AA12"/>
    </row>
    <row r="13" spans="1:32" ht="15.75" x14ac:dyDescent="0.25">
      <c r="B13" s="38"/>
      <c r="C13" s="38"/>
      <c r="D13" s="38"/>
      <c r="E13" s="38"/>
      <c r="F13" s="38"/>
      <c r="G13" s="38"/>
      <c r="H13" s="6"/>
      <c r="I13" s="15"/>
      <c r="J13" s="6"/>
      <c r="K13" s="15"/>
      <c r="L13" s="15"/>
      <c r="M13" s="15"/>
      <c r="N13" s="15"/>
      <c r="S13"/>
      <c r="T13" s="407" t="s">
        <v>117</v>
      </c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</row>
    <row r="14" spans="1:32" x14ac:dyDescent="0.25">
      <c r="B14" s="122" t="s">
        <v>27</v>
      </c>
      <c r="C14" s="122"/>
      <c r="D14" s="122"/>
      <c r="E14" s="123"/>
      <c r="F14" s="124" t="s">
        <v>0</v>
      </c>
      <c r="G14" s="125"/>
      <c r="H14" s="124" t="s">
        <v>1</v>
      </c>
      <c r="I14" s="125"/>
      <c r="J14" s="124" t="s">
        <v>22</v>
      </c>
      <c r="K14" s="125"/>
      <c r="L14" s="124" t="s">
        <v>30</v>
      </c>
      <c r="M14" s="125"/>
      <c r="N14" s="124" t="s">
        <v>42</v>
      </c>
      <c r="O14" s="125"/>
      <c r="P14" s="126" t="s">
        <v>23</v>
      </c>
      <c r="Q14" s="125"/>
      <c r="R14" s="18"/>
      <c r="T14" s="84" t="s">
        <v>0</v>
      </c>
      <c r="U14" s="85"/>
      <c r="V14" s="84" t="s">
        <v>1</v>
      </c>
      <c r="W14" s="85"/>
      <c r="X14" s="84" t="s">
        <v>22</v>
      </c>
      <c r="Y14" s="85"/>
      <c r="Z14" s="84" t="s">
        <v>30</v>
      </c>
      <c r="AA14" s="85"/>
      <c r="AB14" s="84" t="s">
        <v>42</v>
      </c>
      <c r="AC14" s="85"/>
      <c r="AD14" s="86" t="s">
        <v>23</v>
      </c>
      <c r="AE14" s="83"/>
      <c r="AF14" s="89" t="s">
        <v>61</v>
      </c>
    </row>
    <row r="15" spans="1:32" x14ac:dyDescent="0.25">
      <c r="B15" s="7" t="s">
        <v>104</v>
      </c>
      <c r="C15" s="7"/>
      <c r="D15" s="7"/>
      <c r="E15" s="21"/>
      <c r="F15" s="22"/>
      <c r="G15" s="21"/>
      <c r="H15" s="22"/>
      <c r="I15" s="21"/>
      <c r="J15" s="22"/>
      <c r="K15" s="21"/>
      <c r="L15" s="22"/>
      <c r="M15" s="21"/>
      <c r="N15" s="22"/>
      <c r="O15" s="21"/>
      <c r="P15" s="22"/>
      <c r="Q15" s="21"/>
      <c r="R15" s="17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pans="1:32" x14ac:dyDescent="0.25">
      <c r="C16" s="23" t="s">
        <v>107</v>
      </c>
      <c r="E16" s="21"/>
      <c r="F16" s="22">
        <f>SUM(F18:F31)</f>
        <v>0</v>
      </c>
      <c r="G16" s="21"/>
      <c r="H16" s="22">
        <f>SUM(H18:H31)</f>
        <v>0</v>
      </c>
      <c r="I16" s="21"/>
      <c r="J16" s="22">
        <f>SUM(J18:J31)</f>
        <v>0</v>
      </c>
      <c r="K16" s="21"/>
      <c r="L16" s="22">
        <f>SUM(L18:L31)</f>
        <v>0</v>
      </c>
      <c r="M16" s="21"/>
      <c r="N16" s="22">
        <f>SUM(N18:N31)</f>
        <v>0</v>
      </c>
      <c r="O16" s="21"/>
      <c r="P16" s="22">
        <f>F16+H16+J16+L16+N16</f>
        <v>0</v>
      </c>
      <c r="Q16" s="21"/>
      <c r="R16" s="17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pans="3:32" outlineLevel="1" x14ac:dyDescent="0.25">
      <c r="C17" s="53" t="str">
        <f>Estimation!C17</f>
        <v xml:space="preserve">PI: </v>
      </c>
      <c r="E17" s="21"/>
      <c r="G17" s="21"/>
      <c r="I17" s="21"/>
      <c r="K17" s="21"/>
      <c r="M17" s="21"/>
      <c r="O17" s="21"/>
      <c r="Q17" s="21"/>
      <c r="R17" s="17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</row>
    <row r="18" spans="3:32" outlineLevel="1" x14ac:dyDescent="0.25">
      <c r="C18" s="63" t="str">
        <f>Estimation!D18</f>
        <v>100% time, 0 months, AY</v>
      </c>
      <c r="E18" s="21"/>
      <c r="F18" s="22">
        <f>Estimation!J18</f>
        <v>0</v>
      </c>
      <c r="G18" s="21"/>
      <c r="H18" s="22">
        <f>Estimation!N18</f>
        <v>0</v>
      </c>
      <c r="I18" s="21"/>
      <c r="J18" s="22">
        <f>Estimation!R18</f>
        <v>0</v>
      </c>
      <c r="K18" s="21"/>
      <c r="L18" s="22">
        <f>Estimation!V18</f>
        <v>0</v>
      </c>
      <c r="M18" s="21"/>
      <c r="N18" s="22">
        <f>Estimation!Z18</f>
        <v>0</v>
      </c>
      <c r="O18" s="21"/>
      <c r="P18" s="22">
        <f>F18+H18+J18+L18+N18</f>
        <v>0</v>
      </c>
      <c r="Q18" s="21"/>
      <c r="R18" s="17"/>
      <c r="T18" s="82">
        <f>Estimation!AP18</f>
        <v>0</v>
      </c>
      <c r="U18" s="82"/>
      <c r="V18" s="82">
        <f>Estimation!AU18</f>
        <v>0</v>
      </c>
      <c r="W18" s="82"/>
      <c r="X18" s="82">
        <f>Estimation!AZ18</f>
        <v>0</v>
      </c>
      <c r="Y18" s="82"/>
      <c r="Z18" s="82">
        <f>Estimation!BE18</f>
        <v>0</v>
      </c>
      <c r="AA18" s="82"/>
      <c r="AB18" s="82">
        <f>Estimation!BJ18</f>
        <v>0</v>
      </c>
      <c r="AC18" s="82"/>
      <c r="AD18" s="82">
        <f>SUM(T18:AB18)</f>
        <v>0</v>
      </c>
      <c r="AF18" s="31" t="str">
        <f>Estimation!AL18</f>
        <v>AY</v>
      </c>
    </row>
    <row r="19" spans="3:32" outlineLevel="1" x14ac:dyDescent="0.25">
      <c r="C19" s="63" t="str">
        <f>Estimation!D19</f>
        <v>0 days, Summer</v>
      </c>
      <c r="E19" s="21"/>
      <c r="F19" s="22">
        <f>Estimation!J19</f>
        <v>0</v>
      </c>
      <c r="G19" s="21"/>
      <c r="H19" s="22">
        <f>Estimation!N19</f>
        <v>0</v>
      </c>
      <c r="I19" s="21"/>
      <c r="J19" s="22">
        <f>Estimation!R19</f>
        <v>0</v>
      </c>
      <c r="K19" s="21"/>
      <c r="L19" s="22">
        <f>Estimation!V19</f>
        <v>0</v>
      </c>
      <c r="M19" s="21"/>
      <c r="N19" s="22">
        <f>Estimation!Z19</f>
        <v>0</v>
      </c>
      <c r="O19" s="21"/>
      <c r="P19" s="22">
        <f>F19+H19+J19+L19+N19</f>
        <v>0</v>
      </c>
      <c r="Q19" s="21"/>
      <c r="R19" s="17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F19" s="31"/>
    </row>
    <row r="20" spans="3:32" outlineLevel="1" x14ac:dyDescent="0.25">
      <c r="C20" s="53" t="str">
        <f>Estimation!C20</f>
        <v xml:space="preserve">Co-PI: </v>
      </c>
      <c r="E20" s="21"/>
      <c r="G20" s="21"/>
      <c r="I20" s="21"/>
      <c r="K20" s="21"/>
      <c r="M20" s="21"/>
      <c r="O20" s="21"/>
      <c r="Q20" s="21"/>
      <c r="R20" s="17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F20" s="82"/>
    </row>
    <row r="21" spans="3:32" outlineLevel="1" x14ac:dyDescent="0.25">
      <c r="C21" s="63" t="str">
        <f>Estimation!D21</f>
        <v>0% time, 0 months, AY</v>
      </c>
      <c r="E21" s="21"/>
      <c r="F21" s="22">
        <f>Estimation!J21</f>
        <v>0</v>
      </c>
      <c r="G21" s="21"/>
      <c r="H21" s="22">
        <f>Estimation!N21</f>
        <v>0</v>
      </c>
      <c r="I21" s="21"/>
      <c r="J21" s="22">
        <f>Estimation!R21</f>
        <v>0</v>
      </c>
      <c r="K21" s="21"/>
      <c r="L21" s="22">
        <f>Estimation!V21</f>
        <v>0</v>
      </c>
      <c r="M21" s="21"/>
      <c r="N21" s="22">
        <f>Estimation!Z21</f>
        <v>0</v>
      </c>
      <c r="O21" s="21"/>
      <c r="P21" s="22">
        <f>F21+H21+J21+L21+N21</f>
        <v>0</v>
      </c>
      <c r="Q21" s="21"/>
      <c r="R21" s="17"/>
      <c r="T21" s="82">
        <f>Estimation!AP21</f>
        <v>0</v>
      </c>
      <c r="U21" s="82"/>
      <c r="V21" s="82">
        <f>Estimation!AU21</f>
        <v>0</v>
      </c>
      <c r="W21" s="82"/>
      <c r="X21" s="82">
        <f>Estimation!AZ21</f>
        <v>0</v>
      </c>
      <c r="Y21" s="82"/>
      <c r="Z21" s="82">
        <f>Estimation!BE21</f>
        <v>0</v>
      </c>
      <c r="AA21" s="82"/>
      <c r="AB21" s="82">
        <f>Estimation!BJ21</f>
        <v>0</v>
      </c>
      <c r="AC21" s="82"/>
      <c r="AD21" s="82">
        <f>SUM(T21:AB21)</f>
        <v>0</v>
      </c>
      <c r="AF21" s="31" t="str">
        <f>Estimation!AL21</f>
        <v>AY</v>
      </c>
    </row>
    <row r="22" spans="3:32" outlineLevel="1" x14ac:dyDescent="0.25">
      <c r="C22" s="63" t="str">
        <f>Estimation!D22</f>
        <v>0 days, Summer</v>
      </c>
      <c r="E22" s="21"/>
      <c r="F22" s="22">
        <f>Estimation!J22</f>
        <v>0</v>
      </c>
      <c r="G22" s="21"/>
      <c r="H22" s="22">
        <f>Estimation!N22</f>
        <v>0</v>
      </c>
      <c r="I22" s="21"/>
      <c r="J22" s="22">
        <f>Estimation!R22</f>
        <v>0</v>
      </c>
      <c r="K22" s="21"/>
      <c r="L22" s="22">
        <f>Estimation!V22</f>
        <v>0</v>
      </c>
      <c r="M22" s="21"/>
      <c r="N22" s="22">
        <f>Estimation!Z22</f>
        <v>0</v>
      </c>
      <c r="O22" s="21"/>
      <c r="P22" s="22">
        <f>F22+H22+J22+L22+N22</f>
        <v>0</v>
      </c>
      <c r="Q22" s="21"/>
      <c r="R22" s="17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F22" s="31"/>
    </row>
    <row r="23" spans="3:32" outlineLevel="1" x14ac:dyDescent="0.25">
      <c r="C23" s="53" t="str">
        <f>Estimation!C23</f>
        <v xml:space="preserve">Co-PI: </v>
      </c>
      <c r="E23" s="21"/>
      <c r="G23" s="21"/>
      <c r="I23" s="21"/>
      <c r="K23" s="21"/>
      <c r="M23" s="21"/>
      <c r="O23" s="21"/>
      <c r="Q23" s="21"/>
      <c r="R23" s="17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F23" s="82"/>
    </row>
    <row r="24" spans="3:32" outlineLevel="1" x14ac:dyDescent="0.25">
      <c r="C24" s="63" t="str">
        <f>Estimation!D24</f>
        <v>0% time, 0 months, AY</v>
      </c>
      <c r="E24" s="21"/>
      <c r="F24" s="22">
        <f>Estimation!J24</f>
        <v>0</v>
      </c>
      <c r="G24" s="21"/>
      <c r="H24" s="22">
        <f>Estimation!N24</f>
        <v>0</v>
      </c>
      <c r="I24" s="21"/>
      <c r="J24" s="22">
        <f>Estimation!R24</f>
        <v>0</v>
      </c>
      <c r="K24" s="21"/>
      <c r="L24" s="22">
        <f>Estimation!V24</f>
        <v>0</v>
      </c>
      <c r="M24" s="21"/>
      <c r="N24" s="22">
        <f>Estimation!Z24</f>
        <v>0</v>
      </c>
      <c r="O24" s="21"/>
      <c r="P24" s="22">
        <f>F24+H24+J24+L24+N24</f>
        <v>0</v>
      </c>
      <c r="Q24" s="21"/>
      <c r="R24" s="17"/>
      <c r="T24" s="82">
        <f>Estimation!AP24</f>
        <v>0</v>
      </c>
      <c r="U24" s="82"/>
      <c r="V24" s="82">
        <f>Estimation!AU24</f>
        <v>0</v>
      </c>
      <c r="W24" s="82"/>
      <c r="X24" s="82">
        <f>Estimation!AZ24</f>
        <v>0</v>
      </c>
      <c r="Y24" s="82"/>
      <c r="Z24" s="82">
        <f>Estimation!BE24</f>
        <v>0</v>
      </c>
      <c r="AA24" s="82"/>
      <c r="AB24" s="82">
        <f>Estimation!BJ24</f>
        <v>0</v>
      </c>
      <c r="AC24" s="82"/>
      <c r="AD24" s="82">
        <f>SUM(T24:AB24)</f>
        <v>0</v>
      </c>
      <c r="AF24" s="31" t="str">
        <f>Estimation!AL24</f>
        <v>AY</v>
      </c>
    </row>
    <row r="25" spans="3:32" outlineLevel="1" x14ac:dyDescent="0.25">
      <c r="C25" s="63" t="str">
        <f>Estimation!D25</f>
        <v>0 days, Summer</v>
      </c>
      <c r="E25" s="21"/>
      <c r="F25" s="22">
        <f>Estimation!J25</f>
        <v>0</v>
      </c>
      <c r="G25" s="21"/>
      <c r="H25" s="22">
        <f>Estimation!N25</f>
        <v>0</v>
      </c>
      <c r="I25" s="21"/>
      <c r="J25" s="22">
        <f>Estimation!R25</f>
        <v>0</v>
      </c>
      <c r="K25" s="21"/>
      <c r="L25" s="22">
        <f>Estimation!V25</f>
        <v>0</v>
      </c>
      <c r="M25" s="21"/>
      <c r="N25" s="22">
        <f>Estimation!Z25</f>
        <v>0</v>
      </c>
      <c r="O25" s="21"/>
      <c r="P25" s="22">
        <f>F25+H25+J25+L25+N25</f>
        <v>0</v>
      </c>
      <c r="Q25" s="21"/>
      <c r="R25" s="17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F25" s="31"/>
    </row>
    <row r="26" spans="3:32" outlineLevel="1" x14ac:dyDescent="0.25">
      <c r="C26" s="53" t="str">
        <f>Estimation!C26</f>
        <v xml:space="preserve">Co-PI: </v>
      </c>
      <c r="E26" s="21"/>
      <c r="G26" s="21"/>
      <c r="I26" s="21"/>
      <c r="K26" s="21"/>
      <c r="M26" s="21"/>
      <c r="O26" s="21"/>
      <c r="Q26" s="21"/>
      <c r="R26" s="17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F26" s="82"/>
    </row>
    <row r="27" spans="3:32" outlineLevel="1" x14ac:dyDescent="0.25">
      <c r="C27" s="63" t="str">
        <f>Estimation!D27</f>
        <v>0% time, 0 months, AY</v>
      </c>
      <c r="E27" s="21"/>
      <c r="F27" s="22">
        <f>Estimation!J27</f>
        <v>0</v>
      </c>
      <c r="G27" s="21"/>
      <c r="H27" s="22">
        <f>Estimation!N27</f>
        <v>0</v>
      </c>
      <c r="I27" s="21"/>
      <c r="J27" s="22">
        <f>Estimation!R27</f>
        <v>0</v>
      </c>
      <c r="K27" s="21"/>
      <c r="L27" s="22">
        <f>Estimation!V27</f>
        <v>0</v>
      </c>
      <c r="M27" s="21"/>
      <c r="N27" s="22">
        <f>Estimation!Z27</f>
        <v>0</v>
      </c>
      <c r="O27" s="21"/>
      <c r="P27" s="22">
        <f>F27+H27+J27+L27+N27</f>
        <v>0</v>
      </c>
      <c r="Q27" s="21"/>
      <c r="R27" s="17"/>
      <c r="T27" s="82">
        <f>Estimation!AP27</f>
        <v>0</v>
      </c>
      <c r="U27" s="82"/>
      <c r="V27" s="82">
        <f>Estimation!AU27</f>
        <v>0</v>
      </c>
      <c r="W27" s="82"/>
      <c r="X27" s="82">
        <f>Estimation!AZ27</f>
        <v>0</v>
      </c>
      <c r="Y27" s="82"/>
      <c r="Z27" s="82">
        <f>Estimation!BE27</f>
        <v>0</v>
      </c>
      <c r="AA27" s="82"/>
      <c r="AB27" s="82">
        <f>Estimation!BJ27</f>
        <v>0</v>
      </c>
      <c r="AC27" s="82"/>
      <c r="AD27" s="82">
        <f>SUM(T27:AB27)</f>
        <v>0</v>
      </c>
      <c r="AF27" s="31" t="str">
        <f>Estimation!AL27</f>
        <v>AY</v>
      </c>
    </row>
    <row r="28" spans="3:32" outlineLevel="1" x14ac:dyDescent="0.25">
      <c r="C28" s="63" t="str">
        <f>Estimation!D28</f>
        <v>0 days, Summer</v>
      </c>
      <c r="E28" s="21"/>
      <c r="F28" s="22">
        <f>Estimation!J28</f>
        <v>0</v>
      </c>
      <c r="G28" s="21"/>
      <c r="H28" s="22">
        <f>Estimation!N28</f>
        <v>0</v>
      </c>
      <c r="I28" s="21"/>
      <c r="J28" s="22">
        <f>Estimation!R28</f>
        <v>0</v>
      </c>
      <c r="K28" s="21"/>
      <c r="L28" s="22">
        <f>Estimation!V28</f>
        <v>0</v>
      </c>
      <c r="M28" s="21"/>
      <c r="N28" s="22">
        <f>Estimation!Z28</f>
        <v>0</v>
      </c>
      <c r="O28" s="21"/>
      <c r="P28" s="22">
        <f>F28+H28+J28+L28+N28</f>
        <v>0</v>
      </c>
      <c r="Q28" s="21"/>
      <c r="R28" s="17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F28" s="31"/>
    </row>
    <row r="29" spans="3:32" outlineLevel="1" x14ac:dyDescent="0.25">
      <c r="C29" s="53" t="str">
        <f>Estimation!C29</f>
        <v xml:space="preserve">Co-PI: </v>
      </c>
      <c r="E29" s="21"/>
      <c r="G29" s="21"/>
      <c r="I29" s="21"/>
      <c r="K29" s="21"/>
      <c r="M29" s="21"/>
      <c r="O29" s="21"/>
      <c r="Q29" s="21"/>
      <c r="R29" s="17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F29" s="82"/>
    </row>
    <row r="30" spans="3:32" outlineLevel="1" x14ac:dyDescent="0.25">
      <c r="C30" s="63" t="str">
        <f>Estimation!D30</f>
        <v>0% time, 0 months, AY</v>
      </c>
      <c r="E30" s="21"/>
      <c r="F30" s="22">
        <f>Estimation!J30</f>
        <v>0</v>
      </c>
      <c r="G30" s="21"/>
      <c r="H30" s="22">
        <f>Estimation!N30</f>
        <v>0</v>
      </c>
      <c r="I30" s="21"/>
      <c r="J30" s="22">
        <f>Estimation!R30</f>
        <v>0</v>
      </c>
      <c r="K30" s="21"/>
      <c r="L30" s="22">
        <f>Estimation!V30</f>
        <v>0</v>
      </c>
      <c r="M30" s="21"/>
      <c r="N30" s="22">
        <f>Estimation!Z30</f>
        <v>0</v>
      </c>
      <c r="O30" s="21"/>
      <c r="P30" s="22">
        <f>F30+H30+J30+L30+N30</f>
        <v>0</v>
      </c>
      <c r="Q30" s="21"/>
      <c r="R30" s="17"/>
      <c r="T30" s="82">
        <f>Estimation!AP31</f>
        <v>0</v>
      </c>
      <c r="U30" s="82"/>
      <c r="V30" s="82">
        <f>Estimation!AU31</f>
        <v>0</v>
      </c>
      <c r="W30" s="82"/>
      <c r="X30" s="82">
        <f>Estimation!AZ31</f>
        <v>0</v>
      </c>
      <c r="Y30" s="82"/>
      <c r="Z30" s="82">
        <f>Estimation!BE31</f>
        <v>0</v>
      </c>
      <c r="AA30" s="82"/>
      <c r="AB30" s="82">
        <f>Estimation!BJ31</f>
        <v>0</v>
      </c>
      <c r="AC30" s="82"/>
      <c r="AD30" s="82">
        <f>SUM(T30:AB30)</f>
        <v>0</v>
      </c>
      <c r="AF30" s="31" t="str">
        <f>Estimation!AL31</f>
        <v>Summer</v>
      </c>
    </row>
    <row r="31" spans="3:32" outlineLevel="1" x14ac:dyDescent="0.25">
      <c r="C31" s="63" t="str">
        <f>Estimation!D31</f>
        <v>0 days, Summer</v>
      </c>
      <c r="E31" s="21"/>
      <c r="F31" s="22">
        <f>Estimation!J31</f>
        <v>0</v>
      </c>
      <c r="G31" s="21"/>
      <c r="H31" s="22">
        <f>Estimation!N31</f>
        <v>0</v>
      </c>
      <c r="I31" s="21"/>
      <c r="J31" s="22">
        <f>Estimation!R31</f>
        <v>0</v>
      </c>
      <c r="K31" s="21"/>
      <c r="L31" s="22">
        <f>Estimation!V31</f>
        <v>0</v>
      </c>
      <c r="M31" s="21"/>
      <c r="N31" s="22">
        <f>Estimation!Z31</f>
        <v>0</v>
      </c>
      <c r="O31" s="21"/>
      <c r="P31" s="22">
        <f>F31+H31+J31+L31+N31</f>
        <v>0</v>
      </c>
      <c r="Q31" s="21"/>
      <c r="R31" s="17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F31" s="31"/>
    </row>
    <row r="32" spans="3:32" outlineLevel="1" x14ac:dyDescent="0.25">
      <c r="C32" s="63"/>
      <c r="E32" s="21"/>
      <c r="F32" s="22"/>
      <c r="G32" s="21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17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F32" s="31"/>
    </row>
    <row r="33" spans="2:32" x14ac:dyDescent="0.25">
      <c r="C33" s="23" t="s">
        <v>108</v>
      </c>
      <c r="E33" s="21"/>
      <c r="F33" s="22">
        <f>SUM(F34:F44)</f>
        <v>0</v>
      </c>
      <c r="G33" s="21"/>
      <c r="H33" s="22">
        <f>SUM(H34:H44)</f>
        <v>0</v>
      </c>
      <c r="I33" s="21"/>
      <c r="J33" s="22">
        <f>SUM(J34:J44)</f>
        <v>0</v>
      </c>
      <c r="K33" s="21"/>
      <c r="L33" s="22">
        <f>SUM(L34:L44)</f>
        <v>0</v>
      </c>
      <c r="M33" s="21"/>
      <c r="N33" s="22">
        <f>SUM(N34:N44)</f>
        <v>0</v>
      </c>
      <c r="O33" s="21"/>
      <c r="P33" s="22">
        <f t="shared" ref="P33" si="0">F33+H33+J33+L33+N33</f>
        <v>0</v>
      </c>
      <c r="Q33" s="21"/>
      <c r="R33" s="17"/>
      <c r="AF33" s="82"/>
    </row>
    <row r="34" spans="2:32" outlineLevel="1" x14ac:dyDescent="0.25">
      <c r="C34" s="53" t="str">
        <f>Estimation!D303</f>
        <v>Faculty, Academic Year</v>
      </c>
      <c r="E34" s="21"/>
      <c r="F34" s="22">
        <f>SUMIF(Estimation!$A$33:$A$67,$C34,Estimation!J$33:J$67)</f>
        <v>0</v>
      </c>
      <c r="G34" s="21"/>
      <c r="H34" s="22">
        <f>SUMIF(Estimation!$A$33:$A$67,$C34,Estimation!N$33:N$67)</f>
        <v>0</v>
      </c>
      <c r="I34" s="21"/>
      <c r="J34" s="22">
        <f>SUMIF(Estimation!$A$33:$A$67,$C34,Estimation!R$33:R$67)</f>
        <v>0</v>
      </c>
      <c r="K34" s="21"/>
      <c r="L34" s="22">
        <f>SUMIF(Estimation!$A$33:$A$67,$C34,Estimation!V$33:V$67)</f>
        <v>0</v>
      </c>
      <c r="M34" s="21"/>
      <c r="N34" s="22">
        <f>SUMIF(Estimation!$A$33:$A$67,$C34,Estimation!Z$33:Z$67)</f>
        <v>0</v>
      </c>
      <c r="O34" s="21"/>
      <c r="P34" s="22">
        <f t="shared" ref="P34:P39" si="1">F34+H34+J34+L34+N34</f>
        <v>0</v>
      </c>
      <c r="Q34" s="21"/>
      <c r="R34" s="17"/>
    </row>
    <row r="35" spans="2:32" outlineLevel="1" x14ac:dyDescent="0.25">
      <c r="C35" s="53" t="str">
        <f>Estimation!D305</f>
        <v>Research Associate LOA</v>
      </c>
      <c r="E35" s="21"/>
      <c r="F35" s="22">
        <f>SUMIF(Estimation!$A$33:$A$67,$C35,Estimation!J$33:J$67)</f>
        <v>0</v>
      </c>
      <c r="G35" s="21"/>
      <c r="H35" s="22">
        <f>SUMIF(Estimation!$A$33:$A$67,$C35,Estimation!N$33:N$67)</f>
        <v>0</v>
      </c>
      <c r="I35" s="21"/>
      <c r="J35" s="22">
        <f>SUMIF(Estimation!$A$33:$A$67,$C35,Estimation!R$33:R$67)</f>
        <v>0</v>
      </c>
      <c r="K35" s="21"/>
      <c r="L35" s="22">
        <f>SUMIF(Estimation!$A$33:$A$67,$C35,Estimation!V$33:V$67)</f>
        <v>0</v>
      </c>
      <c r="M35" s="21"/>
      <c r="N35" s="22">
        <f>SUMIF(Estimation!$A$33:$A$67,$C35,Estimation!Z$33:Z$67)</f>
        <v>0</v>
      </c>
      <c r="O35" s="21"/>
      <c r="P35" s="22">
        <f t="shared" si="1"/>
        <v>0</v>
      </c>
      <c r="Q35" s="21"/>
      <c r="R35" s="17"/>
    </row>
    <row r="36" spans="2:32" outlineLevel="1" x14ac:dyDescent="0.25">
      <c r="C36" s="53" t="str">
        <f>Estimation!D307</f>
        <v>Post Doc Assoc LOA</v>
      </c>
      <c r="E36" s="21"/>
      <c r="F36" s="22">
        <f>SUMIF(Estimation!$A$33:$A$67,$C36,Estimation!J$33:J$67)</f>
        <v>0</v>
      </c>
      <c r="G36" s="21"/>
      <c r="H36" s="22">
        <f>SUMIF(Estimation!$A$33:$A$67,$C36,Estimation!N$33:N$67)</f>
        <v>0</v>
      </c>
      <c r="I36" s="21"/>
      <c r="J36" s="22">
        <f>SUMIF(Estimation!$A$33:$A$67,$C36,Estimation!R$33:R$67)</f>
        <v>0</v>
      </c>
      <c r="K36" s="21"/>
      <c r="L36" s="22">
        <f>SUMIF(Estimation!$A$33:$A$67,$C36,Estimation!V$33:V$67)</f>
        <v>0</v>
      </c>
      <c r="M36" s="21"/>
      <c r="N36" s="22">
        <f>SUMIF(Estimation!$A$33:$A$67,$C36,Estimation!Z$33:Z$67)</f>
        <v>0</v>
      </c>
      <c r="O36" s="21"/>
      <c r="P36" s="22">
        <f t="shared" si="1"/>
        <v>0</v>
      </c>
      <c r="Q36" s="21"/>
      <c r="R36" s="17"/>
    </row>
    <row r="37" spans="2:32" outlineLevel="1" x14ac:dyDescent="0.25">
      <c r="C37" s="53" t="str">
        <f>Estimation!D309</f>
        <v>Senior Personnel LOA</v>
      </c>
      <c r="E37" s="21"/>
      <c r="F37" s="22">
        <f>SUMIF(Estimation!$A$33:$A$67,$C37,Estimation!J$33:J$67)</f>
        <v>0</v>
      </c>
      <c r="G37" s="21"/>
      <c r="H37" s="22">
        <f>SUMIF(Estimation!$A$33:$A$67,$C37,Estimation!N$33:N$67)</f>
        <v>0</v>
      </c>
      <c r="I37" s="21"/>
      <c r="J37" s="22">
        <f>SUMIF(Estimation!$A$33:$A$67,$C37,Estimation!R$33:R$67)</f>
        <v>0</v>
      </c>
      <c r="K37" s="21"/>
      <c r="L37" s="22">
        <f>SUMIF(Estimation!$A$33:$A$67,$C37,Estimation!V$33:V$67)</f>
        <v>0</v>
      </c>
      <c r="M37" s="21"/>
      <c r="N37" s="22">
        <f>SUMIF(Estimation!$A$33:$A$67,$C37,Estimation!Z$33:Z$67)</f>
        <v>0</v>
      </c>
      <c r="O37" s="21"/>
      <c r="P37" s="22">
        <f t="shared" si="1"/>
        <v>0</v>
      </c>
      <c r="Q37" s="21"/>
      <c r="R37" s="17"/>
    </row>
    <row r="38" spans="2:32" outlineLevel="1" x14ac:dyDescent="0.25">
      <c r="C38" s="53" t="s">
        <v>129</v>
      </c>
      <c r="E38" s="21"/>
      <c r="F38" s="22">
        <f>SUMIF(Estimation!$A$33:$A$67,$C38,Estimation!J$33:J$67)</f>
        <v>0</v>
      </c>
      <c r="G38" s="21"/>
      <c r="H38" s="22">
        <f>SUMIF(Estimation!$A$33:$A$67,$C38,Estimation!N$33:N$67)</f>
        <v>0</v>
      </c>
      <c r="I38" s="21"/>
      <c r="J38" s="22">
        <f>SUMIF(Estimation!$A$33:$A$67,$C38,Estimation!R$33:R$67)</f>
        <v>0</v>
      </c>
      <c r="K38" s="21"/>
      <c r="L38" s="22">
        <f>SUMIF(Estimation!$A$33:$A$67,$C38,Estimation!V$33:V$67)</f>
        <v>0</v>
      </c>
      <c r="M38" s="21"/>
      <c r="N38" s="22">
        <f>SUMIF(Estimation!$A$33:$A$67,$C38,Estimation!Z$33:Z$67)</f>
        <v>0</v>
      </c>
      <c r="O38" s="21"/>
      <c r="P38" s="22">
        <f t="shared" si="1"/>
        <v>0</v>
      </c>
      <c r="Q38" s="21"/>
      <c r="R38" s="17"/>
    </row>
    <row r="39" spans="2:32" outlineLevel="1" x14ac:dyDescent="0.25">
      <c r="C39" s="53" t="str">
        <f>Estimation!D311</f>
        <v>Classified Staff</v>
      </c>
      <c r="E39" s="21"/>
      <c r="F39" s="22">
        <f>SUMIF(Estimation!$A$33:$A$67,$C39,Estimation!J$33:J$67)</f>
        <v>0</v>
      </c>
      <c r="G39" s="21"/>
      <c r="H39" s="22">
        <f>SUMIF(Estimation!$A$33:$A$67,$C39,Estimation!N$33:N$67)</f>
        <v>0</v>
      </c>
      <c r="I39" s="21"/>
      <c r="J39" s="22">
        <f>SUMIF(Estimation!$A$33:$A$67,$C39,Estimation!R$33:R$67)</f>
        <v>0</v>
      </c>
      <c r="K39" s="21"/>
      <c r="L39" s="22">
        <f>SUMIF(Estimation!$A$33:$A$67,$C39,Estimation!V$33:V$67)</f>
        <v>0</v>
      </c>
      <c r="M39" s="21"/>
      <c r="N39" s="22">
        <f>SUMIF(Estimation!$A$33:$A$67,$C39,Estimation!Z$33:Z$67)</f>
        <v>0</v>
      </c>
      <c r="O39" s="21"/>
      <c r="P39" s="22">
        <f t="shared" si="1"/>
        <v>0</v>
      </c>
      <c r="Q39" s="21"/>
      <c r="R39" s="17"/>
    </row>
    <row r="40" spans="2:32" outlineLevel="1" x14ac:dyDescent="0.25">
      <c r="C40" s="53" t="str">
        <f>Estimation!D312</f>
        <v>GRA AY</v>
      </c>
      <c r="E40" s="21"/>
      <c r="F40" s="22">
        <f>SUMIF(Estimation!$A$33:$A$67,$C40,Estimation!J$33:J$67)</f>
        <v>0</v>
      </c>
      <c r="G40" s="21"/>
      <c r="H40" s="22">
        <f>SUMIF(Estimation!$A$33:$A$67,$C40,Estimation!N$33:N$67)</f>
        <v>0</v>
      </c>
      <c r="I40" s="21"/>
      <c r="J40" s="22">
        <f>SUMIF(Estimation!$A$33:$A$67,$C40,Estimation!R$33:R$67)</f>
        <v>0</v>
      </c>
      <c r="K40" s="21"/>
      <c r="L40" s="22">
        <f>SUMIF(Estimation!$A$33:$A$67,$C40,Estimation!V$33:V$67)</f>
        <v>0</v>
      </c>
      <c r="M40" s="21"/>
      <c r="N40" s="22">
        <f>SUMIF(Estimation!$A$33:$A$67,$C40,Estimation!Z$33:Z$67)</f>
        <v>0</v>
      </c>
      <c r="O40" s="21"/>
      <c r="P40" s="22">
        <f t="shared" ref="P40:P43" si="2">F40+H40+J40+L40+N40</f>
        <v>0</v>
      </c>
      <c r="Q40" s="21"/>
      <c r="R40" s="17"/>
    </row>
    <row r="41" spans="2:32" outlineLevel="1" x14ac:dyDescent="0.25">
      <c r="C41" s="53" t="s">
        <v>191</v>
      </c>
      <c r="E41" s="21"/>
      <c r="F41" s="22">
        <f>SUMIF(Estimation!$A$33:$A$67,$C41,Estimation!J$33:J$67)</f>
        <v>0</v>
      </c>
      <c r="G41" s="21"/>
      <c r="H41" s="22">
        <f>SUMIF(Estimation!$A$33:$A$67,$C41,Estimation!N$33:N$67)</f>
        <v>0</v>
      </c>
      <c r="I41" s="21"/>
      <c r="J41" s="22">
        <f>SUMIF(Estimation!$A$33:$A$67,$C41,Estimation!R$33:R$67)</f>
        <v>0</v>
      </c>
      <c r="K41" s="21"/>
      <c r="L41" s="22">
        <f>SUMIF(Estimation!$A$33:$A$67,$C41,Estimation!V$33:V$67)</f>
        <v>0</v>
      </c>
      <c r="M41" s="21"/>
      <c r="N41" s="22">
        <f>SUMIF(Estimation!$A$33:$A$67,$C41,Estimation!Z$33:Z$67)</f>
        <v>0</v>
      </c>
      <c r="O41" s="21"/>
      <c r="P41" s="22">
        <f t="shared" si="2"/>
        <v>0</v>
      </c>
      <c r="Q41" s="21"/>
      <c r="R41" s="17"/>
    </row>
    <row r="42" spans="2:32" outlineLevel="1" x14ac:dyDescent="0.25">
      <c r="C42" s="53" t="s">
        <v>183</v>
      </c>
      <c r="E42" s="21"/>
      <c r="F42" s="22">
        <f>SUMIF(Estimation!$A$33:$A$68,$C42,Estimation!J$33:J$68)</f>
        <v>0</v>
      </c>
      <c r="G42" s="21"/>
      <c r="H42" s="22">
        <f>SUMIF(Estimation!$A$33:$A$68,$C42,Estimation!N$33:N$68)</f>
        <v>0</v>
      </c>
      <c r="I42" s="21"/>
      <c r="J42" s="22">
        <f>SUMIF(Estimation!$A$33:$A$68,$C42,Estimation!R$33:R$68)</f>
        <v>0</v>
      </c>
      <c r="K42" s="21"/>
      <c r="L42" s="22">
        <f>SUMIF(Estimation!$A$33:$A$68,$C42,Estimation!V$33:V$68)</f>
        <v>0</v>
      </c>
      <c r="M42" s="21"/>
      <c r="N42" s="22">
        <f>SUMIF(Estimation!$A$33:$A$68,$C42,Estimation!Z$33:Z$68)</f>
        <v>0</v>
      </c>
      <c r="O42" s="21"/>
      <c r="P42" s="22">
        <f t="shared" si="2"/>
        <v>0</v>
      </c>
      <c r="Q42" s="21"/>
      <c r="R42" s="17"/>
    </row>
    <row r="43" spans="2:32" outlineLevel="1" x14ac:dyDescent="0.25">
      <c r="C43" s="53" t="str">
        <f>Estimation!D315</f>
        <v>Hourly Student Summer</v>
      </c>
      <c r="E43" s="21"/>
      <c r="F43" s="22">
        <f>SUMIF(Estimation!$A$33:$A$68,$C43,Estimation!J$33:J$68)</f>
        <v>0</v>
      </c>
      <c r="G43" s="21"/>
      <c r="H43" s="22">
        <f>SUMIF(Estimation!$A$33:$A$68,$C43,Estimation!N$33:N$68)</f>
        <v>0</v>
      </c>
      <c r="I43" s="21"/>
      <c r="J43" s="22">
        <f>SUMIF(Estimation!$A$33:$A$68,$C43,Estimation!R$33:R$68)</f>
        <v>0</v>
      </c>
      <c r="K43" s="21"/>
      <c r="L43" s="22">
        <f>SUMIF(Estimation!$A$33:$A$68,$C43,Estimation!V$33:V$68)</f>
        <v>0</v>
      </c>
      <c r="M43" s="21"/>
      <c r="N43" s="22">
        <f>SUMIF(Estimation!$A$33:$A$68,$C43,Estimation!Z$33:Z$68)</f>
        <v>0</v>
      </c>
      <c r="O43" s="21"/>
      <c r="P43" s="22">
        <f t="shared" si="2"/>
        <v>0</v>
      </c>
      <c r="Q43" s="21"/>
      <c r="R43" s="17"/>
    </row>
    <row r="44" spans="2:32" outlineLevel="1" x14ac:dyDescent="0.25">
      <c r="C44" s="53" t="str">
        <f>Estimation!D316</f>
        <v>Hourly Student AY</v>
      </c>
      <c r="E44" s="21"/>
      <c r="F44" s="22">
        <f>SUMIF(Estimation!$A$33:$A$68,$C44,Estimation!J$33:J$68)</f>
        <v>0</v>
      </c>
      <c r="G44" s="21"/>
      <c r="H44" s="22">
        <f>SUMIF(Estimation!$A$33:$A$68,$C44,Estimation!N$33:N$68)</f>
        <v>0</v>
      </c>
      <c r="I44" s="21"/>
      <c r="J44" s="22">
        <f>SUMIF(Estimation!$A$33:$A$68,$C44,Estimation!R$33:R$68)</f>
        <v>0</v>
      </c>
      <c r="K44" s="21"/>
      <c r="L44" s="22">
        <f>SUMIF(Estimation!$A$33:$A$68,$C44,Estimation!V$33:V$68)</f>
        <v>0</v>
      </c>
      <c r="M44" s="21"/>
      <c r="N44" s="22">
        <f>SUMIF(Estimation!$A$33:$A$68,$C44,Estimation!Z$33:Z$68)</f>
        <v>0</v>
      </c>
      <c r="O44" s="21"/>
      <c r="P44" s="22">
        <f t="shared" ref="P44" si="3">F44+H44+J44+L44+N44</f>
        <v>0</v>
      </c>
      <c r="Q44" s="21"/>
      <c r="R44" s="17"/>
    </row>
    <row r="45" spans="2:32" ht="9.4" customHeight="1" x14ac:dyDescent="0.25">
      <c r="B45" s="23"/>
      <c r="C45" s="23"/>
      <c r="E45" s="52"/>
      <c r="F45" s="51"/>
      <c r="G45" s="52"/>
      <c r="H45" s="51"/>
      <c r="I45" s="52"/>
      <c r="J45" s="51"/>
      <c r="K45" s="52"/>
      <c r="L45" s="51"/>
      <c r="M45" s="52"/>
      <c r="N45" s="51"/>
      <c r="O45" s="52"/>
      <c r="P45" s="51"/>
      <c r="Q45" s="52"/>
      <c r="R45" s="17"/>
    </row>
    <row r="46" spans="2:32" x14ac:dyDescent="0.25">
      <c r="B46" s="23"/>
      <c r="C46" s="23"/>
      <c r="D46" s="62" t="s">
        <v>4</v>
      </c>
      <c r="E46" s="49"/>
      <c r="F46" s="22">
        <f>F33+F16</f>
        <v>0</v>
      </c>
      <c r="G46" s="49"/>
      <c r="H46" s="22">
        <f>H33+H16</f>
        <v>0</v>
      </c>
      <c r="I46" s="49"/>
      <c r="J46" s="22">
        <f>J33+J16</f>
        <v>0</v>
      </c>
      <c r="K46" s="49"/>
      <c r="L46" s="22">
        <f>L33+L16</f>
        <v>0</v>
      </c>
      <c r="M46" s="49"/>
      <c r="N46" s="22">
        <f>N33+N16</f>
        <v>0</v>
      </c>
      <c r="O46" s="49"/>
      <c r="P46" s="22">
        <f>SUM(F46:N46)</f>
        <v>0</v>
      </c>
      <c r="Q46" s="49"/>
      <c r="R46" s="17"/>
    </row>
    <row r="47" spans="2:32" x14ac:dyDescent="0.25">
      <c r="B47" s="23"/>
      <c r="C47" s="23"/>
      <c r="D47" s="62"/>
      <c r="E47" s="49"/>
      <c r="F47" s="22"/>
      <c r="G47" s="49"/>
      <c r="H47" s="22"/>
      <c r="I47" s="49"/>
      <c r="J47" s="22"/>
      <c r="K47" s="49"/>
      <c r="L47" s="22"/>
      <c r="M47" s="49"/>
      <c r="N47" s="22"/>
      <c r="O47" s="49"/>
      <c r="P47" s="22"/>
      <c r="Q47" s="49"/>
      <c r="R47" s="17"/>
    </row>
    <row r="48" spans="2:32" x14ac:dyDescent="0.25">
      <c r="B48" s="24" t="s">
        <v>166</v>
      </c>
      <c r="C48" s="24"/>
      <c r="D48" s="24"/>
      <c r="E48" s="49"/>
      <c r="F48" s="22"/>
      <c r="G48" s="49"/>
      <c r="H48" s="22"/>
      <c r="I48" s="49"/>
      <c r="J48" s="22"/>
      <c r="K48" s="49"/>
      <c r="L48" s="22"/>
      <c r="M48" s="49"/>
      <c r="N48" s="22"/>
      <c r="O48" s="49"/>
      <c r="P48" s="22"/>
      <c r="Q48" s="49"/>
      <c r="R48" s="17"/>
    </row>
    <row r="49" spans="2:18" outlineLevel="1" x14ac:dyDescent="0.25">
      <c r="C49" s="23" t="str">
        <f>Estimation!D303</f>
        <v>Faculty, Academic Year</v>
      </c>
      <c r="E49" s="49"/>
      <c r="F49" s="22">
        <f>SUMIF(Estimation!$A$73:$A$133,$C49,Estimation!J$73:J$133)</f>
        <v>0</v>
      </c>
      <c r="G49" s="49"/>
      <c r="H49" s="22">
        <f>SUMIF(Estimation!$A$73:$A$133,$C49,Estimation!N$73:N$133)</f>
        <v>0</v>
      </c>
      <c r="I49" s="49"/>
      <c r="J49" s="22">
        <f>SUMIF(Estimation!$A$73:$A$133,$C49,Estimation!R$73:R$133)</f>
        <v>0</v>
      </c>
      <c r="K49" s="49"/>
      <c r="L49" s="22">
        <f>SUMIF(Estimation!$A$73:$A$133,$C49,Estimation!V$73:V$133)</f>
        <v>0</v>
      </c>
      <c r="M49" s="49"/>
      <c r="N49" s="22">
        <f>SUMIF(Estimation!$A$73:$A$133,$C49,Estimation!Z$73:Z$133)</f>
        <v>0</v>
      </c>
      <c r="O49" s="49"/>
      <c r="P49" s="22">
        <f>SUM(F49:N49)</f>
        <v>0</v>
      </c>
      <c r="Q49" s="49"/>
      <c r="R49" s="17"/>
    </row>
    <row r="50" spans="2:18" outlineLevel="1" x14ac:dyDescent="0.25">
      <c r="C50" s="23" t="str">
        <f>Estimation!D304</f>
        <v>Faculty, Fiscal Year</v>
      </c>
      <c r="E50" s="49"/>
      <c r="F50" s="22">
        <f>SUMIF(Estimation!$A$73:$A$133,$C50,Estimation!J$73:J$133)</f>
        <v>0</v>
      </c>
      <c r="G50" s="49"/>
      <c r="H50" s="22">
        <f>SUMIF(Estimation!$A$73:$A$133,$C50,Estimation!N$73:N$133)</f>
        <v>0</v>
      </c>
      <c r="I50" s="49"/>
      <c r="J50" s="22">
        <f>SUMIF(Estimation!$A$73:$A$133,$C50,Estimation!R$73:R$133)</f>
        <v>0</v>
      </c>
      <c r="K50" s="49"/>
      <c r="L50" s="22">
        <f>SUMIF(Estimation!$A$73:$A$133,$C50,Estimation!V$73:V$133)</f>
        <v>0</v>
      </c>
      <c r="M50" s="49"/>
      <c r="N50" s="22">
        <f>SUMIF(Estimation!$A$73:$A$133,$C50,Estimation!Z$73:Z$133)</f>
        <v>0</v>
      </c>
      <c r="O50" s="49"/>
      <c r="P50" s="22">
        <f t="shared" ref="P50:P62" si="4">SUM(F50:N50)</f>
        <v>0</v>
      </c>
      <c r="Q50" s="49"/>
      <c r="R50" s="17"/>
    </row>
    <row r="51" spans="2:18" outlineLevel="1" x14ac:dyDescent="0.25">
      <c r="C51" s="23" t="str">
        <f>Estimation!D305</f>
        <v>Research Associate LOA</v>
      </c>
      <c r="E51" s="49"/>
      <c r="F51" s="22">
        <f>SUMIF(Estimation!$A$73:$A$133,$C51,Estimation!J$73:J$133)</f>
        <v>0</v>
      </c>
      <c r="G51" s="49"/>
      <c r="H51" s="22">
        <f>SUMIF(Estimation!$A$73:$A$133,$C51,Estimation!N$73:N$133)</f>
        <v>0</v>
      </c>
      <c r="I51" s="49"/>
      <c r="J51" s="22">
        <f>SUMIF(Estimation!$A$73:$A$133,$C51,Estimation!R$73:R$133)</f>
        <v>0</v>
      </c>
      <c r="K51" s="49"/>
      <c r="L51" s="22">
        <f>SUMIF(Estimation!$A$73:$A$133,$C51,Estimation!V$73:V$133)</f>
        <v>0</v>
      </c>
      <c r="M51" s="49"/>
      <c r="N51" s="22">
        <f>SUMIF(Estimation!$A$73:$A$133,$C51,Estimation!Z$73:Z$133)</f>
        <v>0</v>
      </c>
      <c r="O51" s="49"/>
      <c r="P51" s="22">
        <f t="shared" si="4"/>
        <v>0</v>
      </c>
      <c r="Q51" s="49"/>
      <c r="R51" s="17"/>
    </row>
    <row r="52" spans="2:18" outlineLevel="1" x14ac:dyDescent="0.25">
      <c r="C52" s="23" t="str">
        <f>Estimation!D306</f>
        <v>Research Associate AY</v>
      </c>
      <c r="E52" s="49"/>
      <c r="F52" s="22">
        <f>SUMIF(Estimation!$A$73:$A$133,$C52,Estimation!J$73:J$133)</f>
        <v>0</v>
      </c>
      <c r="G52" s="49"/>
      <c r="H52" s="22">
        <f>SUMIF(Estimation!$A$73:$A$133,$C52,Estimation!N$73:N$133)</f>
        <v>0</v>
      </c>
      <c r="I52" s="49"/>
      <c r="J52" s="22">
        <f>SUMIF(Estimation!$A$73:$A$133,$C52,Estimation!R$73:R$133)</f>
        <v>0</v>
      </c>
      <c r="K52" s="49"/>
      <c r="L52" s="22">
        <f>SUMIF(Estimation!$A$73:$A$133,$C52,Estimation!V$73:V$133)</f>
        <v>0</v>
      </c>
      <c r="M52" s="49"/>
      <c r="N52" s="22">
        <f>SUMIF(Estimation!$A$73:$A$133,$C52,Estimation!Z$73:Z$133)</f>
        <v>0</v>
      </c>
      <c r="O52" s="49"/>
      <c r="P52" s="22">
        <f t="shared" si="4"/>
        <v>0</v>
      </c>
      <c r="Q52" s="49"/>
      <c r="R52" s="17"/>
    </row>
    <row r="53" spans="2:18" outlineLevel="1" x14ac:dyDescent="0.25">
      <c r="C53" s="23" t="str">
        <f>Estimation!D307</f>
        <v>Post Doc Assoc LOA</v>
      </c>
      <c r="E53" s="49"/>
      <c r="F53" s="22">
        <f>SUMIF(Estimation!$A$73:$A$133,$C53,Estimation!J$73:J$133)</f>
        <v>0</v>
      </c>
      <c r="G53" s="49"/>
      <c r="H53" s="22">
        <f>SUMIF(Estimation!$A$73:$A$133,$C53,Estimation!N$73:N$133)</f>
        <v>0</v>
      </c>
      <c r="I53" s="49"/>
      <c r="J53" s="22">
        <f>SUMIF(Estimation!$A$73:$A$133,$C53,Estimation!R$73:R$133)</f>
        <v>0</v>
      </c>
      <c r="K53" s="49"/>
      <c r="L53" s="22">
        <f>SUMIF(Estimation!$A$73:$A$133,$C53,Estimation!V$73:V$133)</f>
        <v>0</v>
      </c>
      <c r="M53" s="49"/>
      <c r="N53" s="22">
        <f>SUMIF(Estimation!$A$73:$A$133,$C53,Estimation!Z$73:Z$133)</f>
        <v>0</v>
      </c>
      <c r="O53" s="49"/>
      <c r="P53" s="22">
        <f t="shared" si="4"/>
        <v>0</v>
      </c>
      <c r="Q53" s="49"/>
      <c r="R53" s="17"/>
    </row>
    <row r="54" spans="2:18" outlineLevel="1" x14ac:dyDescent="0.25">
      <c r="C54" s="23" t="str">
        <f>Estimation!D308</f>
        <v>Pre/Post Doctoral Stipend</v>
      </c>
      <c r="E54" s="49"/>
      <c r="F54" s="22">
        <f>SUMIF(Estimation!$A$73:$A$133,$C54,Estimation!J$73:J$133)</f>
        <v>0</v>
      </c>
      <c r="G54" s="49"/>
      <c r="H54" s="22">
        <f>SUMIF(Estimation!$A$73:$A$133,$C54,Estimation!N$73:N$133)</f>
        <v>0</v>
      </c>
      <c r="I54" s="49"/>
      <c r="J54" s="22">
        <f>SUMIF(Estimation!$A$73:$A$133,$C54,Estimation!R$73:R$133)</f>
        <v>0</v>
      </c>
      <c r="K54" s="49"/>
      <c r="L54" s="22">
        <f>SUMIF(Estimation!$A$73:$A$133,$C54,Estimation!V$73:V$133)</f>
        <v>0</v>
      </c>
      <c r="M54" s="49"/>
      <c r="N54" s="22">
        <f>SUMIF(Estimation!$A$73:$A$133,$C54,Estimation!Z$73:Z$133)</f>
        <v>0</v>
      </c>
      <c r="O54" s="49"/>
      <c r="P54" s="22">
        <f t="shared" si="4"/>
        <v>0</v>
      </c>
      <c r="Q54" s="49"/>
      <c r="R54" s="17"/>
    </row>
    <row r="55" spans="2:18" outlineLevel="1" x14ac:dyDescent="0.25">
      <c r="C55" s="23" t="str">
        <f>Estimation!D309</f>
        <v>Senior Personnel LOA</v>
      </c>
      <c r="E55" s="49"/>
      <c r="F55" s="22">
        <f>SUMIF(Estimation!$A$73:$A$133,$C55,Estimation!J$73:J$133)</f>
        <v>0</v>
      </c>
      <c r="G55" s="49"/>
      <c r="H55" s="22">
        <f>SUMIF(Estimation!$A$73:$A$133,$C55,Estimation!N$73:N$133)</f>
        <v>0</v>
      </c>
      <c r="I55" s="49"/>
      <c r="J55" s="22">
        <f>SUMIF(Estimation!$A$73:$A$133,$C55,Estimation!R$73:R$133)</f>
        <v>0</v>
      </c>
      <c r="K55" s="49"/>
      <c r="L55" s="22">
        <f>SUMIF(Estimation!$A$73:$A$133,$C55,Estimation!V$73:V$133)</f>
        <v>0</v>
      </c>
      <c r="M55" s="49"/>
      <c r="N55" s="22">
        <f>SUMIF(Estimation!$A$73:$A$133,$C55,Estimation!Z$73:Z$133)</f>
        <v>0</v>
      </c>
      <c r="O55" s="49"/>
      <c r="P55" s="22">
        <f t="shared" si="4"/>
        <v>0</v>
      </c>
      <c r="Q55" s="49"/>
      <c r="R55" s="17"/>
    </row>
    <row r="56" spans="2:18" outlineLevel="1" x14ac:dyDescent="0.25">
      <c r="C56" s="23" t="str">
        <f>Estimation!D310</f>
        <v>Professional Research Assistant</v>
      </c>
      <c r="E56" s="49"/>
      <c r="F56" s="22">
        <f>SUMIF(Estimation!$A$73:$A$133,$C56,Estimation!J$73:J$133)</f>
        <v>0</v>
      </c>
      <c r="G56" s="49"/>
      <c r="H56" s="22">
        <f>SUMIF(Estimation!$A$73:$A$133,$C56,Estimation!N$73:N$133)</f>
        <v>0</v>
      </c>
      <c r="I56" s="49"/>
      <c r="J56" s="22">
        <f>SUMIF(Estimation!$A$73:$A$133,$C56,Estimation!R$73:R$133)</f>
        <v>0</v>
      </c>
      <c r="K56" s="49"/>
      <c r="L56" s="22">
        <f>SUMIF(Estimation!$A$73:$A$133,$C56,Estimation!V$73:V$133)</f>
        <v>0</v>
      </c>
      <c r="M56" s="49"/>
      <c r="N56" s="22">
        <f>SUMIF(Estimation!$A$73:$A$133,$C56,Estimation!Z$73:Z$133)</f>
        <v>0</v>
      </c>
      <c r="O56" s="49"/>
      <c r="P56" s="22">
        <f t="shared" si="4"/>
        <v>0</v>
      </c>
      <c r="Q56" s="49"/>
      <c r="R56" s="17"/>
    </row>
    <row r="57" spans="2:18" outlineLevel="1" x14ac:dyDescent="0.25">
      <c r="C57" s="23" t="str">
        <f>Estimation!D311</f>
        <v>Classified Staff</v>
      </c>
      <c r="E57" s="49"/>
      <c r="F57" s="22">
        <f>SUMIF(Estimation!$A$73:$A$133,$C57,Estimation!J$73:J$133)</f>
        <v>0</v>
      </c>
      <c r="G57" s="49"/>
      <c r="H57" s="22">
        <f>SUMIF(Estimation!$A$73:$A$133,$C57,Estimation!N$73:N$133)</f>
        <v>0</v>
      </c>
      <c r="I57" s="49"/>
      <c r="J57" s="22">
        <f>SUMIF(Estimation!$A$73:$A$133,$C57,Estimation!R$73:R$133)</f>
        <v>0</v>
      </c>
      <c r="K57" s="49"/>
      <c r="L57" s="22">
        <f>SUMIF(Estimation!$A$73:$A$133,$C57,Estimation!V$73:V$133)</f>
        <v>0</v>
      </c>
      <c r="M57" s="49"/>
      <c r="N57" s="22">
        <f>SUMIF(Estimation!$A$73:$A$133,$C57,Estimation!Z$73:Z$133)</f>
        <v>0</v>
      </c>
      <c r="O57" s="49"/>
      <c r="P57" s="22">
        <f t="shared" si="4"/>
        <v>0</v>
      </c>
      <c r="Q57" s="49"/>
      <c r="R57" s="17"/>
    </row>
    <row r="58" spans="2:18" outlineLevel="1" x14ac:dyDescent="0.25">
      <c r="C58" s="23" t="str">
        <f>Estimation!D312</f>
        <v>GRA AY</v>
      </c>
      <c r="E58" s="49"/>
      <c r="F58" s="22">
        <f>SUMIF(Estimation!$A$73:$A$133,$C58,Estimation!J$73:J$133)</f>
        <v>0</v>
      </c>
      <c r="G58" s="49"/>
      <c r="H58" s="22">
        <f>SUMIF(Estimation!$A$73:$A$133,$C58,Estimation!N$73:N$133)</f>
        <v>0</v>
      </c>
      <c r="I58" s="49"/>
      <c r="J58" s="22">
        <f>SUMIF(Estimation!$A$73:$A$133,$C58,Estimation!R$73:R$133)</f>
        <v>0</v>
      </c>
      <c r="K58" s="49"/>
      <c r="L58" s="22">
        <f>SUMIF(Estimation!$A$73:$A$133,$C58,Estimation!V$73:V$133)</f>
        <v>0</v>
      </c>
      <c r="M58" s="49"/>
      <c r="N58" s="22">
        <f>SUMIF(Estimation!$A$73:$A$133,$C58,Estimation!Z$73:Z$133)</f>
        <v>0</v>
      </c>
      <c r="O58" s="49"/>
      <c r="P58" s="22">
        <f t="shared" si="4"/>
        <v>0</v>
      </c>
      <c r="Q58" s="49"/>
      <c r="R58" s="17"/>
    </row>
    <row r="59" spans="2:18" outlineLevel="1" x14ac:dyDescent="0.25">
      <c r="C59" s="23" t="str">
        <f>Estimation!D313</f>
        <v>GRA Summer</v>
      </c>
      <c r="E59" s="49"/>
      <c r="F59" s="22">
        <f>SUMIF(Estimation!$A$73:$A$133,$C59,Estimation!J$73:J$133)</f>
        <v>0</v>
      </c>
      <c r="G59" s="49"/>
      <c r="H59" s="22">
        <f>SUMIF(Estimation!$A$73:$A$133,$C59,Estimation!N$73:N$133)</f>
        <v>0</v>
      </c>
      <c r="I59" s="49"/>
      <c r="J59" s="22">
        <f>SUMIF(Estimation!$A$73:$A$133,$C59,Estimation!R$73:R$133)</f>
        <v>0</v>
      </c>
      <c r="K59" s="49"/>
      <c r="L59" s="22">
        <f>SUMIF(Estimation!$A$73:$A$133,$C59,Estimation!V$73:V$133)</f>
        <v>0</v>
      </c>
      <c r="M59" s="49"/>
      <c r="N59" s="22">
        <f>SUMIF(Estimation!$A$73:$A$133,$C59,Estimation!Z$73:Z$133)</f>
        <v>0</v>
      </c>
      <c r="O59" s="49"/>
      <c r="P59" s="22">
        <f t="shared" si="4"/>
        <v>0</v>
      </c>
      <c r="Q59" s="49"/>
      <c r="R59" s="17"/>
    </row>
    <row r="60" spans="2:18" outlineLevel="1" x14ac:dyDescent="0.25">
      <c r="C60" s="23" t="str">
        <f>Estimation!D315</f>
        <v>Hourly Student Summer</v>
      </c>
      <c r="E60" s="49"/>
      <c r="F60" s="22">
        <f>SUMIF(Estimation!$A$73:$A$133,$C60,Estimation!J$73:J$133)</f>
        <v>0</v>
      </c>
      <c r="G60" s="49"/>
      <c r="H60" s="22">
        <f>SUMIF(Estimation!$A$73:$A$133,$C60,Estimation!N$73:N$133)</f>
        <v>0</v>
      </c>
      <c r="I60" s="49"/>
      <c r="J60" s="22">
        <f>SUMIF(Estimation!$A$73:$A$133,$C60,Estimation!R$73:R$133)</f>
        <v>0</v>
      </c>
      <c r="K60" s="49"/>
      <c r="L60" s="22">
        <f>SUMIF(Estimation!$A$73:$A$133,$C60,Estimation!V$73:V$133)</f>
        <v>0</v>
      </c>
      <c r="M60" s="49"/>
      <c r="N60" s="22">
        <f>SUMIF(Estimation!$A$73:$A$133,$C60,Estimation!Z$73:Z$133)</f>
        <v>0</v>
      </c>
      <c r="O60" s="49"/>
      <c r="P60" s="22">
        <f t="shared" si="4"/>
        <v>0</v>
      </c>
      <c r="Q60" s="49"/>
      <c r="R60" s="17"/>
    </row>
    <row r="61" spans="2:18" outlineLevel="1" x14ac:dyDescent="0.25">
      <c r="C61" s="23" t="str">
        <f>Estimation!D316</f>
        <v>Hourly Student AY</v>
      </c>
      <c r="E61" s="49"/>
      <c r="F61" s="22">
        <f>SUMIF(Estimation!$A$73:$A$133,$C61,Estimation!J$73:J$133)</f>
        <v>0</v>
      </c>
      <c r="G61" s="49"/>
      <c r="H61" s="22">
        <f>SUMIF(Estimation!$A$73:$A$133,$C61,Estimation!N$73:N$133)</f>
        <v>0</v>
      </c>
      <c r="I61" s="49"/>
      <c r="J61" s="22">
        <f>SUMIF(Estimation!$A$73:$A$133,$C61,Estimation!R$73:R$133)</f>
        <v>0</v>
      </c>
      <c r="K61" s="49"/>
      <c r="L61" s="22">
        <f>SUMIF(Estimation!$A$73:$A$133,$C61,Estimation!V$73:V$133)</f>
        <v>0</v>
      </c>
      <c r="M61" s="49"/>
      <c r="N61" s="22">
        <f>SUMIF(Estimation!$A$73:$A$133,$C61,Estimation!Z$73:Z$133)</f>
        <v>0</v>
      </c>
      <c r="O61" s="49"/>
      <c r="P61" s="22">
        <f t="shared" si="4"/>
        <v>0</v>
      </c>
      <c r="Q61" s="49"/>
      <c r="R61" s="17"/>
    </row>
    <row r="62" spans="2:18" outlineLevel="1" x14ac:dyDescent="0.25">
      <c r="C62" s="23" t="str">
        <f>Estimation!D317</f>
        <v>Hourly Temp Employee</v>
      </c>
      <c r="E62" s="49"/>
      <c r="F62" s="22">
        <f>SUMIF(Estimation!$A$73:$A$133,$C62,Estimation!J$73:J$133)</f>
        <v>0</v>
      </c>
      <c r="G62" s="49"/>
      <c r="H62" s="22">
        <f>SUMIF(Estimation!$A$73:$A$133,$C62,Estimation!N$73:N$133)</f>
        <v>0</v>
      </c>
      <c r="I62" s="49"/>
      <c r="J62" s="22">
        <f>SUMIF(Estimation!$A$73:$A$133,$C62,Estimation!R$73:R$133)</f>
        <v>0</v>
      </c>
      <c r="K62" s="49"/>
      <c r="L62" s="22">
        <f>SUMIF(Estimation!$A$73:$A$133,$C62,Estimation!V$73:V$133)</f>
        <v>0</v>
      </c>
      <c r="M62" s="49"/>
      <c r="N62" s="22">
        <f>SUMIF(Estimation!$A$73:$A$133,$C62,Estimation!Z$73:Z$133)</f>
        <v>0</v>
      </c>
      <c r="O62" s="49"/>
      <c r="P62" s="22">
        <f t="shared" si="4"/>
        <v>0</v>
      </c>
      <c r="Q62" s="49"/>
      <c r="R62" s="17"/>
    </row>
    <row r="63" spans="2:18" ht="7.5" customHeight="1" x14ac:dyDescent="0.25">
      <c r="C63" s="23"/>
      <c r="E63" s="50"/>
      <c r="F63" s="51"/>
      <c r="G63" s="50"/>
      <c r="H63" s="51"/>
      <c r="I63" s="50"/>
      <c r="J63" s="51"/>
      <c r="K63" s="50"/>
      <c r="L63" s="51"/>
      <c r="M63" s="50"/>
      <c r="N63" s="51"/>
      <c r="O63" s="50"/>
      <c r="P63" s="51"/>
      <c r="Q63" s="50"/>
      <c r="R63" s="17"/>
    </row>
    <row r="64" spans="2:18" x14ac:dyDescent="0.25">
      <c r="B64" s="23"/>
      <c r="C64" s="23"/>
      <c r="D64" s="62" t="s">
        <v>7</v>
      </c>
      <c r="E64" s="49"/>
      <c r="F64" s="22">
        <f>SUM(F49:F62)</f>
        <v>0</v>
      </c>
      <c r="G64" s="49"/>
      <c r="H64" s="22">
        <f>SUM(H49:H62)</f>
        <v>0</v>
      </c>
      <c r="I64" s="49"/>
      <c r="J64" s="22">
        <f>SUM(J49:J62)</f>
        <v>0</v>
      </c>
      <c r="K64" s="49"/>
      <c r="L64" s="22">
        <f>SUM(L49:L62)</f>
        <v>0</v>
      </c>
      <c r="M64" s="49"/>
      <c r="N64" s="22">
        <f>SUM(N49:N62)</f>
        <v>0</v>
      </c>
      <c r="O64" s="49"/>
      <c r="P64" s="22">
        <f>SUM(F64:N64)</f>
        <v>0</v>
      </c>
      <c r="Q64" s="49"/>
      <c r="R64" s="17"/>
    </row>
    <row r="65" spans="2:18" x14ac:dyDescent="0.25">
      <c r="B65" s="23"/>
      <c r="C65" s="23"/>
      <c r="D65" s="48"/>
      <c r="E65" s="49"/>
      <c r="F65" s="22"/>
      <c r="G65" s="49"/>
      <c r="H65" s="22"/>
      <c r="I65" s="49"/>
      <c r="J65" s="22"/>
      <c r="K65" s="49"/>
      <c r="L65" s="22"/>
      <c r="M65" s="49"/>
      <c r="N65" s="22"/>
      <c r="O65" s="49"/>
      <c r="P65" s="22"/>
      <c r="Q65" s="49"/>
      <c r="R65" s="17"/>
    </row>
    <row r="66" spans="2:18" x14ac:dyDescent="0.25">
      <c r="B66" s="24" t="s">
        <v>105</v>
      </c>
      <c r="C66" s="24"/>
      <c r="D66" s="23"/>
      <c r="E66" s="49"/>
      <c r="F66" s="22"/>
      <c r="G66" s="49"/>
      <c r="H66" s="22"/>
      <c r="I66" s="49"/>
      <c r="J66" s="22"/>
      <c r="K66" s="49"/>
      <c r="L66" s="22"/>
      <c r="M66" s="49"/>
      <c r="N66" s="22"/>
      <c r="O66" s="49"/>
      <c r="P66" s="22"/>
      <c r="Q66" s="49"/>
      <c r="R66" s="17"/>
    </row>
    <row r="67" spans="2:18" x14ac:dyDescent="0.25">
      <c r="C67" s="23" t="str">
        <f>Estimation!A142</f>
        <v>63199 - Capital Equipment</v>
      </c>
      <c r="E67" s="49"/>
      <c r="F67" s="22">
        <f>SUMIF(Estimation!$A$16:$A$278,$C67,Estimation!J$16:J$278)</f>
        <v>0</v>
      </c>
      <c r="G67" s="49"/>
      <c r="H67" s="22">
        <f>SUMIF(Estimation!$A$16:$A$278,$C67,Estimation!N$16:N$278)</f>
        <v>0</v>
      </c>
      <c r="I67" s="49"/>
      <c r="J67" s="22">
        <f>SUMIF(Estimation!$A$16:$A$278,$C67,Estimation!R$16:R$278)</f>
        <v>0</v>
      </c>
      <c r="K67" s="49"/>
      <c r="L67" s="22">
        <f>SUMIF(Estimation!$A$16:$A$278,$C67,Estimation!V$16:V$278)</f>
        <v>0</v>
      </c>
      <c r="M67" s="49"/>
      <c r="N67" s="22">
        <f>SUMIF(Estimation!$A$16:$A$278,$C67,Estimation!Z$16:Z$278)</f>
        <v>0</v>
      </c>
      <c r="O67" s="49"/>
      <c r="P67" s="22">
        <f>SUM(F67:N67)</f>
        <v>0</v>
      </c>
      <c r="Q67" s="49"/>
      <c r="R67" s="17"/>
    </row>
    <row r="68" spans="2:18" ht="8.25" customHeight="1" x14ac:dyDescent="0.25">
      <c r="C68" s="23"/>
      <c r="E68" s="50"/>
      <c r="F68" s="51"/>
      <c r="G68" s="50"/>
      <c r="H68" s="51"/>
      <c r="I68" s="50"/>
      <c r="J68" s="51"/>
      <c r="K68" s="50"/>
      <c r="L68" s="51"/>
      <c r="M68" s="50"/>
      <c r="N68" s="51"/>
      <c r="O68" s="50"/>
      <c r="P68" s="51"/>
      <c r="Q68" s="50"/>
      <c r="R68" s="17"/>
    </row>
    <row r="69" spans="2:18" x14ac:dyDescent="0.25">
      <c r="B69" s="23"/>
      <c r="C69" s="23"/>
      <c r="D69" s="62" t="s">
        <v>98</v>
      </c>
      <c r="E69" s="49"/>
      <c r="F69" s="22">
        <f>F67</f>
        <v>0</v>
      </c>
      <c r="G69" s="49"/>
      <c r="H69" s="22">
        <f>H67</f>
        <v>0</v>
      </c>
      <c r="I69" s="49"/>
      <c r="J69" s="22">
        <f>J67</f>
        <v>0</v>
      </c>
      <c r="K69" s="49"/>
      <c r="L69" s="22">
        <f>L67</f>
        <v>0</v>
      </c>
      <c r="M69" s="49"/>
      <c r="N69" s="22">
        <f>N67</f>
        <v>0</v>
      </c>
      <c r="O69" s="49"/>
      <c r="P69" s="22">
        <f>SUM(F69:N69)</f>
        <v>0</v>
      </c>
      <c r="Q69" s="49"/>
      <c r="R69" s="17"/>
    </row>
    <row r="70" spans="2:18" x14ac:dyDescent="0.25">
      <c r="B70" s="24"/>
      <c r="C70" s="24"/>
      <c r="D70" s="24"/>
      <c r="E70" s="49"/>
      <c r="F70" s="22"/>
      <c r="G70" s="49"/>
      <c r="H70" s="22"/>
      <c r="I70" s="49"/>
      <c r="J70" s="22"/>
      <c r="K70" s="49"/>
      <c r="L70" s="22"/>
      <c r="M70" s="49"/>
      <c r="N70" s="22"/>
      <c r="O70" s="49"/>
      <c r="P70" s="22"/>
      <c r="Q70" s="49"/>
      <c r="R70" s="17"/>
    </row>
    <row r="71" spans="2:18" x14ac:dyDescent="0.25">
      <c r="B71" s="24" t="s">
        <v>106</v>
      </c>
      <c r="C71" s="24"/>
      <c r="D71" s="24"/>
      <c r="E71" s="49"/>
      <c r="F71" s="22"/>
      <c r="G71" s="49"/>
      <c r="H71" s="22"/>
      <c r="I71" s="49"/>
      <c r="J71" s="22"/>
      <c r="K71" s="49"/>
      <c r="L71" s="22"/>
      <c r="M71" s="49"/>
      <c r="N71" s="22"/>
      <c r="O71" s="49"/>
      <c r="P71" s="22"/>
      <c r="Q71" s="49"/>
      <c r="R71" s="17"/>
    </row>
    <row r="72" spans="2:18" x14ac:dyDescent="0.25">
      <c r="C72" s="23" t="str">
        <f>Estimation!D337</f>
        <v>62499 - Domestic Travel</v>
      </c>
      <c r="E72" s="49"/>
      <c r="F72" s="22">
        <f>SUMIF(Estimation!$A$150:$A$212,$C72,Estimation!J$150:J$212)</f>
        <v>0</v>
      </c>
      <c r="G72" s="49"/>
      <c r="H72" s="22">
        <f>SUMIF(Estimation!$A$150:$A$212,$C72,Estimation!N$150:N$212)</f>
        <v>0</v>
      </c>
      <c r="I72" s="49"/>
      <c r="J72" s="22">
        <f>SUMIF(Estimation!$A$150:$A$212,$C72,Estimation!R$150:R$212)</f>
        <v>0</v>
      </c>
      <c r="K72" s="49"/>
      <c r="L72" s="22">
        <f>SUMIF(Estimation!$A$150:$A$212,$C72,Estimation!V$150:V$212)</f>
        <v>0</v>
      </c>
      <c r="M72" s="49"/>
      <c r="N72" s="22">
        <f>SUMIF(Estimation!$A$150:$A$212,$C72,Estimation!Z$150:Z$212)</f>
        <v>0</v>
      </c>
      <c r="O72" s="49"/>
      <c r="P72" s="22">
        <f>SUM(F72:N72)</f>
        <v>0</v>
      </c>
      <c r="Q72" s="49"/>
      <c r="R72" s="17"/>
    </row>
    <row r="73" spans="2:18" x14ac:dyDescent="0.25">
      <c r="C73" s="23" t="str">
        <f>Estimation!D338</f>
        <v>62426 - International Travel</v>
      </c>
      <c r="E73" s="49"/>
      <c r="F73" s="22">
        <f>SUMIF(Estimation!$A$150:$A$212,$C73,Estimation!J$150:J$212)</f>
        <v>0</v>
      </c>
      <c r="G73" s="49"/>
      <c r="H73" s="22">
        <f>SUMIF(Estimation!$A$150:$A$212,$C73,Estimation!N$150:N$212)</f>
        <v>0</v>
      </c>
      <c r="I73" s="49"/>
      <c r="J73" s="22">
        <f>SUMIF(Estimation!$A$150:$A$212,$C73,Estimation!R$150:R$212)</f>
        <v>0</v>
      </c>
      <c r="K73" s="49"/>
      <c r="L73" s="22">
        <f>SUMIF(Estimation!$A$150:$A$212,$C73,Estimation!V$150:V$212)</f>
        <v>0</v>
      </c>
      <c r="M73" s="49"/>
      <c r="N73" s="22">
        <f>SUMIF(Estimation!$A$150:$A$212,$C73,Estimation!Z$150:Z$212)</f>
        <v>0</v>
      </c>
      <c r="O73" s="49"/>
      <c r="P73" s="22">
        <f>SUM(F73:N73)</f>
        <v>0</v>
      </c>
      <c r="Q73" s="49"/>
      <c r="R73" s="17"/>
    </row>
    <row r="74" spans="2:18" ht="8.25" customHeight="1" x14ac:dyDescent="0.25">
      <c r="C74" s="23"/>
      <c r="E74" s="50"/>
      <c r="F74" s="51"/>
      <c r="G74" s="50"/>
      <c r="H74" s="51"/>
      <c r="I74" s="50"/>
      <c r="J74" s="51"/>
      <c r="K74" s="50"/>
      <c r="L74" s="51"/>
      <c r="M74" s="50"/>
      <c r="N74" s="51"/>
      <c r="O74" s="50"/>
      <c r="P74" s="51"/>
      <c r="Q74" s="50"/>
      <c r="R74" s="17"/>
    </row>
    <row r="75" spans="2:18" x14ac:dyDescent="0.25">
      <c r="B75" s="23"/>
      <c r="C75" s="23"/>
      <c r="D75" s="62" t="s">
        <v>21</v>
      </c>
      <c r="E75" s="49"/>
      <c r="F75" s="22">
        <f>SUM(F72:F73)</f>
        <v>0</v>
      </c>
      <c r="G75" s="49"/>
      <c r="H75" s="22">
        <f>SUM(H72:H73)</f>
        <v>0</v>
      </c>
      <c r="I75" s="49"/>
      <c r="J75" s="22">
        <f>SUM(J72:J73)</f>
        <v>0</v>
      </c>
      <c r="K75" s="49"/>
      <c r="L75" s="22">
        <f>SUM(L72:L73)</f>
        <v>0</v>
      </c>
      <c r="M75" s="49"/>
      <c r="N75" s="22">
        <f>SUM(N72:N73)</f>
        <v>0</v>
      </c>
      <c r="O75" s="49"/>
      <c r="P75" s="22">
        <f>SUM(F75:N75)</f>
        <v>0</v>
      </c>
      <c r="Q75" s="49"/>
      <c r="R75" s="17"/>
    </row>
    <row r="76" spans="2:18" x14ac:dyDescent="0.25">
      <c r="B76" s="23"/>
      <c r="C76" s="23"/>
      <c r="D76" s="23"/>
      <c r="E76" s="49"/>
      <c r="F76" s="22"/>
      <c r="G76" s="49"/>
      <c r="H76" s="22"/>
      <c r="I76" s="49"/>
      <c r="J76" s="22"/>
      <c r="K76" s="49"/>
      <c r="L76" s="22"/>
      <c r="M76" s="49"/>
      <c r="N76" s="22"/>
      <c r="O76" s="49"/>
      <c r="P76" s="22"/>
      <c r="Q76" s="49"/>
      <c r="R76" s="17"/>
    </row>
    <row r="77" spans="2:18" x14ac:dyDescent="0.25">
      <c r="B77" s="24" t="s">
        <v>109</v>
      </c>
      <c r="C77" s="24"/>
      <c r="D77" s="24"/>
      <c r="E77" s="49"/>
      <c r="F77" s="22"/>
      <c r="G77" s="49"/>
      <c r="H77" s="22"/>
      <c r="I77" s="49"/>
      <c r="J77" s="22"/>
      <c r="K77" s="49"/>
      <c r="L77" s="22"/>
      <c r="M77" s="49"/>
      <c r="N77" s="22"/>
      <c r="O77" s="49"/>
      <c r="P77" s="22"/>
      <c r="Q77" s="49"/>
      <c r="R77" s="17"/>
    </row>
    <row r="78" spans="2:18" x14ac:dyDescent="0.25">
      <c r="B78" s="24"/>
      <c r="C78" s="23" t="s">
        <v>233</v>
      </c>
      <c r="D78" s="24"/>
      <c r="E78" s="49"/>
      <c r="F78" s="22">
        <f>SUMIF(Estimation!$A$16:$A$278,$C78,Estimation!J$16:J$278)</f>
        <v>0</v>
      </c>
      <c r="G78" s="49"/>
      <c r="H78" s="22">
        <f>SUMIF(Estimation!$A$16:$A$278,$C78,Estimation!N$16:N$278)</f>
        <v>0</v>
      </c>
      <c r="I78" s="49"/>
      <c r="J78" s="22">
        <f>SUMIF(Estimation!$A$16:$A$278,$C78,Estimation!R$16:R$278)</f>
        <v>0</v>
      </c>
      <c r="K78" s="49"/>
      <c r="L78" s="22">
        <f>SUMIF(Estimation!$A$16:$A$278,$C78,Estimation!V$16:V$278)</f>
        <v>0</v>
      </c>
      <c r="M78" s="49"/>
      <c r="N78" s="22">
        <f>SUMIF(Estimation!$A$16:$A$278,$C78,Estimation!Z$16:Z$278)</f>
        <v>0</v>
      </c>
      <c r="O78" s="49"/>
      <c r="P78" s="22">
        <f t="shared" ref="P78:P80" si="5">SUM(F78:N78)</f>
        <v>0</v>
      </c>
      <c r="Q78" s="49"/>
      <c r="R78" s="17"/>
    </row>
    <row r="79" spans="2:18" x14ac:dyDescent="0.25">
      <c r="B79" s="24"/>
      <c r="C79" s="23" t="s">
        <v>234</v>
      </c>
      <c r="D79" s="24"/>
      <c r="E79" s="49"/>
      <c r="F79" s="22">
        <f>SUMIF(Estimation!$A$16:$A$278,$C79,Estimation!J$16:J$278)</f>
        <v>0</v>
      </c>
      <c r="G79" s="49"/>
      <c r="H79" s="22">
        <f>SUMIF(Estimation!$A$16:$A$278,$C79,Estimation!N$16:N$278)</f>
        <v>0</v>
      </c>
      <c r="I79" s="49"/>
      <c r="J79" s="22">
        <f>SUMIF(Estimation!$A$16:$A$278,$C79,Estimation!R$16:R$278)</f>
        <v>0</v>
      </c>
      <c r="K79" s="49"/>
      <c r="L79" s="22">
        <f>SUMIF(Estimation!$A$16:$A$278,$C79,Estimation!V$16:V$278)</f>
        <v>0</v>
      </c>
      <c r="M79" s="49"/>
      <c r="N79" s="22">
        <f>SUMIF(Estimation!$A$16:$A$278,$C79,Estimation!Z$16:Z$278)</f>
        <v>0</v>
      </c>
      <c r="O79" s="49"/>
      <c r="P79" s="22">
        <f t="shared" si="5"/>
        <v>0</v>
      </c>
      <c r="Q79" s="49"/>
      <c r="R79" s="17"/>
    </row>
    <row r="80" spans="2:18" x14ac:dyDescent="0.25">
      <c r="B80" s="24"/>
      <c r="C80" s="23" t="s">
        <v>236</v>
      </c>
      <c r="D80" s="24"/>
      <c r="E80" s="49"/>
      <c r="F80" s="22">
        <f>SUMIF(Estimation!$A$16:$A$278,$C80,Estimation!J$16:J$278)</f>
        <v>0</v>
      </c>
      <c r="G80" s="49"/>
      <c r="H80" s="22">
        <f>SUMIF(Estimation!$A$16:$A$278,$C80,Estimation!N$16:N$278)</f>
        <v>0</v>
      </c>
      <c r="I80" s="49"/>
      <c r="J80" s="22">
        <f>SUMIF(Estimation!$A$16:$A$278,$C80,Estimation!R$16:R$278)</f>
        <v>0</v>
      </c>
      <c r="K80" s="49"/>
      <c r="L80" s="22">
        <f>SUMIF(Estimation!$A$16:$A$278,$C80,Estimation!V$16:V$278)</f>
        <v>0</v>
      </c>
      <c r="M80" s="49"/>
      <c r="N80" s="22">
        <f>SUMIF(Estimation!$A$16:$A$278,$C80,Estimation!Z$16:Z$278)</f>
        <v>0</v>
      </c>
      <c r="O80" s="49"/>
      <c r="P80" s="22">
        <f t="shared" si="5"/>
        <v>0</v>
      </c>
      <c r="Q80" s="49"/>
      <c r="R80" s="17"/>
    </row>
    <row r="81" spans="2:30" x14ac:dyDescent="0.25">
      <c r="C81" s="23" t="s">
        <v>238</v>
      </c>
      <c r="E81" s="49"/>
      <c r="F81" s="22">
        <f>SUMIF(Estimation!$A$16:$A$278,$C81,Estimation!J$16:J$278)</f>
        <v>0</v>
      </c>
      <c r="G81" s="49"/>
      <c r="H81" s="22">
        <f>SUMIF(Estimation!$A$16:$A$278,$C81,Estimation!N$16:N$278)</f>
        <v>0</v>
      </c>
      <c r="I81" s="49"/>
      <c r="J81" s="22">
        <f>SUMIF(Estimation!$A$16:$A$278,$C81,Estimation!R$16:R$278)</f>
        <v>0</v>
      </c>
      <c r="K81" s="49"/>
      <c r="L81" s="22">
        <f>SUMIF(Estimation!$A$16:$A$278,$C81,Estimation!V$16:V$278)</f>
        <v>0</v>
      </c>
      <c r="M81" s="49"/>
      <c r="N81" s="22">
        <f>SUMIF(Estimation!$A$16:$A$278,$C81,Estimation!Z$16:Z$278)</f>
        <v>0</v>
      </c>
      <c r="O81" s="49"/>
      <c r="P81" s="22">
        <f>SUM(F81:N81)</f>
        <v>0</v>
      </c>
      <c r="Q81" s="49"/>
      <c r="R81" s="17"/>
    </row>
    <row r="82" spans="2:30" x14ac:dyDescent="0.25">
      <c r="C82" s="23" t="s">
        <v>235</v>
      </c>
      <c r="E82" s="49"/>
      <c r="F82" s="22">
        <f>SUMIF(Estimation!$A$16:$A$278,$C82,Estimation!J$16:J$278)</f>
        <v>0</v>
      </c>
      <c r="G82" s="49"/>
      <c r="H82" s="22">
        <f>SUMIF(Estimation!$A$16:$A$278,$C82,Estimation!N$16:N$278)</f>
        <v>0</v>
      </c>
      <c r="I82" s="49"/>
      <c r="J82" s="22">
        <f>SUMIF(Estimation!$A$16:$A$278,$C82,Estimation!R$16:R$278)</f>
        <v>0</v>
      </c>
      <c r="K82" s="49"/>
      <c r="L82" s="22">
        <f>SUMIF(Estimation!$A$16:$A$278,$C82,Estimation!V$16:V$278)</f>
        <v>0</v>
      </c>
      <c r="M82" s="49"/>
      <c r="N82" s="22">
        <f>SUMIF(Estimation!$A$16:$A$278,$C82,Estimation!Z$16:Z$278)</f>
        <v>0</v>
      </c>
      <c r="O82" s="49"/>
      <c r="P82" s="22">
        <f>SUM(F82:N82)</f>
        <v>0</v>
      </c>
      <c r="Q82" s="49"/>
      <c r="R82" s="17"/>
    </row>
    <row r="83" spans="2:30" ht="8.25" customHeight="1" x14ac:dyDescent="0.25">
      <c r="C83" s="23"/>
      <c r="E83" s="50"/>
      <c r="F83" s="51"/>
      <c r="G83" s="50"/>
      <c r="H83" s="51"/>
      <c r="I83" s="50"/>
      <c r="J83" s="51"/>
      <c r="K83" s="50"/>
      <c r="L83" s="51"/>
      <c r="M83" s="50"/>
      <c r="N83" s="51"/>
      <c r="O83" s="50"/>
      <c r="P83" s="51"/>
      <c r="Q83" s="50"/>
      <c r="R83" s="17"/>
    </row>
    <row r="84" spans="2:30" x14ac:dyDescent="0.25">
      <c r="B84" s="23"/>
      <c r="C84" s="23"/>
      <c r="D84" s="62" t="s">
        <v>44</v>
      </c>
      <c r="E84" s="49"/>
      <c r="F84" s="22">
        <f>SUM(F81:F81)</f>
        <v>0</v>
      </c>
      <c r="G84" s="49"/>
      <c r="H84" s="22">
        <f>SUM(H81:H81)</f>
        <v>0</v>
      </c>
      <c r="I84" s="49"/>
      <c r="J84" s="22">
        <f>SUM(J81:J81)</f>
        <v>0</v>
      </c>
      <c r="K84" s="49"/>
      <c r="L84" s="22">
        <f>SUM(L81:L81)</f>
        <v>0</v>
      </c>
      <c r="M84" s="49"/>
      <c r="N84" s="22">
        <f>SUM(N81:N81)</f>
        <v>0</v>
      </c>
      <c r="O84" s="49"/>
      <c r="P84" s="22">
        <f>SUM(F84:N84)</f>
        <v>0</v>
      </c>
      <c r="Q84" s="49"/>
      <c r="R84" s="17"/>
    </row>
    <row r="85" spans="2:30" x14ac:dyDescent="0.25">
      <c r="B85" s="23"/>
      <c r="C85" s="23"/>
      <c r="D85" s="23"/>
      <c r="E85" s="49"/>
      <c r="F85" s="22"/>
      <c r="G85" s="49"/>
      <c r="H85" s="22"/>
      <c r="I85" s="49"/>
      <c r="J85" s="22"/>
      <c r="K85" s="49"/>
      <c r="L85" s="22"/>
      <c r="M85" s="49"/>
      <c r="N85" s="22"/>
      <c r="O85" s="49"/>
      <c r="P85" s="22"/>
      <c r="Q85" s="49"/>
      <c r="R85" s="17"/>
    </row>
    <row r="86" spans="2:30" x14ac:dyDescent="0.25">
      <c r="B86" s="24" t="s">
        <v>110</v>
      </c>
      <c r="C86" s="24"/>
      <c r="D86" s="24"/>
      <c r="E86" s="49"/>
      <c r="F86" s="22"/>
      <c r="G86" s="49"/>
      <c r="H86" s="22"/>
      <c r="I86" s="49"/>
      <c r="J86" s="22"/>
      <c r="K86" s="49"/>
      <c r="L86" s="22"/>
      <c r="M86" s="49"/>
      <c r="N86" s="22"/>
      <c r="O86" s="49"/>
      <c r="P86" s="22"/>
      <c r="Q86" s="49"/>
      <c r="R86" s="17"/>
    </row>
    <row r="87" spans="2:30" outlineLevel="1" x14ac:dyDescent="0.25">
      <c r="C87" s="23" t="s">
        <v>210</v>
      </c>
      <c r="D87" s="24"/>
      <c r="E87" s="49"/>
      <c r="F87" s="22">
        <f>SUMIF(Estimation!$A$231:$A$270,$C87,Estimation!J$231:J$270)</f>
        <v>0</v>
      </c>
      <c r="G87" s="49"/>
      <c r="H87" s="22">
        <f>SUMIF(Estimation!$A$231:$A$270,$C87,Estimation!N$231:N$270)</f>
        <v>0</v>
      </c>
      <c r="I87" s="49"/>
      <c r="J87" s="22">
        <f>SUMIF(Estimation!$A$231:$A270,$C87,Estimation!R$231:R$270)</f>
        <v>0</v>
      </c>
      <c r="K87" s="49"/>
      <c r="L87" s="22">
        <f>SUMIF(Estimation!$A$231:$A270,$C87,Estimation!V$231:V$270)</f>
        <v>0</v>
      </c>
      <c r="M87" s="49"/>
      <c r="N87" s="22">
        <f>SUMIF(Estimation!$A$231:$A270,$C87,Estimation!Z$231:Z$270)</f>
        <v>0</v>
      </c>
      <c r="O87" s="49"/>
      <c r="P87" s="22">
        <f t="shared" ref="P87:P89" si="6">SUM(F87:N87)</f>
        <v>0</v>
      </c>
      <c r="Q87" s="49"/>
      <c r="R87" s="17"/>
    </row>
    <row r="88" spans="2:30" s="11" customFormat="1" outlineLevel="1" x14ac:dyDescent="0.25">
      <c r="C88" s="23" t="str">
        <f>Estimation!D341</f>
        <v>62199 - Contract/Consulting Services</v>
      </c>
      <c r="D88" s="39"/>
      <c r="E88" s="49"/>
      <c r="F88" s="22">
        <f>SUMIF(Estimation!$A$231:$A$270,$C88,Estimation!J$231:J$270)</f>
        <v>0</v>
      </c>
      <c r="G88" s="49"/>
      <c r="H88" s="22">
        <f>SUMIF(Estimation!$A$231:$A$270,$C88,Estimation!N$231:N$270)</f>
        <v>0</v>
      </c>
      <c r="I88" s="49"/>
      <c r="J88" s="22">
        <f ca="1">SUMIF(Estimation!$A$231:$A271,$C88,Estimation!R$231:R$270)</f>
        <v>0</v>
      </c>
      <c r="K88" s="49"/>
      <c r="L88" s="22">
        <f ca="1">SUMIF(Estimation!$A$231:$A271,$C88,Estimation!V$231:V$270)</f>
        <v>0</v>
      </c>
      <c r="M88" s="49"/>
      <c r="N88" s="22">
        <f ca="1">SUMIF(Estimation!$A$231:$A271,$C88,Estimation!Z$231:Z$270)</f>
        <v>0</v>
      </c>
      <c r="O88" s="49"/>
      <c r="P88" s="22">
        <f t="shared" ca="1" si="6"/>
        <v>0</v>
      </c>
      <c r="Q88" s="49"/>
      <c r="R88" s="29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2:30" s="11" customFormat="1" outlineLevel="1" x14ac:dyDescent="0.25">
      <c r="C89" s="23" t="s">
        <v>237</v>
      </c>
      <c r="D89" s="39"/>
      <c r="E89" s="49"/>
      <c r="F89" s="22">
        <f>SUMIF(Estimation!$A$231:$A$270,$C89,Estimation!J$231:J$270)</f>
        <v>0</v>
      </c>
      <c r="G89" s="49"/>
      <c r="H89" s="22">
        <f>SUMIF(Estimation!$A$231:$A$270,$C89,Estimation!N$231:N$270)</f>
        <v>0</v>
      </c>
      <c r="I89" s="49"/>
      <c r="J89" s="22">
        <f ca="1">SUMIF(Estimation!$A$231:$A272,$C89,Estimation!R$231:R$270)</f>
        <v>0</v>
      </c>
      <c r="K89" s="49"/>
      <c r="L89" s="22">
        <f ca="1">SUMIF(Estimation!$A$231:$A272,$C89,Estimation!V$231:V$270)</f>
        <v>0</v>
      </c>
      <c r="M89" s="49"/>
      <c r="N89" s="22">
        <f ca="1">SUMIF(Estimation!$A$231:$A272,$C89,Estimation!Z$231:Z$270)</f>
        <v>0</v>
      </c>
      <c r="O89" s="49"/>
      <c r="P89" s="22">
        <f t="shared" ca="1" si="6"/>
        <v>0</v>
      </c>
      <c r="Q89" s="49"/>
      <c r="R89" s="29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2:30" outlineLevel="1" x14ac:dyDescent="0.25">
      <c r="C90" s="23" t="str">
        <f>Estimation!D344</f>
        <v>62214 - Printing</v>
      </c>
      <c r="E90" s="49"/>
      <c r="F90" s="22">
        <f>SUMIF(Estimation!$A$231:$A$270,$C90,Estimation!J$231:J$270)</f>
        <v>0</v>
      </c>
      <c r="G90" s="49"/>
      <c r="H90" s="22">
        <f>SUMIF(Estimation!$A$231:$A$270,$C90,Estimation!N$231:N$270)</f>
        <v>0</v>
      </c>
      <c r="I90" s="49"/>
      <c r="J90" s="22">
        <f ca="1">SUMIF(Estimation!$A$231:$A272,$C90,Estimation!R$231:R$270)</f>
        <v>0</v>
      </c>
      <c r="K90" s="49"/>
      <c r="L90" s="22">
        <f ca="1">SUMIF(Estimation!$A$231:$A272,$C90,Estimation!V$231:V$270)</f>
        <v>0</v>
      </c>
      <c r="M90" s="49"/>
      <c r="N90" s="22">
        <f ca="1">SUMIF(Estimation!$A$231:$A272,$C90,Estimation!Z$231:Z$270)</f>
        <v>0</v>
      </c>
      <c r="O90" s="49"/>
      <c r="P90" s="22">
        <f t="shared" ref="P90" ca="1" si="7">SUM(F90:N90)</f>
        <v>0</v>
      </c>
      <c r="Q90" s="49"/>
      <c r="R90" s="17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</row>
    <row r="91" spans="2:30" outlineLevel="1" x14ac:dyDescent="0.25">
      <c r="C91" s="23" t="str">
        <f>Estimation!D345</f>
        <v>62293 - Publication</v>
      </c>
      <c r="E91" s="49"/>
      <c r="F91" s="22">
        <f>SUMIF(Estimation!$A$231:$A$270,$C91,Estimation!J$231:J$270)</f>
        <v>0</v>
      </c>
      <c r="G91" s="49"/>
      <c r="H91" s="22">
        <f>SUMIF(Estimation!$A$231:$A$270,$C91,Estimation!N$231:N$270)</f>
        <v>0</v>
      </c>
      <c r="I91" s="49"/>
      <c r="J91" s="22">
        <f ca="1">SUMIF(Estimation!$A$231:$A273,$C91,Estimation!R$231:R$270)</f>
        <v>0</v>
      </c>
      <c r="K91" s="49"/>
      <c r="L91" s="22">
        <f ca="1">SUMIF(Estimation!$A$231:$A273,$C91,Estimation!V$231:V$270)</f>
        <v>0</v>
      </c>
      <c r="M91" s="49"/>
      <c r="N91" s="22">
        <f ca="1">SUMIF(Estimation!$A$231:$A273,$C91,Estimation!Z$231:Z$270)</f>
        <v>0</v>
      </c>
      <c r="O91" s="49"/>
      <c r="P91" s="22">
        <f t="shared" ref="P91:P109" ca="1" si="8">SUM(F91:N91)</f>
        <v>0</v>
      </c>
      <c r="Q91" s="49"/>
      <c r="R91" s="17"/>
    </row>
    <row r="92" spans="2:30" outlineLevel="1" x14ac:dyDescent="0.25">
      <c r="C92" s="23" t="str">
        <f>Estimation!D346</f>
        <v>62299 - Supplies</v>
      </c>
      <c r="E92" s="49"/>
      <c r="F92" s="22">
        <f>SUMIF(Estimation!$A$231:$A$270,$C92,Estimation!J$231:J$270)</f>
        <v>0</v>
      </c>
      <c r="G92" s="49"/>
      <c r="H92" s="22">
        <f>SUMIF(Estimation!$A$231:$A$270,$C92,Estimation!N$231:N$270)</f>
        <v>0</v>
      </c>
      <c r="I92" s="49"/>
      <c r="J92" s="22">
        <f ca="1">SUMIF(Estimation!$A$231:$A274,$C92,Estimation!R$231:R$270)</f>
        <v>0</v>
      </c>
      <c r="K92" s="49"/>
      <c r="L92" s="22">
        <f ca="1">SUMIF(Estimation!$A$231:$A274,$C92,Estimation!V$231:V$270)</f>
        <v>0</v>
      </c>
      <c r="M92" s="49"/>
      <c r="N92" s="22">
        <f ca="1">SUMIF(Estimation!$A$231:$A274,$C92,Estimation!Z$231:Z$270)</f>
        <v>0</v>
      </c>
      <c r="O92" s="49"/>
      <c r="P92" s="22">
        <f t="shared" ca="1" si="8"/>
        <v>0</v>
      </c>
      <c r="Q92" s="49"/>
      <c r="R92" s="17"/>
    </row>
    <row r="93" spans="2:30" outlineLevel="1" x14ac:dyDescent="0.25">
      <c r="C93" s="23" t="str">
        <f>Estimation!D347</f>
        <v>62399 - Communications</v>
      </c>
      <c r="E93" s="49"/>
      <c r="F93" s="22">
        <f>SUMIF(Estimation!$A$231:$A$270,$C93,Estimation!J$231:J$270)</f>
        <v>0</v>
      </c>
      <c r="G93" s="49"/>
      <c r="H93" s="22">
        <f>SUMIF(Estimation!$A$231:$A$270,$C93,Estimation!N$231:N$270)</f>
        <v>0</v>
      </c>
      <c r="I93" s="49"/>
      <c r="J93" s="22">
        <f ca="1">SUMIF(Estimation!$A$231:$A276,$C93,Estimation!R$231:R$270)</f>
        <v>0</v>
      </c>
      <c r="K93" s="49"/>
      <c r="L93" s="22">
        <f ca="1">SUMIF(Estimation!$A$231:$A276,$C93,Estimation!V$231:V$270)</f>
        <v>0</v>
      </c>
      <c r="M93" s="49"/>
      <c r="N93" s="22">
        <f ca="1">SUMIF(Estimation!$A$231:$A276,$C93,Estimation!Z$231:Z$270)</f>
        <v>0</v>
      </c>
      <c r="O93" s="49"/>
      <c r="P93" s="22">
        <f t="shared" ca="1" si="8"/>
        <v>0</v>
      </c>
      <c r="Q93" s="49"/>
      <c r="R93" s="17"/>
    </row>
    <row r="94" spans="2:30" outlineLevel="1" x14ac:dyDescent="0.25">
      <c r="C94" s="23" t="str">
        <f>Estimation!D348</f>
        <v>62599 - Rent</v>
      </c>
      <c r="E94" s="49"/>
      <c r="F94" s="22">
        <f>SUMIF(Estimation!$A$231:$A$270,$C94,Estimation!J$231:J$270)</f>
        <v>0</v>
      </c>
      <c r="G94" s="49"/>
      <c r="H94" s="22">
        <f>SUMIF(Estimation!$A$231:$A$270,$C94,Estimation!N$231:N$270)</f>
        <v>0</v>
      </c>
      <c r="I94" s="49"/>
      <c r="J94" s="22">
        <f ca="1">SUMIF(Estimation!$A$231:$A277,$C94,Estimation!R$231:R$270)</f>
        <v>0</v>
      </c>
      <c r="K94" s="49"/>
      <c r="L94" s="22">
        <f ca="1">SUMIF(Estimation!$A$231:$A277,$C94,Estimation!V$231:V$270)</f>
        <v>0</v>
      </c>
      <c r="M94" s="49"/>
      <c r="N94" s="22">
        <f ca="1">SUMIF(Estimation!$A$231:$A277,$C94,Estimation!Z$231:Z$270)</f>
        <v>0</v>
      </c>
      <c r="O94" s="49"/>
      <c r="P94" s="22">
        <f t="shared" ca="1" si="8"/>
        <v>0</v>
      </c>
      <c r="Q94" s="49"/>
      <c r="R94" s="17"/>
    </row>
    <row r="95" spans="2:30" outlineLevel="1" x14ac:dyDescent="0.25">
      <c r="C95" s="23" t="str">
        <f>Estimation!D349</f>
        <v>62699 - Utilities</v>
      </c>
      <c r="E95" s="49"/>
      <c r="F95" s="22">
        <f>SUMIF(Estimation!$A$231:$A$270,$C95,Estimation!J$231:J$270)</f>
        <v>0</v>
      </c>
      <c r="G95" s="49"/>
      <c r="H95" s="22">
        <f>SUMIF(Estimation!$A$231:$A$270,$C95,Estimation!N$231:N$270)</f>
        <v>0</v>
      </c>
      <c r="I95" s="49"/>
      <c r="J95" s="22">
        <f ca="1">SUMIF(Estimation!$A$231:$A278,$C95,Estimation!R$231:R$270)</f>
        <v>0</v>
      </c>
      <c r="K95" s="49"/>
      <c r="L95" s="22">
        <f ca="1">SUMIF(Estimation!$A$231:$A278,$C95,Estimation!V$231:V$270)</f>
        <v>0</v>
      </c>
      <c r="M95" s="49"/>
      <c r="N95" s="22">
        <f ca="1">SUMIF(Estimation!$A$231:$A278,$C95,Estimation!Z$231:Z$270)</f>
        <v>0</v>
      </c>
      <c r="O95" s="49"/>
      <c r="P95" s="22">
        <f t="shared" ca="1" si="8"/>
        <v>0</v>
      </c>
      <c r="Q95" s="49"/>
      <c r="R95" s="17"/>
    </row>
    <row r="96" spans="2:30" outlineLevel="1" x14ac:dyDescent="0.25">
      <c r="C96" s="23" t="str">
        <f>Estimation!D350</f>
        <v>62799 - Repairs &amp; Maintenance</v>
      </c>
      <c r="E96" s="49"/>
      <c r="F96" s="22">
        <f>SUMIF(Estimation!$A$231:$A$270,$C96,Estimation!J$231:J$270)</f>
        <v>0</v>
      </c>
      <c r="G96" s="49"/>
      <c r="H96" s="22">
        <f>SUMIF(Estimation!$A$231:$A$270,$C96,Estimation!N$231:N$270)</f>
        <v>0</v>
      </c>
      <c r="I96" s="49"/>
      <c r="J96" s="22">
        <f ca="1">SUMIF(Estimation!$A$231:$A279,$C96,Estimation!R$231:R$270)</f>
        <v>0</v>
      </c>
      <c r="K96" s="49"/>
      <c r="L96" s="22">
        <f ca="1">SUMIF(Estimation!$A$231:$A279,$C96,Estimation!V$231:V$270)</f>
        <v>0</v>
      </c>
      <c r="M96" s="49"/>
      <c r="N96" s="22">
        <f ca="1">SUMIF(Estimation!$A$231:$A279,$C96,Estimation!Z$231:Z$270)</f>
        <v>0</v>
      </c>
      <c r="O96" s="49"/>
      <c r="P96" s="22">
        <f t="shared" ca="1" si="8"/>
        <v>0</v>
      </c>
      <c r="Q96" s="49"/>
      <c r="R96" s="17"/>
    </row>
    <row r="97" spans="2:30" outlineLevel="1" x14ac:dyDescent="0.25">
      <c r="C97" s="23" t="str">
        <f>Estimation!D351</f>
        <v>62801 - Dues</v>
      </c>
      <c r="E97" s="49"/>
      <c r="F97" s="22">
        <f>SUMIF(Estimation!$A$231:$A$270,$C97,Estimation!J$231:J$270)</f>
        <v>0</v>
      </c>
      <c r="G97" s="49"/>
      <c r="H97" s="22">
        <f>SUMIF(Estimation!$A$231:$A$270,$C97,Estimation!N$231:N$270)</f>
        <v>0</v>
      </c>
      <c r="I97" s="49"/>
      <c r="J97" s="22">
        <f ca="1">SUMIF(Estimation!$A$231:$A280,$C97,Estimation!R$231:R$270)</f>
        <v>0</v>
      </c>
      <c r="K97" s="49"/>
      <c r="L97" s="22">
        <f ca="1">SUMIF(Estimation!$A$231:$A280,$C97,Estimation!V$231:V$270)</f>
        <v>0</v>
      </c>
      <c r="M97" s="49"/>
      <c r="N97" s="22">
        <f ca="1">SUMIF(Estimation!$A$231:$A280,$C97,Estimation!Z$231:Z$270)</f>
        <v>0</v>
      </c>
      <c r="O97" s="49"/>
      <c r="P97" s="22">
        <f t="shared" ca="1" si="8"/>
        <v>0</v>
      </c>
      <c r="Q97" s="49"/>
      <c r="R97" s="17"/>
    </row>
    <row r="98" spans="2:30" outlineLevel="1" x14ac:dyDescent="0.25">
      <c r="C98" s="23" t="str">
        <f>Estimation!D352</f>
        <v>62802 - Subscriptions</v>
      </c>
      <c r="E98" s="49"/>
      <c r="F98" s="22">
        <f>SUMIF(Estimation!$A$231:$A$270,$C98,Estimation!J$231:J$270)</f>
        <v>0</v>
      </c>
      <c r="G98" s="49"/>
      <c r="H98" s="22">
        <f>SUMIF(Estimation!$A$231:$A$270,$C98,Estimation!N$231:N$270)</f>
        <v>0</v>
      </c>
      <c r="I98" s="49"/>
      <c r="J98" s="22">
        <f ca="1">SUMIF(Estimation!$A$231:$A281,$C98,Estimation!R$231:R$270)</f>
        <v>0</v>
      </c>
      <c r="K98" s="49"/>
      <c r="L98" s="22">
        <f ca="1">SUMIF(Estimation!$A$231:$A281,$C98,Estimation!V$231:V$270)</f>
        <v>0</v>
      </c>
      <c r="M98" s="49"/>
      <c r="N98" s="22">
        <f ca="1">SUMIF(Estimation!$A$231:$A281,$C98,Estimation!Z$231:Z$270)</f>
        <v>0</v>
      </c>
      <c r="O98" s="49"/>
      <c r="P98" s="22">
        <f t="shared" ca="1" si="8"/>
        <v>0</v>
      </c>
      <c r="Q98" s="49"/>
      <c r="R98" s="17"/>
    </row>
    <row r="99" spans="2:30" outlineLevel="1" x14ac:dyDescent="0.25">
      <c r="C99" s="23" t="str">
        <f>Estimation!D353</f>
        <v>62809 - Education Training Costs</v>
      </c>
      <c r="E99" s="49"/>
      <c r="F99" s="22">
        <f>SUMIF(Estimation!$A$231:$A$270,$C99,Estimation!J$231:J$270)</f>
        <v>0</v>
      </c>
      <c r="G99" s="49"/>
      <c r="H99" s="22">
        <f>SUMIF(Estimation!$A$231:$A$270,$C99,Estimation!N$231:N$270)</f>
        <v>0</v>
      </c>
      <c r="I99" s="49"/>
      <c r="J99" s="22">
        <f ca="1">SUMIF(Estimation!$A$231:$A282,$C99,Estimation!R$231:R$270)</f>
        <v>0</v>
      </c>
      <c r="K99" s="49"/>
      <c r="L99" s="22">
        <f ca="1">SUMIF(Estimation!$A$231:$A282,$C99,Estimation!V$231:V$270)</f>
        <v>0</v>
      </c>
      <c r="M99" s="49"/>
      <c r="N99" s="22">
        <f ca="1">SUMIF(Estimation!$A$231:$A282,$C99,Estimation!Z$231:Z$270)</f>
        <v>0</v>
      </c>
      <c r="O99" s="49"/>
      <c r="P99" s="22">
        <f t="shared" ca="1" si="8"/>
        <v>0</v>
      </c>
      <c r="Q99" s="49"/>
      <c r="R99" s="17"/>
    </row>
    <row r="100" spans="2:30" outlineLevel="1" x14ac:dyDescent="0.25">
      <c r="C100" s="23" t="str">
        <f>Estimation!D355</f>
        <v>62812 - Allowances/Stipends</v>
      </c>
      <c r="E100" s="49"/>
      <c r="F100" s="22">
        <f>SUMIF(Estimation!$A$231:$A$270,$C100,Estimation!J$231:J$270)</f>
        <v>0</v>
      </c>
      <c r="G100" s="49"/>
      <c r="H100" s="22">
        <f>SUMIF(Estimation!$A$231:$A$270,$C100,Estimation!N$231:N$270)</f>
        <v>0</v>
      </c>
      <c r="I100" s="49"/>
      <c r="J100" s="22">
        <f ca="1">SUMIF(Estimation!$A$231:$A283,$C100,Estimation!R$231:R$270)</f>
        <v>0</v>
      </c>
      <c r="K100" s="49"/>
      <c r="L100" s="22">
        <f ca="1">SUMIF(Estimation!$A$231:$A283,$C100,Estimation!V$231:V$270)</f>
        <v>0</v>
      </c>
      <c r="M100" s="49"/>
      <c r="N100" s="22">
        <f ca="1">SUMIF(Estimation!$A$231:$A283,$C100,Estimation!Z$231:Z$270)</f>
        <v>0</v>
      </c>
      <c r="O100" s="49"/>
      <c r="P100" s="22">
        <f t="shared" ca="1" si="8"/>
        <v>0</v>
      </c>
      <c r="Q100" s="49"/>
      <c r="R100" s="17"/>
    </row>
    <row r="101" spans="2:30" outlineLevel="1" x14ac:dyDescent="0.25">
      <c r="C101" s="23" t="str">
        <f>Estimation!D356</f>
        <v>62814 - Credit Reporting Fees (Cont. Educ)</v>
      </c>
      <c r="E101" s="49"/>
      <c r="F101" s="22">
        <f>SUMIF(Estimation!$A$231:$A$270,$C101,Estimation!J$231:J$270)</f>
        <v>0</v>
      </c>
      <c r="G101" s="49"/>
      <c r="H101" s="22">
        <f>SUMIF(Estimation!$A$231:$A$270,$C101,Estimation!N$231:N$270)</f>
        <v>0</v>
      </c>
      <c r="I101" s="49"/>
      <c r="J101" s="22">
        <f ca="1">SUMIF(Estimation!$A$231:$A284,$C101,Estimation!R$231:R$270)</f>
        <v>0</v>
      </c>
      <c r="K101" s="49"/>
      <c r="L101" s="22">
        <f ca="1">SUMIF(Estimation!$A$231:$A284,$C101,Estimation!V$231:V$270)</f>
        <v>0</v>
      </c>
      <c r="M101" s="49"/>
      <c r="N101" s="22">
        <f ca="1">SUMIF(Estimation!$A$231:$A284,$C101,Estimation!Z$231:Z$270)</f>
        <v>0</v>
      </c>
      <c r="O101" s="49"/>
      <c r="P101" s="22">
        <f t="shared" ca="1" si="8"/>
        <v>0</v>
      </c>
      <c r="Q101" s="49"/>
      <c r="R101" s="17"/>
    </row>
    <row r="102" spans="2:30" outlineLevel="1" x14ac:dyDescent="0.25">
      <c r="C102" s="23" t="s">
        <v>244</v>
      </c>
      <c r="E102" s="49"/>
      <c r="F102" s="22">
        <f>SUMIF(Estimation!$A$231:$A$270,$C102,Estimation!J$231:J$270)</f>
        <v>0</v>
      </c>
      <c r="G102" s="49"/>
      <c r="H102" s="22">
        <f>SUMIF(Estimation!$A$231:$A$270,$C102,Estimation!N$231:N$270)</f>
        <v>0</v>
      </c>
      <c r="I102" s="49"/>
      <c r="J102" s="22">
        <f ca="1">SUMIF(Estimation!$A$231:$A285,$C102,Estimation!R$231:R$270)</f>
        <v>0</v>
      </c>
      <c r="K102" s="49"/>
      <c r="L102" s="22">
        <f ca="1">SUMIF(Estimation!$A$231:$A285,$C102,Estimation!V$231:V$270)</f>
        <v>0</v>
      </c>
      <c r="M102" s="49"/>
      <c r="N102" s="22">
        <f ca="1">SUMIF(Estimation!$A$231:$A285,$C102,Estimation!Z$231:Z$270)</f>
        <v>0</v>
      </c>
      <c r="O102" s="49"/>
      <c r="P102" s="22">
        <f t="shared" ca="1" si="8"/>
        <v>0</v>
      </c>
      <c r="Q102" s="49"/>
      <c r="R102" s="17"/>
    </row>
    <row r="103" spans="2:30" outlineLevel="1" x14ac:dyDescent="0.25">
      <c r="C103" s="23" t="s">
        <v>207</v>
      </c>
      <c r="E103" s="49"/>
      <c r="F103" s="22">
        <f>SUMIF(Estimation!$A$231:$A$270,$C103,Estimation!J$231:J$270)</f>
        <v>0</v>
      </c>
      <c r="G103" s="49"/>
      <c r="H103" s="22">
        <f>SUMIF(Estimation!$A$231:$A$270,$C103,Estimation!N$231:N$270)</f>
        <v>0</v>
      </c>
      <c r="I103" s="49"/>
      <c r="J103" s="22">
        <f ca="1">SUMIF(Estimation!$A$231:$A286,$C103,Estimation!R$231:R$270)</f>
        <v>0</v>
      </c>
      <c r="K103" s="49"/>
      <c r="L103" s="22">
        <f ca="1">SUMIF(Estimation!$A$231:$A286,$C103,Estimation!V$231:V$270)</f>
        <v>0</v>
      </c>
      <c r="M103" s="49"/>
      <c r="N103" s="22">
        <f ca="1">SUMIF(Estimation!$A$231:$A286,$C103,Estimation!Z$231:Z$270)</f>
        <v>0</v>
      </c>
      <c r="O103" s="49"/>
      <c r="P103" s="22">
        <f t="shared" ca="1" si="8"/>
        <v>0</v>
      </c>
      <c r="Q103" s="49"/>
      <c r="R103" s="17"/>
    </row>
    <row r="104" spans="2:30" outlineLevel="1" x14ac:dyDescent="0.25">
      <c r="C104" s="23" t="s">
        <v>239</v>
      </c>
      <c r="E104" s="49"/>
      <c r="F104" s="22">
        <f>SUMIF(Estimation!$A$231:$A$270,$C104,Estimation!J$231:J$270)</f>
        <v>0</v>
      </c>
      <c r="G104" s="49"/>
      <c r="H104" s="22">
        <f>SUMIF(Estimation!$A$231:$A$270,$C104,Estimation!N$231:N$270)</f>
        <v>0</v>
      </c>
      <c r="I104" s="49"/>
      <c r="J104" s="22">
        <f ca="1">SUMIF(Estimation!$A$231:$A287,$C104,Estimation!R$231:R$270)</f>
        <v>0</v>
      </c>
      <c r="K104" s="49"/>
      <c r="L104" s="22">
        <f ca="1">SUMIF(Estimation!$A$231:$A287,$C104,Estimation!V$231:V$270)</f>
        <v>0</v>
      </c>
      <c r="M104" s="49"/>
      <c r="N104" s="22">
        <f ca="1">SUMIF(Estimation!$A$231:$A287,$C104,Estimation!Z$231:Z$270)</f>
        <v>0</v>
      </c>
      <c r="O104" s="49"/>
      <c r="P104" s="22">
        <f t="shared" ca="1" si="8"/>
        <v>0</v>
      </c>
      <c r="Q104" s="49"/>
      <c r="R104" s="17"/>
    </row>
    <row r="105" spans="2:30" outlineLevel="1" x14ac:dyDescent="0.25">
      <c r="C105" s="23" t="s">
        <v>245</v>
      </c>
      <c r="E105" s="49"/>
      <c r="F105" s="22">
        <f>SUMIF(Estimation!$A$231:$A$270,$C105,Estimation!J$231:J$270)</f>
        <v>0</v>
      </c>
      <c r="G105" s="49"/>
      <c r="H105" s="22">
        <f>SUMIF(Estimation!$A$231:$A$270,$C105,Estimation!N$231:N$270)</f>
        <v>0</v>
      </c>
      <c r="I105" s="49"/>
      <c r="J105" s="22">
        <f ca="1">SUMIF(Estimation!$A$231:$A288,$C105,Estimation!R$231:R$270)</f>
        <v>0</v>
      </c>
      <c r="K105" s="49"/>
      <c r="L105" s="22">
        <f ca="1">SUMIF(Estimation!$A$231:$A288,$C105,Estimation!V$231:V$270)</f>
        <v>0</v>
      </c>
      <c r="M105" s="49"/>
      <c r="N105" s="22">
        <f ca="1">SUMIF(Estimation!$A$231:$A288,$C105,Estimation!Z$231:Z$270)</f>
        <v>0</v>
      </c>
      <c r="O105" s="49"/>
      <c r="P105" s="22">
        <f t="shared" ca="1" si="8"/>
        <v>0</v>
      </c>
      <c r="Q105" s="49"/>
      <c r="R105" s="17"/>
    </row>
    <row r="106" spans="2:30" outlineLevel="1" x14ac:dyDescent="0.25">
      <c r="C106" s="23" t="s">
        <v>209</v>
      </c>
      <c r="E106" s="49"/>
      <c r="F106" s="22">
        <f>SUMIF(Estimation!$A$231:$A$270,$C106,Estimation!J$231:J$270)</f>
        <v>0</v>
      </c>
      <c r="G106" s="49"/>
      <c r="H106" s="22">
        <f>SUMIF(Estimation!$A$231:$A$270,$C106,Estimation!N$231:N$270)</f>
        <v>0</v>
      </c>
      <c r="I106" s="49"/>
      <c r="J106" s="22">
        <f ca="1">SUMIF(Estimation!$A$231:$A289,$C106,Estimation!R$231:R$270)</f>
        <v>0</v>
      </c>
      <c r="K106" s="49"/>
      <c r="L106" s="22">
        <f ca="1">SUMIF(Estimation!$A$231:$A289,$C106,Estimation!V$231:V$270)</f>
        <v>0</v>
      </c>
      <c r="M106" s="49"/>
      <c r="N106" s="22">
        <f ca="1">SUMIF(Estimation!$A$231:$A289,$C106,Estimation!Z$231:Z$270)</f>
        <v>0</v>
      </c>
      <c r="O106" s="49"/>
      <c r="P106" s="22">
        <f t="shared" ca="1" si="8"/>
        <v>0</v>
      </c>
      <c r="Q106" s="49"/>
      <c r="R106" s="17"/>
    </row>
    <row r="107" spans="2:30" outlineLevel="1" x14ac:dyDescent="0.25">
      <c r="C107" s="23" t="s">
        <v>246</v>
      </c>
      <c r="E107" s="49"/>
      <c r="F107" s="22">
        <f>SUMIF(Estimation!$A$231:$A$270,$C107,Estimation!J$231:J$270)</f>
        <v>0</v>
      </c>
      <c r="G107" s="49"/>
      <c r="H107" s="22">
        <f>SUMIF(Estimation!$A$231:$A$270,$C107,Estimation!N$231:N$270)</f>
        <v>0</v>
      </c>
      <c r="I107" s="49"/>
      <c r="J107" s="22">
        <f ca="1">SUMIF(Estimation!$A$231:$A290,$C107,Estimation!R$231:R$270)</f>
        <v>0</v>
      </c>
      <c r="K107" s="49"/>
      <c r="L107" s="22">
        <f ca="1">SUMIF(Estimation!$A$231:$A290,$C107,Estimation!V$231:V$270)</f>
        <v>0</v>
      </c>
      <c r="M107" s="49"/>
      <c r="N107" s="22">
        <f ca="1">SUMIF(Estimation!$A$231:$A290,$C107,Estimation!Z$231:Z$270)</f>
        <v>0</v>
      </c>
      <c r="O107" s="49"/>
      <c r="P107" s="22">
        <f t="shared" ca="1" si="8"/>
        <v>0</v>
      </c>
      <c r="Q107" s="49"/>
      <c r="R107" s="17"/>
    </row>
    <row r="108" spans="2:30" outlineLevel="1" x14ac:dyDescent="0.25">
      <c r="C108" s="23" t="s">
        <v>208</v>
      </c>
      <c r="E108" s="49"/>
      <c r="F108" s="22">
        <f>SUMIF(Estimation!$A$231:$A$270,$C108,Estimation!J$231:J$270)</f>
        <v>0</v>
      </c>
      <c r="G108" s="49"/>
      <c r="H108" s="22">
        <f>SUMIF(Estimation!$A$231:$A$270,$C108,Estimation!N$231:N$270)</f>
        <v>0</v>
      </c>
      <c r="I108" s="49"/>
      <c r="J108" s="22">
        <f ca="1">SUMIF(Estimation!$A$231:$A291,$C108,Estimation!R$231:R$270)</f>
        <v>0</v>
      </c>
      <c r="K108" s="49"/>
      <c r="L108" s="22">
        <f ca="1">SUMIF(Estimation!$A$231:$A291,$C108,Estimation!V$231:V$270)</f>
        <v>0</v>
      </c>
      <c r="M108" s="49"/>
      <c r="N108" s="22">
        <f ca="1">SUMIF(Estimation!$A$231:$A291,$C108,Estimation!Z$231:Z$270)</f>
        <v>0</v>
      </c>
      <c r="O108" s="49"/>
      <c r="P108" s="22">
        <f t="shared" ca="1" si="8"/>
        <v>0</v>
      </c>
      <c r="Q108" s="49"/>
      <c r="R108" s="17"/>
    </row>
    <row r="109" spans="2:30" outlineLevel="1" x14ac:dyDescent="0.25">
      <c r="C109" s="23" t="str">
        <f>Estimation!D364</f>
        <v>Other</v>
      </c>
      <c r="E109" s="49"/>
      <c r="F109" s="22">
        <f>SUMIF(Estimation!$A$231:$A$270,$C109,Estimation!J$231:J$270)</f>
        <v>0</v>
      </c>
      <c r="G109" s="49"/>
      <c r="H109" s="22">
        <f>SUMIF(Estimation!$A$231:$A$270,$C109,Estimation!N$231:N$270)</f>
        <v>0</v>
      </c>
      <c r="I109" s="49"/>
      <c r="J109" s="22">
        <f ca="1">SUMIF(Estimation!$A$231:$A285,$C109,Estimation!R$231:R$270)</f>
        <v>0</v>
      </c>
      <c r="K109" s="49"/>
      <c r="L109" s="22">
        <f ca="1">SUMIF(Estimation!$A$231:$A285,$C109,Estimation!V$231:V$270)</f>
        <v>0</v>
      </c>
      <c r="M109" s="49"/>
      <c r="N109" s="22">
        <f ca="1">SUMIF(Estimation!$A$231:$A285,$C109,Estimation!Z$231:Z$270)</f>
        <v>0</v>
      </c>
      <c r="O109" s="49"/>
      <c r="P109" s="22">
        <f t="shared" ca="1" si="8"/>
        <v>0</v>
      </c>
      <c r="Q109" s="49"/>
      <c r="R109" s="17"/>
    </row>
    <row r="110" spans="2:30" ht="8.25" customHeight="1" x14ac:dyDescent="0.25">
      <c r="C110" s="23"/>
      <c r="E110" s="50"/>
      <c r="F110" s="51"/>
      <c r="G110" s="50"/>
      <c r="H110" s="51"/>
      <c r="I110" s="50"/>
      <c r="J110" s="51"/>
      <c r="K110" s="50"/>
      <c r="L110" s="51"/>
      <c r="M110" s="50"/>
      <c r="N110" s="51"/>
      <c r="O110" s="50"/>
      <c r="P110" s="51"/>
      <c r="Q110" s="50"/>
      <c r="R110" s="17"/>
    </row>
    <row r="111" spans="2:30" x14ac:dyDescent="0.25">
      <c r="B111" s="23"/>
      <c r="C111" s="23"/>
      <c r="D111" s="62" t="s">
        <v>13</v>
      </c>
      <c r="E111" s="49"/>
      <c r="F111" s="22">
        <f>SUM(F87:F109)</f>
        <v>0</v>
      </c>
      <c r="G111" s="49"/>
      <c r="H111" s="22">
        <f>SUM(H87:H109)</f>
        <v>0</v>
      </c>
      <c r="I111" s="49"/>
      <c r="J111" s="22">
        <f ca="1">SUM(J87:J109)</f>
        <v>0</v>
      </c>
      <c r="K111" s="49"/>
      <c r="L111" s="22">
        <f ca="1">SUM(L87:L109)</f>
        <v>0</v>
      </c>
      <c r="M111" s="49"/>
      <c r="N111" s="22">
        <f ca="1">SUM(N87:N109)</f>
        <v>0</v>
      </c>
      <c r="O111" s="49"/>
      <c r="P111" s="22">
        <f ca="1">SUM(F111:N111)</f>
        <v>0</v>
      </c>
      <c r="Q111" s="49"/>
      <c r="R111" s="17"/>
    </row>
    <row r="112" spans="2:30" s="11" customFormat="1" x14ac:dyDescent="0.25">
      <c r="D112" s="48"/>
      <c r="E112" s="49"/>
      <c r="F112" s="22"/>
      <c r="G112" s="49"/>
      <c r="H112" s="22"/>
      <c r="I112" s="49"/>
      <c r="J112" s="22"/>
      <c r="K112" s="49"/>
      <c r="L112" s="22"/>
      <c r="M112" s="49"/>
      <c r="N112" s="22"/>
      <c r="O112" s="49"/>
      <c r="P112" s="22"/>
      <c r="Q112" s="49"/>
      <c r="R112" s="29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2:30" s="12" customFormat="1" x14ac:dyDescent="0.25">
      <c r="B113" s="127" t="s">
        <v>112</v>
      </c>
      <c r="C113" s="127"/>
      <c r="D113" s="128"/>
      <c r="E113" s="127"/>
      <c r="F113" s="129">
        <f>F111+F84+F75+F69+F64+F46</f>
        <v>0</v>
      </c>
      <c r="G113" s="129"/>
      <c r="H113" s="129">
        <f>H111+H84+H75+H69+H64+H46</f>
        <v>0</v>
      </c>
      <c r="I113" s="129"/>
      <c r="J113" s="129">
        <f ca="1">J111+J84+J75+J69+J64+J46</f>
        <v>0</v>
      </c>
      <c r="K113" s="129"/>
      <c r="L113" s="129">
        <f ca="1">L111+L84+L75+L69+L64+L46</f>
        <v>0</v>
      </c>
      <c r="M113" s="129"/>
      <c r="N113" s="129">
        <f ca="1">N111+N84+N75+N69+N64+N46</f>
        <v>0</v>
      </c>
      <c r="O113" s="130"/>
      <c r="P113" s="129">
        <f ca="1">SUM(N113+L113+J113+H113+F113)</f>
        <v>0</v>
      </c>
      <c r="Q113" s="128"/>
      <c r="S113" s="54">
        <f>Estimation!AD274</f>
        <v>0</v>
      </c>
      <c r="T113" s="55" t="s">
        <v>111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</row>
    <row r="114" spans="2:30" s="12" customFormat="1" x14ac:dyDescent="0.25">
      <c r="B114" s="58"/>
      <c r="C114" s="58"/>
      <c r="D114" s="59"/>
      <c r="E114" s="13"/>
      <c r="F114" s="20"/>
      <c r="G114" s="16"/>
      <c r="H114" s="20"/>
      <c r="I114" s="16"/>
      <c r="J114" s="20"/>
      <c r="K114" s="16"/>
      <c r="L114" s="20"/>
      <c r="M114" s="16"/>
      <c r="N114" s="20"/>
      <c r="O114" s="16"/>
      <c r="P114" s="25"/>
      <c r="Q114" s="21"/>
      <c r="S114" s="54"/>
      <c r="T114" s="55"/>
    </row>
    <row r="115" spans="2:30" s="27" customFormat="1" x14ac:dyDescent="0.25">
      <c r="B115" s="131" t="s">
        <v>113</v>
      </c>
      <c r="C115" s="131"/>
      <c r="D115" s="132"/>
      <c r="E115" s="133"/>
      <c r="F115" s="134">
        <f>Estimation!J284</f>
        <v>0</v>
      </c>
      <c r="G115" s="135"/>
      <c r="H115" s="134">
        <f>Estimation!N284</f>
        <v>0</v>
      </c>
      <c r="I115" s="135"/>
      <c r="J115" s="134">
        <f>Estimation!R284</f>
        <v>0</v>
      </c>
      <c r="K115" s="135"/>
      <c r="L115" s="134">
        <f>Estimation!V284</f>
        <v>0</v>
      </c>
      <c r="M115" s="135"/>
      <c r="N115" s="134">
        <f>Estimation!Z284</f>
        <v>0</v>
      </c>
      <c r="O115" s="135"/>
      <c r="P115" s="134">
        <f>SUM(F115:N115)</f>
        <v>0</v>
      </c>
      <c r="Q115" s="133"/>
      <c r="R115" s="26"/>
      <c r="S115" s="60">
        <f>Estimation!AD284</f>
        <v>0</v>
      </c>
      <c r="T115" s="55" t="s">
        <v>111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2:30" s="12" customFormat="1" x14ac:dyDescent="0.25">
      <c r="B116" s="61" t="str">
        <f>Estimation!C282</f>
        <v>On Campus: MTDC Base</v>
      </c>
      <c r="D116" s="65">
        <f>Estimation!H283</f>
        <v>0.47</v>
      </c>
      <c r="E116" s="20"/>
      <c r="F116" s="87">
        <f>Estimation!J278</f>
        <v>0</v>
      </c>
      <c r="G116" s="87"/>
      <c r="H116" s="87">
        <f>Estimation!N278</f>
        <v>0</v>
      </c>
      <c r="I116" s="87"/>
      <c r="J116" s="87">
        <f>Estimation!R278</f>
        <v>0</v>
      </c>
      <c r="K116" s="87"/>
      <c r="L116" s="87">
        <f>Estimation!V278</f>
        <v>0</v>
      </c>
      <c r="M116" s="87"/>
      <c r="N116" s="87">
        <f>Estimation!Z278</f>
        <v>0</v>
      </c>
      <c r="O116" s="87"/>
      <c r="P116" s="88">
        <f>SUM(F116:N116)</f>
        <v>0</v>
      </c>
      <c r="Q116" s="17"/>
      <c r="R116" s="17"/>
      <c r="S116" s="20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2:30" s="41" customFormat="1" x14ac:dyDescent="0.25">
      <c r="C117" s="66" t="str">
        <f>Estimation!C283&amp;" "&amp;Estimation!C284</f>
        <v>Predetermined for the period 7/1/23-6/30/27: Provisional thereafter per HHS agreement dated 7/1/2023</v>
      </c>
      <c r="D117" s="42"/>
      <c r="E117" s="17"/>
      <c r="F117" s="56"/>
      <c r="G117" s="17"/>
      <c r="H117" s="56"/>
      <c r="I117" s="17"/>
      <c r="J117" s="56"/>
      <c r="K117" s="17"/>
      <c r="L117" s="56"/>
      <c r="M117" s="17"/>
      <c r="N117" s="56"/>
      <c r="O117" s="17"/>
      <c r="Q117" s="17"/>
      <c r="R117" s="40"/>
      <c r="S117" s="81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2:30" s="41" customFormat="1" ht="15.75" thickBot="1" x14ac:dyDescent="0.3">
      <c r="D118" s="42"/>
      <c r="E118" s="17"/>
      <c r="F118" s="56"/>
      <c r="G118" s="17"/>
      <c r="H118" s="56"/>
      <c r="I118" s="17"/>
      <c r="J118" s="56"/>
      <c r="K118" s="17"/>
      <c r="L118" s="56"/>
      <c r="M118" s="17"/>
      <c r="N118" s="56"/>
      <c r="O118" s="17"/>
      <c r="Q118" s="17"/>
      <c r="R118" s="40"/>
      <c r="S118" s="81"/>
    </row>
    <row r="119" spans="2:30" s="42" customFormat="1" ht="16.5" thickTop="1" thickBot="1" x14ac:dyDescent="0.3">
      <c r="B119" s="136" t="s">
        <v>114</v>
      </c>
      <c r="C119" s="136"/>
      <c r="D119" s="137"/>
      <c r="E119" s="136"/>
      <c r="F119" s="138">
        <f>F115+F113</f>
        <v>0</v>
      </c>
      <c r="G119" s="138"/>
      <c r="H119" s="138">
        <f>H115+H113</f>
        <v>0</v>
      </c>
      <c r="I119" s="138"/>
      <c r="J119" s="138">
        <f ca="1">J115+J113</f>
        <v>0</v>
      </c>
      <c r="K119" s="138"/>
      <c r="L119" s="138">
        <f ca="1">L115+L113</f>
        <v>0</v>
      </c>
      <c r="M119" s="138"/>
      <c r="N119" s="138">
        <f ca="1">N115+N113</f>
        <v>0</v>
      </c>
      <c r="O119" s="139"/>
      <c r="P119" s="138">
        <f ca="1">F119+H119+J119+L119+N119</f>
        <v>0</v>
      </c>
      <c r="Q119" s="137"/>
      <c r="S119" s="44">
        <f>Estimation!AD286</f>
        <v>0</v>
      </c>
      <c r="T119" s="55" t="s">
        <v>111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</row>
    <row r="120" spans="2:30" ht="16.5" thickTop="1" thickBot="1" x14ac:dyDescent="0.3">
      <c r="B120" s="19"/>
      <c r="C120" s="19"/>
      <c r="D120" s="47" t="s">
        <v>99</v>
      </c>
      <c r="E120" s="42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2"/>
      <c r="S120" s="37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</row>
    <row r="121" spans="2:30" s="42" customFormat="1" ht="16.5" thickTop="1" thickBot="1" x14ac:dyDescent="0.3">
      <c r="B121" s="136" t="s">
        <v>56</v>
      </c>
      <c r="C121" s="136"/>
      <c r="D121" s="137"/>
      <c r="E121" s="136"/>
      <c r="F121" s="138">
        <f>Estimation!L286</f>
        <v>0</v>
      </c>
      <c r="G121" s="138"/>
      <c r="H121" s="138">
        <f>Estimation!P286</f>
        <v>0</v>
      </c>
      <c r="I121" s="138"/>
      <c r="J121" s="138">
        <f>Estimation!T286</f>
        <v>0</v>
      </c>
      <c r="K121" s="138"/>
      <c r="L121" s="138">
        <f>Estimation!X286</f>
        <v>0</v>
      </c>
      <c r="M121" s="138"/>
      <c r="N121" s="138">
        <f>Estimation!AB286</f>
        <v>0</v>
      </c>
      <c r="O121" s="139"/>
      <c r="P121" s="138">
        <f>F121+H121+J121+L121+N121</f>
        <v>0</v>
      </c>
      <c r="Q121" s="137"/>
      <c r="S121" s="44">
        <f>Estimation!AF286</f>
        <v>0</v>
      </c>
      <c r="T121" s="55" t="s">
        <v>111</v>
      </c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2:30" s="42" customFormat="1" ht="15.75" thickTop="1" x14ac:dyDescent="0.25"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2:30" x14ac:dyDescent="0.25">
      <c r="D123" s="23"/>
      <c r="E123" s="8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</row>
    <row r="124" spans="2:30" x14ac:dyDescent="0.25">
      <c r="B124" s="57"/>
      <c r="C124" s="57"/>
      <c r="D124" s="23"/>
      <c r="E124" s="8"/>
    </row>
    <row r="125" spans="2:30" x14ac:dyDescent="0.25">
      <c r="E125" s="8"/>
    </row>
    <row r="126" spans="2:30" x14ac:dyDescent="0.25">
      <c r="D126" s="23"/>
      <c r="E126" s="8"/>
    </row>
    <row r="127" spans="2:30" x14ac:dyDescent="0.25">
      <c r="E127" s="8"/>
    </row>
    <row r="128" spans="2:30" x14ac:dyDescent="0.25">
      <c r="D128" s="23"/>
      <c r="E128" s="8"/>
    </row>
    <row r="129" spans="4:5" x14ac:dyDescent="0.25">
      <c r="E129" s="8"/>
    </row>
    <row r="130" spans="4:5" x14ac:dyDescent="0.25">
      <c r="D130" s="23"/>
      <c r="E130" s="8"/>
    </row>
    <row r="131" spans="4:5" x14ac:dyDescent="0.25">
      <c r="E131" s="8"/>
    </row>
    <row r="132" spans="4:5" x14ac:dyDescent="0.25">
      <c r="E132" s="8"/>
    </row>
    <row r="133" spans="4:5" x14ac:dyDescent="0.25">
      <c r="E133" s="8"/>
    </row>
    <row r="134" spans="4:5" x14ac:dyDescent="0.25">
      <c r="E134" s="8"/>
    </row>
    <row r="135" spans="4:5" x14ac:dyDescent="0.25">
      <c r="E135" s="8"/>
    </row>
    <row r="136" spans="4:5" x14ac:dyDescent="0.25">
      <c r="E136" s="8"/>
    </row>
    <row r="137" spans="4:5" x14ac:dyDescent="0.25">
      <c r="E137" s="8"/>
    </row>
    <row r="138" spans="4:5" x14ac:dyDescent="0.25">
      <c r="E138" s="8"/>
    </row>
    <row r="139" spans="4:5" x14ac:dyDescent="0.25">
      <c r="E139" s="8"/>
    </row>
    <row r="140" spans="4:5" x14ac:dyDescent="0.25">
      <c r="E140" s="8"/>
    </row>
    <row r="141" spans="4:5" x14ac:dyDescent="0.25">
      <c r="D141" s="46"/>
      <c r="E141" s="8"/>
    </row>
    <row r="142" spans="4:5" x14ac:dyDescent="0.25">
      <c r="D142" s="46"/>
      <c r="E142" s="8"/>
    </row>
    <row r="143" spans="4:5" x14ac:dyDescent="0.25">
      <c r="D143" s="46"/>
      <c r="E143" s="8"/>
    </row>
    <row r="144" spans="4:5" x14ac:dyDescent="0.25">
      <c r="D144" s="46"/>
    </row>
    <row r="145" spans="4:4" x14ac:dyDescent="0.25">
      <c r="D145" s="46"/>
    </row>
    <row r="146" spans="4:4" x14ac:dyDescent="0.25">
      <c r="D146" s="46"/>
    </row>
    <row r="147" spans="4:4" x14ac:dyDescent="0.25">
      <c r="D147" s="46"/>
    </row>
    <row r="148" spans="4:4" x14ac:dyDescent="0.25">
      <c r="D148" s="46"/>
    </row>
    <row r="149" spans="4:4" x14ac:dyDescent="0.25">
      <c r="D149" s="46"/>
    </row>
    <row r="150" spans="4:4" x14ac:dyDescent="0.25">
      <c r="D150" s="46"/>
    </row>
    <row r="151" spans="4:4" x14ac:dyDescent="0.25">
      <c r="D151" s="46"/>
    </row>
    <row r="152" spans="4:4" x14ac:dyDescent="0.25">
      <c r="D152" s="46"/>
    </row>
    <row r="153" spans="4:4" x14ac:dyDescent="0.25">
      <c r="D153" s="46"/>
    </row>
    <row r="154" spans="4:4" x14ac:dyDescent="0.25">
      <c r="D154" s="46"/>
    </row>
    <row r="155" spans="4:4" x14ac:dyDescent="0.25">
      <c r="D155" s="46"/>
    </row>
    <row r="156" spans="4:4" x14ac:dyDescent="0.25">
      <c r="D156" s="46"/>
    </row>
    <row r="158" spans="4:4" x14ac:dyDescent="0.25">
      <c r="D158" s="23"/>
    </row>
    <row r="159" spans="4:4" x14ac:dyDescent="0.25">
      <c r="D159" s="23"/>
    </row>
    <row r="160" spans="4:4" x14ac:dyDescent="0.25">
      <c r="D160" s="23"/>
    </row>
    <row r="161" spans="4:4" x14ac:dyDescent="0.25">
      <c r="D161" s="23"/>
    </row>
    <row r="162" spans="4:4" x14ac:dyDescent="0.25">
      <c r="D162" s="23"/>
    </row>
    <row r="163" spans="4:4" x14ac:dyDescent="0.25">
      <c r="D163" s="23"/>
    </row>
    <row r="164" spans="4:4" x14ac:dyDescent="0.25">
      <c r="D164" s="23"/>
    </row>
    <row r="165" spans="4:4" x14ac:dyDescent="0.25">
      <c r="D165" s="23"/>
    </row>
    <row r="265" spans="2:30" s="19" customFormat="1" x14ac:dyDescent="0.25">
      <c r="B265" s="8"/>
      <c r="C265" s="8"/>
      <c r="D265" s="8"/>
      <c r="E265" s="9"/>
      <c r="F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spans="2:30" s="19" customFormat="1" x14ac:dyDescent="0.25">
      <c r="B266" s="8"/>
      <c r="C266" s="8"/>
      <c r="D266" s="8"/>
      <c r="E266" s="9"/>
      <c r="F266" s="8"/>
    </row>
    <row r="267" spans="2:30" s="19" customFormat="1" x14ac:dyDescent="0.25">
      <c r="D267" s="8"/>
      <c r="E267" s="9"/>
    </row>
    <row r="268" spans="2:30" s="19" customFormat="1" x14ac:dyDescent="0.25">
      <c r="D268" s="8"/>
      <c r="E268" s="9"/>
    </row>
    <row r="269" spans="2:30" x14ac:dyDescent="0.25">
      <c r="D269" s="19"/>
      <c r="E269" s="30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</row>
    <row r="270" spans="2:30" x14ac:dyDescent="0.25">
      <c r="D270" s="19"/>
      <c r="E270" s="30"/>
    </row>
  </sheetData>
  <sheetProtection formatCells="0" formatColumns="0" formatRows="0"/>
  <mergeCells count="10">
    <mergeCell ref="T13:AE13"/>
    <mergeCell ref="C9:H12"/>
    <mergeCell ref="A3:Q3"/>
    <mergeCell ref="D5:F5"/>
    <mergeCell ref="D6:F6"/>
    <mergeCell ref="M5:P5"/>
    <mergeCell ref="M6:P6"/>
    <mergeCell ref="M7:P7"/>
    <mergeCell ref="M11:P11"/>
    <mergeCell ref="M9:P9"/>
  </mergeCells>
  <pageMargins left="0.38" right="0.31" top="0.34" bottom="0.47" header="0.3" footer="0.3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1"/>
  <sheetViews>
    <sheetView workbookViewId="0">
      <selection activeCell="D4" sqref="D4"/>
    </sheetView>
  </sheetViews>
  <sheetFormatPr defaultColWidth="9" defaultRowHeight="15.75" outlineLevelRow="1" x14ac:dyDescent="0.25"/>
  <cols>
    <col min="1" max="1" width="20.875" style="90" customWidth="1"/>
    <col min="2" max="2" width="7" style="91" customWidth="1"/>
    <col min="3" max="3" width="5.375" style="92" customWidth="1"/>
    <col min="4" max="9" width="8.25" style="91" customWidth="1"/>
    <col min="11" max="11" width="55" customWidth="1"/>
  </cols>
  <sheetData>
    <row r="1" spans="1:18" x14ac:dyDescent="0.25">
      <c r="K1" s="93"/>
    </row>
    <row r="2" spans="1:18" ht="28.5" customHeight="1" x14ac:dyDescent="0.25">
      <c r="A2" s="108">
        <f>+Estimation!C150</f>
        <v>0</v>
      </c>
      <c r="B2" s="109" t="s">
        <v>136</v>
      </c>
      <c r="C2" s="109" t="s">
        <v>137</v>
      </c>
      <c r="D2" s="110" t="str">
        <f>Estimation!J14</f>
        <v>Year 1</v>
      </c>
      <c r="E2" s="110" t="str">
        <f>Estimation!N14</f>
        <v>Year 2</v>
      </c>
      <c r="F2" s="110" t="str">
        <f>Estimation!R14</f>
        <v>Year 3</v>
      </c>
      <c r="G2" s="110" t="str">
        <f>Estimation!V14</f>
        <v>Year 4</v>
      </c>
      <c r="H2" s="110" t="str">
        <f>Estimation!Z14</f>
        <v>Year 5</v>
      </c>
      <c r="I2" s="111" t="str">
        <f>Estimation!AD14</f>
        <v>Total</v>
      </c>
      <c r="K2" s="145" t="s">
        <v>161</v>
      </c>
    </row>
    <row r="3" spans="1:18" ht="15.6" customHeight="1" x14ac:dyDescent="0.25">
      <c r="A3" s="418" t="str">
        <f>+Estimation!C151</f>
        <v>Description</v>
      </c>
      <c r="B3" s="419"/>
      <c r="C3" s="419"/>
      <c r="D3" s="419"/>
      <c r="E3" s="419"/>
      <c r="F3" s="419"/>
      <c r="G3" s="419"/>
      <c r="H3" s="419"/>
      <c r="I3" s="420"/>
      <c r="K3" s="413" t="s">
        <v>140</v>
      </c>
    </row>
    <row r="4" spans="1:18" s="95" customFormat="1" x14ac:dyDescent="0.25">
      <c r="A4" s="94" t="str">
        <f>Estimation!D152</f>
        <v>Airfare</v>
      </c>
      <c r="B4" s="104">
        <f>Estimation!E152</f>
        <v>0</v>
      </c>
      <c r="C4" s="102"/>
      <c r="D4" s="104">
        <f>Estimation!J152</f>
        <v>0</v>
      </c>
      <c r="E4" s="104">
        <f>Estimation!N152</f>
        <v>0</v>
      </c>
      <c r="F4" s="104">
        <f>Estimation!R152</f>
        <v>0</v>
      </c>
      <c r="G4" s="104">
        <f>Estimation!V152</f>
        <v>0</v>
      </c>
      <c r="H4" s="104">
        <f>Estimation!Z152</f>
        <v>0</v>
      </c>
      <c r="I4" s="104">
        <f>Estimation!AD152</f>
        <v>0</v>
      </c>
      <c r="K4" s="413"/>
      <c r="M4" s="92"/>
      <c r="N4" s="91"/>
      <c r="O4" s="91"/>
      <c r="P4" s="91"/>
      <c r="Q4" s="91"/>
    </row>
    <row r="5" spans="1:18" x14ac:dyDescent="0.25">
      <c r="A5" s="94" t="str">
        <f>Estimation!D153</f>
        <v>Lodging (GSA) + 10% tax</v>
      </c>
      <c r="B5" s="104">
        <f>Estimation!E153</f>
        <v>0</v>
      </c>
      <c r="C5" s="102">
        <f>Estimation!F153</f>
        <v>0</v>
      </c>
      <c r="D5" s="104">
        <f>Estimation!J153</f>
        <v>0</v>
      </c>
      <c r="E5" s="104">
        <f>Estimation!N153</f>
        <v>0</v>
      </c>
      <c r="F5" s="104">
        <f>Estimation!R153</f>
        <v>0</v>
      </c>
      <c r="G5" s="104">
        <f>Estimation!V153</f>
        <v>0</v>
      </c>
      <c r="H5" s="104">
        <f>Estimation!Z153</f>
        <v>0</v>
      </c>
      <c r="I5" s="104">
        <f>Estimation!AD153</f>
        <v>0</v>
      </c>
      <c r="K5" s="413"/>
      <c r="L5" s="95"/>
    </row>
    <row r="6" spans="1:18" x14ac:dyDescent="0.25">
      <c r="A6" s="94" t="str">
        <f>Estimation!D154</f>
        <v>Meals Per Diem (UM rate)</v>
      </c>
      <c r="B6" s="104">
        <f>Estimation!E154</f>
        <v>0</v>
      </c>
      <c r="C6" s="102">
        <f>Estimation!F154</f>
        <v>0</v>
      </c>
      <c r="D6" s="104">
        <f>Estimation!J154</f>
        <v>0</v>
      </c>
      <c r="E6" s="104">
        <f>Estimation!N154</f>
        <v>0</v>
      </c>
      <c r="F6" s="104">
        <f>Estimation!R154</f>
        <v>0</v>
      </c>
      <c r="G6" s="104">
        <f>Estimation!V154</f>
        <v>0</v>
      </c>
      <c r="H6" s="104">
        <f>Estimation!Z154</f>
        <v>0</v>
      </c>
      <c r="I6" s="104">
        <f>Estimation!AD154</f>
        <v>0</v>
      </c>
      <c r="K6" s="146"/>
      <c r="L6" s="95"/>
      <c r="M6" s="103"/>
      <c r="N6" s="103"/>
      <c r="O6" s="103"/>
      <c r="P6" s="103"/>
      <c r="Q6" s="96"/>
      <c r="R6" s="96"/>
    </row>
    <row r="7" spans="1:18" x14ac:dyDescent="0.25">
      <c r="A7" s="94" t="str">
        <f>Estimation!D155</f>
        <v>Gas</v>
      </c>
      <c r="B7" s="104">
        <f>Estimation!E155</f>
        <v>0</v>
      </c>
      <c r="C7" s="102">
        <f>Estimation!F155</f>
        <v>0</v>
      </c>
      <c r="D7" s="104">
        <f>Estimation!J155</f>
        <v>0</v>
      </c>
      <c r="E7" s="104">
        <f>Estimation!N155</f>
        <v>0</v>
      </c>
      <c r="F7" s="104">
        <f>Estimation!R155</f>
        <v>0</v>
      </c>
      <c r="G7" s="104">
        <f>Estimation!V155</f>
        <v>0</v>
      </c>
      <c r="H7" s="104">
        <f>Estimation!Z155</f>
        <v>0</v>
      </c>
      <c r="I7" s="104">
        <f>Estimation!AD155</f>
        <v>0</v>
      </c>
      <c r="K7" s="146"/>
      <c r="L7" s="95"/>
      <c r="M7" s="103"/>
      <c r="N7" s="103"/>
      <c r="O7" s="103"/>
      <c r="P7" s="103"/>
      <c r="Q7" s="96"/>
      <c r="R7" s="96"/>
    </row>
    <row r="8" spans="1:18" x14ac:dyDescent="0.25">
      <c r="A8" s="97" t="str">
        <f>Estimation!D156</f>
        <v>Registration fees</v>
      </c>
      <c r="B8" s="104">
        <f>Estimation!E156</f>
        <v>0</v>
      </c>
      <c r="C8" s="102"/>
      <c r="D8" s="104">
        <f>Estimation!J156</f>
        <v>0</v>
      </c>
      <c r="E8" s="104">
        <f>Estimation!N156</f>
        <v>0</v>
      </c>
      <c r="F8" s="104">
        <f>Estimation!R156</f>
        <v>0</v>
      </c>
      <c r="G8" s="104">
        <f>Estimation!V156</f>
        <v>0</v>
      </c>
      <c r="H8" s="104">
        <f>Estimation!Z156</f>
        <v>0</v>
      </c>
      <c r="I8" s="104">
        <f>Estimation!AD156</f>
        <v>0</v>
      </c>
      <c r="K8" s="413" t="s">
        <v>162</v>
      </c>
      <c r="L8" s="95"/>
      <c r="M8" s="103"/>
      <c r="N8" s="103"/>
      <c r="O8" s="103"/>
      <c r="P8" s="103"/>
      <c r="Q8" s="96"/>
      <c r="R8" s="96"/>
    </row>
    <row r="9" spans="1:18" x14ac:dyDescent="0.25">
      <c r="A9" s="97" t="str">
        <f>Estimation!D157</f>
        <v>Ground Transportation</v>
      </c>
      <c r="B9" s="104">
        <f>Estimation!E157</f>
        <v>0</v>
      </c>
      <c r="C9" s="102"/>
      <c r="D9" s="104">
        <f>Estimation!J157</f>
        <v>0</v>
      </c>
      <c r="E9" s="104">
        <f>Estimation!N157</f>
        <v>0</v>
      </c>
      <c r="F9" s="104">
        <f>Estimation!R157</f>
        <v>0</v>
      </c>
      <c r="G9" s="104">
        <f>Estimation!V157</f>
        <v>0</v>
      </c>
      <c r="H9" s="104">
        <f>Estimation!Z157</f>
        <v>0</v>
      </c>
      <c r="I9" s="104">
        <f>Estimation!AD157</f>
        <v>0</v>
      </c>
      <c r="K9" s="413"/>
      <c r="M9" s="103"/>
      <c r="N9" s="103"/>
      <c r="O9" s="103"/>
      <c r="P9" s="103"/>
    </row>
    <row r="10" spans="1:18" x14ac:dyDescent="0.25">
      <c r="A10" s="421" t="str">
        <f>+Estimation!C159</f>
        <v>Description</v>
      </c>
      <c r="B10" s="421"/>
      <c r="C10" s="421"/>
      <c r="D10" s="421"/>
      <c r="E10" s="421"/>
      <c r="F10" s="421"/>
      <c r="G10" s="421"/>
      <c r="H10" s="421"/>
      <c r="I10" s="421"/>
      <c r="K10" s="146"/>
      <c r="L10" s="95"/>
      <c r="M10" s="103"/>
      <c r="N10" s="103"/>
      <c r="O10" s="103"/>
      <c r="P10" s="103"/>
    </row>
    <row r="11" spans="1:18" x14ac:dyDescent="0.25">
      <c r="A11" s="94" t="str">
        <f>Estimation!D160</f>
        <v>Airfare</v>
      </c>
      <c r="B11" s="104">
        <f>Estimation!E160</f>
        <v>0</v>
      </c>
      <c r="C11" s="102"/>
      <c r="D11" s="104">
        <f>Estimation!J160</f>
        <v>0</v>
      </c>
      <c r="E11" s="104">
        <f>Estimation!N160</f>
        <v>0</v>
      </c>
      <c r="F11" s="104">
        <f>Estimation!R160</f>
        <v>0</v>
      </c>
      <c r="G11" s="104">
        <f>Estimation!V160</f>
        <v>0</v>
      </c>
      <c r="H11" s="104">
        <f>Estimation!Z160</f>
        <v>0</v>
      </c>
      <c r="I11" s="104">
        <f>Estimation!AD160</f>
        <v>0</v>
      </c>
      <c r="K11" s="413" t="s">
        <v>163</v>
      </c>
      <c r="L11" s="95"/>
    </row>
    <row r="12" spans="1:18" x14ac:dyDescent="0.25">
      <c r="A12" s="94" t="str">
        <f>Estimation!D161</f>
        <v>Lodging (GSA) + 10% tax</v>
      </c>
      <c r="B12" s="104">
        <f>Estimation!E161</f>
        <v>0</v>
      </c>
      <c r="C12" s="102">
        <f>Estimation!F161</f>
        <v>0</v>
      </c>
      <c r="D12" s="104">
        <f>Estimation!J161</f>
        <v>0</v>
      </c>
      <c r="E12" s="104">
        <f>Estimation!N161</f>
        <v>0</v>
      </c>
      <c r="F12" s="104">
        <f>Estimation!R161</f>
        <v>0</v>
      </c>
      <c r="G12" s="104">
        <f>Estimation!V161</f>
        <v>0</v>
      </c>
      <c r="H12" s="104">
        <f>Estimation!Z161</f>
        <v>0</v>
      </c>
      <c r="I12" s="104">
        <f>Estimation!AD161</f>
        <v>0</v>
      </c>
      <c r="K12" s="413"/>
      <c r="L12" s="95"/>
    </row>
    <row r="13" spans="1:18" x14ac:dyDescent="0.25">
      <c r="A13" s="94" t="str">
        <f>Estimation!D162</f>
        <v>Meals Per Diem (UM rate)</v>
      </c>
      <c r="B13" s="104">
        <f>Estimation!E162</f>
        <v>0</v>
      </c>
      <c r="C13" s="102">
        <f>Estimation!F162</f>
        <v>0</v>
      </c>
      <c r="D13" s="104">
        <f>Estimation!J162</f>
        <v>0</v>
      </c>
      <c r="E13" s="104">
        <f>Estimation!N162</f>
        <v>0</v>
      </c>
      <c r="F13" s="104">
        <f>Estimation!R162</f>
        <v>0</v>
      </c>
      <c r="G13" s="104">
        <f>Estimation!V162</f>
        <v>0</v>
      </c>
      <c r="H13" s="104">
        <f>Estimation!Z162</f>
        <v>0</v>
      </c>
      <c r="I13" s="104">
        <f>Estimation!AD162</f>
        <v>0</v>
      </c>
      <c r="K13" s="147"/>
      <c r="L13" s="95"/>
    </row>
    <row r="14" spans="1:18" x14ac:dyDescent="0.25">
      <c r="A14" s="94" t="str">
        <f>Estimation!D163</f>
        <v>Incidentals</v>
      </c>
      <c r="B14" s="104">
        <f>Estimation!E163</f>
        <v>0</v>
      </c>
      <c r="C14" s="102">
        <f>Estimation!F163</f>
        <v>0</v>
      </c>
      <c r="D14" s="104">
        <f>Estimation!J163</f>
        <v>0</v>
      </c>
      <c r="E14" s="104">
        <f>Estimation!N163</f>
        <v>0</v>
      </c>
      <c r="F14" s="104">
        <f>Estimation!R163</f>
        <v>0</v>
      </c>
      <c r="G14" s="104">
        <f>Estimation!V163</f>
        <v>0</v>
      </c>
      <c r="H14" s="104">
        <f>Estimation!Z163</f>
        <v>0</v>
      </c>
      <c r="I14" s="104">
        <f>Estimation!AD163</f>
        <v>0</v>
      </c>
      <c r="K14" s="146" t="s">
        <v>138</v>
      </c>
      <c r="L14" s="95"/>
    </row>
    <row r="15" spans="1:18" x14ac:dyDescent="0.25">
      <c r="A15" s="97" t="str">
        <f>Estimation!D164</f>
        <v>Conference Registration</v>
      </c>
      <c r="B15" s="104">
        <f>Estimation!E164</f>
        <v>0</v>
      </c>
      <c r="C15" s="102"/>
      <c r="D15" s="104">
        <f>Estimation!J164</f>
        <v>0</v>
      </c>
      <c r="E15" s="104">
        <f>Estimation!N164</f>
        <v>0</v>
      </c>
      <c r="F15" s="104">
        <f>Estimation!R164</f>
        <v>0</v>
      </c>
      <c r="G15" s="104">
        <f>Estimation!V164</f>
        <v>0</v>
      </c>
      <c r="H15" s="104">
        <f>Estimation!Z164</f>
        <v>0</v>
      </c>
      <c r="I15" s="104">
        <f>Estimation!AD164</f>
        <v>0</v>
      </c>
      <c r="K15" s="146" t="s">
        <v>141</v>
      </c>
    </row>
    <row r="16" spans="1:18" x14ac:dyDescent="0.25">
      <c r="A16" s="97" t="str">
        <f>Estimation!D165</f>
        <v>Ground Transportation</v>
      </c>
      <c r="B16" s="104">
        <f>Estimation!E165</f>
        <v>0</v>
      </c>
      <c r="C16" s="102"/>
      <c r="D16" s="104">
        <f>Estimation!J165</f>
        <v>0</v>
      </c>
      <c r="E16" s="104">
        <f>Estimation!N165</f>
        <v>0</v>
      </c>
      <c r="F16" s="104">
        <f>Estimation!R165</f>
        <v>0</v>
      </c>
      <c r="G16" s="104">
        <f>Estimation!V165</f>
        <v>0</v>
      </c>
      <c r="H16" s="104">
        <f>Estimation!Z165</f>
        <v>0</v>
      </c>
      <c r="I16" s="104">
        <f>Estimation!AD165</f>
        <v>0</v>
      </c>
      <c r="K16" s="146"/>
      <c r="L16" s="95"/>
    </row>
    <row r="17" spans="1:12" ht="15.6" customHeight="1" x14ac:dyDescent="0.25">
      <c r="A17" s="421" t="str">
        <f>+Estimation!C167</f>
        <v>Description</v>
      </c>
      <c r="B17" s="421"/>
      <c r="C17" s="421"/>
      <c r="D17" s="421"/>
      <c r="E17" s="421"/>
      <c r="F17" s="421"/>
      <c r="G17" s="421"/>
      <c r="H17" s="421"/>
      <c r="I17" s="421"/>
      <c r="K17" s="414" t="s">
        <v>164</v>
      </c>
      <c r="L17" s="95"/>
    </row>
    <row r="18" spans="1:12" x14ac:dyDescent="0.25">
      <c r="A18" s="94" t="str">
        <f>Estimation!D168</f>
        <v>Airfare</v>
      </c>
      <c r="B18" s="104">
        <f>Estimation!E168</f>
        <v>0</v>
      </c>
      <c r="C18" s="102"/>
      <c r="D18" s="104">
        <f>Estimation!J168</f>
        <v>0</v>
      </c>
      <c r="E18" s="104">
        <f>Estimation!N168</f>
        <v>0</v>
      </c>
      <c r="F18" s="104">
        <f>Estimation!R168</f>
        <v>0</v>
      </c>
      <c r="G18" s="104">
        <f>Estimation!V168</f>
        <v>0</v>
      </c>
      <c r="H18" s="104">
        <f>Estimation!Z168</f>
        <v>0</v>
      </c>
      <c r="I18" s="104">
        <f>Estimation!AD168</f>
        <v>0</v>
      </c>
      <c r="K18" s="414"/>
      <c r="L18" s="95"/>
    </row>
    <row r="19" spans="1:12" x14ac:dyDescent="0.25">
      <c r="A19" s="94" t="str">
        <f>Estimation!D169</f>
        <v>Lodging (GSA) + 10% tax</v>
      </c>
      <c r="B19" s="104">
        <f>Estimation!E169</f>
        <v>0</v>
      </c>
      <c r="C19" s="102">
        <f>Estimation!F169</f>
        <v>0</v>
      </c>
      <c r="D19" s="104">
        <f>Estimation!J169</f>
        <v>0</v>
      </c>
      <c r="E19" s="104">
        <f>Estimation!N169</f>
        <v>0</v>
      </c>
      <c r="F19" s="104">
        <f>Estimation!R169</f>
        <v>0</v>
      </c>
      <c r="G19" s="104">
        <f>Estimation!V169</f>
        <v>0</v>
      </c>
      <c r="H19" s="104">
        <f>Estimation!Z169</f>
        <v>0</v>
      </c>
      <c r="I19" s="104">
        <f>Estimation!AD169</f>
        <v>0</v>
      </c>
      <c r="K19" s="414"/>
      <c r="L19" s="95"/>
    </row>
    <row r="20" spans="1:12" x14ac:dyDescent="0.25">
      <c r="A20" s="94" t="str">
        <f>Estimation!D170</f>
        <v>Meals Per Diem (UM rate)</v>
      </c>
      <c r="B20" s="104">
        <f>Estimation!E170</f>
        <v>0</v>
      </c>
      <c r="C20" s="102">
        <f>Estimation!F170</f>
        <v>0</v>
      </c>
      <c r="D20" s="104">
        <f>Estimation!J170</f>
        <v>0</v>
      </c>
      <c r="E20" s="104">
        <f>Estimation!N170</f>
        <v>0</v>
      </c>
      <c r="F20" s="104">
        <f>Estimation!R170</f>
        <v>0</v>
      </c>
      <c r="G20" s="104">
        <f>Estimation!V170</f>
        <v>0</v>
      </c>
      <c r="H20" s="104">
        <f>Estimation!Z170</f>
        <v>0</v>
      </c>
      <c r="I20" s="104">
        <f>Estimation!AD170</f>
        <v>0</v>
      </c>
      <c r="K20" s="414"/>
      <c r="L20" s="95"/>
    </row>
    <row r="21" spans="1:12" ht="14.45" customHeight="1" collapsed="1" x14ac:dyDescent="0.25">
      <c r="A21" s="94" t="str">
        <f>Estimation!D171</f>
        <v>Incidentals</v>
      </c>
      <c r="B21" s="104">
        <f>Estimation!E171</f>
        <v>0</v>
      </c>
      <c r="C21" s="102">
        <f>Estimation!F171</f>
        <v>0</v>
      </c>
      <c r="D21" s="104">
        <f>Estimation!J171</f>
        <v>0</v>
      </c>
      <c r="E21" s="104">
        <f>Estimation!N171</f>
        <v>0</v>
      </c>
      <c r="F21" s="104">
        <f>Estimation!R171</f>
        <v>0</v>
      </c>
      <c r="G21" s="104">
        <f>Estimation!V171</f>
        <v>0</v>
      </c>
      <c r="H21" s="104">
        <f>Estimation!Z171</f>
        <v>0</v>
      </c>
      <c r="I21" s="104">
        <f>Estimation!AD171</f>
        <v>0</v>
      </c>
      <c r="K21" s="414"/>
    </row>
    <row r="22" spans="1:12" x14ac:dyDescent="0.25">
      <c r="A22" s="97" t="str">
        <f>Estimation!D172</f>
        <v>Conference Registration</v>
      </c>
      <c r="B22" s="104">
        <f>Estimation!E172</f>
        <v>0</v>
      </c>
      <c r="C22" s="102"/>
      <c r="D22" s="104">
        <f>Estimation!J172</f>
        <v>0</v>
      </c>
      <c r="E22" s="104">
        <f>Estimation!N172</f>
        <v>0</v>
      </c>
      <c r="F22" s="104">
        <f>Estimation!R172</f>
        <v>0</v>
      </c>
      <c r="G22" s="104">
        <f>Estimation!V172</f>
        <v>0</v>
      </c>
      <c r="H22" s="104">
        <f>Estimation!Z172</f>
        <v>0</v>
      </c>
      <c r="I22" s="104">
        <f>Estimation!AD172</f>
        <v>0</v>
      </c>
      <c r="K22" s="414"/>
      <c r="L22" s="95"/>
    </row>
    <row r="23" spans="1:12" x14ac:dyDescent="0.25">
      <c r="A23" s="97" t="str">
        <f>Estimation!D173</f>
        <v>Ground Transportation</v>
      </c>
      <c r="B23" s="104">
        <f>Estimation!E173</f>
        <v>0</v>
      </c>
      <c r="C23" s="102"/>
      <c r="D23" s="104">
        <f>Estimation!J173</f>
        <v>0</v>
      </c>
      <c r="E23" s="104">
        <f>Estimation!N173</f>
        <v>0</v>
      </c>
      <c r="F23" s="104">
        <f>Estimation!R173</f>
        <v>0</v>
      </c>
      <c r="G23" s="104">
        <f>Estimation!V173</f>
        <v>0</v>
      </c>
      <c r="H23" s="104">
        <f>Estimation!Z173</f>
        <v>0</v>
      </c>
      <c r="I23" s="104">
        <f>Estimation!AD173</f>
        <v>0</v>
      </c>
      <c r="K23" s="114"/>
      <c r="L23" s="95"/>
    </row>
    <row r="24" spans="1:12" x14ac:dyDescent="0.25">
      <c r="A24" s="421" t="str">
        <f>+Estimation!C175</f>
        <v>Description</v>
      </c>
      <c r="B24" s="421"/>
      <c r="C24" s="421"/>
      <c r="D24" s="421"/>
      <c r="E24" s="421"/>
      <c r="F24" s="421"/>
      <c r="G24" s="421"/>
      <c r="H24" s="421"/>
      <c r="I24" s="421"/>
      <c r="L24" s="95"/>
    </row>
    <row r="25" spans="1:12" x14ac:dyDescent="0.25">
      <c r="A25" s="94" t="str">
        <f>Estimation!D176</f>
        <v>Airfare</v>
      </c>
      <c r="B25" s="104">
        <f>Estimation!E176</f>
        <v>0</v>
      </c>
      <c r="C25" s="102"/>
      <c r="D25" s="104">
        <f>Estimation!J176</f>
        <v>0</v>
      </c>
      <c r="E25" s="104">
        <f>Estimation!N176</f>
        <v>0</v>
      </c>
      <c r="F25" s="104">
        <f>Estimation!R176</f>
        <v>0</v>
      </c>
      <c r="G25" s="104">
        <f>Estimation!V176</f>
        <v>0</v>
      </c>
      <c r="H25" s="104">
        <f>Estimation!Z176</f>
        <v>0</v>
      </c>
      <c r="I25" s="104">
        <f>Estimation!AD176</f>
        <v>0</v>
      </c>
      <c r="L25" s="95"/>
    </row>
    <row r="26" spans="1:12" x14ac:dyDescent="0.25">
      <c r="A26" s="94" t="str">
        <f>Estimation!D177</f>
        <v>Lodging (GSA) + 10% tax</v>
      </c>
      <c r="B26" s="104">
        <f>Estimation!E177</f>
        <v>0</v>
      </c>
      <c r="C26" s="102">
        <f>Estimation!F177</f>
        <v>0</v>
      </c>
      <c r="D26" s="104">
        <f>Estimation!J177</f>
        <v>0</v>
      </c>
      <c r="E26" s="104">
        <f>Estimation!N177</f>
        <v>0</v>
      </c>
      <c r="F26" s="104">
        <f>Estimation!R177</f>
        <v>0</v>
      </c>
      <c r="G26" s="104">
        <f>Estimation!V177</f>
        <v>0</v>
      </c>
      <c r="H26" s="104">
        <f>Estimation!Z177</f>
        <v>0</v>
      </c>
      <c r="I26" s="104">
        <f>Estimation!AD177</f>
        <v>0</v>
      </c>
      <c r="K26" s="115"/>
      <c r="L26" s="95" t="str">
        <f>IF(I30&gt;0,CONCATENATE(A30,"&amp;\$",B30,"&amp;",C30,IF($D$59&lt;&gt;0,CONCATENATE("&amp;\$",D30),""),IF($E$59&lt;&gt;0,CONCATENATE("&amp;\$",E30),""),IF($F$59&lt;&gt;0,CONCATENATE("&amp;\$",F30),""),IF($G$59&lt;&gt;0,CONCATENATE("&amp;\$",G30),""),IF($H$59&lt;&gt;0,CONCATENATE("&amp;\$",H30),""),"&amp;\$",I30,"\\ \hline"),"")</f>
        <v/>
      </c>
    </row>
    <row r="27" spans="1:12" x14ac:dyDescent="0.25">
      <c r="A27" s="94" t="str">
        <f>Estimation!D178</f>
        <v>Meals Per Diem (UM rate)</v>
      </c>
      <c r="B27" s="104">
        <f>Estimation!E178</f>
        <v>0</v>
      </c>
      <c r="C27" s="102">
        <f>Estimation!F178</f>
        <v>0</v>
      </c>
      <c r="D27" s="104">
        <f>Estimation!J178</f>
        <v>0</v>
      </c>
      <c r="E27" s="104">
        <f>Estimation!N178</f>
        <v>0</v>
      </c>
      <c r="F27" s="104">
        <f>Estimation!R178</f>
        <v>0</v>
      </c>
      <c r="G27" s="104">
        <f>Estimation!V178</f>
        <v>0</v>
      </c>
      <c r="H27" s="104">
        <f>Estimation!Z178</f>
        <v>0</v>
      </c>
      <c r="I27" s="104">
        <f>Estimation!AD178</f>
        <v>0</v>
      </c>
      <c r="K27" s="115"/>
      <c r="L27" s="95"/>
    </row>
    <row r="28" spans="1:12" ht="15.6" customHeight="1" outlineLevel="1" x14ac:dyDescent="0.25">
      <c r="A28" s="94" t="str">
        <f>Estimation!D179</f>
        <v>Incidentals</v>
      </c>
      <c r="B28" s="104">
        <f>Estimation!E179</f>
        <v>0</v>
      </c>
      <c r="C28" s="102">
        <f>Estimation!F179</f>
        <v>0</v>
      </c>
      <c r="D28" s="104">
        <f>Estimation!J179</f>
        <v>0</v>
      </c>
      <c r="E28" s="104">
        <f>Estimation!N179</f>
        <v>0</v>
      </c>
      <c r="F28" s="104">
        <f>Estimation!R179</f>
        <v>0</v>
      </c>
      <c r="G28" s="104">
        <f>Estimation!V179</f>
        <v>0</v>
      </c>
      <c r="H28" s="104">
        <f>Estimation!Z179</f>
        <v>0</v>
      </c>
      <c r="I28" s="104">
        <f>Estimation!AD179</f>
        <v>0</v>
      </c>
      <c r="K28" s="422"/>
      <c r="L28" t="str">
        <f>IF(SUM(D32:I33)&lt;&gt;0,CONCATENATE("\multicolumn{",$M$1,"}{c}{",A31,"} \\ \hline" ),"")</f>
        <v/>
      </c>
    </row>
    <row r="29" spans="1:12" outlineLevel="1" x14ac:dyDescent="0.25">
      <c r="A29" s="97" t="str">
        <f>Estimation!D180</f>
        <v>Conference Registration</v>
      </c>
      <c r="B29" s="104">
        <f>Estimation!E180</f>
        <v>0</v>
      </c>
      <c r="C29" s="102"/>
      <c r="D29" s="104">
        <f>Estimation!J180</f>
        <v>0</v>
      </c>
      <c r="E29" s="104">
        <f>Estimation!N180</f>
        <v>0</v>
      </c>
      <c r="F29" s="104">
        <f>Estimation!R180</f>
        <v>0</v>
      </c>
      <c r="G29" s="104">
        <f>Estimation!V180</f>
        <v>0</v>
      </c>
      <c r="H29" s="104">
        <f>Estimation!Z180</f>
        <v>0</v>
      </c>
      <c r="I29" s="104">
        <f>Estimation!AD180</f>
        <v>0</v>
      </c>
      <c r="K29" s="422"/>
      <c r="L29" s="95" t="str">
        <f>IF(I33&gt;0,CONCATENATE(A32,"&amp;",B32,"&amp;\",C32,REPT("&amp;",$M$1-3),I32,"\\ \hline"),"")</f>
        <v/>
      </c>
    </row>
    <row r="30" spans="1:12" outlineLevel="1" x14ac:dyDescent="0.25">
      <c r="A30" s="97" t="str">
        <f>Estimation!D181</f>
        <v>Ground Transportation</v>
      </c>
      <c r="B30" s="104">
        <f>Estimation!E181</f>
        <v>0</v>
      </c>
      <c r="C30" s="102"/>
      <c r="D30" s="104">
        <f>Estimation!J181</f>
        <v>0</v>
      </c>
      <c r="E30" s="104">
        <f>Estimation!N181</f>
        <v>0</v>
      </c>
      <c r="F30" s="104">
        <f>Estimation!R181</f>
        <v>0</v>
      </c>
      <c r="G30" s="104">
        <f>Estimation!V181</f>
        <v>0</v>
      </c>
      <c r="H30" s="104">
        <f>Estimation!Z181</f>
        <v>0</v>
      </c>
      <c r="I30" s="104">
        <f>Estimation!AD181</f>
        <v>0</v>
      </c>
      <c r="K30" s="422"/>
      <c r="L30" s="95" t="str">
        <f>IF(I33&gt;0,CONCATENATE(A33,"&amp;\$",B33,"&amp;",C33,IF($D$59&lt;&gt;0,CONCATENATE("&amp;\$",D33),""),IF($E$59&lt;&gt;0,CONCATENATE("&amp;\$",E33),""),IF($F$59&lt;&gt;0,CONCATENATE("&amp;\$",F33),""),IF($G$59&lt;&gt;0,CONCATENATE("&amp;\$",G33),""),IF($H$59&lt;&gt;0,CONCATENATE("&amp;\$",H33),""),"&amp;\$",I33,"\\ \hline"),"")</f>
        <v/>
      </c>
    </row>
    <row r="31" spans="1:12" ht="17.25" customHeight="1" x14ac:dyDescent="0.25">
      <c r="A31" s="418" t="str">
        <f>Estimation!D184</f>
        <v>Description</v>
      </c>
      <c r="B31" s="419"/>
      <c r="C31" s="419"/>
      <c r="D31" s="419"/>
      <c r="E31" s="419"/>
      <c r="F31" s="419"/>
      <c r="G31" s="419"/>
      <c r="H31" s="419"/>
      <c r="I31" s="420"/>
      <c r="K31" s="422"/>
    </row>
    <row r="32" spans="1:12" ht="29.25" customHeight="1" x14ac:dyDescent="0.25">
      <c r="A32" s="94" t="str">
        <f>+Estimation!C183</f>
        <v>Mileage</v>
      </c>
      <c r="B32" s="111" t="str">
        <f>+Estimation!E183</f>
        <v>Cost</v>
      </c>
      <c r="C32" s="113" t="s">
        <v>139</v>
      </c>
      <c r="D32" s="94"/>
      <c r="E32" s="94"/>
      <c r="F32" s="94"/>
      <c r="G32" s="94"/>
      <c r="H32" s="94"/>
      <c r="I32" s="94"/>
      <c r="K32" s="422"/>
      <c r="L32" s="95" t="str">
        <f>IF(I35&gt;0,CONCATENATE("\multicolumn{3}{l}{\textbf{",A35,"}}",IF($D$59&lt;&gt;0,CONCATENATE("&amp;\$",D35),""),IF($E$59&lt;&gt;0,CONCATENATE("&amp;\$",E35),""),IF($F$59&lt;&gt;0,CONCATENATE("&amp;\$",F35),""),IF($G$59&lt;&gt;0,CONCATENATE("&amp;\$",G35),""),IF($H$59&lt;&gt;0,CONCATENATE("&amp;\$",H35),""),"&amp;\$",I35,"\\ \hline"),"")</f>
        <v/>
      </c>
    </row>
    <row r="33" spans="1:12" ht="14.25" customHeight="1" x14ac:dyDescent="0.25">
      <c r="A33" s="94" t="str">
        <f>Estimation!D184</f>
        <v>Description</v>
      </c>
      <c r="B33" s="105">
        <f>Estimation!E184</f>
        <v>0.7</v>
      </c>
      <c r="C33" s="102">
        <f>Estimation!F184</f>
        <v>0</v>
      </c>
      <c r="D33" s="104">
        <f>Estimation!J184</f>
        <v>0</v>
      </c>
      <c r="E33" s="104">
        <f>Estimation!N184</f>
        <v>0</v>
      </c>
      <c r="F33" s="104">
        <f>Estimation!R184</f>
        <v>0</v>
      </c>
      <c r="G33" s="104">
        <f>Estimation!V184</f>
        <v>0</v>
      </c>
      <c r="H33" s="104">
        <f>Estimation!Z184</f>
        <v>0</v>
      </c>
      <c r="I33" s="104">
        <f>Estimation!AD184</f>
        <v>0</v>
      </c>
      <c r="K33" s="116"/>
    </row>
    <row r="34" spans="1:12" ht="27" customHeight="1" outlineLevel="1" collapsed="1" x14ac:dyDescent="0.25">
      <c r="A34" s="415"/>
      <c r="B34" s="416"/>
      <c r="C34" s="416"/>
      <c r="D34" s="416"/>
      <c r="E34" s="416"/>
      <c r="F34" s="416"/>
      <c r="G34" s="416"/>
      <c r="H34" s="416"/>
      <c r="I34" s="417"/>
      <c r="K34" s="422"/>
      <c r="L34" t="str">
        <f>IF(I57&gt;0,CONCATENATE(A37,"&amp;",B37,"&amp;\",C37,IF($D$59&lt;&gt;0,CONCATENATE("&amp;",D37),""),IF($E$59&lt;&gt;0,CONCATENATE("&amp;",E37),""),IF($F$59&lt;&gt;0,CONCATENATE("&amp;",F37),""),IF($G$59&lt;&gt;0,CONCATENATE("&amp;",G37),""),IF($H$59&lt;&gt;0,CONCATENATE("&amp;",H37),""),"&amp;",I37,"\\ \hline"),"")</f>
        <v/>
      </c>
    </row>
    <row r="35" spans="1:12" outlineLevel="1" x14ac:dyDescent="0.25">
      <c r="A35" s="423" t="str">
        <f>Estimation!H186</f>
        <v>Subtotal Domestic Travel</v>
      </c>
      <c r="B35" s="424"/>
      <c r="C35" s="424"/>
      <c r="D35" s="106">
        <f>Estimation!J186</f>
        <v>0</v>
      </c>
      <c r="E35" s="106">
        <f>Estimation!N186</f>
        <v>0</v>
      </c>
      <c r="F35" s="106">
        <f>Estimation!R186</f>
        <v>0</v>
      </c>
      <c r="G35" s="106">
        <f>Estimation!V186</f>
        <v>0</v>
      </c>
      <c r="H35" s="106">
        <f>Estimation!Z186</f>
        <v>0</v>
      </c>
      <c r="I35" s="106">
        <f>Estimation!AD186</f>
        <v>0</v>
      </c>
      <c r="K35" s="422"/>
      <c r="L35" t="str">
        <f>IF(SUM(D39:I40)&lt;&gt;0,CONCATENATE("\multicolumn{",$M$1,"}{c}{",A38,"} \\ \hline" ),"")</f>
        <v/>
      </c>
    </row>
    <row r="36" spans="1:12" ht="15.6" customHeight="1" outlineLevel="1" x14ac:dyDescent="0.25">
      <c r="A36" s="98"/>
      <c r="B36" s="99"/>
      <c r="C36" s="99"/>
      <c r="D36" s="99"/>
      <c r="E36" s="99"/>
      <c r="F36" s="99"/>
      <c r="G36" s="99"/>
      <c r="H36" s="99"/>
      <c r="I36" s="100"/>
      <c r="K36" s="422"/>
      <c r="L36" s="95" t="str">
        <f>IF(I39&gt;0,CONCATENATE(A39,"&amp;\$",B39,"&amp;",C39,IF($D$59&lt;&gt;0,CONCATENATE("&amp;\$",D39),""),IF($E$59&lt;&gt;0,CONCATENATE("&amp;\$",E39),""),IF($F$59&lt;&gt;0,CONCATENATE("&amp;\$",F39),""),IF($G$59&lt;&gt;0,CONCATENATE("&amp;\$",G39),""),IF($H$59&lt;&gt;0,CONCATENATE("&amp;\$",H39),""),"&amp;\$",I39,"\\ \hline"),"")</f>
        <v/>
      </c>
    </row>
    <row r="37" spans="1:12" ht="15.95" customHeight="1" outlineLevel="1" x14ac:dyDescent="0.25">
      <c r="A37" s="112" t="str">
        <f>+Estimation!C188</f>
        <v>International</v>
      </c>
      <c r="B37" s="109" t="s">
        <v>136</v>
      </c>
      <c r="C37" s="109" t="s">
        <v>137</v>
      </c>
      <c r="D37" s="110" t="str">
        <f>Estimation!L14</f>
        <v>Year 1</v>
      </c>
      <c r="E37" s="110" t="str">
        <f>Estimation!N14</f>
        <v>Year 2</v>
      </c>
      <c r="F37" s="110" t="str">
        <f>Estimation!R14</f>
        <v>Year 3</v>
      </c>
      <c r="G37" s="110" t="str">
        <f>Estimation!V14</f>
        <v>Year 4</v>
      </c>
      <c r="H37" s="110" t="str">
        <f>Estimation!Z14</f>
        <v>Year 5</v>
      </c>
      <c r="I37" s="111" t="str">
        <f>Estimation!AD14</f>
        <v>Total</v>
      </c>
      <c r="K37" s="422"/>
      <c r="L37" s="95" t="str">
        <f>IF(I40&gt;0,CONCATENATE(A40,"&amp;\$",B40,"&amp;",C40,IF($D$59&lt;&gt;0,CONCATENATE("&amp;\$",D40),""),IF($E$59&lt;&gt;0,CONCATENATE("&amp;\$",E40),""),IF($F$59&lt;&gt;0,CONCATENATE("&amp;\$",F40),""),IF($G$59&lt;&gt;0,CONCATENATE("&amp;\$",G40),""),IF($H$59&lt;&gt;0,CONCATENATE("&amp;\$",H40),""),"&amp;\$",I40,"\\ \hline"),"")</f>
        <v/>
      </c>
    </row>
    <row r="38" spans="1:12" outlineLevel="1" x14ac:dyDescent="0.25">
      <c r="A38" s="421" t="str">
        <f>+Estimation!C189</f>
        <v>Description</v>
      </c>
      <c r="B38" s="421"/>
      <c r="C38" s="421"/>
      <c r="D38" s="421"/>
      <c r="E38" s="421"/>
      <c r="F38" s="421"/>
      <c r="G38" s="421"/>
      <c r="H38" s="421"/>
      <c r="I38" s="421"/>
      <c r="K38" s="116"/>
      <c r="L38" s="95" t="str">
        <f>IF(I41&gt;0,CONCATENATE(A41,"&amp;\$",B41,"&amp;",C41,IF($D$59&lt;&gt;0,CONCATENATE("&amp;\$",D41),""),IF($E$59&lt;&gt;0,CONCATENATE("&amp;\$",E41),""),IF($F$59&lt;&gt;0,CONCATENATE("&amp;\$",F41),""),IF($G$59&lt;&gt;0,CONCATENATE("&amp;\$",G41),""),IF($H$59&lt;&gt;0,CONCATENATE("&amp;\$",H41),""),"&amp;\$",I41,"\\ \hline"),"")</f>
        <v/>
      </c>
    </row>
    <row r="39" spans="1:12" outlineLevel="1" x14ac:dyDescent="0.25">
      <c r="A39" s="94" t="str">
        <f>Estimation!D190</f>
        <v>Airfare</v>
      </c>
      <c r="B39" s="104">
        <f>Estimation!E190</f>
        <v>0</v>
      </c>
      <c r="C39" s="102"/>
      <c r="D39" s="104">
        <f>Estimation!J190</f>
        <v>0</v>
      </c>
      <c r="E39" s="104">
        <f>Estimation!N190</f>
        <v>0</v>
      </c>
      <c r="F39" s="104">
        <f>Estimation!R190</f>
        <v>0</v>
      </c>
      <c r="G39" s="104">
        <f>Estimation!V190</f>
        <v>0</v>
      </c>
      <c r="H39" s="104">
        <f>Estimation!Z190</f>
        <v>0</v>
      </c>
      <c r="I39" s="104">
        <f>Estimation!AD190</f>
        <v>0</v>
      </c>
      <c r="K39" s="116"/>
      <c r="L39" s="95"/>
    </row>
    <row r="40" spans="1:12" outlineLevel="1" x14ac:dyDescent="0.25">
      <c r="A40" s="94" t="str">
        <f>Estimation!D191</f>
        <v>Lodging (DoS rate)</v>
      </c>
      <c r="B40" s="104">
        <f>Estimation!E191</f>
        <v>0</v>
      </c>
      <c r="C40" s="102">
        <f>Estimation!F191</f>
        <v>0</v>
      </c>
      <c r="D40" s="104">
        <f>Estimation!J191</f>
        <v>0</v>
      </c>
      <c r="E40" s="104">
        <f>Estimation!N191</f>
        <v>0</v>
      </c>
      <c r="F40" s="104">
        <f>Estimation!R191</f>
        <v>0</v>
      </c>
      <c r="G40" s="104">
        <f>Estimation!V191</f>
        <v>0</v>
      </c>
      <c r="H40" s="104">
        <f>Estimation!Z191</f>
        <v>0</v>
      </c>
      <c r="I40" s="104">
        <f>Estimation!AD191</f>
        <v>0</v>
      </c>
      <c r="L40" s="95"/>
    </row>
    <row r="41" spans="1:12" outlineLevel="1" x14ac:dyDescent="0.25">
      <c r="A41" s="94" t="str">
        <f>Estimation!D192</f>
        <v>Per Diem (DoS/UM rate)</v>
      </c>
      <c r="B41" s="104">
        <f>Estimation!E192</f>
        <v>0</v>
      </c>
      <c r="C41" s="102">
        <f>Estimation!F192</f>
        <v>0</v>
      </c>
      <c r="D41" s="104">
        <f>Estimation!J192</f>
        <v>0</v>
      </c>
      <c r="E41" s="104">
        <f>Estimation!N192</f>
        <v>0</v>
      </c>
      <c r="F41" s="104">
        <f>Estimation!R192</f>
        <v>0</v>
      </c>
      <c r="G41" s="104">
        <f>Estimation!V192</f>
        <v>0</v>
      </c>
      <c r="H41" s="104">
        <f>Estimation!Z192</f>
        <v>0</v>
      </c>
      <c r="I41" s="104">
        <f>Estimation!AD192</f>
        <v>0</v>
      </c>
    </row>
    <row r="42" spans="1:12" outlineLevel="1" x14ac:dyDescent="0.25">
      <c r="A42" s="97" t="str">
        <f>Estimation!D193</f>
        <v>Conference Registration</v>
      </c>
      <c r="B42" s="104">
        <f>Estimation!E193</f>
        <v>0</v>
      </c>
      <c r="C42" s="102"/>
      <c r="D42" s="104">
        <f>Estimation!J193</f>
        <v>0</v>
      </c>
      <c r="E42" s="104">
        <f>Estimation!N193</f>
        <v>0</v>
      </c>
      <c r="F42" s="104">
        <f>Estimation!R193</f>
        <v>0</v>
      </c>
      <c r="G42" s="104">
        <f>Estimation!V193</f>
        <v>0</v>
      </c>
      <c r="H42" s="104">
        <f>Estimation!Z193</f>
        <v>0</v>
      </c>
      <c r="I42" s="104">
        <f>Estimation!AD193</f>
        <v>0</v>
      </c>
      <c r="L42" s="95"/>
    </row>
    <row r="43" spans="1:12" outlineLevel="1" x14ac:dyDescent="0.25">
      <c r="A43" s="97" t="str">
        <f>Estimation!D195</f>
        <v>Ground Transportation</v>
      </c>
      <c r="B43" s="104">
        <f>Estimation!E195</f>
        <v>0</v>
      </c>
      <c r="C43" s="102"/>
      <c r="D43" s="104">
        <f>Estimation!J195</f>
        <v>0</v>
      </c>
      <c r="E43" s="104">
        <f>Estimation!N195</f>
        <v>0</v>
      </c>
      <c r="F43" s="104">
        <f>Estimation!R195</f>
        <v>0</v>
      </c>
      <c r="G43" s="104">
        <f>Estimation!V195</f>
        <v>0</v>
      </c>
      <c r="H43" s="104">
        <f>Estimation!Z195</f>
        <v>0</v>
      </c>
      <c r="I43" s="104">
        <f>Estimation!AD195</f>
        <v>0</v>
      </c>
      <c r="L43" s="95"/>
    </row>
    <row r="44" spans="1:12" outlineLevel="1" x14ac:dyDescent="0.25">
      <c r="A44" s="421" t="str">
        <f>+Estimation!C197</f>
        <v>Description</v>
      </c>
      <c r="B44" s="421"/>
      <c r="C44" s="421"/>
      <c r="D44" s="421"/>
      <c r="E44" s="421"/>
      <c r="F44" s="421"/>
      <c r="G44" s="421"/>
      <c r="H44" s="421"/>
      <c r="I44" s="421"/>
      <c r="L44" s="95"/>
    </row>
    <row r="45" spans="1:12" outlineLevel="1" x14ac:dyDescent="0.25">
      <c r="A45" s="94" t="str">
        <f>Estimation!D198</f>
        <v>Airfare</v>
      </c>
      <c r="B45" s="104">
        <f>Estimation!E198</f>
        <v>0</v>
      </c>
      <c r="C45" s="102"/>
      <c r="D45" s="104">
        <f>Estimation!J198</f>
        <v>0</v>
      </c>
      <c r="E45" s="104">
        <f>Estimation!N198</f>
        <v>0</v>
      </c>
      <c r="F45" s="104">
        <f>Estimation!R198</f>
        <v>0</v>
      </c>
      <c r="G45" s="104">
        <f>Estimation!V198</f>
        <v>0</v>
      </c>
      <c r="H45" s="104">
        <f>Estimation!Z198</f>
        <v>0</v>
      </c>
      <c r="I45" s="104">
        <f>Estimation!AD198</f>
        <v>0</v>
      </c>
      <c r="L45" s="95"/>
    </row>
    <row r="46" spans="1:12" outlineLevel="1" x14ac:dyDescent="0.25">
      <c r="A46" s="94" t="str">
        <f>Estimation!D199</f>
        <v>Lodging (DoS rate)</v>
      </c>
      <c r="B46" s="104">
        <f>Estimation!E199</f>
        <v>0</v>
      </c>
      <c r="C46" s="102">
        <f>Estimation!F199</f>
        <v>0</v>
      </c>
      <c r="D46" s="104">
        <f>Estimation!J199</f>
        <v>0</v>
      </c>
      <c r="E46" s="104">
        <f>Estimation!N199</f>
        <v>0</v>
      </c>
      <c r="F46" s="104">
        <f>Estimation!R199</f>
        <v>0</v>
      </c>
      <c r="G46" s="104">
        <f>Estimation!V199</f>
        <v>0</v>
      </c>
      <c r="H46" s="104">
        <f>Estimation!Z199</f>
        <v>0</v>
      </c>
      <c r="I46" s="104">
        <f>Estimation!AD199</f>
        <v>0</v>
      </c>
      <c r="L46" s="95"/>
    </row>
    <row r="47" spans="1:12" outlineLevel="1" x14ac:dyDescent="0.25">
      <c r="A47" s="94" t="str">
        <f>Estimation!D200</f>
        <v>Per Diem (DoS/UM rate)</v>
      </c>
      <c r="B47" s="104">
        <f>Estimation!E200</f>
        <v>0</v>
      </c>
      <c r="C47" s="102">
        <f>Estimation!F200</f>
        <v>0</v>
      </c>
      <c r="D47" s="104">
        <f>Estimation!J200</f>
        <v>0</v>
      </c>
      <c r="E47" s="104">
        <f>Estimation!N200</f>
        <v>0</v>
      </c>
      <c r="F47" s="104">
        <f>Estimation!R200</f>
        <v>0</v>
      </c>
      <c r="G47" s="104">
        <f>Estimation!V200</f>
        <v>0</v>
      </c>
      <c r="H47" s="104">
        <f>Estimation!Z200</f>
        <v>0</v>
      </c>
      <c r="I47" s="104">
        <f>Estimation!AD200</f>
        <v>0</v>
      </c>
    </row>
    <row r="48" spans="1:12" outlineLevel="1" x14ac:dyDescent="0.25">
      <c r="A48" s="97" t="str">
        <f>Estimation!D201</f>
        <v>Conference Registration</v>
      </c>
      <c r="B48" s="104">
        <f>Estimation!E201</f>
        <v>0</v>
      </c>
      <c r="C48" s="102"/>
      <c r="D48" s="104">
        <f>Estimation!J201</f>
        <v>0</v>
      </c>
      <c r="E48" s="104">
        <f>Estimation!N201</f>
        <v>0</v>
      </c>
      <c r="F48" s="104">
        <f>Estimation!R201</f>
        <v>0</v>
      </c>
      <c r="G48" s="104">
        <f>Estimation!V201</f>
        <v>0</v>
      </c>
      <c r="H48" s="104">
        <f>Estimation!Z201</f>
        <v>0</v>
      </c>
      <c r="I48" s="104">
        <f>Estimation!AD201</f>
        <v>0</v>
      </c>
      <c r="L48" s="95"/>
    </row>
    <row r="49" spans="1:12" outlineLevel="1" x14ac:dyDescent="0.25">
      <c r="A49" s="97" t="str">
        <f>Estimation!D203</f>
        <v>Ground Transportation</v>
      </c>
      <c r="B49" s="104">
        <f>Estimation!E203</f>
        <v>0</v>
      </c>
      <c r="C49" s="102"/>
      <c r="D49" s="104">
        <f>Estimation!J203</f>
        <v>0</v>
      </c>
      <c r="E49" s="104">
        <f>Estimation!N203</f>
        <v>0</v>
      </c>
      <c r="F49" s="104">
        <f>Estimation!R203</f>
        <v>0</v>
      </c>
      <c r="G49" s="104">
        <f>Estimation!V203</f>
        <v>0</v>
      </c>
      <c r="H49" s="104">
        <f>Estimation!Z203</f>
        <v>0</v>
      </c>
      <c r="I49" s="104">
        <f>Estimation!AD203</f>
        <v>0</v>
      </c>
      <c r="L49" s="95"/>
    </row>
    <row r="50" spans="1:12" outlineLevel="1" x14ac:dyDescent="0.25">
      <c r="A50" s="421" t="str">
        <f>+Estimation!C205</f>
        <v>Description</v>
      </c>
      <c r="B50" s="421"/>
      <c r="C50" s="421"/>
      <c r="D50" s="421"/>
      <c r="E50" s="421"/>
      <c r="F50" s="421"/>
      <c r="G50" s="421"/>
      <c r="H50" s="421"/>
      <c r="I50" s="421"/>
      <c r="L50" s="95"/>
    </row>
    <row r="51" spans="1:12" outlineLevel="1" x14ac:dyDescent="0.25">
      <c r="A51" s="94" t="str">
        <f>Estimation!D206</f>
        <v>Airfare</v>
      </c>
      <c r="B51" s="104">
        <f>Estimation!E206</f>
        <v>0</v>
      </c>
      <c r="C51" s="102"/>
      <c r="D51" s="107">
        <f>Estimation!J206</f>
        <v>0</v>
      </c>
      <c r="E51" s="107">
        <f>Estimation!N206</f>
        <v>0</v>
      </c>
      <c r="F51" s="107">
        <f>Estimation!R206</f>
        <v>0</v>
      </c>
      <c r="G51" s="107">
        <f>Estimation!V206</f>
        <v>0</v>
      </c>
      <c r="H51" s="107">
        <f>Estimation!Z206</f>
        <v>0</v>
      </c>
      <c r="I51" s="107">
        <f>Estimation!AD206</f>
        <v>0</v>
      </c>
      <c r="L51" s="95"/>
    </row>
    <row r="52" spans="1:12" outlineLevel="1" x14ac:dyDescent="0.25">
      <c r="A52" s="94" t="str">
        <f>Estimation!D207</f>
        <v>Lodging (DoS rate)</v>
      </c>
      <c r="B52" s="104">
        <f>Estimation!E207</f>
        <v>0</v>
      </c>
      <c r="C52" s="102">
        <f>Estimation!F207</f>
        <v>0</v>
      </c>
      <c r="D52" s="107">
        <f>Estimation!J207</f>
        <v>0</v>
      </c>
      <c r="E52" s="107">
        <f>Estimation!N207</f>
        <v>0</v>
      </c>
      <c r="F52" s="107">
        <f>Estimation!R207</f>
        <v>0</v>
      </c>
      <c r="G52" s="107">
        <f>Estimation!V207</f>
        <v>0</v>
      </c>
      <c r="H52" s="107">
        <f>Estimation!Z207</f>
        <v>0</v>
      </c>
      <c r="I52" s="107">
        <f>Estimation!AD207</f>
        <v>0</v>
      </c>
      <c r="L52" s="95"/>
    </row>
    <row r="53" spans="1:12" outlineLevel="1" x14ac:dyDescent="0.25">
      <c r="A53" s="94" t="str">
        <f>Estimation!D208</f>
        <v>Per Diem (DoS/UM rate)</v>
      </c>
      <c r="B53" s="104">
        <f>Estimation!E208</f>
        <v>0</v>
      </c>
      <c r="C53" s="102">
        <f>Estimation!F208</f>
        <v>0</v>
      </c>
      <c r="D53" s="107">
        <f>Estimation!J208</f>
        <v>0</v>
      </c>
      <c r="E53" s="107">
        <f>Estimation!N208</f>
        <v>0</v>
      </c>
      <c r="F53" s="107">
        <f>Estimation!R208</f>
        <v>0</v>
      </c>
      <c r="G53" s="107">
        <f>Estimation!V208</f>
        <v>0</v>
      </c>
      <c r="H53" s="107">
        <f>Estimation!Z208</f>
        <v>0</v>
      </c>
      <c r="I53" s="107">
        <f>Estimation!AD208</f>
        <v>0</v>
      </c>
    </row>
    <row r="54" spans="1:12" outlineLevel="1" x14ac:dyDescent="0.25">
      <c r="A54" s="97" t="str">
        <f>Estimation!D209</f>
        <v>Conference Registration</v>
      </c>
      <c r="B54" s="104">
        <f>Estimation!E209</f>
        <v>0</v>
      </c>
      <c r="C54" s="102"/>
      <c r="D54" s="107">
        <f>Estimation!J209</f>
        <v>0</v>
      </c>
      <c r="E54" s="107">
        <f>Estimation!N209</f>
        <v>0</v>
      </c>
      <c r="F54" s="107">
        <f>Estimation!R209</f>
        <v>0</v>
      </c>
      <c r="G54" s="107">
        <f>Estimation!V209</f>
        <v>0</v>
      </c>
      <c r="H54" s="107">
        <f>Estimation!Z209</f>
        <v>0</v>
      </c>
      <c r="I54" s="107">
        <f>Estimation!AD209</f>
        <v>0</v>
      </c>
      <c r="L54" s="95"/>
    </row>
    <row r="55" spans="1:12" x14ac:dyDescent="0.25">
      <c r="A55" s="97" t="str">
        <f>Estimation!D211</f>
        <v>Ground Transportation</v>
      </c>
      <c r="B55" s="104">
        <f>Estimation!E211</f>
        <v>0</v>
      </c>
      <c r="C55" s="102"/>
      <c r="D55" s="107">
        <f>Estimation!J211</f>
        <v>0</v>
      </c>
      <c r="E55" s="107">
        <f>Estimation!N211</f>
        <v>0</v>
      </c>
      <c r="F55" s="107">
        <f>Estimation!R211</f>
        <v>0</v>
      </c>
      <c r="G55" s="107">
        <f>Estimation!V211</f>
        <v>0</v>
      </c>
      <c r="H55" s="107">
        <f>Estimation!Z211</f>
        <v>0</v>
      </c>
      <c r="I55" s="107">
        <f>Estimation!AD211</f>
        <v>0</v>
      </c>
    </row>
    <row r="56" spans="1:12" x14ac:dyDescent="0.25">
      <c r="A56" s="415"/>
      <c r="B56" s="416"/>
      <c r="C56" s="416"/>
      <c r="D56" s="416"/>
      <c r="E56" s="416"/>
      <c r="F56" s="416"/>
      <c r="G56" s="416"/>
      <c r="H56" s="416"/>
      <c r="I56" s="417"/>
    </row>
    <row r="57" spans="1:12" x14ac:dyDescent="0.25">
      <c r="A57" s="423" t="str">
        <f>+Estimation!H212</f>
        <v>Subtotal International Travel</v>
      </c>
      <c r="B57" s="424"/>
      <c r="C57" s="424"/>
      <c r="D57" s="106">
        <f>Estimation!J212</f>
        <v>0</v>
      </c>
      <c r="E57" s="106">
        <f>Estimation!N212</f>
        <v>0</v>
      </c>
      <c r="F57" s="106">
        <f>Estimation!R212</f>
        <v>0</v>
      </c>
      <c r="G57" s="106">
        <f>Estimation!V212</f>
        <v>0</v>
      </c>
      <c r="H57" s="106">
        <f>Estimation!Z212</f>
        <v>0</v>
      </c>
      <c r="I57" s="106">
        <f>Estimation!AD212</f>
        <v>0</v>
      </c>
    </row>
    <row r="58" spans="1:12" x14ac:dyDescent="0.25">
      <c r="A58" s="98"/>
      <c r="B58" s="99"/>
      <c r="C58" s="99"/>
      <c r="D58" s="99"/>
      <c r="E58" s="99"/>
      <c r="F58" s="99"/>
      <c r="G58" s="99"/>
      <c r="H58" s="99"/>
      <c r="I58" s="100"/>
    </row>
    <row r="59" spans="1:12" x14ac:dyDescent="0.25">
      <c r="A59" s="424" t="str">
        <f>+Estimation!C214</f>
        <v>Total Travel</v>
      </c>
      <c r="B59" s="424"/>
      <c r="C59" s="424"/>
      <c r="D59" s="106">
        <f>Estimation!J214</f>
        <v>0</v>
      </c>
      <c r="E59" s="106">
        <f>Estimation!N214</f>
        <v>0</v>
      </c>
      <c r="F59" s="106">
        <f>Estimation!R214</f>
        <v>0</v>
      </c>
      <c r="G59" s="106">
        <f>Estimation!V214</f>
        <v>0</v>
      </c>
      <c r="H59" s="106">
        <f>Estimation!Z214</f>
        <v>0</v>
      </c>
      <c r="I59" s="106">
        <f>Estimation!AD214</f>
        <v>0</v>
      </c>
    </row>
    <row r="60" spans="1:12" x14ac:dyDescent="0.25">
      <c r="B60" s="101"/>
      <c r="D60" s="101"/>
      <c r="E60" s="101"/>
      <c r="F60" s="101"/>
      <c r="G60" s="101"/>
      <c r="H60" s="101"/>
      <c r="I60" s="101"/>
    </row>
    <row r="61" spans="1:12" x14ac:dyDescent="0.25">
      <c r="B61" s="101"/>
      <c r="D61" s="101"/>
      <c r="E61" s="101"/>
      <c r="F61" s="101"/>
      <c r="G61" s="101"/>
      <c r="H61" s="101"/>
      <c r="I61" s="101"/>
    </row>
  </sheetData>
  <mergeCells count="20">
    <mergeCell ref="A57:C57"/>
    <mergeCell ref="A59:C59"/>
    <mergeCell ref="A34:I34"/>
    <mergeCell ref="A35:C35"/>
    <mergeCell ref="A38:I38"/>
    <mergeCell ref="A44:I44"/>
    <mergeCell ref="A50:I50"/>
    <mergeCell ref="K3:K5"/>
    <mergeCell ref="K8:K9"/>
    <mergeCell ref="K11:K12"/>
    <mergeCell ref="K17:K22"/>
    <mergeCell ref="A56:I56"/>
    <mergeCell ref="A31:I31"/>
    <mergeCell ref="A3:I3"/>
    <mergeCell ref="A10:I10"/>
    <mergeCell ref="A17:I17"/>
    <mergeCell ref="A24:I24"/>
    <mergeCell ref="K28:K32"/>
    <mergeCell ref="K34:K35"/>
    <mergeCell ref="K36:K3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59"/>
  <sheetViews>
    <sheetView topLeftCell="A4" zoomScaleNormal="100" workbookViewId="0">
      <selection activeCell="F16" sqref="F16"/>
    </sheetView>
  </sheetViews>
  <sheetFormatPr defaultColWidth="9" defaultRowHeight="15" x14ac:dyDescent="0.25"/>
  <cols>
    <col min="1" max="1" width="2.75" style="8" customWidth="1"/>
    <col min="2" max="2" width="4.625" style="8" customWidth="1"/>
    <col min="3" max="3" width="18.625" style="8" customWidth="1"/>
    <col min="4" max="4" width="7.75" style="8" customWidth="1"/>
    <col min="5" max="5" width="2" style="9" customWidth="1"/>
    <col min="6" max="6" width="11.375" style="8" customWidth="1"/>
    <col min="7" max="7" width="2" style="8" customWidth="1"/>
    <col min="8" max="8" width="11.375" style="8" customWidth="1"/>
    <col min="9" max="9" width="2" style="8" customWidth="1"/>
    <col min="10" max="10" width="11.375" style="8" customWidth="1"/>
    <col min="11" max="11" width="2" style="8" customWidth="1"/>
    <col min="12" max="12" width="11.375" style="8" customWidth="1"/>
    <col min="13" max="13" width="2" style="8" customWidth="1"/>
    <col min="14" max="14" width="11.375" style="8" customWidth="1"/>
    <col min="15" max="15" width="2" style="8" customWidth="1"/>
    <col min="16" max="16" width="11.375" style="8" customWidth="1"/>
    <col min="17" max="17" width="2" style="8" customWidth="1"/>
    <col min="18" max="18" width="3.25" style="8" customWidth="1"/>
    <col min="19" max="19" width="9" style="8"/>
    <col min="20" max="20" width="20.25" style="8" customWidth="1"/>
    <col min="21" max="21" width="10.625" style="8" customWidth="1"/>
    <col min="22" max="22" width="9" style="8"/>
    <col min="23" max="23" width="2.25" style="8" customWidth="1"/>
    <col min="24" max="24" width="9" style="8"/>
    <col min="25" max="25" width="2.25" style="8" customWidth="1"/>
    <col min="26" max="26" width="9" style="8"/>
    <col min="27" max="27" width="2.25" style="8" customWidth="1"/>
    <col min="28" max="28" width="9" style="8"/>
    <col min="29" max="29" width="2.25" style="8" customWidth="1"/>
    <col min="30" max="16384" width="9" style="8"/>
  </cols>
  <sheetData>
    <row r="1" spans="1:27" ht="43.9" customHeight="1" x14ac:dyDescent="0.25"/>
    <row r="2" spans="1:27" ht="19.899999999999999" customHeight="1" x14ac:dyDescent="0.25"/>
    <row r="3" spans="1:27" ht="19.5" x14ac:dyDescent="0.25">
      <c r="A3" s="409" t="s">
        <v>115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"/>
      <c r="S3"/>
      <c r="T3"/>
      <c r="U3"/>
      <c r="V3"/>
      <c r="W3"/>
      <c r="X3"/>
      <c r="Y3"/>
      <c r="Z3"/>
      <c r="AA3"/>
    </row>
    <row r="4" spans="1:27" ht="18" customHeight="1" x14ac:dyDescent="0.25">
      <c r="B4" s="38"/>
      <c r="C4" s="38"/>
      <c r="D4" s="1"/>
      <c r="E4" s="2"/>
      <c r="F4" s="2"/>
      <c r="G4" s="2"/>
      <c r="H4" s="3"/>
      <c r="I4" s="3"/>
      <c r="J4" s="10"/>
      <c r="K4" s="4"/>
      <c r="L4" s="4"/>
      <c r="M4" s="4"/>
      <c r="N4" s="4"/>
      <c r="O4" s="4"/>
      <c r="P4" s="4"/>
      <c r="Q4" s="2"/>
      <c r="R4" s="4"/>
      <c r="S4"/>
      <c r="T4"/>
      <c r="U4"/>
      <c r="V4"/>
      <c r="W4"/>
      <c r="X4"/>
      <c r="Y4"/>
      <c r="Z4"/>
      <c r="AA4"/>
    </row>
    <row r="5" spans="1:27" ht="15.75" x14ac:dyDescent="0.25">
      <c r="B5" s="7" t="s">
        <v>192</v>
      </c>
      <c r="C5" s="38"/>
      <c r="D5" s="410">
        <f>Estimation!E1</f>
        <v>0</v>
      </c>
      <c r="E5" s="410"/>
      <c r="F5" s="410"/>
      <c r="J5" s="7" t="s">
        <v>50</v>
      </c>
      <c r="K5" s="38"/>
      <c r="M5" s="411">
        <f>Estimation!E6</f>
        <v>0</v>
      </c>
      <c r="N5" s="411"/>
      <c r="O5" s="411"/>
      <c r="P5" s="411"/>
      <c r="R5" s="39"/>
      <c r="S5"/>
      <c r="T5"/>
      <c r="U5"/>
      <c r="V5"/>
      <c r="W5"/>
      <c r="X5"/>
      <c r="Y5"/>
      <c r="Z5"/>
      <c r="AA5"/>
    </row>
    <row r="6" spans="1:27" ht="15.75" x14ac:dyDescent="0.25">
      <c r="B6" s="7" t="s">
        <v>155</v>
      </c>
      <c r="C6" s="38"/>
      <c r="D6" s="410">
        <f>Estimation!E2</f>
        <v>0</v>
      </c>
      <c r="E6" s="410"/>
      <c r="F6" s="410"/>
      <c r="J6" s="7" t="s">
        <v>51</v>
      </c>
      <c r="K6" s="38"/>
      <c r="M6" s="411">
        <f>Estimation!E7</f>
        <v>0</v>
      </c>
      <c r="N6" s="411"/>
      <c r="O6" s="411"/>
      <c r="P6" s="411"/>
      <c r="R6" s="39"/>
      <c r="S6"/>
      <c r="T6"/>
      <c r="U6"/>
      <c r="V6"/>
      <c r="W6"/>
      <c r="X6"/>
      <c r="Y6"/>
      <c r="Z6"/>
      <c r="AA6"/>
    </row>
    <row r="7" spans="1:27" ht="15.75" x14ac:dyDescent="0.25">
      <c r="B7" s="38"/>
      <c r="C7" s="38"/>
      <c r="D7" s="38"/>
      <c r="E7" s="38"/>
      <c r="F7" s="38"/>
      <c r="G7" s="38"/>
      <c r="H7" s="22"/>
      <c r="I7" s="22"/>
      <c r="J7" s="38"/>
      <c r="K7" s="38"/>
      <c r="M7" s="411">
        <f>Estimation!E8</f>
        <v>0</v>
      </c>
      <c r="N7" s="411"/>
      <c r="O7" s="411"/>
      <c r="P7" s="411"/>
      <c r="R7" s="39"/>
      <c r="S7"/>
      <c r="T7"/>
      <c r="U7"/>
      <c r="V7"/>
      <c r="W7"/>
      <c r="X7"/>
      <c r="Y7"/>
      <c r="Z7"/>
      <c r="AA7"/>
    </row>
    <row r="8" spans="1:27" ht="15.75" x14ac:dyDescent="0.25">
      <c r="B8" s="38"/>
      <c r="C8" s="38"/>
      <c r="D8" s="38"/>
      <c r="E8" s="38"/>
      <c r="F8" s="38"/>
      <c r="G8" s="38"/>
      <c r="H8" s="5"/>
      <c r="I8" s="5"/>
      <c r="J8" s="39"/>
      <c r="K8" s="39"/>
      <c r="L8" s="39"/>
      <c r="M8" s="39"/>
      <c r="N8" s="39"/>
      <c r="O8" s="39"/>
      <c r="P8" s="39"/>
      <c r="R8" s="39"/>
      <c r="S8"/>
      <c r="T8"/>
      <c r="U8"/>
      <c r="V8"/>
      <c r="W8"/>
      <c r="X8"/>
      <c r="Y8"/>
      <c r="Z8"/>
      <c r="AA8"/>
    </row>
    <row r="9" spans="1:27" ht="15.6" customHeight="1" x14ac:dyDescent="0.25">
      <c r="B9" s="7" t="s">
        <v>20</v>
      </c>
      <c r="C9" s="408">
        <f>Estimation!I7</f>
        <v>0</v>
      </c>
      <c r="D9" s="408"/>
      <c r="E9" s="408"/>
      <c r="F9" s="408"/>
      <c r="G9" s="408"/>
      <c r="H9" s="408"/>
      <c r="J9" s="57" t="s">
        <v>116</v>
      </c>
      <c r="M9" s="412">
        <f>Estimation!E3</f>
        <v>0</v>
      </c>
      <c r="N9" s="412"/>
      <c r="O9" s="412"/>
      <c r="P9" s="412"/>
      <c r="S9"/>
      <c r="T9"/>
      <c r="U9"/>
      <c r="V9"/>
      <c r="W9"/>
      <c r="X9"/>
      <c r="Y9"/>
      <c r="Z9"/>
      <c r="AA9"/>
    </row>
    <row r="10" spans="1:27" ht="15.75" x14ac:dyDescent="0.25">
      <c r="C10" s="408"/>
      <c r="D10" s="408"/>
      <c r="E10" s="408"/>
      <c r="F10" s="408"/>
      <c r="G10" s="408"/>
      <c r="H10" s="408"/>
      <c r="S10"/>
      <c r="T10"/>
      <c r="U10"/>
      <c r="V10"/>
      <c r="W10"/>
      <c r="X10"/>
      <c r="Y10"/>
      <c r="Z10"/>
      <c r="AA10"/>
    </row>
    <row r="11" spans="1:27" ht="15.75" x14ac:dyDescent="0.25">
      <c r="B11" s="6"/>
      <c r="C11" s="408"/>
      <c r="D11" s="408"/>
      <c r="E11" s="408"/>
      <c r="F11" s="408"/>
      <c r="G11" s="408"/>
      <c r="H11" s="408"/>
      <c r="J11" s="64" t="s">
        <v>18</v>
      </c>
      <c r="M11" s="411">
        <f>Estimation!K12</f>
        <v>0</v>
      </c>
      <c r="N11" s="411"/>
      <c r="O11" s="411"/>
      <c r="P11" s="411"/>
      <c r="S11"/>
      <c r="T11"/>
      <c r="U11"/>
      <c r="V11"/>
      <c r="W11"/>
      <c r="X11"/>
      <c r="Y11"/>
      <c r="Z11"/>
      <c r="AA11"/>
    </row>
    <row r="12" spans="1:27" ht="15.75" x14ac:dyDescent="0.25">
      <c r="B12" s="6"/>
      <c r="C12" s="408"/>
      <c r="D12" s="408"/>
      <c r="E12" s="408"/>
      <c r="F12" s="408"/>
      <c r="G12" s="408"/>
      <c r="H12" s="408"/>
      <c r="S12"/>
      <c r="T12"/>
      <c r="U12"/>
      <c r="V12"/>
      <c r="W12"/>
      <c r="X12"/>
      <c r="Y12"/>
      <c r="Z12"/>
      <c r="AA12"/>
    </row>
    <row r="13" spans="1:27" ht="15.75" x14ac:dyDescent="0.25">
      <c r="B13" s="38"/>
      <c r="C13" s="38"/>
      <c r="D13" s="38"/>
      <c r="E13" s="38"/>
      <c r="F13" s="38"/>
      <c r="G13" s="38"/>
      <c r="H13" s="6"/>
      <c r="I13" s="15"/>
      <c r="J13" s="6"/>
      <c r="K13" s="15"/>
      <c r="L13" s="15"/>
      <c r="M13" s="15"/>
      <c r="N13" s="15"/>
      <c r="S13"/>
      <c r="T13"/>
      <c r="U13"/>
      <c r="V13"/>
      <c r="W13"/>
      <c r="X13"/>
      <c r="Y13"/>
      <c r="Z13"/>
      <c r="AA13"/>
    </row>
    <row r="14" spans="1:27" x14ac:dyDescent="0.25">
      <c r="B14" s="122" t="s">
        <v>27</v>
      </c>
      <c r="C14" s="122"/>
      <c r="D14" s="122"/>
      <c r="E14" s="123"/>
      <c r="F14" s="124" t="s">
        <v>0</v>
      </c>
      <c r="G14" s="125"/>
      <c r="H14" s="124" t="s">
        <v>1</v>
      </c>
      <c r="I14" s="125"/>
      <c r="J14" s="124" t="s">
        <v>22</v>
      </c>
      <c r="K14" s="125"/>
      <c r="L14" s="124" t="s">
        <v>30</v>
      </c>
      <c r="M14" s="125"/>
      <c r="N14" s="124" t="s">
        <v>42</v>
      </c>
      <c r="O14" s="125"/>
      <c r="P14" s="126" t="s">
        <v>23</v>
      </c>
      <c r="Q14" s="125"/>
      <c r="R14" s="18"/>
    </row>
    <row r="15" spans="1:27" x14ac:dyDescent="0.25">
      <c r="D15" s="23"/>
      <c r="E15" s="69"/>
      <c r="G15" s="69"/>
      <c r="I15" s="69"/>
      <c r="K15" s="69"/>
      <c r="M15" s="69"/>
      <c r="O15" s="69"/>
      <c r="Q15" s="69"/>
    </row>
    <row r="16" spans="1:27" s="22" customFormat="1" x14ac:dyDescent="0.25">
      <c r="C16" s="5" t="s">
        <v>24</v>
      </c>
      <c r="D16" s="67"/>
      <c r="E16" s="70"/>
      <c r="F16" s="74">
        <f>Estimation!J139*(1+Industry!U26)</f>
        <v>0</v>
      </c>
      <c r="G16" s="70"/>
      <c r="H16" s="74">
        <f>Estimation!N139*(1+Industry!U26)</f>
        <v>0</v>
      </c>
      <c r="I16" s="70"/>
      <c r="J16" s="74">
        <f>Estimation!R139*(1+Industry!U26)</f>
        <v>0</v>
      </c>
      <c r="K16" s="70"/>
      <c r="L16" s="74">
        <f>Estimation!V139*(1+Industry!U26)</f>
        <v>0</v>
      </c>
      <c r="M16" s="70"/>
      <c r="N16" s="74">
        <f>Estimation!Z139*(1+Industry!U26)</f>
        <v>0</v>
      </c>
      <c r="O16" s="70"/>
      <c r="P16" s="68">
        <f>SUM(F16:N16)</f>
        <v>0</v>
      </c>
      <c r="Q16" s="70"/>
    </row>
    <row r="17" spans="2:30" s="22" customFormat="1" x14ac:dyDescent="0.25">
      <c r="C17" s="5" t="s">
        <v>66</v>
      </c>
      <c r="D17" s="33"/>
      <c r="E17" s="71"/>
      <c r="F17" s="34">
        <f>IF($U$25="MTDC",Estimation!J147,IF($U$25="TDC",Estimation!J147*(1+Industry!$U$26),IF($U$25="Other",Estimation!J147*(1+Industry!$U$26))))</f>
        <v>0</v>
      </c>
      <c r="G17" s="71"/>
      <c r="H17" s="34">
        <f>IF($U$25="MTDC",Estimation!N147,IF($U$25="TDC",Estimation!N147*(1+Industry!$U$26),IF($U$25="Other",Estimation!N147*(1+Industry!$U$26))))</f>
        <v>0</v>
      </c>
      <c r="I17" s="71"/>
      <c r="J17" s="34">
        <f>IF($U$25="MTDC",Estimation!R147,IF($U$25="TDC",Estimation!R147*(1+Industry!$U$26),IF($U$25="Other",Estimation!R147*(1+Industry!$U$26))))</f>
        <v>0</v>
      </c>
      <c r="K17" s="71"/>
      <c r="L17" s="34">
        <f>IF($U$25="MTDC",Estimation!V147,IF($U$25="TDC",Estimation!V147*(1+Industry!$U$26),IF($U$25="Other",Estimation!V147*(1+Industry!$U$26))))</f>
        <v>0</v>
      </c>
      <c r="M17" s="71"/>
      <c r="N17" s="34">
        <f>IF($U$25="MTDC",Estimation!Z147,IF($U$25="TDC",Estimation!Z147*(1+Industry!$U$26),IF($U$25="Other",Estimation!Z147*(1+Industry!$U$26))))</f>
        <v>0</v>
      </c>
      <c r="O17" s="71"/>
      <c r="P17" s="68">
        <f>SUM(F17:N17)</f>
        <v>0</v>
      </c>
      <c r="Q17" s="71"/>
    </row>
    <row r="18" spans="2:30" s="22" customFormat="1" x14ac:dyDescent="0.25">
      <c r="C18" s="5" t="s">
        <v>10</v>
      </c>
      <c r="D18" s="33"/>
      <c r="E18" s="71"/>
      <c r="F18" s="33">
        <f>Estimation!J214*(1+Industry!U26)</f>
        <v>0</v>
      </c>
      <c r="G18" s="71"/>
      <c r="H18" s="33">
        <f>Estimation!N214*(1+Industry!U26)</f>
        <v>0</v>
      </c>
      <c r="I18" s="71"/>
      <c r="J18" s="33">
        <f>Estimation!R214*(1+Industry!U26)</f>
        <v>0</v>
      </c>
      <c r="K18" s="71"/>
      <c r="L18" s="33">
        <f>Estimation!V214*(1+Industry!U26)</f>
        <v>0</v>
      </c>
      <c r="M18" s="71"/>
      <c r="N18" s="33">
        <f>Estimation!Z214*(1+Industry!U26)</f>
        <v>0</v>
      </c>
      <c r="O18" s="71"/>
      <c r="P18" s="68">
        <f>SUM(F18:N18)</f>
        <v>0</v>
      </c>
      <c r="Q18" s="71"/>
    </row>
    <row r="19" spans="2:30" s="22" customFormat="1" x14ac:dyDescent="0.25">
      <c r="C19" s="5" t="s">
        <v>25</v>
      </c>
      <c r="D19" s="34"/>
      <c r="E19" s="72"/>
      <c r="F19" s="34">
        <f>IF($U$25="MTDC",SUM(V28+(V29*Industry!$U$26)),IF($U$25="TDC",V28*(1+Industry!$U$26),IF($U$25="Other",SUM(V30*(1+Industry!$U$26)))))</f>
        <v>0</v>
      </c>
      <c r="G19" s="72"/>
      <c r="H19" s="34">
        <f>IF($U$25="MTDC",SUM(X28+(X29*Industry!$U$26)),IF($U$25="TDC",X28*(1+Industry!$U$26),IF($U$25="Other",SUM(X30*(1+Industry!$U$26)))))</f>
        <v>0</v>
      </c>
      <c r="I19" s="72"/>
      <c r="J19" s="34">
        <f>IF($U$25="MTDC",SUM(Z28+(Z29*Industry!$U$26)),IF($U$25="TDC",Z28*(1+Industry!$U$26),IF($U$25="Other",SUM(Z30*(1+Industry!$U$26)))))</f>
        <v>0</v>
      </c>
      <c r="K19" s="72"/>
      <c r="L19" s="34">
        <f>IF($U$25="MTDC",SUM(AB28+(AB29*Industry!$U$26)),IF($U$25="TDC",AB28*(1+Industry!$U$26),IF($U$25="Other",SUM(AB30*(1+Industry!$U$26)))))</f>
        <v>0</v>
      </c>
      <c r="M19" s="72"/>
      <c r="N19" s="34">
        <f>IF($U$25="MTDC",SUM(AD28+(AD29*Industry!$U$26)),IF($U$25="TDC",AD28*(1+Industry!$U$26),IF($U$25="Other",SUM(AD30*(1+Industry!$U$26)))))</f>
        <v>0</v>
      </c>
      <c r="O19" s="72"/>
      <c r="P19" s="68">
        <f>SUM(F19:N19)</f>
        <v>0</v>
      </c>
      <c r="Q19" s="72"/>
    </row>
    <row r="20" spans="2:30" s="22" customFormat="1" x14ac:dyDescent="0.25">
      <c r="B20" s="76"/>
      <c r="C20" s="77" t="s">
        <v>41</v>
      </c>
      <c r="D20" s="78"/>
      <c r="E20" s="79"/>
      <c r="F20" s="78">
        <f>IF($U$25="MTDC",SUM(Estimation!J245:J252)+(25000*Estimation!G278*Industry!$U$26),IF($U$25="TDC",SUM(Estimation!J245:J252)*(1+Industry!$U$26),IF($U$25="Other",SUM(Estimation!J245:J252)*(1+Industry!$U$26))))</f>
        <v>0</v>
      </c>
      <c r="G20" s="79"/>
      <c r="H20" s="78">
        <f>IF($U$25="MTDC",SUM(Estimation!N245:N252),IF($U$25="TDC",SUM(Estimation!N245:N252)*(1+Industry!$U$26),IF($U$25="Other",SUM(Estimation!N245:N252)*(1+Industry!$U$26))))</f>
        <v>0</v>
      </c>
      <c r="I20" s="79"/>
      <c r="J20" s="78">
        <f>IF($U$25="MTDC",SUM(Estimation!R245:R252),IF($U$25="TDC",SUM(Estimation!R245:R252)*(1+Industry!$U$26),IF($U$25="Other",SUM(Estimation!R245:R252)*(1+Industry!$U$26))))</f>
        <v>0</v>
      </c>
      <c r="K20" s="79"/>
      <c r="L20" s="78">
        <f>IF($U$25="MTDC",SUM(Estimation!V245:V252),IF($U$25="TDC",SUM(Estimation!V245:V252)*(1+Industry!$U$26),IF($U$25="Other",SUM(Estimation!V245:V252)*(1+Industry!$U$26))))</f>
        <v>0</v>
      </c>
      <c r="M20" s="79"/>
      <c r="N20" s="78">
        <f>IF($U$25="MTDC",SUM(Estimation!Z245:Z252),IF($U$25="TDC",SUM(Estimation!Z245:Z252)*(1+Industry!$U$26),IF($U$25="Other",SUM(Estimation!Z245:Z252)*(1+Industry!$U$26))))</f>
        <v>0</v>
      </c>
      <c r="O20" s="79"/>
      <c r="P20" s="80">
        <f>SUM(F20:N20)</f>
        <v>0</v>
      </c>
      <c r="Q20" s="79"/>
    </row>
    <row r="21" spans="2:30" s="22" customFormat="1" ht="15.75" thickBot="1" x14ac:dyDescent="0.3"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75"/>
      <c r="O21" s="34"/>
      <c r="P21" s="31"/>
      <c r="Q21" s="34"/>
    </row>
    <row r="22" spans="2:30" s="22" customFormat="1" ht="16.5" thickTop="1" thickBot="1" x14ac:dyDescent="0.3">
      <c r="B22" s="140"/>
      <c r="C22" s="141" t="s">
        <v>67</v>
      </c>
      <c r="D22" s="142"/>
      <c r="E22" s="142"/>
      <c r="F22" s="143">
        <f>SUM(F16:F20)</f>
        <v>0</v>
      </c>
      <c r="G22" s="143"/>
      <c r="H22" s="143">
        <f>SUM(H16:H20)</f>
        <v>0</v>
      </c>
      <c r="I22" s="143"/>
      <c r="J22" s="143">
        <f>SUM(J16:J20)</f>
        <v>0</v>
      </c>
      <c r="K22" s="143"/>
      <c r="L22" s="143">
        <f>SUM(L16:L20)</f>
        <v>0</v>
      </c>
      <c r="M22" s="143"/>
      <c r="N22" s="143">
        <f>SUM(N16:N20)</f>
        <v>0</v>
      </c>
      <c r="O22" s="143"/>
      <c r="P22" s="143">
        <f>SUM(P16:P20)</f>
        <v>0</v>
      </c>
      <c r="Q22" s="142"/>
    </row>
    <row r="23" spans="2:30" s="22" customFormat="1" ht="15.75" thickTop="1" x14ac:dyDescent="0.25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4"/>
      <c r="Q23" s="32"/>
      <c r="T23" s="31" t="s">
        <v>74</v>
      </c>
      <c r="U23" s="31" t="e">
        <f>Estimation!#REF!</f>
        <v>#REF!</v>
      </c>
      <c r="V23" s="37"/>
    </row>
    <row r="24" spans="2:30" s="22" customFormat="1" x14ac:dyDescent="0.25">
      <c r="T24" s="31"/>
      <c r="U24" s="31"/>
      <c r="V24" s="37"/>
    </row>
    <row r="25" spans="2:30" s="22" customFormat="1" x14ac:dyDescent="0.25">
      <c r="T25" s="31" t="s">
        <v>101</v>
      </c>
      <c r="U25" s="144" t="s">
        <v>86</v>
      </c>
    </row>
    <row r="26" spans="2:30" s="22" customFormat="1" x14ac:dyDescent="0.25">
      <c r="T26" s="31" t="s">
        <v>119</v>
      </c>
      <c r="U26" s="73">
        <f>Estimation!H283</f>
        <v>0.47</v>
      </c>
    </row>
    <row r="27" spans="2:30" s="22" customFormat="1" x14ac:dyDescent="0.25">
      <c r="T27" s="14"/>
      <c r="U27" s="14"/>
      <c r="V27" s="35" t="s">
        <v>75</v>
      </c>
      <c r="W27" s="35"/>
      <c r="X27" s="35" t="s">
        <v>76</v>
      </c>
      <c r="Y27" s="35"/>
      <c r="Z27" s="35" t="s">
        <v>77</v>
      </c>
      <c r="AA27" s="35"/>
      <c r="AB27" s="35" t="s">
        <v>78</v>
      </c>
      <c r="AC27" s="35"/>
      <c r="AD27" s="35" t="s">
        <v>79</v>
      </c>
    </row>
    <row r="28" spans="2:30" s="22" customFormat="1" x14ac:dyDescent="0.25">
      <c r="T28" s="31" t="s">
        <v>122</v>
      </c>
      <c r="U28" s="14"/>
      <c r="V28" s="31">
        <f>Estimation!J228+SUM(Estimation!J232:J243)+SUM(Estimation!J266:J270)</f>
        <v>0</v>
      </c>
      <c r="W28" s="31"/>
      <c r="X28" s="31">
        <f>Estimation!N228+SUM(Estimation!N232:N243)+SUM(Estimation!N266:N270)</f>
        <v>0</v>
      </c>
      <c r="Y28" s="31"/>
      <c r="Z28" s="31">
        <f>Estimation!R228+SUM(Estimation!R232:R243)+SUM(Estimation!R266:R270)</f>
        <v>0</v>
      </c>
      <c r="AA28" s="31"/>
      <c r="AB28" s="31">
        <f>Estimation!V228+SUM(Estimation!V232:V243)+SUM(Estimation!V266:V270)</f>
        <v>0</v>
      </c>
      <c r="AC28" s="31"/>
      <c r="AD28" s="31">
        <f>Estimation!Z228+SUM(Estimation!Z232:Z243)+SUM(Estimation!Z266:Z270)</f>
        <v>0</v>
      </c>
    </row>
    <row r="29" spans="2:30" x14ac:dyDescent="0.25">
      <c r="E29" s="8"/>
      <c r="T29" s="31" t="s">
        <v>123</v>
      </c>
      <c r="U29" s="14"/>
      <c r="V29" s="31">
        <f>V28-Estimation!J228-Estimation!J270</f>
        <v>0</v>
      </c>
      <c r="W29" s="14"/>
      <c r="X29" s="31">
        <f>X28-Estimation!N228-Estimation!N270</f>
        <v>0</v>
      </c>
      <c r="Y29" s="14"/>
      <c r="Z29" s="31">
        <f>Z28-Estimation!R228-Estimation!R270</f>
        <v>0</v>
      </c>
      <c r="AA29" s="14"/>
      <c r="AB29" s="31">
        <f>AB28-Estimation!V228-Estimation!V270</f>
        <v>0</v>
      </c>
      <c r="AC29" s="14"/>
      <c r="AD29" s="31">
        <f>AD28-Estimation!Z228-Estimation!Z270</f>
        <v>0</v>
      </c>
    </row>
    <row r="30" spans="2:30" x14ac:dyDescent="0.25">
      <c r="D30" s="46"/>
      <c r="E30" s="8"/>
      <c r="T30" s="31" t="s">
        <v>124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2:30" x14ac:dyDescent="0.25">
      <c r="D31" s="46"/>
      <c r="E31" s="8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2:30" x14ac:dyDescent="0.25">
      <c r="D32" s="46"/>
      <c r="E32" s="8"/>
      <c r="T32" s="82" t="s">
        <v>125</v>
      </c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4:20" x14ac:dyDescent="0.25">
      <c r="D33" s="46"/>
      <c r="T33" s="82" t="s">
        <v>126</v>
      </c>
    </row>
    <row r="34" spans="4:20" x14ac:dyDescent="0.25">
      <c r="D34" s="46"/>
    </row>
    <row r="35" spans="4:20" x14ac:dyDescent="0.25">
      <c r="D35" s="46"/>
      <c r="T35" s="36" t="s">
        <v>127</v>
      </c>
    </row>
    <row r="36" spans="4:20" x14ac:dyDescent="0.25">
      <c r="D36" s="46"/>
    </row>
    <row r="37" spans="4:20" x14ac:dyDescent="0.25">
      <c r="D37" s="46"/>
      <c r="T37" s="19" t="s">
        <v>86</v>
      </c>
    </row>
    <row r="38" spans="4:20" x14ac:dyDescent="0.25">
      <c r="D38" s="46"/>
      <c r="T38" s="19" t="s">
        <v>87</v>
      </c>
    </row>
    <row r="39" spans="4:20" x14ac:dyDescent="0.25">
      <c r="D39" s="46"/>
      <c r="T39" s="19" t="s">
        <v>35</v>
      </c>
    </row>
    <row r="40" spans="4:20" x14ac:dyDescent="0.25">
      <c r="D40" s="46"/>
    </row>
    <row r="41" spans="4:20" x14ac:dyDescent="0.25">
      <c r="D41" s="46"/>
    </row>
    <row r="42" spans="4:20" x14ac:dyDescent="0.25">
      <c r="D42" s="46"/>
    </row>
    <row r="43" spans="4:20" x14ac:dyDescent="0.25">
      <c r="D43" s="46"/>
    </row>
    <row r="44" spans="4:20" x14ac:dyDescent="0.25">
      <c r="D44" s="46"/>
    </row>
    <row r="45" spans="4:20" x14ac:dyDescent="0.25">
      <c r="D45" s="46"/>
    </row>
    <row r="47" spans="4:20" x14ac:dyDescent="0.25">
      <c r="D47" s="23"/>
    </row>
    <row r="48" spans="4:20" x14ac:dyDescent="0.25">
      <c r="D48" s="23"/>
    </row>
    <row r="49" spans="4:4" x14ac:dyDescent="0.25">
      <c r="D49" s="23"/>
    </row>
    <row r="50" spans="4:4" x14ac:dyDescent="0.25">
      <c r="D50" s="23"/>
    </row>
    <row r="51" spans="4:4" x14ac:dyDescent="0.25">
      <c r="D51" s="23"/>
    </row>
    <row r="52" spans="4:4" x14ac:dyDescent="0.25">
      <c r="D52" s="23"/>
    </row>
    <row r="53" spans="4:4" x14ac:dyDescent="0.25">
      <c r="D53" s="23"/>
    </row>
    <row r="54" spans="4:4" x14ac:dyDescent="0.25">
      <c r="D54" s="23"/>
    </row>
    <row r="154" spans="2:6" s="19" customFormat="1" x14ac:dyDescent="0.25">
      <c r="B154" s="8"/>
      <c r="C154" s="8"/>
      <c r="D154" s="8"/>
      <c r="E154" s="9"/>
      <c r="F154" s="8"/>
    </row>
    <row r="155" spans="2:6" s="19" customFormat="1" x14ac:dyDescent="0.25">
      <c r="B155" s="8"/>
      <c r="C155" s="8"/>
      <c r="D155" s="8"/>
      <c r="E155" s="9"/>
      <c r="F155" s="8"/>
    </row>
    <row r="156" spans="2:6" s="19" customFormat="1" x14ac:dyDescent="0.25">
      <c r="D156" s="8"/>
      <c r="E156" s="9"/>
    </row>
    <row r="157" spans="2:6" s="19" customFormat="1" x14ac:dyDescent="0.25">
      <c r="D157" s="8"/>
      <c r="E157" s="9"/>
    </row>
    <row r="158" spans="2:6" x14ac:dyDescent="0.25">
      <c r="D158" s="19"/>
      <c r="E158" s="30"/>
    </row>
    <row r="159" spans="2:6" x14ac:dyDescent="0.25">
      <c r="D159" s="19"/>
      <c r="E159" s="30"/>
    </row>
  </sheetData>
  <sheetProtection formatCells="0" formatColumns="0" formatRows="0"/>
  <mergeCells count="9">
    <mergeCell ref="C9:H12"/>
    <mergeCell ref="M9:P9"/>
    <mergeCell ref="M11:P11"/>
    <mergeCell ref="A3:Q3"/>
    <mergeCell ref="D5:F5"/>
    <mergeCell ref="M5:P5"/>
    <mergeCell ref="D6:F6"/>
    <mergeCell ref="M6:P6"/>
    <mergeCell ref="M7:P7"/>
  </mergeCells>
  <dataValidations disablePrompts="1" count="1">
    <dataValidation type="list" allowBlank="1" showInputMessage="1" showErrorMessage="1" sqref="U25" xr:uid="{00000000-0002-0000-0300-000000000000}">
      <formula1>$T$37:$T$39</formula1>
    </dataValidation>
  </dataValidations>
  <pageMargins left="0.38" right="0.31" top="0.78" bottom="0.47" header="0.3" footer="0.3"/>
  <pageSetup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179B-E115-4F4D-B187-C61EC42CFE9A}">
  <dimension ref="A1:H2"/>
  <sheetViews>
    <sheetView workbookViewId="0">
      <selection activeCell="D2" sqref="D2"/>
    </sheetView>
  </sheetViews>
  <sheetFormatPr defaultRowHeight="15.75" x14ac:dyDescent="0.25"/>
  <sheetData>
    <row r="1" spans="1:8" x14ac:dyDescent="0.25">
      <c r="A1" t="s">
        <v>219</v>
      </c>
      <c r="B1" t="s">
        <v>220</v>
      </c>
      <c r="C1" t="s">
        <v>221</v>
      </c>
      <c r="D1" t="s">
        <v>222</v>
      </c>
      <c r="E1" t="s">
        <v>223</v>
      </c>
      <c r="F1" t="s">
        <v>224</v>
      </c>
      <c r="G1" t="s">
        <v>225</v>
      </c>
      <c r="H1" t="s">
        <v>226</v>
      </c>
    </row>
    <row r="2" spans="1:8" x14ac:dyDescent="0.25">
      <c r="A2" s="283">
        <f>Estimation!AD139</f>
        <v>0</v>
      </c>
      <c r="B2" s="283">
        <f>Estimation!AD147</f>
        <v>0</v>
      </c>
      <c r="C2" s="283">
        <f>Estimation!AD214</f>
        <v>0</v>
      </c>
      <c r="D2" s="283">
        <f>Estimation!AD228</f>
        <v>0</v>
      </c>
      <c r="E2" s="283">
        <f>Estimation!AD272</f>
        <v>0</v>
      </c>
      <c r="F2" s="283">
        <f>Estimation!AD284</f>
        <v>0</v>
      </c>
      <c r="G2" s="283">
        <f>Estimation!AF286</f>
        <v>0</v>
      </c>
      <c r="H2" s="28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Estimation</vt:lpstr>
      <vt:lpstr>DMS Calculations</vt:lpstr>
      <vt:lpstr>BudgetForm</vt:lpstr>
      <vt:lpstr>Output-TravelTable</vt:lpstr>
      <vt:lpstr>Industry</vt:lpstr>
      <vt:lpstr>cayuse</vt:lpstr>
      <vt:lpstr>BudgetForm!FringeBenefits</vt:lpstr>
      <vt:lpstr>BudgetForm!IndirectCosts</vt:lpstr>
      <vt:lpstr>BudgetForm!OtherDirectCosts</vt:lpstr>
      <vt:lpstr>BudgetForm!Print_Area</vt:lpstr>
      <vt:lpstr>Estimation!Print_Area</vt:lpstr>
      <vt:lpstr>Industry!Print_Area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</dc:creator>
  <cp:lastModifiedBy>Hillyard, Bryson</cp:lastModifiedBy>
  <cp:lastPrinted>2020-06-18T15:02:54Z</cp:lastPrinted>
  <dcterms:created xsi:type="dcterms:W3CDTF">2002-09-24T21:46:17Z</dcterms:created>
  <dcterms:modified xsi:type="dcterms:W3CDTF">2025-07-23T17:44:17Z</dcterms:modified>
</cp:coreProperties>
</file>