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ate1904="1" updateLinks="never" autoCompressPictures="0" defaultThemeVersion="124226"/>
  <mc:AlternateContent xmlns:mc="http://schemas.openxmlformats.org/markup-compatibility/2006">
    <mc:Choice Requires="x15">
      <x15ac:absPath xmlns:x15ac="http://schemas.microsoft.com/office/spreadsheetml/2010/11/ac" url="C:\Users\dari.quirk\Documents\0004_Budget Information\"/>
    </mc:Choice>
  </mc:AlternateContent>
  <xr:revisionPtr revIDLastSave="0" documentId="13_ncr:1_{E8F3C972-E20C-45B3-B4EE-0D495DF16B8B}" xr6:coauthVersionLast="47" xr6:coauthVersionMax="47" xr10:uidLastSave="{00000000-0000-0000-0000-000000000000}"/>
  <workbookProtection workbookAlgorithmName="SHA-512" workbookHashValue="wPO/a0oQwjRdLsAGEOCp8d31L55rTBKS51iBo2OQd2wD6e+4sHWMk3du4x8qvSkzb6t2iiL4Ntp1jmGPSaqZ/g==" workbookSaltValue="wGNRBhBcqpZnl1ft4MCWDw==" workbookSpinCount="100000" lockStructure="1"/>
  <bookViews>
    <workbookView xWindow="29250" yWindow="210" windowWidth="25755" windowHeight="20010" activeTab="1" xr2:uid="{00000000-000D-0000-FFFF-FFFF00000000}"/>
  </bookViews>
  <sheets>
    <sheet name="Instructions" sheetId="22" r:id="rId1"/>
    <sheet name="Estimation" sheetId="1" r:id="rId2"/>
    <sheet name="BudgetForm" sheetId="17" r:id="rId3"/>
    <sheet name="Output-TravelTable" sheetId="20" r:id="rId4"/>
    <sheet name="Industry" sheetId="19" r:id="rId5"/>
    <sheet name="cayuse" sheetId="21" r:id="rId6"/>
  </sheets>
  <definedNames>
    <definedName name="FringeBenefits" localSheetId="2">BudgetForm!$C$49:$C$58</definedName>
    <definedName name="FringeBenefits" localSheetId="4">Industry!#REF!</definedName>
    <definedName name="FringeBenefits">#REF!</definedName>
    <definedName name="IndirectCosts" localSheetId="2">BudgetForm!$D$115:$D$115</definedName>
    <definedName name="IndirectCosts" localSheetId="4">Industry!#REF!</definedName>
    <definedName name="IndirectCosts">#REF!</definedName>
    <definedName name="ok">#REF!</definedName>
    <definedName name="OtherDirectCosts" localSheetId="2">BudgetForm!$B$88:$B$109</definedName>
    <definedName name="OtherDirectCosts" localSheetId="4">Industry!#REF!</definedName>
    <definedName name="OtherDirectCosts">#REF!</definedName>
    <definedName name="_xlnm.Print_Area" localSheetId="2">BudgetForm!$A$1:$Q$121</definedName>
    <definedName name="_xlnm.Print_Area" localSheetId="1">Estimation!$B$1:$AG$290</definedName>
    <definedName name="_xlnm.Print_Area" localSheetId="4">Industry!$A$1:$P$22</definedName>
    <definedName name="Z_57C5C8F1_8001_4F07_BD71_B2E547A208C7_.wvu.Cols" localSheetId="1" hidden="1">Estimation!$L:$M,Estimation!$P:$Q,Estimation!$T:$U,Estimation!$X:$Y,Estimation!$AB:$AC,Estimation!$AF:$AG</definedName>
    <definedName name="Z_57C5C8F1_8001_4F07_BD71_B2E547A208C7_.wvu.FilterData" localSheetId="1" hidden="1">Estimation!#REF!</definedName>
    <definedName name="Z_57C5C8F1_8001_4F07_BD71_B2E547A208C7_.wvu.PrintArea" localSheetId="1" hidden="1">Estimation!$B$1:$AG$290</definedName>
    <definedName name="Z_57C5C8F1_8001_4F07_BD71_B2E547A208C7_.wvu.Rows" localSheetId="2"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57C5C8F1_8001_4F07_BD71_B2E547A208C7_.wvu.Rows" localSheetId="4" hidden="1">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definedName>
    <definedName name="Z_EEFF5A2A_628E_4803_AAD1_B24B534F2503_.wvu.Cols" localSheetId="1" hidden="1">Estimation!$L:$M,Estimation!$P:$Q,Estimation!$T:$U,Estimation!$X:$Y,Estimation!$AB:$AC,Estimation!$AF:$AG</definedName>
    <definedName name="Z_EEFF5A2A_628E_4803_AAD1_B24B534F2503_.wvu.FilterData" localSheetId="1" hidden="1">Estimation!#REF!</definedName>
    <definedName name="Z_EEFF5A2A_628E_4803_AAD1_B24B534F2503_.wvu.PrintArea" localSheetId="1" hidden="1">Estimation!$B$1:$AG$290</definedName>
    <definedName name="Z_EEFF5A2A_628E_4803_AAD1_B24B534F2503_.wvu.Rows" localSheetId="2"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EEFF5A2A_628E_4803_AAD1_B24B534F2503_.wvu.Rows" localSheetId="4" hidden="1">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Industry!#REF!</definedName>
  </definedNames>
  <calcPr calcId="191029" fullPrecision="0"/>
  <customWorkbookViews>
    <customWorkbookView name="HideRows=0" guid="{57C5C8F1-8001-4F07-BD71-B2E547A208C7}" maximized="1" xWindow="1912" yWindow="-8" windowWidth="1936" windowHeight="1096" activeSheetId="1"/>
    <customWorkbookView name="ShowAll" guid="{EEFF5A2A-628E-4803-AAD1-B24B534F2503}" maximized="1" xWindow="1912" yWindow="-8" windowWidth="1936" windowHeight="10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T18" i="1" l="1"/>
  <c r="AS18" i="1"/>
  <c r="AR21" i="1"/>
  <c r="AD101" i="1" l="1"/>
  <c r="Z101" i="1"/>
  <c r="V101" i="1"/>
  <c r="R101" i="1"/>
  <c r="N101" i="1"/>
  <c r="J101" i="1"/>
  <c r="A101" i="1"/>
  <c r="J276" i="1"/>
  <c r="AD246" i="1"/>
  <c r="AO6" i="1"/>
  <c r="M61" i="1"/>
  <c r="L61" i="1"/>
  <c r="O61" i="1" s="1"/>
  <c r="J155" i="1"/>
  <c r="AD155" i="1" s="1"/>
  <c r="AD136" i="1"/>
  <c r="H156" i="1"/>
  <c r="G156" i="1"/>
  <c r="AS59" i="1"/>
  <c r="AS58" i="1"/>
  <c r="AS56" i="1"/>
  <c r="AS55" i="1"/>
  <c r="AX55" i="1" s="1"/>
  <c r="AS53" i="1"/>
  <c r="AS52" i="1"/>
  <c r="AS50" i="1"/>
  <c r="AS49" i="1"/>
  <c r="N331" i="1"/>
  <c r="N326" i="1"/>
  <c r="R326" i="1" s="1"/>
  <c r="N325" i="1"/>
  <c r="N329" i="1"/>
  <c r="AF263" i="1"/>
  <c r="AF260" i="1"/>
  <c r="AF257" i="1"/>
  <c r="AF254" i="1"/>
  <c r="AF251" i="1"/>
  <c r="AD251" i="1"/>
  <c r="P61" i="1" l="1"/>
  <c r="S61" i="1" s="1"/>
  <c r="AF244" i="1"/>
  <c r="AF273" i="1"/>
  <c r="AF271" i="1"/>
  <c r="AF266" i="1"/>
  <c r="AD266" i="1"/>
  <c r="AD263" i="1"/>
  <c r="AD260" i="1"/>
  <c r="AD257" i="1"/>
  <c r="AD254" i="1"/>
  <c r="T61" i="1" l="1"/>
  <c r="X61" i="1" s="1"/>
  <c r="AB267" i="1"/>
  <c r="X267" i="1"/>
  <c r="T267" i="1"/>
  <c r="P267" i="1"/>
  <c r="Z267" i="1"/>
  <c r="Z279" i="1"/>
  <c r="V267" i="1"/>
  <c r="N279" i="1"/>
  <c r="N267" i="1"/>
  <c r="L267" i="1"/>
  <c r="V279" i="1"/>
  <c r="R279" i="1"/>
  <c r="AB279" i="1"/>
  <c r="X279" i="1"/>
  <c r="T279" i="1"/>
  <c r="P279" i="1"/>
  <c r="L279" i="1"/>
  <c r="AB276" i="1"/>
  <c r="X276" i="1"/>
  <c r="T276" i="1"/>
  <c r="P276" i="1"/>
  <c r="L276" i="1"/>
  <c r="R267" i="1"/>
  <c r="J279" i="1"/>
  <c r="W61" i="1" l="1"/>
  <c r="J267" i="1"/>
  <c r="AD61" i="1" l="1"/>
  <c r="AD213" i="1"/>
  <c r="AD279" i="1"/>
  <c r="H295" i="1"/>
  <c r="AD273" i="1"/>
  <c r="C23" i="1"/>
  <c r="C116" i="1" s="1"/>
  <c r="AF23" i="1"/>
  <c r="AP23" i="1"/>
  <c r="AR23" i="1"/>
  <c r="AW23" i="1" s="1"/>
  <c r="BB23" i="1" s="1"/>
  <c r="BG23" i="1" s="1"/>
  <c r="AS23" i="1"/>
  <c r="AX23" i="1" s="1"/>
  <c r="BC23" i="1" s="1"/>
  <c r="AT23" i="1"/>
  <c r="AY23" i="1" s="1"/>
  <c r="D24" i="1"/>
  <c r="AF24" i="1"/>
  <c r="AP24" i="1"/>
  <c r="T24" i="17" s="1"/>
  <c r="AR24" i="1"/>
  <c r="AW24" i="1" s="1"/>
  <c r="BB24" i="1" s="1"/>
  <c r="BG24" i="1" s="1"/>
  <c r="AS24" i="1"/>
  <c r="AT24" i="1"/>
  <c r="AY24" i="1" s="1"/>
  <c r="F157" i="1"/>
  <c r="A83" i="1"/>
  <c r="AB72" i="1"/>
  <c r="X72" i="1"/>
  <c r="T72" i="1"/>
  <c r="P72" i="1"/>
  <c r="L72" i="1"/>
  <c r="C44" i="17"/>
  <c r="N42" i="17"/>
  <c r="L42" i="17"/>
  <c r="J42" i="17"/>
  <c r="H42" i="17"/>
  <c r="F42" i="17"/>
  <c r="N102" i="17"/>
  <c r="N103" i="17"/>
  <c r="N104" i="17"/>
  <c r="N105" i="17"/>
  <c r="N106" i="17"/>
  <c r="N107" i="17"/>
  <c r="N108" i="17"/>
  <c r="L102" i="17"/>
  <c r="L103" i="17"/>
  <c r="L104" i="17"/>
  <c r="L105" i="17"/>
  <c r="L106" i="17"/>
  <c r="L107" i="17"/>
  <c r="L108" i="17"/>
  <c r="J102" i="17"/>
  <c r="J104" i="17"/>
  <c r="J105" i="17"/>
  <c r="J106" i="17"/>
  <c r="J107" i="17"/>
  <c r="J108" i="17"/>
  <c r="H102" i="17"/>
  <c r="H103" i="17"/>
  <c r="H104" i="17"/>
  <c r="H105" i="17"/>
  <c r="H106" i="17"/>
  <c r="H107" i="17"/>
  <c r="H108" i="17"/>
  <c r="F102" i="17"/>
  <c r="F103" i="17"/>
  <c r="F104" i="17"/>
  <c r="F105" i="17"/>
  <c r="F106" i="17"/>
  <c r="F107" i="17"/>
  <c r="F108" i="17"/>
  <c r="N89" i="17"/>
  <c r="L89" i="17"/>
  <c r="J89" i="17"/>
  <c r="H89" i="17"/>
  <c r="F89" i="17"/>
  <c r="AD258" i="1"/>
  <c r="AF258" i="1"/>
  <c r="AD259" i="1"/>
  <c r="AF259" i="1"/>
  <c r="AD261" i="1"/>
  <c r="AF261" i="1"/>
  <c r="AD262" i="1"/>
  <c r="AF262" i="1"/>
  <c r="AD264" i="1"/>
  <c r="AF264" i="1"/>
  <c r="AD265" i="1"/>
  <c r="AF265" i="1"/>
  <c r="AD268" i="1"/>
  <c r="AF268" i="1"/>
  <c r="AB109" i="1"/>
  <c r="X109" i="1"/>
  <c r="T109" i="1"/>
  <c r="P109" i="1"/>
  <c r="L109" i="1"/>
  <c r="AK48" i="1"/>
  <c r="H325" i="1"/>
  <c r="AK33" i="1" s="1"/>
  <c r="H327" i="1"/>
  <c r="H328" i="1"/>
  <c r="H329" i="1"/>
  <c r="AK40" i="1" s="1"/>
  <c r="H330" i="1"/>
  <c r="H331" i="1"/>
  <c r="AK46" i="1" s="1"/>
  <c r="H324" i="1"/>
  <c r="N337" i="1" s="1"/>
  <c r="AK38" i="1"/>
  <c r="AK43" i="1"/>
  <c r="M11" i="17"/>
  <c r="AD271" i="1"/>
  <c r="H323" i="1"/>
  <c r="AO11" i="1"/>
  <c r="AD244" i="1"/>
  <c r="F211" i="1"/>
  <c r="C53" i="20" s="1"/>
  <c r="F203" i="1"/>
  <c r="C47" i="20" s="1"/>
  <c r="F195" i="1"/>
  <c r="G194" i="1"/>
  <c r="G195" i="1" s="1"/>
  <c r="G196" i="1" s="1"/>
  <c r="G198" i="1" s="1"/>
  <c r="F181" i="1"/>
  <c r="F182" i="1" s="1"/>
  <c r="C28" i="20" s="1"/>
  <c r="F173" i="1"/>
  <c r="C20" i="20" s="1"/>
  <c r="F165" i="1"/>
  <c r="AD274" i="1"/>
  <c r="AF113" i="1"/>
  <c r="AF114" i="1"/>
  <c r="AF115" i="1"/>
  <c r="AF116" i="1"/>
  <c r="AF117" i="1"/>
  <c r="AF118" i="1"/>
  <c r="AF119" i="1"/>
  <c r="AF120" i="1"/>
  <c r="AF121" i="1"/>
  <c r="A121" i="1"/>
  <c r="J121" i="1" s="1"/>
  <c r="A120" i="1"/>
  <c r="A119" i="1"/>
  <c r="N119" i="1" s="1"/>
  <c r="A118" i="1"/>
  <c r="A117" i="1"/>
  <c r="N117" i="1" s="1"/>
  <c r="A115" i="1"/>
  <c r="A113" i="1"/>
  <c r="A84" i="1"/>
  <c r="H84" i="1" s="1"/>
  <c r="A82" i="1"/>
  <c r="H82" i="1" s="1"/>
  <c r="A80" i="1"/>
  <c r="H80" i="1" s="1"/>
  <c r="A78" i="1"/>
  <c r="A76" i="1"/>
  <c r="AR30" i="1"/>
  <c r="AW30" i="1" s="1"/>
  <c r="BB30" i="1" s="1"/>
  <c r="BG30" i="1" s="1"/>
  <c r="AS30" i="1"/>
  <c r="AT30" i="1"/>
  <c r="AY30" i="1" s="1"/>
  <c r="BD30" i="1" s="1"/>
  <c r="BI30" i="1" s="1"/>
  <c r="AP30" i="1"/>
  <c r="AF30" i="1"/>
  <c r="AR28" i="1"/>
  <c r="AW28" i="1" s="1"/>
  <c r="BB28" i="1" s="1"/>
  <c r="AS28" i="1"/>
  <c r="AX28" i="1" s="1"/>
  <c r="BC28" i="1" s="1"/>
  <c r="BH28" i="1" s="1"/>
  <c r="AT28" i="1"/>
  <c r="AY28" i="1" s="1"/>
  <c r="BD28" i="1" s="1"/>
  <c r="BI28" i="1" s="1"/>
  <c r="AF28" i="1"/>
  <c r="AR25" i="1"/>
  <c r="AW25" i="1" s="1"/>
  <c r="AS25" i="1"/>
  <c r="AX25" i="1" s="1"/>
  <c r="BC25" i="1" s="1"/>
  <c r="BH25" i="1" s="1"/>
  <c r="AT25" i="1"/>
  <c r="AY25" i="1" s="1"/>
  <c r="BD25" i="1" s="1"/>
  <c r="BI25" i="1" s="1"/>
  <c r="AF25" i="1"/>
  <c r="AR22" i="1"/>
  <c r="AW22" i="1" s="1"/>
  <c r="BB22" i="1" s="1"/>
  <c r="BG22" i="1" s="1"/>
  <c r="AS22" i="1"/>
  <c r="AX22" i="1" s="1"/>
  <c r="BC22" i="1" s="1"/>
  <c r="BH22" i="1" s="1"/>
  <c r="AT22" i="1"/>
  <c r="AY22" i="1" s="1"/>
  <c r="BD22" i="1" s="1"/>
  <c r="BI22" i="1" s="1"/>
  <c r="AF22" i="1"/>
  <c r="AR19" i="1"/>
  <c r="AW19" i="1" s="1"/>
  <c r="BB19" i="1" s="1"/>
  <c r="BG19" i="1" s="1"/>
  <c r="AS19" i="1"/>
  <c r="AX19" i="1" s="1"/>
  <c r="BC19" i="1" s="1"/>
  <c r="BH19" i="1" s="1"/>
  <c r="AT19" i="1"/>
  <c r="AY19" i="1" s="1"/>
  <c r="BD19" i="1" s="1"/>
  <c r="BI19" i="1" s="1"/>
  <c r="AF19" i="1"/>
  <c r="D30" i="1"/>
  <c r="C30" i="17" s="1"/>
  <c r="D28" i="1"/>
  <c r="C28" i="17" s="1"/>
  <c r="D25" i="1"/>
  <c r="C25" i="17" s="1"/>
  <c r="D22" i="1"/>
  <c r="C22" i="17" s="1"/>
  <c r="D19" i="1"/>
  <c r="C19" i="17" s="1"/>
  <c r="AF82" i="1"/>
  <c r="AF76" i="1"/>
  <c r="AF81" i="1"/>
  <c r="AF77" i="1"/>
  <c r="AF79" i="1"/>
  <c r="AF78" i="1"/>
  <c r="AF84" i="1"/>
  <c r="AF83" i="1"/>
  <c r="AF80" i="1"/>
  <c r="C109" i="17"/>
  <c r="J109" i="17" s="1"/>
  <c r="C101" i="17"/>
  <c r="F101" i="17" s="1"/>
  <c r="C92" i="17"/>
  <c r="J92" i="17" s="1"/>
  <c r="C93" i="17"/>
  <c r="J93" i="17" s="1"/>
  <c r="C94" i="17"/>
  <c r="H94" i="17" s="1"/>
  <c r="C95" i="17"/>
  <c r="J95" i="17" s="1"/>
  <c r="C96" i="17"/>
  <c r="L96" i="17" s="1"/>
  <c r="C97" i="17"/>
  <c r="C98" i="17"/>
  <c r="L98" i="17" s="1"/>
  <c r="C99" i="17"/>
  <c r="L99" i="17" s="1"/>
  <c r="C100" i="17"/>
  <c r="J100" i="17" s="1"/>
  <c r="C91" i="17"/>
  <c r="N91" i="17" s="1"/>
  <c r="C90" i="17"/>
  <c r="F90" i="17" s="1"/>
  <c r="C88" i="17"/>
  <c r="J88" i="17" s="1"/>
  <c r="H180" i="1"/>
  <c r="H181" i="1" s="1"/>
  <c r="H182" i="1" s="1"/>
  <c r="H183" i="1" s="1"/>
  <c r="H184" i="1" s="1"/>
  <c r="G180" i="1"/>
  <c r="G181" i="1" s="1"/>
  <c r="AP52" i="1"/>
  <c r="J52" i="1" s="1"/>
  <c r="AP53" i="1"/>
  <c r="J53" i="1" s="1"/>
  <c r="AP55" i="1"/>
  <c r="J55" i="1" s="1"/>
  <c r="AP56" i="1"/>
  <c r="J56" i="1" s="1"/>
  <c r="AP57" i="1"/>
  <c r="AP58" i="1"/>
  <c r="J58" i="1" s="1"/>
  <c r="AP59" i="1"/>
  <c r="J59" i="1" s="1"/>
  <c r="AP50" i="1"/>
  <c r="J50" i="1" s="1"/>
  <c r="G172" i="1"/>
  <c r="G173" i="1" s="1"/>
  <c r="G174" i="1" s="1"/>
  <c r="G175" i="1" s="1"/>
  <c r="G164" i="1"/>
  <c r="G165" i="1" s="1"/>
  <c r="AD241" i="1"/>
  <c r="AF241" i="1"/>
  <c r="J163" i="1"/>
  <c r="D11" i="20" s="1"/>
  <c r="I4" i="20"/>
  <c r="C61" i="17"/>
  <c r="C62" i="17"/>
  <c r="C59" i="17"/>
  <c r="C54" i="17"/>
  <c r="C52" i="17"/>
  <c r="C50" i="17"/>
  <c r="AP49" i="1"/>
  <c r="J49" i="1" s="1"/>
  <c r="AF64" i="1"/>
  <c r="A107" i="1"/>
  <c r="H107" i="1" s="1"/>
  <c r="A105" i="1"/>
  <c r="H105" i="1" s="1"/>
  <c r="A103" i="1"/>
  <c r="H103" i="1" s="1"/>
  <c r="AF70" i="1"/>
  <c r="AF67" i="1"/>
  <c r="D70" i="1"/>
  <c r="D69" i="1"/>
  <c r="D67" i="1"/>
  <c r="D66" i="1"/>
  <c r="D64" i="1"/>
  <c r="D63" i="1"/>
  <c r="AS70" i="1"/>
  <c r="AU70" i="1" s="1"/>
  <c r="N70" i="1" s="1"/>
  <c r="AS67" i="1"/>
  <c r="AS64" i="1"/>
  <c r="AU64" i="1" s="1"/>
  <c r="N64" i="1" s="1"/>
  <c r="AP70" i="1"/>
  <c r="J70" i="1" s="1"/>
  <c r="AP67" i="1"/>
  <c r="J67" i="1" s="1"/>
  <c r="AP64" i="1"/>
  <c r="J64" i="1" s="1"/>
  <c r="AF136" i="1"/>
  <c r="D59" i="1"/>
  <c r="AF48" i="1"/>
  <c r="AF20" i="1"/>
  <c r="AF103" i="1"/>
  <c r="AF105" i="1"/>
  <c r="D47" i="1"/>
  <c r="D45" i="1"/>
  <c r="D43" i="1"/>
  <c r="D41" i="1"/>
  <c r="D39" i="1"/>
  <c r="D37" i="1"/>
  <c r="D35" i="1"/>
  <c r="D33" i="1"/>
  <c r="D31" i="1"/>
  <c r="C31" i="17" s="1"/>
  <c r="D27" i="1"/>
  <c r="C27" i="17" s="1"/>
  <c r="D21" i="1"/>
  <c r="C21" i="17" s="1"/>
  <c r="D18" i="1"/>
  <c r="C18" i="17" s="1"/>
  <c r="AT48" i="1"/>
  <c r="AY48" i="1" s="1"/>
  <c r="BD48" i="1" s="1"/>
  <c r="AS48" i="1"/>
  <c r="AX48" i="1" s="1"/>
  <c r="AR48" i="1"/>
  <c r="AW48" i="1" s="1"/>
  <c r="BB48" i="1" s="1"/>
  <c r="BG48" i="1" s="1"/>
  <c r="AT46" i="1"/>
  <c r="AY46" i="1" s="1"/>
  <c r="BD46" i="1" s="1"/>
  <c r="BI46" i="1" s="1"/>
  <c r="AS46" i="1"/>
  <c r="AX46" i="1" s="1"/>
  <c r="BC46" i="1" s="1"/>
  <c r="AR46" i="1"/>
  <c r="AW46" i="1" s="1"/>
  <c r="BB46" i="1" s="1"/>
  <c r="BG46" i="1" s="1"/>
  <c r="AT44" i="1"/>
  <c r="AS44" i="1"/>
  <c r="AX44" i="1" s="1"/>
  <c r="BC44" i="1" s="1"/>
  <c r="BH44" i="1" s="1"/>
  <c r="AR44" i="1"/>
  <c r="AW44" i="1" s="1"/>
  <c r="BB44" i="1" s="1"/>
  <c r="BG44" i="1" s="1"/>
  <c r="AT42" i="1"/>
  <c r="AY42" i="1" s="1"/>
  <c r="BD42" i="1" s="1"/>
  <c r="BI42" i="1" s="1"/>
  <c r="AS42" i="1"/>
  <c r="AX42" i="1" s="1"/>
  <c r="AR42" i="1"/>
  <c r="AW42" i="1" s="1"/>
  <c r="BB42" i="1" s="1"/>
  <c r="BG42" i="1" s="1"/>
  <c r="AT40" i="1"/>
  <c r="AY40" i="1" s="1"/>
  <c r="AS40" i="1"/>
  <c r="AX40" i="1" s="1"/>
  <c r="BC40" i="1" s="1"/>
  <c r="BH40" i="1" s="1"/>
  <c r="AR40" i="1"/>
  <c r="AW40" i="1" s="1"/>
  <c r="BB40" i="1" s="1"/>
  <c r="BG40" i="1" s="1"/>
  <c r="AT38" i="1"/>
  <c r="AY38" i="1" s="1"/>
  <c r="BD38" i="1" s="1"/>
  <c r="BI38" i="1" s="1"/>
  <c r="AS38" i="1"/>
  <c r="AX38" i="1" s="1"/>
  <c r="AR38" i="1"/>
  <c r="AW38" i="1" s="1"/>
  <c r="BB38" i="1" s="1"/>
  <c r="BG38" i="1" s="1"/>
  <c r="AT36" i="1"/>
  <c r="AY36" i="1" s="1"/>
  <c r="AS36" i="1"/>
  <c r="AX36" i="1" s="1"/>
  <c r="BC36" i="1" s="1"/>
  <c r="BH36" i="1" s="1"/>
  <c r="AR36" i="1"/>
  <c r="AW36" i="1" s="1"/>
  <c r="BB36" i="1" s="1"/>
  <c r="BG36" i="1" s="1"/>
  <c r="AT34" i="1"/>
  <c r="AY34" i="1" s="1"/>
  <c r="BD34" i="1" s="1"/>
  <c r="BI34" i="1" s="1"/>
  <c r="AS34" i="1"/>
  <c r="AX34" i="1" s="1"/>
  <c r="BC34" i="1" s="1"/>
  <c r="AR34" i="1"/>
  <c r="AW34" i="1" s="1"/>
  <c r="BB34" i="1" s="1"/>
  <c r="BG34" i="1" s="1"/>
  <c r="AT32" i="1"/>
  <c r="AY32" i="1" s="1"/>
  <c r="AS32" i="1"/>
  <c r="AX32" i="1" s="1"/>
  <c r="BC32" i="1" s="1"/>
  <c r="BH32" i="1" s="1"/>
  <c r="AR32" i="1"/>
  <c r="AW32" i="1" s="1"/>
  <c r="BB32" i="1" s="1"/>
  <c r="BG32" i="1" s="1"/>
  <c r="AT29" i="1"/>
  <c r="AY29" i="1" s="1"/>
  <c r="BD29" i="1" s="1"/>
  <c r="BI29" i="1" s="1"/>
  <c r="AS29" i="1"/>
  <c r="AX29" i="1" s="1"/>
  <c r="AR29" i="1"/>
  <c r="AW29" i="1" s="1"/>
  <c r="BB29" i="1" s="1"/>
  <c r="BG29" i="1" s="1"/>
  <c r="AT26" i="1"/>
  <c r="AS26" i="1"/>
  <c r="AX26" i="1" s="1"/>
  <c r="BC26" i="1" s="1"/>
  <c r="BH26" i="1" s="1"/>
  <c r="AR26" i="1"/>
  <c r="AW26" i="1" s="1"/>
  <c r="BB26" i="1" s="1"/>
  <c r="BG26" i="1" s="1"/>
  <c r="AP48" i="1"/>
  <c r="J48" i="1" s="1"/>
  <c r="AP46" i="1"/>
  <c r="AP44" i="1"/>
  <c r="AP42" i="1"/>
  <c r="AP40" i="1"/>
  <c r="AP38" i="1"/>
  <c r="J38" i="1" s="1"/>
  <c r="AP36" i="1"/>
  <c r="AP34" i="1"/>
  <c r="AP32" i="1"/>
  <c r="AP29" i="1"/>
  <c r="AP26" i="1"/>
  <c r="AP20" i="1"/>
  <c r="AP27" i="1"/>
  <c r="T27" i="17" s="1"/>
  <c r="AP33" i="1"/>
  <c r="AP35" i="1"/>
  <c r="AP37" i="1"/>
  <c r="AP39" i="1"/>
  <c r="AP41" i="1"/>
  <c r="AP43" i="1"/>
  <c r="AP45" i="1"/>
  <c r="AP47" i="1"/>
  <c r="AT20" i="1"/>
  <c r="AS20" i="1"/>
  <c r="AX20" i="1" s="1"/>
  <c r="BC20" i="1" s="1"/>
  <c r="BH20" i="1" s="1"/>
  <c r="AR20" i="1"/>
  <c r="AW20" i="1" s="1"/>
  <c r="BB20" i="1" s="1"/>
  <c r="BG20" i="1" s="1"/>
  <c r="D58" i="1"/>
  <c r="AP66" i="1"/>
  <c r="J66" i="1" s="1"/>
  <c r="AP69" i="1"/>
  <c r="J69" i="1" s="1"/>
  <c r="AP63" i="1"/>
  <c r="J63" i="1" s="1"/>
  <c r="A100" i="1"/>
  <c r="H100" i="1" s="1"/>
  <c r="A98" i="1"/>
  <c r="H98" i="1" s="1"/>
  <c r="A96" i="1"/>
  <c r="H96" i="1" s="1"/>
  <c r="A94" i="1"/>
  <c r="H94" i="1" s="1"/>
  <c r="C102" i="1"/>
  <c r="C104" i="1"/>
  <c r="C106" i="1"/>
  <c r="A102" i="1"/>
  <c r="H102" i="1" s="1"/>
  <c r="A104" i="1"/>
  <c r="H104" i="1" s="1"/>
  <c r="A106" i="1"/>
  <c r="H106" i="1" s="1"/>
  <c r="AF133" i="1"/>
  <c r="AF134" i="1"/>
  <c r="AD134" i="1"/>
  <c r="AD135" i="1"/>
  <c r="C134" i="1"/>
  <c r="C135" i="1"/>
  <c r="C136" i="1"/>
  <c r="A134" i="1"/>
  <c r="H134" i="1" s="1"/>
  <c r="A135" i="1"/>
  <c r="A136" i="1"/>
  <c r="H136" i="1" s="1"/>
  <c r="AF107" i="1"/>
  <c r="AR18" i="1"/>
  <c r="AW18" i="1" s="1"/>
  <c r="BB18" i="1" s="1"/>
  <c r="BG18" i="1" s="1"/>
  <c r="AP21" i="1"/>
  <c r="T21" i="17" s="1"/>
  <c r="AP18" i="1"/>
  <c r="A122" i="1"/>
  <c r="H122" i="1" s="1"/>
  <c r="AY18" i="1"/>
  <c r="BD18" i="1" s="1"/>
  <c r="BI18" i="1" s="1"/>
  <c r="A27" i="20"/>
  <c r="B27" i="20"/>
  <c r="E27" i="20"/>
  <c r="F27" i="20"/>
  <c r="G27" i="20"/>
  <c r="H27" i="20"/>
  <c r="B20" i="20"/>
  <c r="E20" i="20"/>
  <c r="F20" i="20"/>
  <c r="G20" i="20"/>
  <c r="H20" i="20"/>
  <c r="A20" i="20"/>
  <c r="B13" i="20"/>
  <c r="E13" i="20"/>
  <c r="F13" i="20"/>
  <c r="G13" i="20"/>
  <c r="H13" i="20"/>
  <c r="A13" i="20"/>
  <c r="B6" i="20"/>
  <c r="E6" i="20"/>
  <c r="F6" i="20"/>
  <c r="G6" i="20"/>
  <c r="H6" i="20"/>
  <c r="A6" i="20"/>
  <c r="AF183" i="1"/>
  <c r="AF181" i="1"/>
  <c r="AF175" i="1"/>
  <c r="AF173" i="1"/>
  <c r="AF165" i="1"/>
  <c r="AF159" i="1"/>
  <c r="AF157" i="1"/>
  <c r="AF167" i="1"/>
  <c r="G157" i="1"/>
  <c r="G158" i="1" s="1"/>
  <c r="G159" i="1" s="1"/>
  <c r="G160" i="1" s="1"/>
  <c r="AF240" i="1"/>
  <c r="AF242" i="1"/>
  <c r="AD240" i="1"/>
  <c r="AD242" i="1"/>
  <c r="AS69" i="1"/>
  <c r="AU69" i="1" s="1"/>
  <c r="N69" i="1" s="1"/>
  <c r="AS66" i="1"/>
  <c r="AS63" i="1"/>
  <c r="AX63" i="1" s="1"/>
  <c r="AZ63" i="1" s="1"/>
  <c r="R63" i="1" s="1"/>
  <c r="AX58" i="1"/>
  <c r="AT58" i="1"/>
  <c r="AY58" i="1" s="1"/>
  <c r="BD58" i="1" s="1"/>
  <c r="BI58" i="1" s="1"/>
  <c r="AT55" i="1"/>
  <c r="AY55" i="1" s="1"/>
  <c r="BD55" i="1" s="1"/>
  <c r="BI55" i="1" s="1"/>
  <c r="AT52" i="1"/>
  <c r="AY52" i="1" s="1"/>
  <c r="BD52" i="1" s="1"/>
  <c r="BI52" i="1" s="1"/>
  <c r="C20" i="1"/>
  <c r="AS21" i="1"/>
  <c r="AX21" i="1" s="1"/>
  <c r="AW21" i="1"/>
  <c r="BB21" i="1" s="1"/>
  <c r="BG21" i="1" s="1"/>
  <c r="AS27" i="1"/>
  <c r="AX27" i="1" s="1"/>
  <c r="BC27" i="1" s="1"/>
  <c r="BH27" i="1" s="1"/>
  <c r="AT27" i="1"/>
  <c r="AS31" i="1"/>
  <c r="AX31" i="1" s="1"/>
  <c r="BC31" i="1" s="1"/>
  <c r="BH31" i="1" s="1"/>
  <c r="AT31" i="1"/>
  <c r="AY31" i="1" s="1"/>
  <c r="BD31" i="1" s="1"/>
  <c r="BI31" i="1" s="1"/>
  <c r="AS33" i="1"/>
  <c r="AX33" i="1" s="1"/>
  <c r="AT33" i="1"/>
  <c r="AY33" i="1" s="1"/>
  <c r="BD33" i="1" s="1"/>
  <c r="BI33" i="1" s="1"/>
  <c r="AS35" i="1"/>
  <c r="AX35" i="1" s="1"/>
  <c r="BC35" i="1" s="1"/>
  <c r="BH35" i="1" s="1"/>
  <c r="AT35" i="1"/>
  <c r="AY35" i="1" s="1"/>
  <c r="BD35" i="1" s="1"/>
  <c r="BI35" i="1" s="1"/>
  <c r="AS37" i="1"/>
  <c r="AT37" i="1"/>
  <c r="AY37" i="1" s="1"/>
  <c r="BD37" i="1" s="1"/>
  <c r="BI37" i="1" s="1"/>
  <c r="AS39" i="1"/>
  <c r="AX39" i="1" s="1"/>
  <c r="BC39" i="1" s="1"/>
  <c r="BH39" i="1" s="1"/>
  <c r="AT39" i="1"/>
  <c r="AS41" i="1"/>
  <c r="AT41" i="1"/>
  <c r="AY41" i="1" s="1"/>
  <c r="BD41" i="1" s="1"/>
  <c r="BI41" i="1" s="1"/>
  <c r="AS43" i="1"/>
  <c r="AX43" i="1" s="1"/>
  <c r="AT43" i="1"/>
  <c r="AY43" i="1" s="1"/>
  <c r="BD43" i="1" s="1"/>
  <c r="BI43" i="1" s="1"/>
  <c r="AS45" i="1"/>
  <c r="AT45" i="1"/>
  <c r="AY45" i="1" s="1"/>
  <c r="BD45" i="1" s="1"/>
  <c r="BI45" i="1" s="1"/>
  <c r="AS47" i="1"/>
  <c r="AT47" i="1"/>
  <c r="AY47" i="1" s="1"/>
  <c r="BD47" i="1" s="1"/>
  <c r="BI47" i="1" s="1"/>
  <c r="B54" i="20"/>
  <c r="H210" i="1"/>
  <c r="E54" i="20"/>
  <c r="F54" i="20"/>
  <c r="G54" i="20"/>
  <c r="H54" i="20"/>
  <c r="B48" i="20"/>
  <c r="H202" i="1"/>
  <c r="H203" i="1" s="1"/>
  <c r="H204" i="1" s="1"/>
  <c r="E48" i="20"/>
  <c r="F48" i="20"/>
  <c r="G48" i="20"/>
  <c r="H48" i="20"/>
  <c r="B42" i="20"/>
  <c r="H194" i="1"/>
  <c r="H195" i="1" s="1"/>
  <c r="H196" i="1" s="1"/>
  <c r="H198" i="1" s="1"/>
  <c r="E42" i="20"/>
  <c r="F42" i="20"/>
  <c r="G42" i="20"/>
  <c r="H42" i="20"/>
  <c r="B29" i="20"/>
  <c r="E29" i="20"/>
  <c r="F29" i="20"/>
  <c r="G29" i="20"/>
  <c r="H29" i="20"/>
  <c r="B22" i="20"/>
  <c r="E22" i="20"/>
  <c r="F22" i="20"/>
  <c r="G22" i="20"/>
  <c r="H22" i="20"/>
  <c r="B15" i="20"/>
  <c r="E15" i="20"/>
  <c r="F15" i="20"/>
  <c r="G15" i="20"/>
  <c r="H15" i="20"/>
  <c r="E8" i="20"/>
  <c r="F8" i="20"/>
  <c r="G8" i="20"/>
  <c r="H8" i="20"/>
  <c r="B8" i="20"/>
  <c r="A54" i="20"/>
  <c r="A48" i="20"/>
  <c r="A42" i="20"/>
  <c r="A29" i="20"/>
  <c r="A22" i="20"/>
  <c r="A15" i="20"/>
  <c r="A16" i="20"/>
  <c r="A8" i="20"/>
  <c r="L189" i="1"/>
  <c r="N189" i="1"/>
  <c r="E35" i="20" s="1"/>
  <c r="P189" i="1"/>
  <c r="R189" i="1"/>
  <c r="F35" i="20" s="1"/>
  <c r="T189" i="1"/>
  <c r="V189" i="1"/>
  <c r="G35" i="20" s="1"/>
  <c r="X189" i="1"/>
  <c r="Z189" i="1"/>
  <c r="H35" i="20" s="1"/>
  <c r="AB189" i="1"/>
  <c r="G210" i="1"/>
  <c r="G211" i="1" s="1"/>
  <c r="G212" i="1" s="1"/>
  <c r="G202" i="1"/>
  <c r="G203" i="1" s="1"/>
  <c r="G204" i="1" s="1"/>
  <c r="H172" i="1"/>
  <c r="H173" i="1" s="1"/>
  <c r="H174" i="1" s="1"/>
  <c r="H175" i="1" s="1"/>
  <c r="H176" i="1" s="1"/>
  <c r="H164" i="1"/>
  <c r="AR47" i="1"/>
  <c r="AW47" i="1" s="1"/>
  <c r="BB47" i="1" s="1"/>
  <c r="BG47" i="1" s="1"/>
  <c r="A129" i="1"/>
  <c r="H129" i="1" s="1"/>
  <c r="AR45" i="1"/>
  <c r="AW45" i="1" s="1"/>
  <c r="BB45" i="1" s="1"/>
  <c r="BG45" i="1" s="1"/>
  <c r="A128" i="1"/>
  <c r="H128" i="1" s="1"/>
  <c r="AR43" i="1"/>
  <c r="AW43" i="1" s="1"/>
  <c r="BB43" i="1" s="1"/>
  <c r="BG43" i="1" s="1"/>
  <c r="A127" i="1"/>
  <c r="H127" i="1" s="1"/>
  <c r="AR41" i="1"/>
  <c r="AW41" i="1" s="1"/>
  <c r="BB41" i="1" s="1"/>
  <c r="BG41" i="1" s="1"/>
  <c r="A126" i="1"/>
  <c r="H126" i="1" s="1"/>
  <c r="AR39" i="1"/>
  <c r="AW39" i="1" s="1"/>
  <c r="BB39" i="1" s="1"/>
  <c r="BG39" i="1" s="1"/>
  <c r="A125" i="1"/>
  <c r="H125" i="1" s="1"/>
  <c r="AR37" i="1"/>
  <c r="AW37" i="1" s="1"/>
  <c r="BB37" i="1" s="1"/>
  <c r="BG37" i="1" s="1"/>
  <c r="A124" i="1"/>
  <c r="H124" i="1" s="1"/>
  <c r="AR35" i="1"/>
  <c r="AW35" i="1" s="1"/>
  <c r="BB35" i="1" s="1"/>
  <c r="BG35" i="1" s="1"/>
  <c r="A123" i="1"/>
  <c r="H123" i="1" s="1"/>
  <c r="AR33" i="1"/>
  <c r="AW33" i="1" s="1"/>
  <c r="BB33" i="1" s="1"/>
  <c r="BG33" i="1" s="1"/>
  <c r="AR31" i="1"/>
  <c r="AW31" i="1" s="1"/>
  <c r="BB31" i="1" s="1"/>
  <c r="BG31" i="1" s="1"/>
  <c r="A116" i="1"/>
  <c r="A114" i="1"/>
  <c r="A112" i="1"/>
  <c r="AR27" i="1"/>
  <c r="AW27" i="1" s="1"/>
  <c r="BB27" i="1" s="1"/>
  <c r="BG27" i="1" s="1"/>
  <c r="A75" i="1"/>
  <c r="H75" i="1" s="1"/>
  <c r="A77" i="1"/>
  <c r="H77" i="1" s="1"/>
  <c r="A79" i="1"/>
  <c r="H79" i="1" s="1"/>
  <c r="A81" i="1"/>
  <c r="H81" i="1" s="1"/>
  <c r="H83" i="1"/>
  <c r="A85" i="1"/>
  <c r="H85" i="1" s="1"/>
  <c r="A86" i="1"/>
  <c r="H86" i="1" s="1"/>
  <c r="A87" i="1"/>
  <c r="H87" i="1" s="1"/>
  <c r="A88" i="1"/>
  <c r="H88" i="1" s="1"/>
  <c r="A89" i="1"/>
  <c r="H89" i="1" s="1"/>
  <c r="A90" i="1"/>
  <c r="H90" i="1" s="1"/>
  <c r="A91" i="1"/>
  <c r="H91" i="1" s="1"/>
  <c r="A92" i="1"/>
  <c r="H92" i="1" s="1"/>
  <c r="AX59" i="1"/>
  <c r="AT59" i="1"/>
  <c r="AY59" i="1" s="1"/>
  <c r="BD59" i="1" s="1"/>
  <c r="BI59" i="1" s="1"/>
  <c r="AX56" i="1"/>
  <c r="BC56" i="1" s="1"/>
  <c r="BH56" i="1" s="1"/>
  <c r="AT56" i="1"/>
  <c r="AT53" i="1"/>
  <c r="AX50" i="1"/>
  <c r="AT50" i="1"/>
  <c r="AY50" i="1" s="1"/>
  <c r="BD50" i="1" s="1"/>
  <c r="BI50" i="1" s="1"/>
  <c r="AX49" i="1"/>
  <c r="BC49" i="1" s="1"/>
  <c r="BH49" i="1" s="1"/>
  <c r="AT49" i="1"/>
  <c r="AF130" i="1"/>
  <c r="AF131" i="1"/>
  <c r="AF132" i="1"/>
  <c r="AD130" i="1"/>
  <c r="AD131" i="1"/>
  <c r="AD132" i="1"/>
  <c r="AD133" i="1"/>
  <c r="A93" i="1"/>
  <c r="H93" i="1" s="1"/>
  <c r="A95" i="1"/>
  <c r="H95" i="1" s="1"/>
  <c r="A97" i="1"/>
  <c r="H97" i="1" s="1"/>
  <c r="A99" i="1"/>
  <c r="H99" i="1" s="1"/>
  <c r="J150" i="1"/>
  <c r="F17" i="19" s="1"/>
  <c r="J193" i="1"/>
  <c r="J201" i="1"/>
  <c r="J209" i="1"/>
  <c r="AD209" i="1" s="1"/>
  <c r="I51" i="20" s="1"/>
  <c r="J171" i="1"/>
  <c r="J179" i="1"/>
  <c r="AD179" i="1" s="1"/>
  <c r="I25" i="20" s="1"/>
  <c r="J180" i="1"/>
  <c r="J187" i="1"/>
  <c r="AD187" i="1" s="1"/>
  <c r="I33" i="20" s="1"/>
  <c r="L30" i="20" s="1"/>
  <c r="J221" i="1"/>
  <c r="J222" i="1"/>
  <c r="AD222" i="1" s="1"/>
  <c r="J223" i="1"/>
  <c r="AD223" i="1" s="1"/>
  <c r="J224" i="1"/>
  <c r="AD224" i="1" s="1"/>
  <c r="J226" i="1"/>
  <c r="AD226" i="1" s="1"/>
  <c r="J227" i="1"/>
  <c r="AD227" i="1" s="1"/>
  <c r="J228" i="1"/>
  <c r="AD228" i="1" s="1"/>
  <c r="J229" i="1"/>
  <c r="AD229" i="1" s="1"/>
  <c r="AT21" i="1"/>
  <c r="AY21" i="1" s="1"/>
  <c r="BD21" i="1" s="1"/>
  <c r="BI21" i="1" s="1"/>
  <c r="N150" i="1"/>
  <c r="H17" i="19" s="1"/>
  <c r="N215" i="1"/>
  <c r="N231" i="1"/>
  <c r="X28" i="19" s="1"/>
  <c r="R150" i="1"/>
  <c r="J17" i="19" s="1"/>
  <c r="R215" i="1"/>
  <c r="F57" i="20" s="1"/>
  <c r="R231" i="1"/>
  <c r="V150" i="1"/>
  <c r="L17" i="19" s="1"/>
  <c r="V215" i="1"/>
  <c r="V231" i="1"/>
  <c r="AB28" i="19" s="1"/>
  <c r="AB29" i="19" s="1"/>
  <c r="Z150" i="1"/>
  <c r="N17" i="19" s="1"/>
  <c r="Z215" i="1"/>
  <c r="H57" i="20" s="1"/>
  <c r="Z231" i="1"/>
  <c r="C51" i="17"/>
  <c r="A130" i="1"/>
  <c r="H130" i="1" s="1"/>
  <c r="A131" i="1"/>
  <c r="H131" i="1" s="1"/>
  <c r="A132" i="1"/>
  <c r="H132" i="1" s="1"/>
  <c r="A133" i="1"/>
  <c r="H133" i="1" s="1"/>
  <c r="C53" i="17"/>
  <c r="C55" i="17"/>
  <c r="C56" i="17"/>
  <c r="C57" i="17"/>
  <c r="C58" i="17"/>
  <c r="C60" i="17"/>
  <c r="C49" i="17"/>
  <c r="L150" i="1"/>
  <c r="L215" i="1"/>
  <c r="L231" i="1"/>
  <c r="P150" i="1"/>
  <c r="P215" i="1"/>
  <c r="P231" i="1"/>
  <c r="T150" i="1"/>
  <c r="T215" i="1"/>
  <c r="T231" i="1"/>
  <c r="X150" i="1"/>
  <c r="X215" i="1"/>
  <c r="X231" i="1"/>
  <c r="AB150" i="1"/>
  <c r="AB215" i="1"/>
  <c r="AB231" i="1"/>
  <c r="C133" i="1"/>
  <c r="C132" i="1"/>
  <c r="C131" i="1"/>
  <c r="C130" i="1"/>
  <c r="C129" i="1"/>
  <c r="C128" i="1"/>
  <c r="C127" i="1"/>
  <c r="C126" i="1"/>
  <c r="C125" i="1"/>
  <c r="C124" i="1"/>
  <c r="C123" i="1"/>
  <c r="C122" i="1"/>
  <c r="C120" i="1"/>
  <c r="C118" i="1"/>
  <c r="C23" i="17"/>
  <c r="C17" i="1"/>
  <c r="C75" i="1" s="1"/>
  <c r="A59" i="20"/>
  <c r="E51" i="20"/>
  <c r="F51" i="20"/>
  <c r="G51" i="20"/>
  <c r="H51" i="20"/>
  <c r="E52" i="20"/>
  <c r="F52" i="20"/>
  <c r="G52" i="20"/>
  <c r="H52" i="20"/>
  <c r="E45" i="20"/>
  <c r="F45" i="20"/>
  <c r="G45" i="20"/>
  <c r="H45" i="20"/>
  <c r="E46" i="20"/>
  <c r="F46" i="20"/>
  <c r="G46" i="20"/>
  <c r="H46" i="20"/>
  <c r="E39" i="20"/>
  <c r="F39" i="20"/>
  <c r="G39" i="20"/>
  <c r="H39" i="20"/>
  <c r="E40" i="20"/>
  <c r="F40" i="20"/>
  <c r="G40" i="20"/>
  <c r="H40" i="20"/>
  <c r="E33" i="20"/>
  <c r="F33" i="20"/>
  <c r="G33" i="20"/>
  <c r="H33" i="20"/>
  <c r="E25" i="20"/>
  <c r="F25" i="20"/>
  <c r="G25" i="20"/>
  <c r="H25" i="20"/>
  <c r="E26" i="20"/>
  <c r="F26" i="20"/>
  <c r="G26" i="20"/>
  <c r="H26" i="20"/>
  <c r="E28" i="20"/>
  <c r="F28" i="20"/>
  <c r="G28" i="20"/>
  <c r="H28" i="20"/>
  <c r="E30" i="20"/>
  <c r="F30" i="20"/>
  <c r="G30" i="20"/>
  <c r="H30" i="20"/>
  <c r="E18" i="20"/>
  <c r="F18" i="20"/>
  <c r="G18" i="20"/>
  <c r="H18" i="20"/>
  <c r="E19" i="20"/>
  <c r="F19" i="20"/>
  <c r="G19" i="20"/>
  <c r="H19" i="20"/>
  <c r="E21" i="20"/>
  <c r="F21" i="20"/>
  <c r="G21" i="20"/>
  <c r="H21" i="20"/>
  <c r="E23" i="20"/>
  <c r="F23" i="20"/>
  <c r="G23" i="20"/>
  <c r="H23" i="20"/>
  <c r="E11" i="20"/>
  <c r="F11" i="20"/>
  <c r="G11" i="20"/>
  <c r="H11" i="20"/>
  <c r="E12" i="20"/>
  <c r="F12" i="20"/>
  <c r="G12" i="20"/>
  <c r="H12" i="20"/>
  <c r="E14" i="20"/>
  <c r="F14" i="20"/>
  <c r="G14" i="20"/>
  <c r="H14" i="20"/>
  <c r="E16" i="20"/>
  <c r="F16" i="20"/>
  <c r="G16" i="20"/>
  <c r="H16" i="20"/>
  <c r="C5" i="20"/>
  <c r="E4" i="20"/>
  <c r="F4" i="20"/>
  <c r="G4" i="20"/>
  <c r="H4" i="20"/>
  <c r="E5" i="20"/>
  <c r="F5" i="20"/>
  <c r="G5" i="20"/>
  <c r="H5" i="20"/>
  <c r="E7" i="20"/>
  <c r="F7" i="20"/>
  <c r="G7" i="20"/>
  <c r="H7" i="20"/>
  <c r="E9" i="20"/>
  <c r="F9" i="20"/>
  <c r="G9" i="20"/>
  <c r="H9" i="20"/>
  <c r="AF193" i="1"/>
  <c r="A31" i="20"/>
  <c r="A24" i="20"/>
  <c r="A17" i="20"/>
  <c r="A10" i="20"/>
  <c r="A3" i="20"/>
  <c r="A50" i="20"/>
  <c r="A44" i="20"/>
  <c r="A38" i="20"/>
  <c r="A2" i="20"/>
  <c r="A57" i="20"/>
  <c r="A55" i="20"/>
  <c r="H55" i="20"/>
  <c r="G55" i="20"/>
  <c r="F55" i="20"/>
  <c r="E55" i="20"/>
  <c r="B55" i="20"/>
  <c r="A53" i="20"/>
  <c r="H53" i="20"/>
  <c r="G53" i="20"/>
  <c r="F53" i="20"/>
  <c r="E53" i="20"/>
  <c r="B53" i="20"/>
  <c r="A52" i="20"/>
  <c r="C52" i="20"/>
  <c r="B52" i="20"/>
  <c r="A51" i="20"/>
  <c r="B51" i="20"/>
  <c r="A49" i="20"/>
  <c r="H49" i="20"/>
  <c r="G49" i="20"/>
  <c r="F49" i="20"/>
  <c r="E49" i="20"/>
  <c r="B49" i="20"/>
  <c r="A47" i="20"/>
  <c r="H47" i="20"/>
  <c r="G47" i="20"/>
  <c r="F47" i="20"/>
  <c r="E47" i="20"/>
  <c r="B47" i="20"/>
  <c r="A46" i="20"/>
  <c r="C46" i="20"/>
  <c r="B46" i="20"/>
  <c r="A45" i="20"/>
  <c r="B45" i="20"/>
  <c r="A43" i="20"/>
  <c r="H43" i="20"/>
  <c r="G43" i="20"/>
  <c r="F43" i="20"/>
  <c r="E43" i="20"/>
  <c r="B43" i="20"/>
  <c r="A41" i="20"/>
  <c r="H41" i="20"/>
  <c r="G41" i="20"/>
  <c r="F41" i="20"/>
  <c r="E41" i="20"/>
  <c r="C41" i="20"/>
  <c r="B41" i="20"/>
  <c r="A40" i="20"/>
  <c r="C40" i="20"/>
  <c r="B40" i="20"/>
  <c r="A39" i="20"/>
  <c r="B39" i="20"/>
  <c r="A37" i="20"/>
  <c r="A35" i="20"/>
  <c r="A32" i="20"/>
  <c r="B32" i="20"/>
  <c r="A30" i="20"/>
  <c r="B30" i="20"/>
  <c r="A28" i="20"/>
  <c r="B28" i="20"/>
  <c r="A26" i="20"/>
  <c r="C26" i="20"/>
  <c r="B26" i="20"/>
  <c r="A25" i="20"/>
  <c r="B25" i="20"/>
  <c r="A33" i="20"/>
  <c r="C33" i="20"/>
  <c r="B33" i="20"/>
  <c r="A23" i="20"/>
  <c r="B23" i="20"/>
  <c r="A21" i="20"/>
  <c r="B21" i="20"/>
  <c r="A19" i="20"/>
  <c r="C19" i="20"/>
  <c r="B19" i="20"/>
  <c r="A18" i="20"/>
  <c r="B18" i="20"/>
  <c r="B16" i="20"/>
  <c r="A14" i="20"/>
  <c r="B14" i="20"/>
  <c r="A12" i="20"/>
  <c r="C12" i="20"/>
  <c r="B12" i="20"/>
  <c r="A11" i="20"/>
  <c r="B11" i="20"/>
  <c r="A9" i="20"/>
  <c r="B9" i="20"/>
  <c r="A7" i="20"/>
  <c r="B7" i="20"/>
  <c r="A5" i="20"/>
  <c r="B5" i="20"/>
  <c r="A4" i="20"/>
  <c r="B4" i="20"/>
  <c r="I37" i="20"/>
  <c r="I2" i="20"/>
  <c r="H37" i="20"/>
  <c r="H2" i="20"/>
  <c r="G37" i="20"/>
  <c r="G2" i="20"/>
  <c r="F37" i="20"/>
  <c r="F2" i="20"/>
  <c r="E37" i="20"/>
  <c r="E2" i="20"/>
  <c r="D37" i="20"/>
  <c r="D2" i="20"/>
  <c r="AF206" i="1"/>
  <c r="AF203" i="1"/>
  <c r="AF202" i="1"/>
  <c r="AF201" i="1"/>
  <c r="AF176" i="1"/>
  <c r="AF174" i="1"/>
  <c r="AF172" i="1"/>
  <c r="AF171" i="1"/>
  <c r="AF168" i="1"/>
  <c r="AF166" i="1"/>
  <c r="AF164" i="1"/>
  <c r="AF163" i="1"/>
  <c r="AF179" i="1"/>
  <c r="AF180" i="1"/>
  <c r="AF182" i="1"/>
  <c r="AF184" i="1"/>
  <c r="M9" i="19"/>
  <c r="AF30" i="17"/>
  <c r="AF27" i="17"/>
  <c r="AF24" i="17"/>
  <c r="AF21" i="17"/>
  <c r="AF18" i="17"/>
  <c r="N38" i="17"/>
  <c r="L38" i="17"/>
  <c r="J38" i="17"/>
  <c r="H38" i="17"/>
  <c r="F38" i="17"/>
  <c r="C24" i="17"/>
  <c r="D49" i="1"/>
  <c r="D50" i="1"/>
  <c r="D52" i="1"/>
  <c r="D53" i="1"/>
  <c r="D55" i="1"/>
  <c r="D56" i="1"/>
  <c r="C81" i="1"/>
  <c r="C83" i="1"/>
  <c r="C85" i="1"/>
  <c r="C86" i="1"/>
  <c r="C87" i="1"/>
  <c r="C88" i="1"/>
  <c r="C89" i="1"/>
  <c r="C90" i="1"/>
  <c r="C91" i="1"/>
  <c r="C92" i="1"/>
  <c r="C93" i="1"/>
  <c r="C95" i="1"/>
  <c r="C97" i="1"/>
  <c r="C99" i="1"/>
  <c r="AD145" i="1"/>
  <c r="AF145" i="1"/>
  <c r="AD146" i="1"/>
  <c r="AF146" i="1"/>
  <c r="AD147" i="1"/>
  <c r="AF147" i="1"/>
  <c r="AD148" i="1"/>
  <c r="AF148" i="1"/>
  <c r="AF155" i="1"/>
  <c r="AF156" i="1"/>
  <c r="AF158" i="1"/>
  <c r="AF160" i="1"/>
  <c r="AF187" i="1"/>
  <c r="AF194" i="1"/>
  <c r="AF195" i="1"/>
  <c r="AF198" i="1"/>
  <c r="AF209" i="1"/>
  <c r="AF210" i="1"/>
  <c r="AF211" i="1"/>
  <c r="AF214" i="1"/>
  <c r="AF221" i="1"/>
  <c r="AF222" i="1"/>
  <c r="AF223" i="1"/>
  <c r="AF224" i="1"/>
  <c r="AF226" i="1"/>
  <c r="AF227" i="1"/>
  <c r="AF228" i="1"/>
  <c r="AF229" i="1"/>
  <c r="AD235" i="1"/>
  <c r="AF235" i="1"/>
  <c r="AD236" i="1"/>
  <c r="AF236" i="1"/>
  <c r="AD237" i="1"/>
  <c r="AF237" i="1"/>
  <c r="AD238" i="1"/>
  <c r="AF238" i="1"/>
  <c r="AD239" i="1"/>
  <c r="AF239" i="1"/>
  <c r="AD243" i="1"/>
  <c r="AF243" i="1"/>
  <c r="AD247" i="1"/>
  <c r="AF247" i="1"/>
  <c r="AD249" i="1"/>
  <c r="AF249" i="1"/>
  <c r="AD250" i="1"/>
  <c r="AF250" i="1"/>
  <c r="AD252" i="1"/>
  <c r="AF252" i="1"/>
  <c r="AD253" i="1"/>
  <c r="AF253" i="1"/>
  <c r="AD255" i="1"/>
  <c r="AF255" i="1"/>
  <c r="AD256" i="1"/>
  <c r="AF256" i="1"/>
  <c r="AF270" i="1"/>
  <c r="AD272" i="1"/>
  <c r="AF272" i="1"/>
  <c r="I274" i="1"/>
  <c r="AF274" i="1"/>
  <c r="H20" i="19"/>
  <c r="U26" i="19"/>
  <c r="J20" i="19"/>
  <c r="L20" i="19"/>
  <c r="N20" i="19"/>
  <c r="M11" i="19"/>
  <c r="C9" i="19"/>
  <c r="M7" i="19"/>
  <c r="M6" i="19"/>
  <c r="D6" i="19"/>
  <c r="M5" i="19"/>
  <c r="D5" i="19"/>
  <c r="N87" i="17"/>
  <c r="C73" i="17"/>
  <c r="H73" i="17" s="1"/>
  <c r="C72" i="17"/>
  <c r="C34" i="17"/>
  <c r="H34" i="17" s="1"/>
  <c r="C35" i="17"/>
  <c r="C36" i="17"/>
  <c r="J36" i="17" s="1"/>
  <c r="C37" i="17"/>
  <c r="C39" i="17"/>
  <c r="C40" i="17"/>
  <c r="C43" i="17"/>
  <c r="C67" i="17"/>
  <c r="C117" i="17"/>
  <c r="D116" i="17"/>
  <c r="M9" i="17"/>
  <c r="M5" i="17"/>
  <c r="M7" i="17"/>
  <c r="M6" i="17"/>
  <c r="C9" i="17"/>
  <c r="D6" i="17"/>
  <c r="D5" i="17"/>
  <c r="B116" i="17"/>
  <c r="C29" i="17"/>
  <c r="C26" i="17"/>
  <c r="U23" i="19"/>
  <c r="AD221" i="1"/>
  <c r="L101" i="17"/>
  <c r="J101" i="17"/>
  <c r="AX53" i="1"/>
  <c r="BC53" i="1" s="1"/>
  <c r="C20" i="17"/>
  <c r="L87" i="17"/>
  <c r="F87" i="17"/>
  <c r="J87" i="17"/>
  <c r="AX52" i="1"/>
  <c r="J156" i="1"/>
  <c r="AD156" i="1" s="1"/>
  <c r="H157" i="1"/>
  <c r="H158" i="1" s="1"/>
  <c r="H159" i="1" s="1"/>
  <c r="H160" i="1" s="1"/>
  <c r="AF34" i="1"/>
  <c r="AF40" i="1"/>
  <c r="AF44" i="1"/>
  <c r="AF38" i="1"/>
  <c r="AF26" i="1"/>
  <c r="AF32" i="1"/>
  <c r="AF29" i="1"/>
  <c r="AF42" i="1"/>
  <c r="AF46" i="1"/>
  <c r="AF36" i="1"/>
  <c r="H87" i="17"/>
  <c r="D53" i="20"/>
  <c r="AD211" i="1"/>
  <c r="I53" i="20" s="1"/>
  <c r="N101" i="17"/>
  <c r="L138" i="1"/>
  <c r="AF102" i="1"/>
  <c r="AF112" i="1"/>
  <c r="AF69" i="1"/>
  <c r="AF59" i="1"/>
  <c r="AF47" i="1"/>
  <c r="AF27" i="1"/>
  <c r="AF63" i="1"/>
  <c r="AD28" i="19"/>
  <c r="AD29" i="19" s="1"/>
  <c r="AF75" i="1"/>
  <c r="AF18" i="1"/>
  <c r="AF41" i="1"/>
  <c r="AF89" i="1"/>
  <c r="AF126" i="1"/>
  <c r="AF45" i="1"/>
  <c r="P138" i="1"/>
  <c r="AF98" i="1"/>
  <c r="AF56" i="1"/>
  <c r="AF53" i="1"/>
  <c r="AF96" i="1"/>
  <c r="AF94" i="1"/>
  <c r="AF50" i="1"/>
  <c r="AF100" i="1"/>
  <c r="AF66" i="1"/>
  <c r="AF104" i="1"/>
  <c r="T138" i="1"/>
  <c r="AF97" i="1"/>
  <c r="AF43" i="1"/>
  <c r="AF31" i="1"/>
  <c r="AF92" i="1"/>
  <c r="AF39" i="1"/>
  <c r="AF88" i="1"/>
  <c r="AF125" i="1"/>
  <c r="AF106" i="1"/>
  <c r="AF35" i="1"/>
  <c r="AF91" i="1"/>
  <c r="AF128" i="1"/>
  <c r="AF21" i="1"/>
  <c r="AF37" i="1"/>
  <c r="AF87" i="1"/>
  <c r="AF124" i="1"/>
  <c r="AF86" i="1"/>
  <c r="AF99" i="1"/>
  <c r="AF58" i="1"/>
  <c r="AF55" i="1"/>
  <c r="AF33" i="1"/>
  <c r="AF85" i="1"/>
  <c r="AF122" i="1"/>
  <c r="AF127" i="1"/>
  <c r="AF90" i="1"/>
  <c r="AF93" i="1"/>
  <c r="AF49" i="1"/>
  <c r="AF95" i="1"/>
  <c r="AF52" i="1"/>
  <c r="AB138" i="1"/>
  <c r="AU43" i="1" l="1"/>
  <c r="H112" i="1"/>
  <c r="J112" i="1" s="1"/>
  <c r="F99" i="17"/>
  <c r="T140" i="1"/>
  <c r="J202" i="1"/>
  <c r="P217" i="1"/>
  <c r="AK42" i="1"/>
  <c r="AK41" i="1"/>
  <c r="AD163" i="1"/>
  <c r="I11" i="20" s="1"/>
  <c r="AK39" i="1"/>
  <c r="D25" i="20"/>
  <c r="J198" i="1"/>
  <c r="AD198" i="1" s="1"/>
  <c r="I43" i="20" s="1"/>
  <c r="AK47" i="1"/>
  <c r="H99" i="17"/>
  <c r="H101" i="17"/>
  <c r="R337" i="1"/>
  <c r="N338" i="1"/>
  <c r="C79" i="1"/>
  <c r="R121" i="1"/>
  <c r="AF231" i="1"/>
  <c r="N332" i="1"/>
  <c r="N333" i="1"/>
  <c r="N323" i="1"/>
  <c r="AU35" i="1"/>
  <c r="N123" i="1" s="1"/>
  <c r="AZ35" i="1"/>
  <c r="R123" i="1" s="1"/>
  <c r="J122" i="1"/>
  <c r="T18" i="17"/>
  <c r="AU63" i="1"/>
  <c r="N63" i="1" s="1"/>
  <c r="N102" i="1" s="1"/>
  <c r="J42" i="1"/>
  <c r="AU40" i="1"/>
  <c r="N40" i="1" s="1"/>
  <c r="AZ36" i="1"/>
  <c r="N36" i="17"/>
  <c r="H36" i="17"/>
  <c r="J98" i="17"/>
  <c r="L36" i="17"/>
  <c r="J126" i="1"/>
  <c r="N43" i="1"/>
  <c r="N90" i="1" s="1"/>
  <c r="J128" i="1"/>
  <c r="J41" i="1"/>
  <c r="J89" i="1" s="1"/>
  <c r="I5" i="20"/>
  <c r="V217" i="1"/>
  <c r="G59" i="20" s="1"/>
  <c r="AU34" i="1"/>
  <c r="R102" i="1"/>
  <c r="N73" i="17"/>
  <c r="J125" i="1"/>
  <c r="L94" i="17"/>
  <c r="D4" i="20"/>
  <c r="C27" i="20"/>
  <c r="AX69" i="1"/>
  <c r="AZ69" i="1" s="1"/>
  <c r="R69" i="1" s="1"/>
  <c r="R106" i="1" s="1"/>
  <c r="J90" i="17"/>
  <c r="J105" i="1"/>
  <c r="AK36" i="1"/>
  <c r="J36" i="1" s="1"/>
  <c r="J73" i="17"/>
  <c r="J203" i="1"/>
  <c r="AD203" i="1" s="1"/>
  <c r="I47" i="20" s="1"/>
  <c r="H100" i="17"/>
  <c r="L73" i="17"/>
  <c r="N217" i="1"/>
  <c r="E59" i="20" s="1"/>
  <c r="J34" i="17"/>
  <c r="N93" i="17"/>
  <c r="AK37" i="1"/>
  <c r="J37" i="1" s="1"/>
  <c r="J87" i="1" s="1"/>
  <c r="AF72" i="1"/>
  <c r="N34" i="17"/>
  <c r="J91" i="17"/>
  <c r="L91" i="17"/>
  <c r="AZ21" i="1"/>
  <c r="X21" i="17" s="1"/>
  <c r="AU20" i="1"/>
  <c r="J33" i="1"/>
  <c r="J85" i="1" s="1"/>
  <c r="F93" i="17"/>
  <c r="AK45" i="1"/>
  <c r="J45" i="1" s="1"/>
  <c r="J91" i="1" s="1"/>
  <c r="L140" i="1"/>
  <c r="L34" i="17"/>
  <c r="F34" i="17"/>
  <c r="F91" i="17"/>
  <c r="G57" i="20"/>
  <c r="H93" i="17"/>
  <c r="J124" i="1"/>
  <c r="AK34" i="1"/>
  <c r="H91" i="17"/>
  <c r="F98" i="17"/>
  <c r="AK32" i="1"/>
  <c r="J32" i="1" s="1"/>
  <c r="BC63" i="1"/>
  <c r="BE63" i="1" s="1"/>
  <c r="V63" i="1" s="1"/>
  <c r="AU39" i="1"/>
  <c r="N39" i="1" s="1"/>
  <c r="N88" i="1" s="1"/>
  <c r="AK35" i="1"/>
  <c r="L93" i="17"/>
  <c r="L142" i="1"/>
  <c r="P87" i="17"/>
  <c r="H90" i="17"/>
  <c r="AU52" i="1"/>
  <c r="N52" i="1" s="1"/>
  <c r="N95" i="1" s="1"/>
  <c r="L90" i="17"/>
  <c r="AU32" i="1"/>
  <c r="AX70" i="1"/>
  <c r="BC70" i="1" s="1"/>
  <c r="J99" i="17"/>
  <c r="N90" i="17"/>
  <c r="X217" i="1"/>
  <c r="AY20" i="1"/>
  <c r="BD20" i="1" s="1"/>
  <c r="BI20" i="1" s="1"/>
  <c r="BJ20" i="1" s="1"/>
  <c r="R217" i="1"/>
  <c r="F59" i="20" s="1"/>
  <c r="T217" i="1"/>
  <c r="T278" i="1" s="1"/>
  <c r="J94" i="17"/>
  <c r="F40" i="17"/>
  <c r="AF276" i="1"/>
  <c r="J129" i="1"/>
  <c r="AF109" i="1"/>
  <c r="L19" i="19"/>
  <c r="G197" i="1"/>
  <c r="AU48" i="1"/>
  <c r="N48" i="1" s="1"/>
  <c r="AZ48" i="1"/>
  <c r="R48" i="1" s="1"/>
  <c r="N96" i="17"/>
  <c r="J195" i="1"/>
  <c r="D41" i="20" s="1"/>
  <c r="AU50" i="1"/>
  <c r="N50" i="1" s="1"/>
  <c r="N94" i="1" s="1"/>
  <c r="AU21" i="1"/>
  <c r="V21" i="17" s="1"/>
  <c r="AU46" i="1"/>
  <c r="N46" i="1" s="1"/>
  <c r="AK44" i="1"/>
  <c r="J44" i="1" s="1"/>
  <c r="AU33" i="1"/>
  <c r="N122" i="1" s="1"/>
  <c r="J96" i="17"/>
  <c r="BD23" i="1"/>
  <c r="BI23" i="1" s="1"/>
  <c r="AZ23" i="1"/>
  <c r="F36" i="17"/>
  <c r="AU29" i="1"/>
  <c r="D33" i="20"/>
  <c r="L28" i="20" s="1"/>
  <c r="F95" i="17"/>
  <c r="V119" i="1"/>
  <c r="AU24" i="1"/>
  <c r="V24" i="17" s="1"/>
  <c r="AZ29" i="1"/>
  <c r="AF215" i="1"/>
  <c r="P38" i="17"/>
  <c r="AF150" i="1"/>
  <c r="AU42" i="1"/>
  <c r="N42" i="1" s="1"/>
  <c r="AX64" i="1"/>
  <c r="BC64" i="1" s="1"/>
  <c r="BE64" i="1" s="1"/>
  <c r="V64" i="1" s="1"/>
  <c r="V103" i="1" s="1"/>
  <c r="N100" i="17"/>
  <c r="H95" i="17"/>
  <c r="J99" i="1"/>
  <c r="R119" i="1"/>
  <c r="AF267" i="1"/>
  <c r="AZ42" i="1"/>
  <c r="R42" i="1" s="1"/>
  <c r="AB142" i="1"/>
  <c r="AB140" i="1"/>
  <c r="BC21" i="1"/>
  <c r="J231" i="1"/>
  <c r="AD231" i="1" s="1"/>
  <c r="D2" i="21" s="1"/>
  <c r="N106" i="1"/>
  <c r="AU59" i="1"/>
  <c r="N59" i="1" s="1"/>
  <c r="N100" i="1" s="1"/>
  <c r="J119" i="1"/>
  <c r="D51" i="20"/>
  <c r="AU38" i="1"/>
  <c r="N38" i="1" s="1"/>
  <c r="J104" i="1"/>
  <c r="J46" i="1"/>
  <c r="AU26" i="1"/>
  <c r="AZ40" i="1"/>
  <c r="R40" i="1" s="1"/>
  <c r="N95" i="17"/>
  <c r="L95" i="17"/>
  <c r="Z119" i="1"/>
  <c r="AD267" i="1"/>
  <c r="P278" i="1"/>
  <c r="AU58" i="1"/>
  <c r="N58" i="1" s="1"/>
  <c r="N99" i="1" s="1"/>
  <c r="AF189" i="1"/>
  <c r="F174" i="1"/>
  <c r="C21" i="20" s="1"/>
  <c r="H120" i="1"/>
  <c r="J172" i="1"/>
  <c r="D19" i="20" s="1"/>
  <c r="AU49" i="1"/>
  <c r="N49" i="1" s="1"/>
  <c r="N93" i="1" s="1"/>
  <c r="N81" i="17"/>
  <c r="N84" i="17" s="1"/>
  <c r="AY39" i="1"/>
  <c r="BD39" i="1" s="1"/>
  <c r="BI39" i="1" s="1"/>
  <c r="BJ39" i="1" s="1"/>
  <c r="H326" i="1"/>
  <c r="AX24" i="1"/>
  <c r="BC24" i="1" s="1"/>
  <c r="BH24" i="1" s="1"/>
  <c r="AX18" i="1"/>
  <c r="AU18" i="1"/>
  <c r="J93" i="1"/>
  <c r="AY49" i="1"/>
  <c r="AU37" i="1"/>
  <c r="AX37" i="1"/>
  <c r="AY27" i="1"/>
  <c r="AU27" i="1"/>
  <c r="V27" i="17" s="1"/>
  <c r="BC48" i="1"/>
  <c r="BH48" i="1" s="1"/>
  <c r="G182" i="1"/>
  <c r="J181" i="1"/>
  <c r="AK29" i="1"/>
  <c r="J29" i="1" s="1"/>
  <c r="AK24" i="1"/>
  <c r="J24" i="1" s="1"/>
  <c r="AK25" i="1"/>
  <c r="AU25" i="1" s="1"/>
  <c r="AK28" i="1"/>
  <c r="AK31" i="1"/>
  <c r="AU31" i="1" s="1"/>
  <c r="V30" i="17" s="1"/>
  <c r="AZ55" i="1"/>
  <c r="R55" i="1" s="1"/>
  <c r="R97" i="1" s="1"/>
  <c r="BC55" i="1"/>
  <c r="N127" i="1"/>
  <c r="AZ58" i="1"/>
  <c r="R58" i="1" s="1"/>
  <c r="R99" i="1" s="1"/>
  <c r="BC58" i="1"/>
  <c r="BH58" i="1" s="1"/>
  <c r="BJ58" i="1" s="1"/>
  <c r="AU55" i="1"/>
  <c r="N55" i="1" s="1"/>
  <c r="N97" i="1" s="1"/>
  <c r="L79" i="17"/>
  <c r="H165" i="1"/>
  <c r="H166" i="1" s="1"/>
  <c r="H167" i="1" s="1"/>
  <c r="H168" i="1" s="1"/>
  <c r="J164" i="1"/>
  <c r="AX47" i="1"/>
  <c r="AU47" i="1"/>
  <c r="F44" i="17"/>
  <c r="BC38" i="1"/>
  <c r="AZ38" i="1"/>
  <c r="R38" i="1" s="1"/>
  <c r="BE46" i="1"/>
  <c r="V46" i="1" s="1"/>
  <c r="BH46" i="1"/>
  <c r="BJ46" i="1" s="1"/>
  <c r="Z46" i="1" s="1"/>
  <c r="BI48" i="1"/>
  <c r="L217" i="1"/>
  <c r="AD193" i="1"/>
  <c r="I39" i="20" s="1"/>
  <c r="L36" i="20" s="1"/>
  <c r="D39" i="20"/>
  <c r="P140" i="1"/>
  <c r="D5" i="20"/>
  <c r="D18" i="20"/>
  <c r="AD171" i="1"/>
  <c r="I18" i="20" s="1"/>
  <c r="J127" i="1"/>
  <c r="G205" i="1"/>
  <c r="G206" i="1"/>
  <c r="C114" i="1"/>
  <c r="C77" i="1"/>
  <c r="G213" i="1"/>
  <c r="G214" i="1"/>
  <c r="AD150" i="1"/>
  <c r="B2" i="21" s="1"/>
  <c r="N72" i="17"/>
  <c r="J72" i="17"/>
  <c r="L72" i="17"/>
  <c r="H72" i="17"/>
  <c r="H75" i="17" s="1"/>
  <c r="F20" i="19"/>
  <c r="P20" i="19" s="1"/>
  <c r="L18" i="19"/>
  <c r="AY53" i="1"/>
  <c r="BD53" i="1" s="1"/>
  <c r="BI53" i="1" s="1"/>
  <c r="AU53" i="1"/>
  <c r="N53" i="1" s="1"/>
  <c r="N96" i="1" s="1"/>
  <c r="P142" i="1"/>
  <c r="T142" i="1"/>
  <c r="L29" i="20"/>
  <c r="C112" i="1"/>
  <c r="C17" i="17"/>
  <c r="J97" i="1"/>
  <c r="AZ43" i="1"/>
  <c r="R43" i="1" s="1"/>
  <c r="R90" i="1" s="1"/>
  <c r="BC43" i="1"/>
  <c r="BE43" i="1" s="1"/>
  <c r="AU44" i="1"/>
  <c r="AY44" i="1"/>
  <c r="AZ44" i="1" s="1"/>
  <c r="J100" i="1"/>
  <c r="AZ32" i="1"/>
  <c r="J39" i="1"/>
  <c r="J196" i="1"/>
  <c r="J194" i="1"/>
  <c r="AD194" i="1" s="1"/>
  <c r="I40" i="20" s="1"/>
  <c r="L37" i="20" s="1"/>
  <c r="AZ59" i="1"/>
  <c r="R59" i="1" s="1"/>
  <c r="R100" i="1" s="1"/>
  <c r="H197" i="1"/>
  <c r="J102" i="1"/>
  <c r="J40" i="1"/>
  <c r="R117" i="1"/>
  <c r="J95" i="1"/>
  <c r="BJ35" i="1"/>
  <c r="Z123" i="1" s="1"/>
  <c r="J43" i="1"/>
  <c r="J90" i="1" s="1"/>
  <c r="AU36" i="1"/>
  <c r="N36" i="1" s="1"/>
  <c r="F67" i="17"/>
  <c r="F69" i="17" s="1"/>
  <c r="F41" i="17"/>
  <c r="AB217" i="1"/>
  <c r="AB278" i="1" s="1"/>
  <c r="AY26" i="1"/>
  <c r="AZ26" i="1" s="1"/>
  <c r="N99" i="17"/>
  <c r="P42" i="17"/>
  <c r="H88" i="17"/>
  <c r="N88" i="17"/>
  <c r="L88" i="17"/>
  <c r="F88" i="17"/>
  <c r="F52" i="17"/>
  <c r="J54" i="17"/>
  <c r="F79" i="17"/>
  <c r="H79" i="17"/>
  <c r="F78" i="17"/>
  <c r="F56" i="17"/>
  <c r="L81" i="17"/>
  <c r="L84" i="17" s="1"/>
  <c r="L82" i="17"/>
  <c r="H62" i="17"/>
  <c r="J56" i="17"/>
  <c r="L67" i="17"/>
  <c r="L69" i="17" s="1"/>
  <c r="H54" i="17"/>
  <c r="H82" i="17"/>
  <c r="J62" i="17"/>
  <c r="L56" i="17"/>
  <c r="F54" i="17"/>
  <c r="F81" i="17"/>
  <c r="F84" i="17" s="1"/>
  <c r="H78" i="1"/>
  <c r="N78" i="17"/>
  <c r="L62" i="17"/>
  <c r="H67" i="17"/>
  <c r="H69" i="17" s="1"/>
  <c r="J67" i="17"/>
  <c r="J69" i="17" s="1"/>
  <c r="N53" i="17"/>
  <c r="J81" i="17"/>
  <c r="J84" i="17" s="1"/>
  <c r="H53" i="17"/>
  <c r="J53" i="17"/>
  <c r="N62" i="17"/>
  <c r="N67" i="17"/>
  <c r="N69" i="17" s="1"/>
  <c r="L53" i="17"/>
  <c r="N54" i="17"/>
  <c r="N56" i="17"/>
  <c r="J78" i="17"/>
  <c r="H81" i="17"/>
  <c r="H84" i="17" s="1"/>
  <c r="L54" i="17"/>
  <c r="J174" i="1"/>
  <c r="F62" i="17"/>
  <c r="AX66" i="1"/>
  <c r="AU66" i="1"/>
  <c r="N66" i="1" s="1"/>
  <c r="N104" i="1" s="1"/>
  <c r="D47" i="20"/>
  <c r="J175" i="1"/>
  <c r="G176" i="1"/>
  <c r="J176" i="1" s="1"/>
  <c r="BC52" i="1"/>
  <c r="AZ52" i="1"/>
  <c r="R52" i="1" s="1"/>
  <c r="AU41" i="1"/>
  <c r="AX41" i="1"/>
  <c r="AZ50" i="1"/>
  <c r="R50" i="1" s="1"/>
  <c r="BC50" i="1"/>
  <c r="F43" i="17"/>
  <c r="G166" i="1"/>
  <c r="G167" i="1" s="1"/>
  <c r="J157" i="1"/>
  <c r="D26" i="20"/>
  <c r="AD180" i="1"/>
  <c r="I26" i="20" s="1"/>
  <c r="AD201" i="1"/>
  <c r="I45" i="20" s="1"/>
  <c r="D45" i="20"/>
  <c r="N19" i="19"/>
  <c r="BC33" i="1"/>
  <c r="AZ33" i="1"/>
  <c r="J96" i="1"/>
  <c r="AU67" i="1"/>
  <c r="N67" i="1" s="1"/>
  <c r="H43" i="17" s="1"/>
  <c r="AX67" i="1"/>
  <c r="BH53" i="1"/>
  <c r="AD202" i="1"/>
  <c r="I46" i="20" s="1"/>
  <c r="D46" i="20"/>
  <c r="AY56" i="1"/>
  <c r="AU56" i="1"/>
  <c r="N56" i="1" s="1"/>
  <c r="J123" i="1"/>
  <c r="H211" i="1"/>
  <c r="H212" i="1" s="1"/>
  <c r="J210" i="1"/>
  <c r="AX45" i="1"/>
  <c r="AU45" i="1"/>
  <c r="H206" i="1"/>
  <c r="H205" i="1"/>
  <c r="X29" i="19"/>
  <c r="H19" i="19" s="1"/>
  <c r="J98" i="1"/>
  <c r="V115" i="1"/>
  <c r="N115" i="1"/>
  <c r="Z115" i="1"/>
  <c r="R115" i="1"/>
  <c r="J115" i="1"/>
  <c r="F166" i="1"/>
  <c r="C13" i="20"/>
  <c r="BC59" i="1"/>
  <c r="Z217" i="1"/>
  <c r="J97" i="17"/>
  <c r="F97" i="17"/>
  <c r="H97" i="17"/>
  <c r="N97" i="17"/>
  <c r="L97" i="17"/>
  <c r="J204" i="1"/>
  <c r="BE34" i="1"/>
  <c r="BH34" i="1"/>
  <c r="BJ34" i="1" s="1"/>
  <c r="BB25" i="1"/>
  <c r="BE35" i="1"/>
  <c r="H56" i="17"/>
  <c r="H135" i="1"/>
  <c r="X135" i="1" s="1"/>
  <c r="AF135" i="1" s="1"/>
  <c r="J94" i="1"/>
  <c r="N107" i="1"/>
  <c r="J107" i="1"/>
  <c r="AU30" i="1"/>
  <c r="AX30" i="1"/>
  <c r="F53" i="17"/>
  <c r="P17" i="19"/>
  <c r="F92" i="17"/>
  <c r="L92" i="17"/>
  <c r="H92" i="17"/>
  <c r="N92" i="17"/>
  <c r="Z121" i="1"/>
  <c r="N121" i="1"/>
  <c r="J34" i="1"/>
  <c r="F96" i="17"/>
  <c r="H96" i="17"/>
  <c r="J173" i="1"/>
  <c r="V121" i="1"/>
  <c r="H76" i="1"/>
  <c r="N79" i="17"/>
  <c r="N82" i="17"/>
  <c r="J79" i="17"/>
  <c r="J82" i="17"/>
  <c r="L80" i="17"/>
  <c r="H78" i="17"/>
  <c r="F80" i="17"/>
  <c r="N80" i="17"/>
  <c r="H80" i="17"/>
  <c r="F82" i="17"/>
  <c r="J80" i="17"/>
  <c r="L78" i="17"/>
  <c r="AZ46" i="1"/>
  <c r="AZ34" i="1"/>
  <c r="R34" i="1" s="1"/>
  <c r="J106" i="1"/>
  <c r="BC29" i="1"/>
  <c r="BD32" i="1"/>
  <c r="BD36" i="1"/>
  <c r="BI36" i="1" s="1"/>
  <c r="BJ36" i="1" s="1"/>
  <c r="BD40" i="1"/>
  <c r="BC42" i="1"/>
  <c r="F100" i="17"/>
  <c r="L100" i="17"/>
  <c r="V117" i="1"/>
  <c r="Z117" i="1"/>
  <c r="J117" i="1"/>
  <c r="N103" i="1"/>
  <c r="J103" i="1"/>
  <c r="AK18" i="1"/>
  <c r="J18" i="1" s="1"/>
  <c r="AK22" i="1"/>
  <c r="AK19" i="1"/>
  <c r="AK20" i="1"/>
  <c r="AK23" i="1"/>
  <c r="AK27" i="1"/>
  <c r="BD24" i="1"/>
  <c r="BI24" i="1" s="1"/>
  <c r="BG28" i="1"/>
  <c r="F94" i="17"/>
  <c r="N94" i="17"/>
  <c r="AK30" i="1"/>
  <c r="C6" i="20"/>
  <c r="N98" i="17"/>
  <c r="H98" i="17"/>
  <c r="AK26" i="1"/>
  <c r="J47" i="1"/>
  <c r="BH23" i="1"/>
  <c r="AK21" i="1"/>
  <c r="AU23" i="1"/>
  <c r="N276" i="1"/>
  <c r="Z276" i="1"/>
  <c r="R276" i="1"/>
  <c r="V276" i="1"/>
  <c r="E57" i="20"/>
  <c r="P102" i="17"/>
  <c r="P105" i="17"/>
  <c r="P104" i="17"/>
  <c r="P106" i="17"/>
  <c r="P101" i="17"/>
  <c r="P108" i="17"/>
  <c r="P89" i="17"/>
  <c r="P107" i="17"/>
  <c r="BD44" i="1" l="1"/>
  <c r="BI44" i="1" s="1"/>
  <c r="BJ44" i="1" s="1"/>
  <c r="AZ70" i="1"/>
  <c r="R70" i="1" s="1"/>
  <c r="R107" i="1" s="1"/>
  <c r="BH63" i="1"/>
  <c r="BJ63" i="1" s="1"/>
  <c r="N18" i="1"/>
  <c r="D43" i="20"/>
  <c r="H18" i="19"/>
  <c r="BC69" i="1"/>
  <c r="BH69" i="1" s="1"/>
  <c r="BJ69" i="1" s="1"/>
  <c r="Z69" i="1" s="1"/>
  <c r="R35" i="1"/>
  <c r="R86" i="1" s="1"/>
  <c r="J165" i="1"/>
  <c r="AD172" i="1"/>
  <c r="I19" i="20" s="1"/>
  <c r="N75" i="17"/>
  <c r="BE23" i="1"/>
  <c r="V23" i="1" s="1"/>
  <c r="R36" i="1"/>
  <c r="BD26" i="1"/>
  <c r="BI26" i="1" s="1"/>
  <c r="BJ26" i="1" s="1"/>
  <c r="Z26" i="1" s="1"/>
  <c r="R44" i="1"/>
  <c r="BJ23" i="1"/>
  <c r="Z23" i="1" s="1"/>
  <c r="V35" i="1"/>
  <c r="V86" i="1" s="1"/>
  <c r="AZ64" i="1"/>
  <c r="R64" i="1" s="1"/>
  <c r="R103" i="1" s="1"/>
  <c r="P36" i="17"/>
  <c r="N34" i="1"/>
  <c r="N44" i="1"/>
  <c r="J75" i="17"/>
  <c r="AB282" i="1"/>
  <c r="AB288" i="1" s="1"/>
  <c r="AB290" i="1" s="1"/>
  <c r="N121" i="17" s="1"/>
  <c r="AB280" i="1"/>
  <c r="T280" i="1"/>
  <c r="T282" i="1"/>
  <c r="T288" i="1" s="1"/>
  <c r="T290" i="1" s="1"/>
  <c r="J121" i="17" s="1"/>
  <c r="P282" i="1"/>
  <c r="P288" i="1" s="1"/>
  <c r="P290" i="1" s="1"/>
  <c r="H121" i="17" s="1"/>
  <c r="P280" i="1"/>
  <c r="H44" i="17"/>
  <c r="Z35" i="1"/>
  <c r="Z86" i="1" s="1"/>
  <c r="AD195" i="1"/>
  <c r="I41" i="20" s="1"/>
  <c r="L38" i="20" s="1"/>
  <c r="P90" i="17"/>
  <c r="H117" i="1"/>
  <c r="V34" i="1"/>
  <c r="P34" i="17"/>
  <c r="P91" i="17"/>
  <c r="BE53" i="1"/>
  <c r="V53" i="1" s="1"/>
  <c r="V96" i="1" s="1"/>
  <c r="N31" i="1"/>
  <c r="H31" i="17" s="1"/>
  <c r="H118" i="1"/>
  <c r="J118" i="1" s="1"/>
  <c r="R32" i="1"/>
  <c r="H113" i="1"/>
  <c r="H121" i="1"/>
  <c r="H115" i="1"/>
  <c r="AZ31" i="1"/>
  <c r="X30" i="17" s="1"/>
  <c r="J197" i="1"/>
  <c r="AD197" i="1" s="1"/>
  <c r="P95" i="17"/>
  <c r="AP31" i="1"/>
  <c r="L75" i="17"/>
  <c r="BJ53" i="1"/>
  <c r="Z53" i="1" s="1"/>
  <c r="Z96" i="1" s="1"/>
  <c r="AZ53" i="1"/>
  <c r="R53" i="1" s="1"/>
  <c r="R96" i="1" s="1"/>
  <c r="BJ31" i="1"/>
  <c r="AB30" i="17" s="1"/>
  <c r="H114" i="1"/>
  <c r="N114" i="1" s="1"/>
  <c r="AZ20" i="1"/>
  <c r="R20" i="1" s="1"/>
  <c r="P93" i="17"/>
  <c r="BE31" i="1"/>
  <c r="V31" i="1" s="1"/>
  <c r="H116" i="1"/>
  <c r="J116" i="1" s="1"/>
  <c r="J205" i="1"/>
  <c r="AD205" i="1" s="1"/>
  <c r="N32" i="1"/>
  <c r="J206" i="1"/>
  <c r="D49" i="20" s="1"/>
  <c r="BE48" i="1"/>
  <c r="V48" i="1" s="1"/>
  <c r="F61" i="17"/>
  <c r="X129" i="1"/>
  <c r="AF129" i="1" s="1"/>
  <c r="J35" i="1"/>
  <c r="J86" i="1" s="1"/>
  <c r="BE20" i="1"/>
  <c r="V20" i="1" s="1"/>
  <c r="N35" i="1"/>
  <c r="N86" i="1" s="1"/>
  <c r="N125" i="1"/>
  <c r="P99" i="17"/>
  <c r="N29" i="1"/>
  <c r="N33" i="1"/>
  <c r="N85" i="1" s="1"/>
  <c r="H52" i="17" s="1"/>
  <c r="P96" i="17"/>
  <c r="J18" i="19"/>
  <c r="H61" i="17"/>
  <c r="AZ39" i="1"/>
  <c r="R39" i="1" s="1"/>
  <c r="R88" i="1" s="1"/>
  <c r="AD119" i="1"/>
  <c r="AZ24" i="1"/>
  <c r="X24" i="17" s="1"/>
  <c r="X123" i="1"/>
  <c r="AF123" i="1" s="1"/>
  <c r="BJ48" i="1"/>
  <c r="Z48" i="1" s="1"/>
  <c r="N24" i="1"/>
  <c r="H24" i="17" s="1"/>
  <c r="H119" i="1"/>
  <c r="N120" i="1"/>
  <c r="J120" i="1"/>
  <c r="H58" i="17"/>
  <c r="P88" i="17"/>
  <c r="BE28" i="1"/>
  <c r="V28" i="1" s="1"/>
  <c r="BE21" i="1"/>
  <c r="Z21" i="17" s="1"/>
  <c r="BH21" i="1"/>
  <c r="BJ21" i="1" s="1"/>
  <c r="Z21" i="1" s="1"/>
  <c r="H40" i="17"/>
  <c r="F37" i="17"/>
  <c r="BH43" i="1"/>
  <c r="BJ43" i="1" s="1"/>
  <c r="Z43" i="1" s="1"/>
  <c r="V28" i="19"/>
  <c r="BJ28" i="1"/>
  <c r="Z28" i="1" s="1"/>
  <c r="AU28" i="1"/>
  <c r="N28" i="1" s="1"/>
  <c r="H28" i="17" s="1"/>
  <c r="AZ28" i="1"/>
  <c r="R28" i="1" s="1"/>
  <c r="AD117" i="1"/>
  <c r="AZ37" i="1"/>
  <c r="BC37" i="1"/>
  <c r="P98" i="17"/>
  <c r="BL35" i="1"/>
  <c r="AD196" i="1"/>
  <c r="I42" i="20" s="1"/>
  <c r="D42" i="20"/>
  <c r="Z125" i="1"/>
  <c r="Z39" i="1"/>
  <c r="Z88" i="1" s="1"/>
  <c r="N37" i="1"/>
  <c r="N87" i="1" s="1"/>
  <c r="N124" i="1"/>
  <c r="F60" i="17"/>
  <c r="R29" i="1"/>
  <c r="P62" i="17"/>
  <c r="R127" i="1"/>
  <c r="AF217" i="1"/>
  <c r="L278" i="1"/>
  <c r="AZ47" i="1"/>
  <c r="BC47" i="1"/>
  <c r="AD181" i="1"/>
  <c r="I27" i="20" s="1"/>
  <c r="D27" i="20"/>
  <c r="BD49" i="1"/>
  <c r="AZ49" i="1"/>
  <c r="R49" i="1" s="1"/>
  <c r="N129" i="1"/>
  <c r="N47" i="1"/>
  <c r="N92" i="1" s="1"/>
  <c r="J88" i="1"/>
  <c r="F55" i="17" s="1"/>
  <c r="BH64" i="1"/>
  <c r="BJ64" i="1" s="1"/>
  <c r="BE58" i="1"/>
  <c r="V58" i="1" s="1"/>
  <c r="V99" i="1" s="1"/>
  <c r="D12" i="20"/>
  <c r="AD164" i="1"/>
  <c r="I12" i="20" s="1"/>
  <c r="BH55" i="1"/>
  <c r="BJ55" i="1" s="1"/>
  <c r="BE55" i="1"/>
  <c r="V55" i="1" s="1"/>
  <c r="G183" i="1"/>
  <c r="J182" i="1"/>
  <c r="AP25" i="1"/>
  <c r="J25" i="1" s="1"/>
  <c r="F25" i="17" s="1"/>
  <c r="D40" i="20"/>
  <c r="L35" i="20" s="1"/>
  <c r="P54" i="17"/>
  <c r="F58" i="17"/>
  <c r="N25" i="1"/>
  <c r="N80" i="1" s="1"/>
  <c r="BE38" i="1"/>
  <c r="V38" i="1" s="1"/>
  <c r="BH38" i="1"/>
  <c r="BJ38" i="1" s="1"/>
  <c r="V18" i="17"/>
  <c r="N112" i="1"/>
  <c r="BJ24" i="1"/>
  <c r="Z24" i="1" s="1"/>
  <c r="Z79" i="1" s="1"/>
  <c r="AZ25" i="1"/>
  <c r="R25" i="1" s="1"/>
  <c r="R80" i="1" s="1"/>
  <c r="V127" i="1"/>
  <c r="V43" i="1"/>
  <c r="V90" i="1" s="1"/>
  <c r="BE39" i="1"/>
  <c r="AP28" i="1"/>
  <c r="J28" i="1" s="1"/>
  <c r="BD27" i="1"/>
  <c r="AZ27" i="1"/>
  <c r="R27" i="1" s="1"/>
  <c r="AZ18" i="1"/>
  <c r="R18" i="1" s="1"/>
  <c r="BC18" i="1"/>
  <c r="P78" i="17"/>
  <c r="P94" i="17"/>
  <c r="P97" i="17"/>
  <c r="P80" i="17"/>
  <c r="P79" i="17"/>
  <c r="P82" i="17"/>
  <c r="P84" i="17"/>
  <c r="P69" i="17"/>
  <c r="P92" i="17"/>
  <c r="P100" i="17"/>
  <c r="Z36" i="1"/>
  <c r="BC30" i="1"/>
  <c r="AZ30" i="1"/>
  <c r="R120" i="1" s="1"/>
  <c r="BH70" i="1"/>
  <c r="BJ70" i="1" s="1"/>
  <c r="Z70" i="1" s="1"/>
  <c r="BE70" i="1"/>
  <c r="V70" i="1" s="1"/>
  <c r="V107" i="1" s="1"/>
  <c r="D22" i="20"/>
  <c r="AD175" i="1"/>
  <c r="I22" i="20" s="1"/>
  <c r="AU22" i="1"/>
  <c r="N22" i="1" s="1"/>
  <c r="BE22" i="1"/>
  <c r="V22" i="1" s="1"/>
  <c r="AP22" i="1"/>
  <c r="J22" i="1" s="1"/>
  <c r="J78" i="1" s="1"/>
  <c r="AZ22" i="1"/>
  <c r="R22" i="1" s="1"/>
  <c r="J22" i="17" s="1"/>
  <c r="BJ22" i="1"/>
  <c r="BE32" i="1"/>
  <c r="V32" i="1" s="1"/>
  <c r="BI32" i="1"/>
  <c r="BJ32" i="1" s="1"/>
  <c r="J79" i="1"/>
  <c r="F24" i="17"/>
  <c r="H41" i="17"/>
  <c r="BE59" i="1"/>
  <c r="V59" i="1" s="1"/>
  <c r="BH59" i="1"/>
  <c r="BJ59" i="1" s="1"/>
  <c r="BC45" i="1"/>
  <c r="AZ45" i="1"/>
  <c r="J160" i="1"/>
  <c r="J159" i="1"/>
  <c r="Z58" i="1"/>
  <c r="Z99" i="1" s="1"/>
  <c r="AZ66" i="1"/>
  <c r="R66" i="1" s="1"/>
  <c r="BC66" i="1"/>
  <c r="J21" i="1"/>
  <c r="N21" i="1"/>
  <c r="R21" i="1"/>
  <c r="Z44" i="1"/>
  <c r="BE29" i="1"/>
  <c r="V29" i="1" s="1"/>
  <c r="BH29" i="1"/>
  <c r="BJ29" i="1" s="1"/>
  <c r="D20" i="20"/>
  <c r="AD173" i="1"/>
  <c r="I20" i="20" s="1"/>
  <c r="Z34" i="1"/>
  <c r="BL34" i="1"/>
  <c r="P81" i="17"/>
  <c r="D52" i="20"/>
  <c r="AD210" i="1"/>
  <c r="I52" i="20" s="1"/>
  <c r="R122" i="1"/>
  <c r="R33" i="1"/>
  <c r="AD157" i="1"/>
  <c r="D6" i="20"/>
  <c r="BC41" i="1"/>
  <c r="AZ41" i="1"/>
  <c r="R95" i="1"/>
  <c r="D21" i="20"/>
  <c r="AD174" i="1"/>
  <c r="I21" i="20" s="1"/>
  <c r="AZ19" i="1"/>
  <c r="R19" i="1" s="1"/>
  <c r="J19" i="17" s="1"/>
  <c r="AP19" i="1"/>
  <c r="J19" i="1" s="1"/>
  <c r="BJ19" i="1"/>
  <c r="Z19" i="1" s="1"/>
  <c r="N19" i="17" s="1"/>
  <c r="BD56" i="1"/>
  <c r="AZ56" i="1"/>
  <c r="R56" i="1" s="1"/>
  <c r="R98" i="1" s="1"/>
  <c r="AD121" i="1"/>
  <c r="P53" i="17"/>
  <c r="AD204" i="1"/>
  <c r="I48" i="20" s="1"/>
  <c r="D48" i="20"/>
  <c r="C14" i="20"/>
  <c r="J166" i="1"/>
  <c r="H214" i="1"/>
  <c r="J214" i="1" s="1"/>
  <c r="H213" i="1"/>
  <c r="J212" i="1"/>
  <c r="BE33" i="1"/>
  <c r="BH33" i="1"/>
  <c r="BJ33" i="1" s="1"/>
  <c r="AD165" i="1"/>
  <c r="I13" i="20" s="1"/>
  <c r="D13" i="20"/>
  <c r="BH50" i="1"/>
  <c r="BJ50" i="1" s="1"/>
  <c r="BE50" i="1"/>
  <c r="V50" i="1" s="1"/>
  <c r="N126" i="1"/>
  <c r="N41" i="1"/>
  <c r="BE52" i="1"/>
  <c r="V52" i="1" s="1"/>
  <c r="V95" i="1" s="1"/>
  <c r="BH52" i="1"/>
  <c r="BJ52" i="1" s="1"/>
  <c r="F59" i="17"/>
  <c r="N105" i="1"/>
  <c r="P67" i="17"/>
  <c r="F39" i="17"/>
  <c r="J92" i="1"/>
  <c r="C7" i="20"/>
  <c r="J158" i="1"/>
  <c r="J23" i="1"/>
  <c r="R23" i="1"/>
  <c r="N23" i="1"/>
  <c r="BE42" i="1"/>
  <c r="V42" i="1" s="1"/>
  <c r="BH42" i="1"/>
  <c r="BJ42" i="1" s="1"/>
  <c r="BE19" i="1"/>
  <c r="V19" i="1" s="1"/>
  <c r="L19" i="17" s="1"/>
  <c r="BE24" i="1"/>
  <c r="J167" i="1"/>
  <c r="G168" i="1"/>
  <c r="J168" i="1" s="1"/>
  <c r="R94" i="1"/>
  <c r="BL63" i="1"/>
  <c r="Z63" i="1"/>
  <c r="Z106" i="1"/>
  <c r="H59" i="20"/>
  <c r="N18" i="19"/>
  <c r="N45" i="1"/>
  <c r="N128" i="1"/>
  <c r="J26" i="1"/>
  <c r="N26" i="1"/>
  <c r="R26" i="1"/>
  <c r="AU19" i="1"/>
  <c r="N19" i="1" s="1"/>
  <c r="J27" i="1"/>
  <c r="N27" i="1"/>
  <c r="BE44" i="1"/>
  <c r="V44" i="1" s="1"/>
  <c r="J30" i="1"/>
  <c r="N30" i="1"/>
  <c r="BL46" i="1"/>
  <c r="R46" i="1"/>
  <c r="AD46" i="1" s="1"/>
  <c r="BE36" i="1"/>
  <c r="V36" i="1" s="1"/>
  <c r="N20" i="1"/>
  <c r="J20" i="1"/>
  <c r="Z20" i="1"/>
  <c r="BI40" i="1"/>
  <c r="BJ40" i="1" s="1"/>
  <c r="BE40" i="1"/>
  <c r="V40" i="1" s="1"/>
  <c r="BE25" i="1"/>
  <c r="V25" i="1" s="1"/>
  <c r="BG25" i="1"/>
  <c r="BJ25" i="1" s="1"/>
  <c r="AD115" i="1"/>
  <c r="N98" i="1"/>
  <c r="H59" i="17" s="1"/>
  <c r="V123" i="1"/>
  <c r="AD123" i="1" s="1"/>
  <c r="AZ67" i="1"/>
  <c r="R67" i="1" s="1"/>
  <c r="BC67" i="1"/>
  <c r="AD176" i="1"/>
  <c r="I23" i="20" s="1"/>
  <c r="D23" i="20"/>
  <c r="P56" i="17"/>
  <c r="V102" i="1"/>
  <c r="N109" i="17"/>
  <c r="N111" i="17" s="1"/>
  <c r="AD270" i="1"/>
  <c r="Z28" i="19"/>
  <c r="J103" i="17"/>
  <c r="L109" i="17"/>
  <c r="L111" i="17" s="1"/>
  <c r="H109" i="17"/>
  <c r="H111" i="17" s="1"/>
  <c r="BE26" i="1" l="1"/>
  <c r="V26" i="1" s="1"/>
  <c r="R113" i="1"/>
  <c r="J113" i="1"/>
  <c r="V113" i="1"/>
  <c r="N113" i="1"/>
  <c r="Z113" i="1"/>
  <c r="AD70" i="1"/>
  <c r="BE69" i="1"/>
  <c r="BL23" i="1"/>
  <c r="AD36" i="1"/>
  <c r="N116" i="1"/>
  <c r="BL64" i="1"/>
  <c r="BL26" i="1"/>
  <c r="N84" i="1"/>
  <c r="R24" i="1"/>
  <c r="J24" i="17" s="1"/>
  <c r="Z30" i="17"/>
  <c r="N118" i="1"/>
  <c r="AD48" i="1"/>
  <c r="R116" i="1"/>
  <c r="I6" i="20"/>
  <c r="L282" i="1"/>
  <c r="L288" i="1" s="1"/>
  <c r="L290" i="1" s="1"/>
  <c r="L280" i="1"/>
  <c r="AD34" i="1"/>
  <c r="Z127" i="1"/>
  <c r="AD127" i="1" s="1"/>
  <c r="BL43" i="1"/>
  <c r="Z31" i="1"/>
  <c r="N31" i="17" s="1"/>
  <c r="BL53" i="1"/>
  <c r="BL31" i="1"/>
  <c r="AD96" i="1"/>
  <c r="Z64" i="1"/>
  <c r="AD64" i="1" s="1"/>
  <c r="AD206" i="1"/>
  <c r="I49" i="20" s="1"/>
  <c r="BL20" i="1"/>
  <c r="N79" i="1"/>
  <c r="R114" i="1"/>
  <c r="T30" i="17"/>
  <c r="J31" i="1"/>
  <c r="J72" i="1" s="1"/>
  <c r="R31" i="1"/>
  <c r="R84" i="1" s="1"/>
  <c r="J114" i="1"/>
  <c r="J138" i="1" s="1"/>
  <c r="AD86" i="1"/>
  <c r="F51" i="17"/>
  <c r="AD99" i="1"/>
  <c r="H25" i="17"/>
  <c r="AD35" i="1"/>
  <c r="X138" i="1"/>
  <c r="X140" i="1" s="1"/>
  <c r="AF140" i="1" s="1"/>
  <c r="F35" i="17"/>
  <c r="F33" i="17" s="1"/>
  <c r="BL48" i="1"/>
  <c r="H22" i="17"/>
  <c r="N78" i="1"/>
  <c r="BL28" i="1"/>
  <c r="R30" i="1"/>
  <c r="R83" i="1" s="1"/>
  <c r="BL22" i="1"/>
  <c r="AB24" i="17"/>
  <c r="BL24" i="1"/>
  <c r="N24" i="17"/>
  <c r="Z116" i="1"/>
  <c r="N82" i="1"/>
  <c r="BL58" i="1"/>
  <c r="R125" i="1"/>
  <c r="BL39" i="1"/>
  <c r="H35" i="17"/>
  <c r="R82" i="1"/>
  <c r="J28" i="17"/>
  <c r="V114" i="1"/>
  <c r="V29" i="19"/>
  <c r="F19" i="19" s="1"/>
  <c r="J25" i="17"/>
  <c r="V21" i="1"/>
  <c r="AD21" i="1" s="1"/>
  <c r="Z114" i="1"/>
  <c r="BL21" i="1"/>
  <c r="AB21" i="17"/>
  <c r="AD21" i="17" s="1"/>
  <c r="L22" i="17"/>
  <c r="V78" i="1"/>
  <c r="F28" i="17"/>
  <c r="J82" i="1"/>
  <c r="BL38" i="1"/>
  <c r="Z38" i="1"/>
  <c r="AD38" i="1" s="1"/>
  <c r="V125" i="1"/>
  <c r="V39" i="1"/>
  <c r="AD182" i="1"/>
  <c r="I28" i="20" s="1"/>
  <c r="D28" i="20"/>
  <c r="H51" i="17"/>
  <c r="BE18" i="1"/>
  <c r="BH18" i="1"/>
  <c r="BJ18" i="1" s="1"/>
  <c r="X18" i="17"/>
  <c r="R112" i="1"/>
  <c r="Z55" i="1"/>
  <c r="Z97" i="1" s="1"/>
  <c r="BL55" i="1"/>
  <c r="BH37" i="1"/>
  <c r="BJ37" i="1" s="1"/>
  <c r="BE37" i="1"/>
  <c r="V97" i="1"/>
  <c r="BL44" i="1"/>
  <c r="X27" i="17"/>
  <c r="R118" i="1"/>
  <c r="R37" i="1"/>
  <c r="J35" i="17" s="1"/>
  <c r="R124" i="1"/>
  <c r="Z22" i="1"/>
  <c r="N22" i="17" s="1"/>
  <c r="BI27" i="1"/>
  <c r="BJ27" i="1" s="1"/>
  <c r="BE27" i="1"/>
  <c r="R93" i="1"/>
  <c r="J58" i="17" s="1"/>
  <c r="J40" i="17"/>
  <c r="G184" i="1"/>
  <c r="J184" i="1" s="1"/>
  <c r="J183" i="1"/>
  <c r="BE47" i="1"/>
  <c r="BH47" i="1"/>
  <c r="BJ47" i="1" s="1"/>
  <c r="R129" i="1"/>
  <c r="R47" i="1"/>
  <c r="J80" i="1"/>
  <c r="AD28" i="1"/>
  <c r="AD58" i="1"/>
  <c r="L28" i="17"/>
  <c r="V82" i="1"/>
  <c r="BI49" i="1"/>
  <c r="BJ49" i="1" s="1"/>
  <c r="BE49" i="1"/>
  <c r="V49" i="1" s="1"/>
  <c r="L40" i="17" s="1"/>
  <c r="F19" i="17"/>
  <c r="AD19" i="1"/>
  <c r="J76" i="1"/>
  <c r="H19" i="17"/>
  <c r="N76" i="1"/>
  <c r="Z33" i="1"/>
  <c r="Z122" i="1"/>
  <c r="BL33" i="1"/>
  <c r="R76" i="1"/>
  <c r="R104" i="1"/>
  <c r="J44" i="17"/>
  <c r="Z32" i="1"/>
  <c r="AD32" i="1" s="1"/>
  <c r="BL32" i="1"/>
  <c r="BL36" i="1"/>
  <c r="BL25" i="1"/>
  <c r="Z25" i="1"/>
  <c r="AD25" i="1" s="1"/>
  <c r="BL40" i="1"/>
  <c r="Z40" i="1"/>
  <c r="AD40" i="1" s="1"/>
  <c r="L31" i="17"/>
  <c r="V84" i="1"/>
  <c r="N89" i="1"/>
  <c r="H37" i="17"/>
  <c r="V33" i="1"/>
  <c r="V122" i="1"/>
  <c r="AD212" i="1"/>
  <c r="D54" i="20"/>
  <c r="R105" i="1"/>
  <c r="J60" i="17" s="1"/>
  <c r="J43" i="17"/>
  <c r="AD20" i="1"/>
  <c r="J75" i="1"/>
  <c r="F50" i="17" s="1"/>
  <c r="F18" i="17"/>
  <c r="V94" i="1"/>
  <c r="Z77" i="1"/>
  <c r="N21" i="17"/>
  <c r="D9" i="20"/>
  <c r="AD160" i="1"/>
  <c r="I9" i="20" s="1"/>
  <c r="V100" i="1"/>
  <c r="F22" i="17"/>
  <c r="V80" i="1"/>
  <c r="L25" i="17"/>
  <c r="AD159" i="1"/>
  <c r="I8" i="20" s="1"/>
  <c r="D8" i="20"/>
  <c r="BE30" i="1"/>
  <c r="BH30" i="1"/>
  <c r="BJ30" i="1" s="1"/>
  <c r="J41" i="17"/>
  <c r="H18" i="17"/>
  <c r="N72" i="1"/>
  <c r="N75" i="1"/>
  <c r="H50" i="17" s="1"/>
  <c r="D55" i="20"/>
  <c r="AD214" i="1"/>
  <c r="I55" i="20" s="1"/>
  <c r="Z76" i="1"/>
  <c r="R77" i="1"/>
  <c r="J21" i="17"/>
  <c r="R128" i="1"/>
  <c r="R45" i="1"/>
  <c r="Z102" i="1"/>
  <c r="AD102" i="1" s="1"/>
  <c r="H30" i="17"/>
  <c r="N83" i="1"/>
  <c r="R81" i="1"/>
  <c r="J27" i="17"/>
  <c r="AD26" i="1"/>
  <c r="V116" i="1"/>
  <c r="Z24" i="17"/>
  <c r="V24" i="1"/>
  <c r="BL50" i="1"/>
  <c r="Z50" i="1"/>
  <c r="F30" i="17"/>
  <c r="J83" i="1"/>
  <c r="H27" i="17"/>
  <c r="N81" i="1"/>
  <c r="H39" i="17"/>
  <c r="N91" i="1"/>
  <c r="J59" i="17"/>
  <c r="AD23" i="1"/>
  <c r="X278" i="1"/>
  <c r="J18" i="17"/>
  <c r="R75" i="1"/>
  <c r="BL19" i="1"/>
  <c r="R41" i="1"/>
  <c r="R126" i="1"/>
  <c r="R85" i="1"/>
  <c r="J52" i="17" s="1"/>
  <c r="H21" i="17"/>
  <c r="N77" i="1"/>
  <c r="BH45" i="1"/>
  <c r="BJ45" i="1" s="1"/>
  <c r="BE45" i="1"/>
  <c r="AD53" i="1"/>
  <c r="J215" i="1"/>
  <c r="BE67" i="1"/>
  <c r="V67" i="1" s="1"/>
  <c r="BH67" i="1"/>
  <c r="BJ67" i="1" s="1"/>
  <c r="BI56" i="1"/>
  <c r="BJ56" i="1" s="1"/>
  <c r="BE56" i="1"/>
  <c r="V56" i="1" s="1"/>
  <c r="L41" i="17" s="1"/>
  <c r="BL59" i="1"/>
  <c r="Z59" i="1"/>
  <c r="Z100" i="1" s="1"/>
  <c r="F27" i="17"/>
  <c r="J81" i="1"/>
  <c r="D16" i="20"/>
  <c r="AD168" i="1"/>
  <c r="I16" i="20" s="1"/>
  <c r="AD158" i="1"/>
  <c r="I7" i="20" s="1"/>
  <c r="D7" i="20"/>
  <c r="F73" i="17"/>
  <c r="P73" i="17" s="1"/>
  <c r="F57" i="17"/>
  <c r="BE41" i="1"/>
  <c r="BH41" i="1"/>
  <c r="BJ41" i="1" s="1"/>
  <c r="V76" i="1"/>
  <c r="N28" i="17"/>
  <c r="Z82" i="1"/>
  <c r="BL29" i="1"/>
  <c r="Z29" i="1"/>
  <c r="AD29" i="1" s="1"/>
  <c r="F21" i="17"/>
  <c r="J77" i="1"/>
  <c r="H60" i="17"/>
  <c r="AD63" i="1"/>
  <c r="AD44" i="1"/>
  <c r="R78" i="1"/>
  <c r="AD167" i="1"/>
  <c r="I15" i="20" s="1"/>
  <c r="D15" i="20"/>
  <c r="Z42" i="1"/>
  <c r="AD42" i="1" s="1"/>
  <c r="BL42" i="1"/>
  <c r="Z52" i="1"/>
  <c r="BL52" i="1"/>
  <c r="AD166" i="1"/>
  <c r="I14" i="20" s="1"/>
  <c r="D14" i="20"/>
  <c r="BH66" i="1"/>
  <c r="BJ66" i="1" s="1"/>
  <c r="BE66" i="1"/>
  <c r="V66" i="1" s="1"/>
  <c r="AD43" i="1"/>
  <c r="Z90" i="1"/>
  <c r="AD90" i="1" s="1"/>
  <c r="BL70" i="1"/>
  <c r="J111" i="17"/>
  <c r="P103" i="17"/>
  <c r="Z29" i="19"/>
  <c r="J19" i="19" s="1"/>
  <c r="J50" i="17" l="1"/>
  <c r="AD113" i="1"/>
  <c r="AD59" i="1"/>
  <c r="R72" i="1"/>
  <c r="V69" i="1"/>
  <c r="BL69" i="1"/>
  <c r="F72" i="17"/>
  <c r="P72" i="17" s="1"/>
  <c r="N138" i="1"/>
  <c r="X142" i="1"/>
  <c r="Z84" i="1"/>
  <c r="R79" i="1"/>
  <c r="J49" i="17" s="1"/>
  <c r="AD30" i="17"/>
  <c r="J30" i="17"/>
  <c r="AD31" i="1"/>
  <c r="AF138" i="1"/>
  <c r="AF142" i="1" s="1"/>
  <c r="X280" i="1"/>
  <c r="X282" i="1"/>
  <c r="AD116" i="1"/>
  <c r="Z103" i="1"/>
  <c r="AD103" i="1" s="1"/>
  <c r="J31" i="17"/>
  <c r="AD33" i="1"/>
  <c r="J84" i="1"/>
  <c r="F31" i="17"/>
  <c r="F16" i="17" s="1"/>
  <c r="F46" i="17" s="1"/>
  <c r="AD24" i="17"/>
  <c r="AD114" i="1"/>
  <c r="L21" i="17"/>
  <c r="P21" i="17" s="1"/>
  <c r="V77" i="1"/>
  <c r="AD77" i="1" s="1"/>
  <c r="Z78" i="1"/>
  <c r="AD78" i="1" s="1"/>
  <c r="P22" i="17"/>
  <c r="AD125" i="1"/>
  <c r="AD22" i="1"/>
  <c r="AD122" i="1"/>
  <c r="P28" i="17"/>
  <c r="P19" i="17"/>
  <c r="Z27" i="17"/>
  <c r="V118" i="1"/>
  <c r="V27" i="1"/>
  <c r="AD82" i="1"/>
  <c r="R138" i="1"/>
  <c r="Z112" i="1"/>
  <c r="BL18" i="1"/>
  <c r="AB18" i="17"/>
  <c r="Z18" i="1"/>
  <c r="AD97" i="1"/>
  <c r="Z18" i="17"/>
  <c r="V112" i="1"/>
  <c r="V18" i="1"/>
  <c r="R92" i="1"/>
  <c r="Z118" i="1"/>
  <c r="BL27" i="1"/>
  <c r="AB27" i="17"/>
  <c r="Z27" i="1"/>
  <c r="Z49" i="1"/>
  <c r="Z93" i="1" s="1"/>
  <c r="BL49" i="1"/>
  <c r="Z47" i="1"/>
  <c r="Z92" i="1" s="1"/>
  <c r="BL47" i="1"/>
  <c r="Z129" i="1"/>
  <c r="AD55" i="1"/>
  <c r="V129" i="1"/>
  <c r="V47" i="1"/>
  <c r="V92" i="1" s="1"/>
  <c r="AD76" i="1"/>
  <c r="AD183" i="1"/>
  <c r="I29" i="20" s="1"/>
  <c r="D29" i="20"/>
  <c r="R87" i="1"/>
  <c r="J51" i="17" s="1"/>
  <c r="V124" i="1"/>
  <c r="V37" i="1"/>
  <c r="V87" i="1" s="1"/>
  <c r="J189" i="1"/>
  <c r="J217" i="1" s="1"/>
  <c r="V93" i="1"/>
  <c r="AD184" i="1"/>
  <c r="I30" i="20" s="1"/>
  <c r="L26" i="20" s="1"/>
  <c r="D30" i="20"/>
  <c r="Z37" i="1"/>
  <c r="Z87" i="1" s="1"/>
  <c r="BL37" i="1"/>
  <c r="Z124" i="1"/>
  <c r="V88" i="1"/>
  <c r="AD88" i="1" s="1"/>
  <c r="AD39" i="1"/>
  <c r="V104" i="1"/>
  <c r="L44" i="17"/>
  <c r="J61" i="17"/>
  <c r="J37" i="17"/>
  <c r="R89" i="1"/>
  <c r="J55" i="17" s="1"/>
  <c r="F121" i="17"/>
  <c r="AD100" i="1"/>
  <c r="H33" i="17"/>
  <c r="V120" i="1"/>
  <c r="V30" i="1"/>
  <c r="BL66" i="1"/>
  <c r="Z66" i="1"/>
  <c r="AD66" i="1" s="1"/>
  <c r="V98" i="1"/>
  <c r="Z94" i="1"/>
  <c r="AD50" i="1"/>
  <c r="Z107" i="1"/>
  <c r="AD107" i="1" s="1"/>
  <c r="BL56" i="1"/>
  <c r="Z56" i="1"/>
  <c r="Z98" i="1" s="1"/>
  <c r="N109" i="1"/>
  <c r="H49" i="17"/>
  <c r="D57" i="20"/>
  <c r="AF278" i="1"/>
  <c r="AF280" i="1" s="1"/>
  <c r="V79" i="1"/>
  <c r="L24" i="17"/>
  <c r="P24" i="17" s="1"/>
  <c r="AD24" i="1"/>
  <c r="V85" i="1"/>
  <c r="L52" i="17" s="1"/>
  <c r="V105" i="1"/>
  <c r="L43" i="17"/>
  <c r="H16" i="17"/>
  <c r="Z85" i="1"/>
  <c r="N52" i="17" s="1"/>
  <c r="BL45" i="1"/>
  <c r="Z45" i="1"/>
  <c r="Z128" i="1"/>
  <c r="Z41" i="1"/>
  <c r="Z89" i="1" s="1"/>
  <c r="Z126" i="1"/>
  <c r="BL41" i="1"/>
  <c r="V41" i="1"/>
  <c r="V126" i="1"/>
  <c r="H55" i="17"/>
  <c r="Z95" i="1"/>
  <c r="Z67" i="1"/>
  <c r="BL67" i="1"/>
  <c r="V45" i="1"/>
  <c r="V128" i="1"/>
  <c r="H57" i="17"/>
  <c r="J39" i="17"/>
  <c r="R91" i="1"/>
  <c r="BL30" i="1"/>
  <c r="Z120" i="1"/>
  <c r="Z30" i="1"/>
  <c r="AD52" i="1"/>
  <c r="I54" i="20"/>
  <c r="AD215" i="1"/>
  <c r="I57" i="20" s="1"/>
  <c r="L34" i="20" s="1"/>
  <c r="N25" i="17"/>
  <c r="Z80" i="1"/>
  <c r="P19" i="19"/>
  <c r="P52" i="17" l="1"/>
  <c r="Z72" i="1"/>
  <c r="V72" i="1"/>
  <c r="F75" i="17"/>
  <c r="P75" i="17" s="1"/>
  <c r="V106" i="1"/>
  <c r="AD106" i="1" s="1"/>
  <c r="AD69" i="1"/>
  <c r="AD79" i="1"/>
  <c r="J57" i="17"/>
  <c r="J64" i="17" s="1"/>
  <c r="AD84" i="1"/>
  <c r="J16" i="17"/>
  <c r="F49" i="17"/>
  <c r="F64" i="17" s="1"/>
  <c r="J109" i="1"/>
  <c r="J142" i="1" s="1"/>
  <c r="F16" i="19" s="1"/>
  <c r="P31" i="17"/>
  <c r="N37" i="17"/>
  <c r="AD118" i="1"/>
  <c r="AD85" i="1"/>
  <c r="AD27" i="17"/>
  <c r="N40" i="17"/>
  <c r="P40" i="17" s="1"/>
  <c r="J33" i="17"/>
  <c r="AD112" i="1"/>
  <c r="AD37" i="1"/>
  <c r="Z81" i="1"/>
  <c r="N27" i="17"/>
  <c r="L18" i="17"/>
  <c r="V75" i="1"/>
  <c r="L50" i="17" s="1"/>
  <c r="AD18" i="1"/>
  <c r="H64" i="17"/>
  <c r="AD87" i="1"/>
  <c r="AD27" i="1"/>
  <c r="L27" i="17"/>
  <c r="V81" i="1"/>
  <c r="Z75" i="1"/>
  <c r="N50" i="17" s="1"/>
  <c r="N18" i="17"/>
  <c r="L51" i="17"/>
  <c r="AD41" i="1"/>
  <c r="L35" i="17"/>
  <c r="AD49" i="1"/>
  <c r="AD129" i="1"/>
  <c r="AD18" i="17"/>
  <c r="Z138" i="1"/>
  <c r="R109" i="1"/>
  <c r="R142" i="1" s="1"/>
  <c r="J16" i="19" s="1"/>
  <c r="J22" i="19" s="1"/>
  <c r="AD126" i="1"/>
  <c r="N51" i="17"/>
  <c r="AD56" i="1"/>
  <c r="AD93" i="1"/>
  <c r="L58" i="17"/>
  <c r="AD47" i="1"/>
  <c r="AD128" i="1"/>
  <c r="N35" i="17"/>
  <c r="AD98" i="1"/>
  <c r="AD124" i="1"/>
  <c r="D35" i="20"/>
  <c r="AD189" i="1"/>
  <c r="I35" i="20" s="1"/>
  <c r="AD92" i="1"/>
  <c r="N58" i="17"/>
  <c r="AD95" i="1"/>
  <c r="X288" i="1"/>
  <c r="AF282" i="1"/>
  <c r="N142" i="1"/>
  <c r="H16" i="19" s="1"/>
  <c r="H22" i="19" s="1"/>
  <c r="N140" i="1"/>
  <c r="N278" i="1"/>
  <c r="Z104" i="1"/>
  <c r="N44" i="17"/>
  <c r="P44" i="17" s="1"/>
  <c r="L59" i="17"/>
  <c r="V91" i="1"/>
  <c r="L57" i="17" s="1"/>
  <c r="L39" i="17"/>
  <c r="AD45" i="1"/>
  <c r="V89" i="1"/>
  <c r="L55" i="17" s="1"/>
  <c r="L37" i="17"/>
  <c r="H46" i="17"/>
  <c r="L60" i="17"/>
  <c r="AD80" i="1"/>
  <c r="P25" i="17"/>
  <c r="Z91" i="1"/>
  <c r="N57" i="17" s="1"/>
  <c r="N39" i="17"/>
  <c r="Z105" i="1"/>
  <c r="N60" i="17" s="1"/>
  <c r="N43" i="17"/>
  <c r="P43" i="17" s="1"/>
  <c r="V138" i="1"/>
  <c r="N55" i="17"/>
  <c r="F18" i="19"/>
  <c r="P18" i="19" s="1"/>
  <c r="AD217" i="1"/>
  <c r="D59" i="20"/>
  <c r="N59" i="17"/>
  <c r="AD94" i="1"/>
  <c r="V83" i="1"/>
  <c r="L30" i="17"/>
  <c r="AD30" i="1"/>
  <c r="AD67" i="1"/>
  <c r="Z83" i="1"/>
  <c r="N30" i="17"/>
  <c r="N41" i="17"/>
  <c r="P41" i="17" s="1"/>
  <c r="AD120" i="1"/>
  <c r="P50" i="17" l="1"/>
  <c r="L61" i="17"/>
  <c r="P37" i="17"/>
  <c r="J140" i="1"/>
  <c r="J46" i="17"/>
  <c r="J113" i="17" s="1"/>
  <c r="L49" i="17"/>
  <c r="AD91" i="1"/>
  <c r="L32" i="20"/>
  <c r="N282" i="1"/>
  <c r="N280" i="1"/>
  <c r="P51" i="17"/>
  <c r="N49" i="17"/>
  <c r="P55" i="17"/>
  <c r="P58" i="17"/>
  <c r="AD81" i="1"/>
  <c r="AD89" i="1"/>
  <c r="AD75" i="1"/>
  <c r="R140" i="1"/>
  <c r="R278" i="1"/>
  <c r="P35" i="17"/>
  <c r="N16" i="17"/>
  <c r="AD105" i="1"/>
  <c r="P57" i="17"/>
  <c r="P60" i="17"/>
  <c r="N33" i="17"/>
  <c r="P18" i="17"/>
  <c r="P27" i="17"/>
  <c r="Z109" i="1"/>
  <c r="Z278" i="1" s="1"/>
  <c r="AD104" i="1"/>
  <c r="N61" i="17"/>
  <c r="F22" i="19"/>
  <c r="P39" i="17"/>
  <c r="L33" i="17"/>
  <c r="AD138" i="1"/>
  <c r="L16" i="17"/>
  <c r="P30" i="17"/>
  <c r="AF288" i="1"/>
  <c r="X290" i="1"/>
  <c r="H113" i="17"/>
  <c r="P59" i="17"/>
  <c r="AD83" i="1"/>
  <c r="V109" i="1"/>
  <c r="V278" i="1" s="1"/>
  <c r="AD72" i="1"/>
  <c r="I59" i="20"/>
  <c r="C2" i="21"/>
  <c r="L64" i="17" l="1"/>
  <c r="P61" i="17"/>
  <c r="P49" i="17"/>
  <c r="P16" i="17"/>
  <c r="Z282" i="1"/>
  <c r="Z280" i="1"/>
  <c r="V280" i="1"/>
  <c r="V282" i="1"/>
  <c r="R282" i="1"/>
  <c r="R284" i="1" s="1"/>
  <c r="R280" i="1"/>
  <c r="N46" i="17"/>
  <c r="V140" i="1"/>
  <c r="Z140" i="1"/>
  <c r="Z142" i="1"/>
  <c r="N16" i="19" s="1"/>
  <c r="N22" i="19" s="1"/>
  <c r="L46" i="17"/>
  <c r="P33" i="17"/>
  <c r="V142" i="1"/>
  <c r="L16" i="19" s="1"/>
  <c r="AD109" i="1"/>
  <c r="AD142" i="1" s="1"/>
  <c r="A2" i="21" s="1"/>
  <c r="L121" i="17"/>
  <c r="P121" i="17" s="1"/>
  <c r="AF290" i="1"/>
  <c r="N64" i="17"/>
  <c r="N284" i="1"/>
  <c r="H116" i="17"/>
  <c r="N288" i="1"/>
  <c r="AD269" i="1"/>
  <c r="F109" i="17"/>
  <c r="N113" i="17" l="1"/>
  <c r="P46" i="17"/>
  <c r="J116" i="17"/>
  <c r="R288" i="1"/>
  <c r="J115" i="17" s="1"/>
  <c r="J119" i="17" s="1"/>
  <c r="AD140" i="1"/>
  <c r="P64" i="17"/>
  <c r="L113" i="17"/>
  <c r="Z288" i="1"/>
  <c r="N116" i="17"/>
  <c r="H115" i="17"/>
  <c r="H119" i="17" s="1"/>
  <c r="N290" i="1"/>
  <c r="L22" i="19"/>
  <c r="P16" i="19"/>
  <c r="P22" i="19" s="1"/>
  <c r="G2" i="21"/>
  <c r="S121" i="17"/>
  <c r="V288" i="1"/>
  <c r="L116" i="17"/>
  <c r="Z284" i="1"/>
  <c r="V284" i="1"/>
  <c r="P109" i="17"/>
  <c r="F111" i="17"/>
  <c r="AD276" i="1"/>
  <c r="E2" i="21" s="1"/>
  <c r="J278" i="1"/>
  <c r="J282" i="1" s="1"/>
  <c r="R290" i="1" l="1"/>
  <c r="L115" i="17"/>
  <c r="L119" i="17" s="1"/>
  <c r="V290" i="1"/>
  <c r="N115" i="17"/>
  <c r="N119" i="17" s="1"/>
  <c r="Z290" i="1"/>
  <c r="J280" i="1"/>
  <c r="AD278" i="1"/>
  <c r="AD280" i="1" s="1"/>
  <c r="F113" i="17"/>
  <c r="P113" i="17" s="1"/>
  <c r="P111" i="17"/>
  <c r="J284" i="1" l="1"/>
  <c r="F116" i="17"/>
  <c r="P116" i="17" s="1"/>
  <c r="J288" i="1"/>
  <c r="AD282" i="1"/>
  <c r="J294" i="1" s="1"/>
  <c r="AK73" i="1"/>
  <c r="S113" i="17"/>
  <c r="AD284" i="1" l="1"/>
  <c r="F115" i="17"/>
  <c r="AD288" i="1"/>
  <c r="J290" i="1"/>
  <c r="AD290" i="1" s="1"/>
  <c r="S119" i="17" l="1"/>
  <c r="AK72" i="1"/>
  <c r="F2" i="21"/>
  <c r="J295" i="1"/>
  <c r="J296" i="1" s="1"/>
  <c r="S115" i="17"/>
  <c r="P115" i="17"/>
  <c r="F119" i="17"/>
  <c r="P11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Quirk, Dari</author>
    <author>Maumenee, Zia</author>
  </authors>
  <commentList>
    <comment ref="AN18" authorId="0" shapeId="0" xr:uid="{ACB36B7B-154B-48FE-AE33-9F2864D7B485}">
      <text>
        <r>
          <rPr>
            <b/>
            <sz val="9"/>
            <color indexed="81"/>
            <rFont val="Tahoma"/>
            <family val="2"/>
          </rPr>
          <t>From OSP:</t>
        </r>
        <r>
          <rPr>
            <sz val="9"/>
            <color indexed="81"/>
            <rFont val="Tahoma"/>
            <family val="2"/>
          </rPr>
          <t xml:space="preserve">
These are the only two cells to enter numbers into to calulate AY salary.</t>
        </r>
      </text>
    </comment>
    <comment ref="AM19" authorId="0" shapeId="0" xr:uid="{D1AEBFF6-4966-47F7-B535-8178B2FEECAB}">
      <text>
        <r>
          <rPr>
            <b/>
            <sz val="9"/>
            <color indexed="81"/>
            <rFont val="Tahoma"/>
            <family val="2"/>
          </rPr>
          <t>From OSP:</t>
        </r>
        <r>
          <rPr>
            <sz val="9"/>
            <color indexed="81"/>
            <rFont val="Tahoma"/>
            <family val="2"/>
          </rPr>
          <t xml:space="preserve">
Enter the number of summer days here</t>
        </r>
      </text>
    </comment>
    <comment ref="D186" authorId="0" shapeId="0" xr:uid="{00D63BC6-C99A-4805-A050-6F6D5430CD26}">
      <text>
        <r>
          <rPr>
            <b/>
            <sz val="9"/>
            <color indexed="81"/>
            <rFont val="Tahoma"/>
            <family val="2"/>
          </rPr>
          <t>From OSP:</t>
        </r>
        <r>
          <rPr>
            <sz val="9"/>
            <color indexed="81"/>
            <rFont val="Tahoma"/>
            <family val="2"/>
          </rPr>
          <t xml:space="preserve">
This line item is used to budget mileage for personal vechicle use.
If renting a car or using a state-owned vechicle - budget these costs under ground transportation under the specific travel event.</t>
        </r>
      </text>
    </comment>
    <comment ref="E187" authorId="0" shapeId="0" xr:uid="{ED409432-41B9-401F-8EBE-DEEF21C27184}">
      <text>
        <r>
          <rPr>
            <b/>
            <sz val="9"/>
            <color indexed="81"/>
            <rFont val="Tahoma"/>
            <family val="2"/>
          </rPr>
          <t>From OSP:</t>
        </r>
        <r>
          <rPr>
            <sz val="9"/>
            <color indexed="81"/>
            <rFont val="Tahoma"/>
            <family val="2"/>
          </rPr>
          <t xml:space="preserve">
As of July 1, 2026, the mileage rate for use of a personal vehicle when a state vechicle is available is 48.15% of the standard IRS rate and equates to 36.59 per mile.
As of July 1, 2026, if a state vehicle is not available and a personal vechile is used, the mileage rate is the standard IRS rate of 76 cents per mile.</t>
        </r>
      </text>
    </comment>
    <comment ref="D197" authorId="0" shapeId="0" xr:uid="{4C13C15D-6CC8-4633-96BF-57B6DA255361}">
      <text>
        <r>
          <rPr>
            <b/>
            <sz val="9"/>
            <color indexed="81"/>
            <rFont val="Tahoma"/>
            <family val="2"/>
          </rPr>
          <t>From OSP:</t>
        </r>
        <r>
          <rPr>
            <sz val="9"/>
            <color indexed="81"/>
            <rFont val="Tahoma"/>
            <family val="2"/>
          </rPr>
          <t xml:space="preserve">
This should be budgeted at $17/wk/per person</t>
        </r>
      </text>
    </comment>
    <comment ref="D282" authorId="1" shapeId="0" xr:uid="{E0114AAB-0C8C-444B-8AEC-BB7989F6C75A}">
      <text>
        <r>
          <rPr>
            <b/>
            <sz val="9"/>
            <color indexed="81"/>
            <rFont val="Tahoma"/>
            <family val="2"/>
          </rPr>
          <t>From OSP:</t>
        </r>
        <r>
          <rPr>
            <sz val="9"/>
            <color indexed="81"/>
            <rFont val="Tahoma"/>
            <family val="2"/>
          </rPr>
          <t xml:space="preserve">
Modified Total Direct Cost is for federal rates utilizing the NICRA. For State rates (non-federal pass through dollars), use Total Direct Cost. </t>
        </r>
      </text>
    </comment>
  </commentList>
</comments>
</file>

<file path=xl/sharedStrings.xml><?xml version="1.0" encoding="utf-8"?>
<sst xmlns="http://schemas.openxmlformats.org/spreadsheetml/2006/main" count="785" uniqueCount="394">
  <si>
    <t>Year 1</t>
  </si>
  <si>
    <t>Year 2</t>
  </si>
  <si>
    <t>A.</t>
  </si>
  <si>
    <t>Salaries and Wages</t>
  </si>
  <si>
    <t>Total Salaries and Wages</t>
  </si>
  <si>
    <t>B.</t>
  </si>
  <si>
    <t>Fringe Benefits</t>
  </si>
  <si>
    <t>Total Fringe Benefits</t>
  </si>
  <si>
    <t>D.</t>
  </si>
  <si>
    <t>E.</t>
  </si>
  <si>
    <t>Travel</t>
  </si>
  <si>
    <t>F.</t>
  </si>
  <si>
    <t>Other Direct Costs</t>
  </si>
  <si>
    <t>Total Other Direct Costs</t>
  </si>
  <si>
    <t>G.</t>
  </si>
  <si>
    <t>Total Direct Costs</t>
  </si>
  <si>
    <t>H.</t>
  </si>
  <si>
    <t>Total Costs</t>
  </si>
  <si>
    <t>Duration:</t>
  </si>
  <si>
    <t>C.</t>
  </si>
  <si>
    <t xml:space="preserve">Title: </t>
  </si>
  <si>
    <t>Total Travel</t>
  </si>
  <si>
    <t>Year 3</t>
  </si>
  <si>
    <t>Total</t>
  </si>
  <si>
    <t>Labor</t>
  </si>
  <si>
    <t>Other Costs</t>
  </si>
  <si>
    <t>Publication Costs</t>
  </si>
  <si>
    <t>Budget Category</t>
  </si>
  <si>
    <t>International</t>
  </si>
  <si>
    <t>Participant Support</t>
  </si>
  <si>
    <t>Year 4</t>
  </si>
  <si>
    <t>Rate</t>
  </si>
  <si>
    <t>Stipend</t>
  </si>
  <si>
    <t>Subsistence</t>
  </si>
  <si>
    <t>Other</t>
  </si>
  <si>
    <t>Item 1</t>
  </si>
  <si>
    <t>Item 2</t>
  </si>
  <si>
    <t>Item 3</t>
  </si>
  <si>
    <t>I.</t>
  </si>
  <si>
    <t>MTDC Base</t>
  </si>
  <si>
    <t>Subcontracts</t>
  </si>
  <si>
    <t>Year 5</t>
  </si>
  <si>
    <t>Total Participant Support</t>
  </si>
  <si>
    <t>Materials and Supplies</t>
  </si>
  <si>
    <t>Subtotal Domestic Travel</t>
  </si>
  <si>
    <t>Subtotal International Travel</t>
  </si>
  <si>
    <t>Item 4</t>
  </si>
  <si>
    <t>Principal Investigator:</t>
  </si>
  <si>
    <t xml:space="preserve">Co-Principal Investigator(s):  </t>
  </si>
  <si>
    <t>Graduate Research Assistant</t>
  </si>
  <si>
    <t>Undergraduate Research Assistant</t>
  </si>
  <si>
    <t>Inflation Rates</t>
  </si>
  <si>
    <t>Tuition</t>
  </si>
  <si>
    <t>Cost Share</t>
  </si>
  <si>
    <t xml:space="preserve">Cost Share </t>
  </si>
  <si>
    <t>Salaries</t>
  </si>
  <si>
    <t>GRA Tuition Rate</t>
  </si>
  <si>
    <t>Base Salary</t>
  </si>
  <si>
    <t>AY/CY/Sum.</t>
  </si>
  <si>
    <t>%</t>
  </si>
  <si>
    <t># Mos.</t>
  </si>
  <si>
    <t>P-Mos.</t>
  </si>
  <si>
    <t>Appt. Mos.</t>
  </si>
  <si>
    <t>Capital Equipment</t>
  </si>
  <si>
    <t>Total Estimate</t>
  </si>
  <si>
    <t>No. Days</t>
  </si>
  <si>
    <t>No. Trips</t>
  </si>
  <si>
    <t>Cost</t>
  </si>
  <si>
    <t>Description</t>
  </si>
  <si>
    <t>Airfare</t>
  </si>
  <si>
    <t>No. Participants</t>
  </si>
  <si>
    <t>Total from OCG Budget:</t>
  </si>
  <si>
    <t>Yr 1</t>
  </si>
  <si>
    <t>Yr 2</t>
  </si>
  <si>
    <t>Yr 3</t>
  </si>
  <si>
    <t>Yr 4</t>
  </si>
  <si>
    <t>Yr 5</t>
  </si>
  <si>
    <t>Person Mos.</t>
  </si>
  <si>
    <t>No. People</t>
  </si>
  <si>
    <t>Ground Transportation</t>
  </si>
  <si>
    <t>CY</t>
  </si>
  <si>
    <t>AY</t>
  </si>
  <si>
    <t>Summer</t>
  </si>
  <si>
    <t>MTDC</t>
  </si>
  <si>
    <t>TDC</t>
  </si>
  <si>
    <t xml:space="preserve">Co-PI: </t>
  </si>
  <si>
    <t>Research Associate:</t>
  </si>
  <si>
    <t>Senior Personnel:</t>
  </si>
  <si>
    <t>Administrative Assistant:</t>
  </si>
  <si>
    <t>No. Budget Periods:</t>
  </si>
  <si>
    <t>Computers</t>
  </si>
  <si>
    <t>No. Miles</t>
  </si>
  <si>
    <t>Monitors, cords, speakers, etc.</t>
  </si>
  <si>
    <t>Total Capital Equipment</t>
  </si>
  <si>
    <t>OEP P/T (14.8% FB Rate)</t>
  </si>
  <si>
    <t>Facilities and Administration (F&amp;A) Costs</t>
  </si>
  <si>
    <t>F&amp;A Base:</t>
  </si>
  <si>
    <t>A. Salaries and Wages</t>
  </si>
  <si>
    <t>C. Capital Equipment</t>
  </si>
  <si>
    <t xml:space="preserve">D. Travel  </t>
  </si>
  <si>
    <t>Senior/Key Personnel</t>
  </si>
  <si>
    <t>Other Personnel</t>
  </si>
  <si>
    <t>E. Participant Support</t>
  </si>
  <si>
    <t>F. Other Direct Costs</t>
  </si>
  <si>
    <t>Estimation Tab Total</t>
  </si>
  <si>
    <t>G. Total Direct Costs</t>
  </si>
  <si>
    <t>H. Total F&amp;A (Indirect) Costs</t>
  </si>
  <si>
    <t>I. Total Funds Requested</t>
  </si>
  <si>
    <r>
      <t xml:space="preserve">              </t>
    </r>
    <r>
      <rPr>
        <b/>
        <sz val="12"/>
        <rFont val="Arial Black"/>
        <family val="2"/>
      </rPr>
      <t xml:space="preserve"> PROPOSED BUDGET</t>
    </r>
  </si>
  <si>
    <t>Date Prepared:</t>
  </si>
  <si>
    <t>Person-Months Table</t>
  </si>
  <si>
    <t>Category</t>
  </si>
  <si>
    <t>F&amp;A Rate:</t>
  </si>
  <si>
    <t>Yes</t>
  </si>
  <si>
    <t>No</t>
  </si>
  <si>
    <t>Total Other Costs*:</t>
  </si>
  <si>
    <t>MTDC Base Other Direct Costs**:</t>
  </si>
  <si>
    <t>Other F&amp;A Base for Other Direct Costs:</t>
  </si>
  <si>
    <t xml:space="preserve">   *All other costs, excluding labor, capital equipment, travel and subcontracts</t>
  </si>
  <si>
    <t xml:space="preserve">   **Total Other Costs less tuition and participant support</t>
  </si>
  <si>
    <t>Note: Update Subcontracts formula as applicable for each year if subaward costs are less than $25,000 in Year 1</t>
  </si>
  <si>
    <t>J.</t>
  </si>
  <si>
    <t>Professional Research Assistant</t>
  </si>
  <si>
    <t>IDC Exclusions</t>
  </si>
  <si>
    <t>Budget Total:</t>
  </si>
  <si>
    <t>Lab Supplies</t>
  </si>
  <si>
    <t>Off-site Facility Rental (F&amp;A Exempt)</t>
  </si>
  <si>
    <t>Tuition Remission (F&amp;A Exempt)</t>
  </si>
  <si>
    <t>Pre/Post Doctoral Stipend</t>
  </si>
  <si>
    <t>Cost/ Person</t>
  </si>
  <si>
    <t># Days</t>
  </si>
  <si>
    <t>Copy and paste into your budget justification Travel section.</t>
  </si>
  <si>
    <t># Miles</t>
  </si>
  <si>
    <t>The travel table is provided for easy transfer of travel details to a budget justification. Travel cost details are required by NSF and may be required by other sponsors.</t>
  </si>
  <si>
    <t>Formatting should be appropriate for an NSF budget justification.</t>
  </si>
  <si>
    <t xml:space="preserve">Sponsor:  </t>
  </si>
  <si>
    <t xml:space="preserve">               INTERNAL BUDGET</t>
  </si>
  <si>
    <t>Subaward 1 [enter recipient]</t>
  </si>
  <si>
    <t>Subaward 2 [enter recipient]</t>
  </si>
  <si>
    <t>Subaward 3 [enter recipient]</t>
  </si>
  <si>
    <t>UM Proposal Number:</t>
  </si>
  <si>
    <t xml:space="preserve">OSP Preaward Specialist: </t>
  </si>
  <si>
    <t>Source</t>
  </si>
  <si>
    <t>Total Health Insurance</t>
  </si>
  <si>
    <t>Health Insurance</t>
  </si>
  <si>
    <t>Total Salaries/Wages, Fringe Benefits, Health Insurance</t>
  </si>
  <si>
    <t>Project Period:</t>
  </si>
  <si>
    <t>Travel Table Instructions</t>
  </si>
  <si>
    <t>Travel costs will autopopulate in the table.</t>
  </si>
  <si>
    <t>To transfer details to a budget justification,hide any unused rows and/or columns.</t>
  </si>
  <si>
    <r>
      <rPr>
        <b/>
        <sz val="12"/>
        <color theme="5" tint="-0.499984740745262"/>
        <rFont val="Times New Roman"/>
        <family val="1"/>
      </rPr>
      <t>**FAQ:</t>
    </r>
    <r>
      <rPr>
        <sz val="12"/>
        <color theme="5" tint="-0.499984740745262"/>
        <rFont val="Times New Roman"/>
        <family val="1"/>
      </rPr>
      <t xml:space="preserve"> How do I "hide" rows or columns?</t>
    </r>
    <r>
      <rPr>
        <b/>
        <sz val="12"/>
        <color theme="5" tint="-0.499984740745262"/>
        <rFont val="Times New Roman"/>
        <family val="1"/>
      </rPr>
      <t xml:space="preserve">A: </t>
    </r>
    <r>
      <rPr>
        <sz val="12"/>
        <color theme="5" tint="-0.499984740745262"/>
        <rFont val="Times New Roman"/>
        <family val="1"/>
      </rPr>
      <t xml:space="preserve">Click on the number of the row/column you would like to start at, hold </t>
    </r>
    <r>
      <rPr>
        <b/>
        <sz val="12"/>
        <color theme="5" tint="-0.499984740745262"/>
        <rFont val="Times New Roman"/>
        <family val="1"/>
      </rPr>
      <t>shift</t>
    </r>
    <r>
      <rPr>
        <sz val="12"/>
        <color theme="5" tint="-0.499984740745262"/>
        <rFont val="Times New Roman"/>
        <family val="1"/>
      </rPr>
      <t xml:space="preserve">, then click the row/column number you will end with. Once your chosen rows or columns are highlighted, </t>
    </r>
    <r>
      <rPr>
        <b/>
        <sz val="12"/>
        <color theme="5" tint="-0.499984740745262"/>
        <rFont val="Times New Roman"/>
        <family val="1"/>
      </rPr>
      <t>right click</t>
    </r>
    <r>
      <rPr>
        <sz val="12"/>
        <color theme="5" tint="-0.499984740745262"/>
        <rFont val="Times New Roman"/>
        <family val="1"/>
      </rPr>
      <t xml:space="preserve"> and choose </t>
    </r>
    <r>
      <rPr>
        <b/>
        <sz val="12"/>
        <color theme="5" tint="-0.499984740745262"/>
        <rFont val="Times New Roman"/>
        <family val="1"/>
      </rPr>
      <t>"Hide."</t>
    </r>
  </si>
  <si>
    <t xml:space="preserve">UM Proposal No. </t>
  </si>
  <si>
    <t>B. Fringe Benefits and Health Insurance</t>
  </si>
  <si>
    <t>Faculty, Academic Year</t>
  </si>
  <si>
    <t>Faculty, Fiscal Year</t>
  </si>
  <si>
    <t>Research Associate LOA</t>
  </si>
  <si>
    <t>Post Doc Assoc LOA</t>
  </si>
  <si>
    <t>Senior Personnel LOA</t>
  </si>
  <si>
    <t>Sum. days</t>
  </si>
  <si>
    <t>Lodging (DoS rate)</t>
  </si>
  <si>
    <t>Conference Registration</t>
  </si>
  <si>
    <t>Sum. Days</t>
  </si>
  <si>
    <t>Postage and Mailing</t>
  </si>
  <si>
    <t>Animal Per Diem</t>
  </si>
  <si>
    <t>Hourly Student Summer</t>
  </si>
  <si>
    <t>Hourly Student AY</t>
  </si>
  <si>
    <t>Research Associate AY</t>
  </si>
  <si>
    <t>Hourly Temp Employee</t>
  </si>
  <si>
    <t>No. Vehicles</t>
  </si>
  <si>
    <t>Small Equipment (&lt;$5k)</t>
  </si>
  <si>
    <t>Field Research Equipment (&lt;$5k)</t>
  </si>
  <si>
    <t>Conference Costs (Um conf., non-regist.)</t>
  </si>
  <si>
    <t>Hourly rate</t>
  </si>
  <si>
    <t>Hours</t>
  </si>
  <si>
    <t>GRA AY</t>
  </si>
  <si>
    <t>GRA Summer</t>
  </si>
  <si>
    <t>UM Proposal Number</t>
  </si>
  <si>
    <t>Per Diem (DoS/UM rate)</t>
  </si>
  <si>
    <t>Incidentals</t>
  </si>
  <si>
    <t>63199 - Capital Equipment</t>
  </si>
  <si>
    <t>62299 - Supplies</t>
  </si>
  <si>
    <t>62214 - Printing</t>
  </si>
  <si>
    <t>62293 - Publication</t>
  </si>
  <si>
    <t>62399 - Communications</t>
  </si>
  <si>
    <t>62599 - Rent</t>
  </si>
  <si>
    <t>62699 - Utilities</t>
  </si>
  <si>
    <t>62799 - Repairs &amp; Maintenance</t>
  </si>
  <si>
    <t>62809 - Education Training Costs</t>
  </si>
  <si>
    <t>62812 - Allowances/Stipends</t>
  </si>
  <si>
    <t>62817 - Meeting Costs</t>
  </si>
  <si>
    <t>62868A - Human Subjects Payments</t>
  </si>
  <si>
    <t>62828 - Scholarship/fellowships</t>
  </si>
  <si>
    <t>62147 - Subawards</t>
  </si>
  <si>
    <t>Communications</t>
  </si>
  <si>
    <t>TDC Total:</t>
  </si>
  <si>
    <t xml:space="preserve"> </t>
  </si>
  <si>
    <t>AY days</t>
  </si>
  <si>
    <t>Summer Days</t>
  </si>
  <si>
    <t>AY Fac Appt Mos</t>
  </si>
  <si>
    <t>FY Emp Appt Mos</t>
  </si>
  <si>
    <t>research_team</t>
  </si>
  <si>
    <t>equipment</t>
  </si>
  <si>
    <t>travel</t>
  </si>
  <si>
    <t>participant_support</t>
  </si>
  <si>
    <t>other_direct</t>
  </si>
  <si>
    <t>F&amp;A</t>
  </si>
  <si>
    <t>internal_share</t>
  </si>
  <si>
    <t>external_share</t>
  </si>
  <si>
    <t>Days in Month</t>
  </si>
  <si>
    <t>Shipping Costs</t>
  </si>
  <si>
    <t>Salary Basis</t>
  </si>
  <si>
    <t>62499 - Domestic Travel</t>
  </si>
  <si>
    <t>62426 - International Travel</t>
  </si>
  <si>
    <t>62812 - Participant Stipend</t>
  </si>
  <si>
    <t>62868 - Participant Support Cost Form</t>
  </si>
  <si>
    <t>TBD - Other</t>
  </si>
  <si>
    <t>62499 - Part. Travel and Subsistence</t>
  </si>
  <si>
    <t>62208A - Animal Per Diem</t>
  </si>
  <si>
    <t>62426 - Pert. Foreign Travel and Subsistence</t>
  </si>
  <si>
    <t>62822 - Shipping Costs</t>
  </si>
  <si>
    <t>62801 - Dues</t>
  </si>
  <si>
    <t>62802 - Subscriptions</t>
  </si>
  <si>
    <t>62810 - Relocation</t>
  </si>
  <si>
    <t>62814 - Credit Reporting Fees (Cont. Educ)</t>
  </si>
  <si>
    <t>62815 - Recruiting</t>
  </si>
  <si>
    <t>62823 - Licenses</t>
  </si>
  <si>
    <t>62852 - Bank Svc Chg (wire fees only)</t>
  </si>
  <si>
    <t>Total Fringe Benefits, Health Insurance</t>
  </si>
  <si>
    <t>Subaward 4 [enter recipient]</t>
  </si>
  <si>
    <t>Subaward 5 [enter recipient]</t>
  </si>
  <si>
    <t>Subaward 6 [enter recipient]</t>
  </si>
  <si>
    <t>personmonths=output from personmonths table—column AP year 1</t>
  </si>
  <si>
    <t>*Manual H.I.</t>
  </si>
  <si>
    <t>Classified Staff</t>
  </si>
  <si>
    <t>*FTE&lt;1=(HIpermonthcost)*(personmonths)/(FTE)*(escalation)</t>
  </si>
  <si>
    <t>Subtotal Subawards</t>
  </si>
  <si>
    <t>Lodging (GSA) + 10% tax</t>
  </si>
  <si>
    <t>Extra Comp or MT Teachers</t>
  </si>
  <si>
    <t>Extra comp or MT Teachers</t>
  </si>
  <si>
    <t>3.5% COLA for salaries will automatically be calculated on all years if you select "yes" in AK13. It will be calculated in out years 2-5 if you say "no" to AK13. Ask your PDA for budget justification language for the COLA.</t>
  </si>
  <si>
    <t>.5 = FTE &lt; 1 ?</t>
  </si>
  <si>
    <t>Enter FTE</t>
  </si>
  <si>
    <t>Total Direct Costs less Sub F&amp;A (for NIH modular budgets)</t>
  </si>
  <si>
    <t>This row assists with determining the number of modules for NIH modular budgets.</t>
  </si>
  <si>
    <t>To confirm F&amp;A rate: review RFP, master agreement, sponsor guidelines, and OSP website.</t>
  </si>
  <si>
    <t>Y/N Dropdown</t>
  </si>
  <si>
    <t>F&amp;A Waiver Calculation</t>
  </si>
  <si>
    <t>Dollar amount for waiver</t>
  </si>
  <si>
    <t>GRA Mandatory Health Insurance (F&amp;A exempt)</t>
  </si>
  <si>
    <t>Full F&amp;A rate without waiver</t>
  </si>
  <si>
    <t>F&amp;A rate to be used with approved F&amp;A waiver</t>
  </si>
  <si>
    <t>Total Subaward F&amp;A</t>
  </si>
  <si>
    <t>Total in this row cannot exceed $25,000 over the entire project period</t>
  </si>
  <si>
    <t>First $25,000</t>
  </si>
  <si>
    <t>Over $25,000</t>
  </si>
  <si>
    <t>62199 - Contract/Consulting Services</t>
  </si>
  <si>
    <t>62828 - Scholarship/Fellowships</t>
  </si>
  <si>
    <t>F&amp;A calculation - still include F&amp;A above</t>
  </si>
  <si>
    <t>Subrecipients (If more than 6, contact OSP for assistance.)</t>
  </si>
  <si>
    <t>Registration fees</t>
  </si>
  <si>
    <t>Use the TA/RA rates for Tuition Remission costs</t>
  </si>
  <si>
    <t xml:space="preserve">https://www.umt.edu/business-services/students/tuition-and-fees/default.php </t>
  </si>
  <si>
    <t>DMS Plan (optional for NIH only)</t>
  </si>
  <si>
    <t>Budgeted at $2,653 per semester</t>
  </si>
  <si>
    <t>BCBS Global Solutions</t>
  </si>
  <si>
    <t>Link to MT mileage rates</t>
  </si>
  <si>
    <t>H.I.: Project start on/after 7/1/27?</t>
  </si>
  <si>
    <t>F.B.: Project start on/after 7/1/27?</t>
  </si>
  <si>
    <t>Sal.: Project start on/after 7/1/27?</t>
  </si>
  <si>
    <t>GRA GAP Payments</t>
  </si>
  <si>
    <t>Summary Budget Information</t>
  </si>
  <si>
    <t>Item 1: Administrative Details</t>
  </si>
  <si>
    <t>Item 2: PI and Co-PI(s)</t>
  </si>
  <si>
    <t>Item 3: Title</t>
  </si>
  <si>
    <t>The entire proposal title should be entered here as a point of reference for the budget.</t>
  </si>
  <si>
    <t>Item 4: Project Period</t>
  </si>
  <si>
    <t>The timeframe during which the PI proposes the subject project will be active. These dates will inform entries in Item 6.</t>
  </si>
  <si>
    <t>Item 5: Escalation Rates</t>
  </si>
  <si>
    <t>Item 6: Budget Periods and Inflation in Year 1</t>
  </si>
  <si>
    <t>Budget Periods:</t>
  </si>
  <si>
    <t>Inflation in Year 1:</t>
  </si>
  <si>
    <t>Salary Time Basis</t>
  </si>
  <si>
    <t>This table makes explicit the calculation of person months for every person on the budget. Generally speaking, entries should only be made in gray cells based on the following definitions.</t>
  </si>
  <si>
    <t>Item 1: FTE Verification</t>
  </si>
  <si>
    <t>Item 2: Base Salary</t>
  </si>
  <si>
    <t>Item 3: Appointment Months</t>
  </si>
  <si>
    <t>Item 4: Time Category</t>
  </si>
  <si>
    <t>Each salary row must correspond to either AY, Summer, or CY time. AY salaried employees will work on AY and Summer time. CY salaried employees will always work on CY time. Temp/hourly employees will either be CY or simply an hourly calculation which excludes a time category.</t>
  </si>
  <si>
    <t>Item 5: Summer Days</t>
  </si>
  <si>
    <t>For AY salaried employees, any summer time budgeted must be provided on the basis of number of days. If a percent time, months calculation is preferred, this can be easily converted on the basis of 21.667 days/month. All AY salaried employees should work 70 or less summer days in a single year.</t>
  </si>
  <si>
    <t>Item 6: Percent Time</t>
  </si>
  <si>
    <t>Item 7: Number of Months</t>
  </si>
  <si>
    <t>AY and CY time should be expressed on the basis of percent time (Item 6) during a number of months. AY salaried are limited to 8.7692 months in a single academic year. CY employees have a 12-month maximum. Months and percent time entries are not needed on Summer salary rows.</t>
  </si>
  <si>
    <t>Item 8: Person-months</t>
  </si>
  <si>
    <t>This is an output based on earlier entries and drives the salary calculations in subsequent columns.</t>
  </si>
  <si>
    <t>Employee Category</t>
  </si>
  <si>
    <t>Salary Outputs</t>
  </si>
  <si>
    <t>Cost Share Columns</t>
  </si>
  <si>
    <t>IDC Calculation</t>
  </si>
  <si>
    <t>For convenience, additional outputs are provided based on entries in the estimation sheet.</t>
  </si>
  <si>
    <t>The BudgetForm provides a consolidated view of the project budget and is driven by categories selected per row in column A of the estimation sheet.</t>
  </si>
  <si>
    <t>The Travel Table is intended for use on budget justifications where the sponsor requires detailed cost estimates on travel (e.g. NSF).</t>
  </si>
  <si>
    <t>The Industry sheet provides and even more simplified view of estimated costs for industry sponsors who do not require, or desire, greater detail.</t>
  </si>
  <si>
    <t>The Cayuse Output sheet drives autofill of the budget visualization in Cayuse.</t>
  </si>
  <si>
    <t xml:space="preserve">All capital equipment entries will be manual and should reflect any internal calculation/multiplication required to arrive at a sum/product. Descriptors for equipment items must be provided by item in column C (please overwrite “Item 1”, etc.). </t>
  </si>
  <si>
    <t>Health insurance will escalate based on standard rates provided in the escalation rates table as well as the Year 1 escalations inputs.</t>
  </si>
  <si>
    <t>Fringe benefits will escalate based on standard rates provided in the escalation rates table as well as the Year 1 escalations inputs.</t>
  </si>
  <si>
    <t>A cost share source must be identified on the sheet in the given column for each row bearing cost share.</t>
  </si>
  <si>
    <t xml:space="preserve">PI name, Co-PI name, and time expressions will all pre-populate based on earlier entries. These may be overwritten whenever desired, but retaining the default is encouraged whenever possible. </t>
  </si>
  <si>
    <t>Salary outputs and totals will populate based on person-months table and budget periods entries.</t>
  </si>
  <si>
    <t>Please ensure the appropriate category is selected on each salary row.</t>
  </si>
  <si>
    <t xml:space="preserve">If a person is employed on the basis of less than one FTE, and employment on a resulting project will not result in full-time employment, this field should be selected yes on the person’s salary row(s). </t>
  </si>
  <si>
    <t>All “yes” entries will cancel automated health insurance calculations, requiring health insurance to be calculated manually on the basis on the person’s anticipated FTE. “Yes” entries will also flag the salary line for other checks such as proper base salary calculation.</t>
  </si>
  <si>
    <t>Deviations from a person’s current base salary may only be made in light of a pending, documented change. For any persons who are not named or who are not yet UM employees, an anticipated salary may be entered.</t>
  </si>
  <si>
    <t xml:space="preserve">The appropriate appointment months must be provided for each person based on their employee type. All AY salaried employees must have a 8.7692-month basis. All CY salaried employees must have a 12-month basis. </t>
  </si>
  <si>
    <t>All temp/hourly employees can be calculated either by the hour or on a 12-month basis.</t>
  </si>
  <si>
    <t xml:space="preserve">AY and CY time should be expressed on the basis of percent time during a number of months (Item 7). The percent time may be entered here, and should never exceed 100% for full-time employees, 47.5% time for GRAs, or desired maximum for temp employees. </t>
  </si>
  <si>
    <t>Months and percent time entries are not needed on Summer salary rows.</t>
  </si>
  <si>
    <t xml:space="preserve">Each person should have a current or anticipated category for employment at UM. All entries are available in each cell. </t>
  </si>
  <si>
    <t xml:space="preserve">This selection informs many downline entries including: appointment months, time category, fringe benefits rates, and health insurance calculations. </t>
  </si>
  <si>
    <t>If a given trip occurs in multiple years, the calculation will need to be carried and escalated based on the Other Costs escalation rate manually.</t>
  </si>
  <si>
    <t xml:space="preserve">Please overwrite “Description” for each trip with summary details of the trip(s) (e.g. XYG Conference, New Orleans). Providing specific locations will allow utilization of per diems for specific locations. </t>
  </si>
  <si>
    <t xml:space="preserve">When locations are not provided, the “at large” lodging rates must be used. Entries in pink cells will drive calculations in Year 1 only. </t>
  </si>
  <si>
    <t>The Other Costs escalation rate should be applied manually to all travel, subsistence and other costs in out years.</t>
  </si>
  <si>
    <t>Most proposals will budget indirect costs (IDC) on the basis of modified total direct costs (MTDC) and will utilize an indirect cost rate from UM's NICRA.</t>
  </si>
  <si>
    <t>Some proposals will budget IDC on the basis of total direct costs (TDC), such as State of Montana funding (not federal pass-through) and other documented sponsor policies.  Please work with your Pre Award team member when adjusting IDC for a TDC base.</t>
  </si>
  <si>
    <t xml:space="preserve">The Cost Estimation Tool is maintained by the Office of Sponsored Programs as a means of expediting budget creation and review while also promoting consistent budgeting practice across the University of Montana.  </t>
  </si>
  <si>
    <t xml:space="preserve">All other direct costs items must be manually entered into each year. Applying the other costs escalation rate is recommend on all items except: human subjects payments, contract services, and subawards. </t>
  </si>
  <si>
    <t>Subaward costs must be entered into the 3 separate lines provided for each subrecipent.  Your Pre-Award team member can assist with completing this section, if needed.</t>
  </si>
  <si>
    <t xml:space="preserve">Health insurance calculations will auto-fill based on earlier entries including employee category and person months table. </t>
  </si>
  <si>
    <t>Student employees do not received health insurance as a benefit of employment.</t>
  </si>
  <si>
    <t>Quotes for capital equipment should be provided to OSP.</t>
  </si>
  <si>
    <t>When the sponsor requires detailed estimates on travel, the itemized travel budget tables must be completed.</t>
  </si>
  <si>
    <t xml:space="preserve">Estimated costs for participant support should always be segregated into stipend, travel, subsistence, and other and provided in the pink cells. </t>
  </si>
  <si>
    <t xml:space="preserve">Similar to Travel, entries will only drive calculations in Year 1. Manually entry is required to carry costs to out years. </t>
  </si>
  <si>
    <t>If a given trip occurs in an out year, costs should be budgeted in Y1 dollars and escalated based on the Other Costs escalation rate maually.</t>
  </si>
  <si>
    <t>BudgetForm, Ouput-Travel Table, Industry, Cayuse</t>
  </si>
  <si>
    <t>FY 2026/27</t>
  </si>
  <si>
    <t xml:space="preserve">Hidden between the years columns are the cost share columns. These may be un-hidden as needed. There are no pre-populated formulas—all entries will be manual in these columns, except for cost share totals. </t>
  </si>
  <si>
    <t>Facilities &amp; Administration (F&amp;A) Costs (also referred to as Indirect Costs)</t>
  </si>
  <si>
    <t>All budgets materials must be reviewed by OSP before submission to the sponsor at any stage of the proposal process.</t>
  </si>
  <si>
    <t xml:space="preserve">These business processes are used for proposal budgeting and review. </t>
  </si>
  <si>
    <t xml:space="preserve">Fringe benefits calculations will auto-fill based on earlier entries including, employee category and person-months table. Rates will be updated in the template approximately each fiscal year. </t>
  </si>
  <si>
    <t xml:space="preserve">The rates published on the active template on OSP’s website are the applicable rates at any given time. </t>
  </si>
  <si>
    <t xml:space="preserve">https://www.umt.edu/sponsored-programs/pre-award/developing-a-proposal-budget/default.php </t>
  </si>
  <si>
    <t xml:space="preserve">For more guidance on develping a proposal budget, please follow this link to the budget section of the OSP website: </t>
  </si>
  <si>
    <t>https://www.umt.edu/curry-health-center/insurance/student-health-insurance-plan.php</t>
  </si>
  <si>
    <t>https://www.umt.edu/sponsored-programs/resources/_files/fanda-rate-agreement.pdf</t>
  </si>
  <si>
    <t>$200 per Semester per GRA</t>
  </si>
  <si>
    <t>OSP Business Processes, Updated August, 2026</t>
  </si>
  <si>
    <t xml:space="preserve">Please utilize these business processes as a guide through both the tool itself, as well as the budgeting process. </t>
  </si>
  <si>
    <t>The OSP Pre-Award team members are the resident experts on use of this tool. Please feel free to reach out to them as needed, and certainly for review of all budget drafts in the proposal developmental phase.</t>
  </si>
  <si>
    <t>Please identify the PI and any Co-PI(s) in this section. Names listed here will auto-fill into the estimation sheet starting on Row 17.  As with Item 1, these data points also help identify the budget.</t>
  </si>
  <si>
    <t>If the user does not wish to utilize these rows for salary calculation (e.g. the PI is a research associate making lower rows quicker for filling), the auto-filled rows may be hidden as desired.</t>
  </si>
  <si>
    <t xml:space="preserve">The number of budget periods should be provided here and correspond to the project period. This number will ensure calculations on salary, fringe, and health insurance are only made in the subject years. </t>
  </si>
  <si>
    <t>Health Insurance, Fringe Benefits, and Salaries are all subject to a uniform method for escalation in Year 1. These escalations are based on the start date.</t>
  </si>
  <si>
    <t xml:space="preserve">AY salaried employees are employed on a 190-day contract which forms the basis for their pay rate. 190 days of a standard 260-day working year in equivalent to 8.7692 months of pay. </t>
  </si>
  <si>
    <t>Summer time must never exceed 70 days in a single year, given these employees will already be paid for 190 days on their AY time and there are only 260 days in a standard working year.</t>
  </si>
  <si>
    <t xml:space="preserve">Therefore, for AY salaried employees, any division of their contract amount must be done on the basis of 190 days for a daily rate, or 8.7692 months for a monthly rate. </t>
  </si>
  <si>
    <t xml:space="preserve">This pay rate, their institutional base salary (IBS), must be used on every proportion of their effort, either AY or Summer time. </t>
  </si>
  <si>
    <t xml:space="preserve">For all people who are existing UM employees, the annual, full-time equivalent institutional base salary (IBS) should be provided here. For persons who are part time, the base salary will need to include a calculation to convert the person's part-time salary to a full-time equivalent (e.g. $21,000/0.6 FTE = $35,000/1FTE). </t>
  </si>
  <si>
    <t xml:space="preserve">Auto calculations will be disabled and “Manual” will display, prompting manual entry for any rows where .5 = FTE &lt; 1 is selected “Yes” in the person-months table. </t>
  </si>
  <si>
    <t>Equipment should only be listed here when the value of a single item or a combination of items meant to combine to form a single piece of equipment values $5,000 or greater and has a useful life of at least one year.</t>
  </si>
  <si>
    <t>Note: Human subject payments are not categorized as Participant Support costs.  Payments made to research subjects are inlcuded in Other Direct Costs.</t>
  </si>
  <si>
    <t>Human Subjects Payments</t>
  </si>
  <si>
    <t>Contract/Consulting Services</t>
  </si>
  <si>
    <t>Some proposals will limit the IDC rate (documented sponsor policy) and unless otherwise stated by the sponsor, the basis will remain MTDC.</t>
  </si>
  <si>
    <t xml:space="preserve">Care must be taken to ensure the appropriate F&amp;A rate is applied to the project costs based on UM’s federally negotiated indirect cost rate agreement (NICRA), an applicable master agreement, or a documented sponsor policy. </t>
  </si>
  <si>
    <t>If an update is needed, please adjust the percentage rate by overwriting 47% and providing a description of the rate applied. Once provided, indirect costs and total costs will auto-fill.</t>
  </si>
  <si>
    <t>Predetermined for the period 7/1/23 - 6/30/27.</t>
  </si>
  <si>
    <t>Provisional thereafter per HHS agreement dated 8/3/2023.</t>
  </si>
  <si>
    <t>Graduate Research GAP Payments</t>
  </si>
  <si>
    <t>Name of Contractor or Counsultant</t>
  </si>
  <si>
    <t>Enter manually for each year.</t>
  </si>
  <si>
    <t>Employees at the University divide into roughly three categories for purposes of salary calculation: AY salaried, CY (FY) salaried, temporary/hourly. These fields, beginning in AM6, describe the time bases for AY and CY salaried employees.</t>
  </si>
  <si>
    <t>CY (FY) salaried employees are employed on a 12-month contract and will be budget for on the basis of percent time and a 12-month maximum.</t>
  </si>
  <si>
    <t>Note: The number of work hours for 1 FTE for a CY (FY) 12-month appointment is 260 x 8 = 2,080.</t>
  </si>
  <si>
    <t xml:space="preserve">UM Proposal Number, Pre-Award Specialist, Date Prepared, and Sponsor are all requested as a means of identifying the budget, independent of its file name or where it is stored. </t>
  </si>
  <si>
    <t>These entries ensure proper preparation, routing, review, and reference throughout its useful life.</t>
  </si>
  <si>
    <t xml:space="preserve">This field is one of the few on the sheet which cannot be edited. These rates are provided by OSP in coordination with HR and should be updated approximately each fiscal year. </t>
  </si>
  <si>
    <t>The rates published on the current budget template posted to OSP’s website are the effective rates.</t>
  </si>
  <si>
    <t>Note: This field will not affect calculations in subsequent categories and so the user must verify only zero values are provided in non-subject years before hiding rows.</t>
  </si>
  <si>
    <t>Cost Estimation Tool (UM budget template)</t>
  </si>
  <si>
    <t>This language relates to UM's NICRA - update if other than NICRA:</t>
  </si>
  <si>
    <t>Mileage - for personal vehicle use</t>
  </si>
  <si>
    <t xml:space="preserve">All proposals are required to have a budget created in the UM budget template.  </t>
  </si>
  <si>
    <t>If a sponsor requires a different budget template, after the UM budget has been completed, your Pre-Award team member can assist with completing the sponsor's budget template.</t>
  </si>
  <si>
    <t>Meals Per Diem</t>
  </si>
  <si>
    <t>Research Associate</t>
  </si>
  <si>
    <t>NOTE: Users must only hide/unhide rows and columns.  No columns should be added; however, additional rows can be added. If additional rows are needed - please work with your Pre-Award team member for assistance with this type of addition.</t>
  </si>
  <si>
    <t xml:space="preserve">NOTE:  Health insurance for all employees is paid out at the same monthly rate.  </t>
  </si>
  <si>
    <t>Template Updated 8/19/2026</t>
  </si>
  <si>
    <t xml:space="preserve">For budgeting purposes, CY and FY appointments are budgetd based on a 12-month appointment with up to 12 months of HI and </t>
  </si>
  <si>
    <t>AY appointments are budgeted based on an 8.77-month appointment paid over 20 bi-weekly pay periods of HI - which accounts for the different month HI rates on the estimation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</si>
</sst>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000"/>
    <numFmt numFmtId="166" formatCode="&quot;$&quot;#,##0"/>
    <numFmt numFmtId="167" formatCode="0.0%"/>
    <numFmt numFmtId="168" formatCode="_(&quot;$&quot;* #,##0_);_(&quot;$&quot;* \(#,##0\);_(&quot;$&quot;* &quot;-&quot;??_);_(@_)"/>
  </numFmts>
  <fonts count="51" x14ac:knownFonts="1">
    <font>
      <sz val="12"/>
      <name val="Times"/>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i/>
      <sz val="11"/>
      <name val="Calibri"/>
      <family val="2"/>
      <scheme val="minor"/>
    </font>
    <font>
      <b/>
      <sz val="1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0"/>
      <name val="Arial"/>
      <family val="2"/>
    </font>
    <font>
      <sz val="11"/>
      <color theme="0" tint="-0.34998626667073579"/>
      <name val="Calibri"/>
      <family val="2"/>
      <scheme val="minor"/>
    </font>
    <font>
      <sz val="11"/>
      <color theme="0" tint="-0.499984740745262"/>
      <name val="Calibri"/>
      <family val="2"/>
      <scheme val="minor"/>
    </font>
    <font>
      <b/>
      <i/>
      <sz val="11"/>
      <name val="Calibri"/>
      <family val="2"/>
      <scheme val="minor"/>
    </font>
    <font>
      <sz val="11"/>
      <color theme="0"/>
      <name val="Calibri"/>
      <family val="2"/>
      <scheme val="minor"/>
    </font>
    <font>
      <sz val="11"/>
      <name val="Calibri"/>
      <family val="2"/>
    </font>
    <font>
      <b/>
      <sz val="11"/>
      <color theme="0" tint="-0.34998626667073579"/>
      <name val="Calibri"/>
      <family val="2"/>
      <scheme val="minor"/>
    </font>
    <font>
      <i/>
      <sz val="11"/>
      <color theme="0" tint="-0.34998626667073579"/>
      <name val="Calibri"/>
      <family val="2"/>
      <scheme val="minor"/>
    </font>
    <font>
      <i/>
      <sz val="11"/>
      <color theme="0" tint="-0.499984740745262"/>
      <name val="Calibri"/>
      <family val="2"/>
      <scheme val="minor"/>
    </font>
    <font>
      <u/>
      <sz val="10"/>
      <color indexed="12"/>
      <name val="Arial"/>
      <family val="2"/>
    </font>
    <font>
      <u/>
      <sz val="11"/>
      <color theme="10"/>
      <name val="Calibri"/>
      <family val="2"/>
    </font>
    <font>
      <b/>
      <sz val="12"/>
      <name val="Arial Black"/>
      <family val="2"/>
    </font>
    <font>
      <i/>
      <sz val="11"/>
      <color theme="0" tint="-0.249977111117893"/>
      <name val="Calibri"/>
      <family val="2"/>
      <scheme val="minor"/>
    </font>
    <font>
      <sz val="11"/>
      <color theme="0" tint="-0.249977111117893"/>
      <name val="Calibri"/>
      <family val="2"/>
      <scheme val="minor"/>
    </font>
    <font>
      <b/>
      <i/>
      <sz val="11"/>
      <color theme="0" tint="-0.499984740745262"/>
      <name val="Calibri"/>
      <family val="2"/>
      <scheme val="minor"/>
    </font>
    <font>
      <sz val="12"/>
      <name val="Times"/>
    </font>
    <font>
      <sz val="11"/>
      <name val="Times"/>
    </font>
    <font>
      <sz val="12"/>
      <color theme="1"/>
      <name val="Times New Roman"/>
      <family val="1"/>
    </font>
    <font>
      <b/>
      <sz val="11"/>
      <name val="Times"/>
    </font>
    <font>
      <i/>
      <sz val="12"/>
      <color theme="1"/>
      <name val="Times New Roman"/>
      <family val="1"/>
    </font>
    <font>
      <b/>
      <sz val="12"/>
      <color rgb="FF3333FF"/>
      <name val="Times"/>
    </font>
    <font>
      <i/>
      <sz val="12"/>
      <color rgb="FF3333FF"/>
      <name val="Times"/>
    </font>
    <font>
      <i/>
      <sz val="11"/>
      <name val="Times"/>
    </font>
    <font>
      <b/>
      <sz val="12"/>
      <color theme="5" tint="-0.499984740745262"/>
      <name val="Times"/>
    </font>
    <font>
      <sz val="12"/>
      <color theme="5" tint="-0.499984740745262"/>
      <name val="Times"/>
    </font>
    <font>
      <sz val="12"/>
      <color theme="5" tint="-0.499984740745262"/>
      <name val="Times New Roman"/>
      <family val="1"/>
    </font>
    <font>
      <b/>
      <sz val="12"/>
      <color theme="5" tint="-0.499984740745262"/>
      <name val="Times New Roman"/>
      <family val="1"/>
    </font>
    <font>
      <b/>
      <sz val="11"/>
      <color theme="0" tint="-0.249977111117893"/>
      <name val="Calibri"/>
      <family val="2"/>
      <scheme val="minor"/>
    </font>
    <font>
      <sz val="12"/>
      <color theme="0" tint="-0.249977111117893"/>
      <name val="Times"/>
    </font>
    <font>
      <u/>
      <sz val="12"/>
      <color theme="10"/>
      <name val="Times"/>
    </font>
    <font>
      <sz val="11"/>
      <color theme="0" tint="-0.14999847407452621"/>
      <name val="Calibri"/>
      <family val="2"/>
      <scheme val="minor"/>
    </font>
    <font>
      <sz val="12"/>
      <color theme="0"/>
      <name val="Times"/>
    </font>
    <font>
      <b/>
      <sz val="11"/>
      <color theme="0"/>
      <name val="Calibri"/>
      <family val="2"/>
      <scheme val="minor"/>
    </font>
    <font>
      <i/>
      <sz val="11"/>
      <color theme="0"/>
      <name val="Calibri"/>
      <family val="2"/>
      <scheme val="minor"/>
    </font>
    <font>
      <sz val="9"/>
      <color indexed="81"/>
      <name val="Tahoma"/>
      <family val="2"/>
    </font>
    <font>
      <b/>
      <sz val="9"/>
      <color indexed="81"/>
      <name val="Tahoma"/>
      <family val="2"/>
    </font>
    <font>
      <sz val="11"/>
      <color rgb="FFFF0000"/>
      <name val="Calibri"/>
      <family val="2"/>
    </font>
    <font>
      <i/>
      <sz val="11"/>
      <color rgb="FFFF0000"/>
      <name val="Calibri"/>
      <family val="2"/>
      <scheme val="minor"/>
    </font>
    <font>
      <u/>
      <sz val="11"/>
      <color theme="10"/>
      <name val="Calibri"/>
      <family val="2"/>
      <scheme val="minor"/>
    </font>
    <font>
      <b/>
      <sz val="12"/>
      <name val="Times"/>
    </font>
    <font>
      <sz val="11"/>
      <color theme="0"/>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s>
  <borders count="14">
    <border>
      <left/>
      <right/>
      <top/>
      <bottom/>
      <diagonal/>
    </border>
    <border>
      <left/>
      <right/>
      <top/>
      <bottom style="thin">
        <color auto="1"/>
      </bottom>
      <diagonal/>
    </border>
    <border>
      <left/>
      <right/>
      <top style="thin">
        <color indexed="64"/>
      </top>
      <bottom/>
      <diagonal/>
    </border>
    <border>
      <left/>
      <right/>
      <top style="thin">
        <color auto="1"/>
      </top>
      <bottom style="thin">
        <color indexed="64"/>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
      <left style="thin">
        <color indexed="64"/>
      </left>
      <right/>
      <top/>
      <bottom style="thin">
        <color indexed="64"/>
      </bottom>
      <diagonal/>
    </border>
  </borders>
  <cellStyleXfs count="11">
    <xf numFmtId="0" fontId="0" fillId="0" borderId="0"/>
    <xf numFmtId="0" fontId="10" fillId="0" borderId="0"/>
    <xf numFmtId="0" fontId="3"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 fillId="0" borderId="0"/>
    <xf numFmtId="0" fontId="1" fillId="0" borderId="0"/>
    <xf numFmtId="43" fontId="25"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0" fontId="39" fillId="0" borderId="0" applyNumberFormat="0" applyFill="0" applyBorder="0" applyAlignment="0" applyProtection="0"/>
  </cellStyleXfs>
  <cellXfs count="424">
    <xf numFmtId="0" fontId="0" fillId="0" borderId="0" xfId="0"/>
    <xf numFmtId="0" fontId="6" fillId="0" borderId="0" xfId="0" applyFont="1" applyAlignment="1">
      <alignment horizontal="centerContinuous"/>
    </xf>
    <xf numFmtId="0" fontId="4" fillId="0" borderId="0" xfId="0" applyFont="1" applyAlignment="1">
      <alignment horizontal="centerContinuous"/>
    </xf>
    <xf numFmtId="3" fontId="6" fillId="0" borderId="0" xfId="0" applyNumberFormat="1" applyFont="1" applyAlignment="1">
      <alignment horizontal="centerContinuous"/>
    </xf>
    <xf numFmtId="3" fontId="4" fillId="0" borderId="0" xfId="0" applyNumberFormat="1" applyFont="1" applyAlignment="1">
      <alignment horizontal="centerContinuous"/>
    </xf>
    <xf numFmtId="3" fontId="6" fillId="0" borderId="0" xfId="0" applyNumberFormat="1" applyFont="1"/>
    <xf numFmtId="3" fontId="4" fillId="0" borderId="0" xfId="0" applyNumberFormat="1" applyFont="1" applyAlignment="1">
      <alignment horizontal="left"/>
    </xf>
    <xf numFmtId="0" fontId="6" fillId="0" borderId="0" xfId="0" applyFont="1" applyAlignment="1">
      <alignment horizontal="left"/>
    </xf>
    <xf numFmtId="0" fontId="4" fillId="0" borderId="0" xfId="0" applyFont="1"/>
    <xf numFmtId="0" fontId="4" fillId="0" borderId="0" xfId="0" applyFont="1" applyAlignment="1">
      <alignment wrapText="1"/>
    </xf>
    <xf numFmtId="3" fontId="4" fillId="0" borderId="0" xfId="0" applyNumberFormat="1" applyFont="1" applyAlignment="1">
      <alignment horizontal="center"/>
    </xf>
    <xf numFmtId="0" fontId="11" fillId="0" borderId="0" xfId="0" applyFont="1"/>
    <xf numFmtId="0" fontId="4" fillId="0" borderId="0" xfId="0" applyFont="1" applyAlignment="1">
      <alignment vertical="center"/>
    </xf>
    <xf numFmtId="0" fontId="4" fillId="2" borderId="0" xfId="0" applyFont="1" applyFill="1" applyAlignment="1">
      <alignment vertical="center"/>
    </xf>
    <xf numFmtId="3" fontId="12" fillId="0" borderId="0" xfId="0" applyNumberFormat="1" applyFont="1"/>
    <xf numFmtId="0" fontId="7" fillId="0" borderId="0" xfId="0" applyFont="1"/>
    <xf numFmtId="3" fontId="4" fillId="2" borderId="0" xfId="0" applyNumberFormat="1" applyFont="1" applyFill="1" applyAlignment="1">
      <alignment vertical="center"/>
    </xf>
    <xf numFmtId="0" fontId="9" fillId="0" borderId="0" xfId="0" applyFont="1" applyAlignment="1">
      <alignment horizontal="center" wrapText="1"/>
    </xf>
    <xf numFmtId="0" fontId="9" fillId="0" borderId="0" xfId="0" applyFont="1" applyAlignment="1">
      <alignment horizontal="center" vertical="center" wrapText="1"/>
    </xf>
    <xf numFmtId="0" fontId="14" fillId="0" borderId="0" xfId="0" applyFont="1"/>
    <xf numFmtId="3" fontId="4" fillId="0" borderId="0" xfId="0" applyNumberFormat="1" applyFont="1" applyAlignment="1">
      <alignment vertical="center"/>
    </xf>
    <xf numFmtId="0" fontId="9" fillId="2" borderId="0" xfId="0" applyFont="1" applyFill="1" applyAlignment="1">
      <alignment horizontal="center" wrapText="1"/>
    </xf>
    <xf numFmtId="3" fontId="4" fillId="0" borderId="0" xfId="0" applyNumberFormat="1" applyFont="1"/>
    <xf numFmtId="0" fontId="4" fillId="0" borderId="0" xfId="1" applyFont="1" applyAlignment="1">
      <alignment horizontal="left" vertical="top"/>
    </xf>
    <xf numFmtId="0" fontId="6" fillId="0" borderId="0" xfId="1" applyFont="1" applyAlignment="1">
      <alignment horizontal="left" vertical="top"/>
    </xf>
    <xf numFmtId="3" fontId="4" fillId="0" borderId="2" xfId="0" applyNumberFormat="1" applyFont="1" applyBorder="1" applyAlignment="1">
      <alignment vertical="center"/>
    </xf>
    <xf numFmtId="0" fontId="9" fillId="0" borderId="0" xfId="0" applyFont="1" applyAlignment="1" applyProtection="1">
      <alignment horizontal="center" wrapText="1"/>
      <protection locked="0"/>
    </xf>
    <xf numFmtId="0" fontId="6" fillId="0" borderId="0" xfId="0" applyFont="1" applyProtection="1">
      <protection locked="0"/>
    </xf>
    <xf numFmtId="0" fontId="4" fillId="0" borderId="0" xfId="0" applyFont="1" applyProtection="1">
      <protection locked="0"/>
    </xf>
    <xf numFmtId="0" fontId="16" fillId="0" borderId="0" xfId="0" applyFont="1" applyAlignment="1">
      <alignment horizontal="center" wrapText="1"/>
    </xf>
    <xf numFmtId="0" fontId="14" fillId="0" borderId="0" xfId="0" applyFont="1" applyAlignment="1">
      <alignment wrapText="1"/>
    </xf>
    <xf numFmtId="3" fontId="18" fillId="0" borderId="0" xfId="0" applyNumberFormat="1" applyFont="1"/>
    <xf numFmtId="42" fontId="4" fillId="0" borderId="0" xfId="0" applyNumberFormat="1" applyFont="1" applyProtection="1">
      <protection locked="0"/>
    </xf>
    <xf numFmtId="41" fontId="4" fillId="0" borderId="0" xfId="0" applyNumberFormat="1" applyFont="1" applyAlignment="1" applyProtection="1">
      <alignment horizontal="right"/>
      <protection locked="0"/>
    </xf>
    <xf numFmtId="41" fontId="4" fillId="0" borderId="0" xfId="0" applyNumberFormat="1" applyFont="1" applyProtection="1">
      <protection locked="0"/>
    </xf>
    <xf numFmtId="3" fontId="18" fillId="0" borderId="0" xfId="0" applyNumberFormat="1" applyFont="1" applyAlignment="1">
      <alignment horizontal="center"/>
    </xf>
    <xf numFmtId="3" fontId="18" fillId="0" borderId="0" xfId="0" applyNumberFormat="1" applyFont="1" applyAlignment="1">
      <alignment horizontal="left"/>
    </xf>
    <xf numFmtId="3" fontId="5" fillId="0" borderId="0" xfId="0" applyNumberFormat="1" applyFont="1"/>
    <xf numFmtId="0" fontId="4" fillId="0" borderId="0" xfId="0" applyFont="1" applyAlignment="1">
      <alignment horizontal="left"/>
    </xf>
    <xf numFmtId="3" fontId="4" fillId="0" borderId="0" xfId="0" applyNumberFormat="1" applyFont="1" applyAlignment="1">
      <alignment horizontal="right"/>
    </xf>
    <xf numFmtId="165" fontId="9" fillId="0" borderId="0" xfId="0" applyNumberFormat="1" applyFont="1" applyAlignment="1" applyProtection="1">
      <alignment horizontal="center" wrapText="1"/>
      <protection locked="0"/>
    </xf>
    <xf numFmtId="165" fontId="4" fillId="0" borderId="0" xfId="0" applyNumberFormat="1" applyFont="1" applyProtection="1">
      <protection locked="0"/>
    </xf>
    <xf numFmtId="0" fontId="4" fillId="0" borderId="0" xfId="0" applyFont="1" applyAlignment="1" applyProtection="1">
      <alignment vertical="center"/>
      <protection locked="0"/>
    </xf>
    <xf numFmtId="3" fontId="4" fillId="0" borderId="0" xfId="0" applyNumberFormat="1" applyFont="1" applyAlignment="1" applyProtection="1">
      <alignment vertical="center"/>
      <protection locked="0"/>
    </xf>
    <xf numFmtId="3" fontId="5" fillId="0" borderId="0" xfId="0" applyNumberFormat="1" applyFont="1" applyAlignment="1" applyProtection="1">
      <alignment vertical="center"/>
      <protection locked="0"/>
    </xf>
    <xf numFmtId="2" fontId="4" fillId="0" borderId="0" xfId="0" applyNumberFormat="1" applyFont="1" applyProtection="1">
      <protection locked="0"/>
    </xf>
    <xf numFmtId="166" fontId="4" fillId="0" borderId="0" xfId="0" applyNumberFormat="1" applyFont="1"/>
    <xf numFmtId="0" fontId="14" fillId="0" borderId="0" xfId="1" applyFont="1" applyAlignment="1">
      <alignment horizontal="left" vertical="top"/>
    </xf>
    <xf numFmtId="0" fontId="4" fillId="0" borderId="0" xfId="1" applyFont="1" applyAlignment="1">
      <alignment horizontal="right" vertical="top"/>
    </xf>
    <xf numFmtId="0" fontId="6" fillId="2" borderId="0" xfId="0" applyFont="1" applyFill="1" applyAlignment="1">
      <alignment horizontal="center" wrapText="1"/>
    </xf>
    <xf numFmtId="0" fontId="6" fillId="2" borderId="2" xfId="0" applyFont="1" applyFill="1" applyBorder="1" applyAlignment="1">
      <alignment horizontal="center" wrapText="1"/>
    </xf>
    <xf numFmtId="3" fontId="4" fillId="0" borderId="2" xfId="0" applyNumberFormat="1" applyFont="1" applyBorder="1"/>
    <xf numFmtId="0" fontId="9" fillId="2" borderId="2" xfId="0" applyFont="1" applyFill="1" applyBorder="1" applyAlignment="1">
      <alignment horizontal="center" wrapText="1"/>
    </xf>
    <xf numFmtId="0" fontId="4" fillId="0" borderId="0" xfId="1" applyFont="1" applyAlignment="1">
      <alignment horizontal="left" vertical="top" indent="1"/>
    </xf>
    <xf numFmtId="3" fontId="5" fillId="0" borderId="0" xfId="0" applyNumberFormat="1" applyFont="1" applyAlignment="1">
      <alignment vertical="center"/>
    </xf>
    <xf numFmtId="0" fontId="5" fillId="0" borderId="0" xfId="0" applyFont="1" applyAlignment="1">
      <alignment vertical="center"/>
    </xf>
    <xf numFmtId="165" fontId="4" fillId="0" borderId="0" xfId="0" applyNumberFormat="1" applyFont="1" applyAlignment="1" applyProtection="1">
      <alignment horizontal="right"/>
      <protection locked="0"/>
    </xf>
    <xf numFmtId="0" fontId="6" fillId="0" borderId="0" xfId="0" applyFont="1"/>
    <xf numFmtId="0" fontId="6" fillId="0" borderId="3" xfId="0" applyFont="1" applyBorder="1" applyAlignment="1">
      <alignment vertical="center"/>
    </xf>
    <xf numFmtId="0" fontId="4" fillId="0" borderId="3" xfId="0" applyFont="1" applyBorder="1" applyAlignment="1">
      <alignment vertical="center"/>
    </xf>
    <xf numFmtId="3" fontId="5" fillId="0" borderId="0" xfId="0" applyNumberFormat="1" applyFont="1" applyProtection="1">
      <protection locked="0"/>
    </xf>
    <xf numFmtId="0" fontId="5" fillId="0" borderId="0" xfId="0" applyFont="1" applyAlignment="1">
      <alignment horizontal="left" vertical="center" indent="1"/>
    </xf>
    <xf numFmtId="0" fontId="5" fillId="0" borderId="0" xfId="1" applyFont="1" applyAlignment="1">
      <alignment horizontal="right" vertical="top"/>
    </xf>
    <xf numFmtId="10" fontId="4" fillId="0" borderId="0" xfId="1" applyNumberFormat="1" applyFont="1" applyAlignment="1">
      <alignment horizontal="left" vertical="top" indent="2"/>
    </xf>
    <xf numFmtId="3" fontId="6" fillId="0" borderId="0" xfId="0" applyNumberFormat="1" applyFont="1" applyAlignment="1">
      <alignment horizontal="left"/>
    </xf>
    <xf numFmtId="10" fontId="5" fillId="0" borderId="0" xfId="0" applyNumberFormat="1" applyFont="1" applyAlignment="1">
      <alignment vertical="center"/>
    </xf>
    <xf numFmtId="0" fontId="5" fillId="0" borderId="0" xfId="0" applyFont="1" applyAlignment="1">
      <alignment horizontal="left" vertical="center"/>
    </xf>
    <xf numFmtId="3" fontId="6" fillId="0" borderId="0" xfId="0" applyNumberFormat="1" applyFont="1" applyAlignment="1">
      <alignment horizontal="center"/>
    </xf>
    <xf numFmtId="42" fontId="4" fillId="0" borderId="0" xfId="0" applyNumberFormat="1" applyFont="1"/>
    <xf numFmtId="0" fontId="4" fillId="2" borderId="0" xfId="0" applyFont="1" applyFill="1"/>
    <xf numFmtId="3" fontId="6" fillId="2" borderId="0" xfId="0" applyNumberFormat="1" applyFont="1" applyFill="1" applyAlignment="1">
      <alignment horizontal="center"/>
    </xf>
    <xf numFmtId="41" fontId="4" fillId="2" borderId="0" xfId="0" applyNumberFormat="1" applyFont="1" applyFill="1" applyAlignment="1" applyProtection="1">
      <alignment horizontal="right"/>
      <protection locked="0"/>
    </xf>
    <xf numFmtId="41" fontId="4" fillId="2" borderId="0" xfId="0" applyNumberFormat="1" applyFont="1" applyFill="1" applyProtection="1">
      <protection locked="0"/>
    </xf>
    <xf numFmtId="10" fontId="18" fillId="0" borderId="0" xfId="0" applyNumberFormat="1" applyFont="1" applyAlignment="1">
      <alignment horizontal="left"/>
    </xf>
    <xf numFmtId="41" fontId="4" fillId="0" borderId="0" xfId="0" applyNumberFormat="1" applyFont="1" applyAlignment="1">
      <alignment horizontal="center"/>
    </xf>
    <xf numFmtId="41" fontId="4" fillId="0" borderId="0" xfId="0" applyNumberFormat="1" applyFont="1"/>
    <xf numFmtId="3" fontId="4" fillId="0" borderId="1" xfId="0" applyNumberFormat="1" applyFont="1" applyBorder="1"/>
    <xf numFmtId="3" fontId="6" fillId="0" borderId="1" xfId="0" applyNumberFormat="1" applyFont="1" applyBorder="1"/>
    <xf numFmtId="41" fontId="4" fillId="0" borderId="1" xfId="0" applyNumberFormat="1" applyFont="1" applyBorder="1" applyProtection="1">
      <protection locked="0"/>
    </xf>
    <xf numFmtId="41" fontId="4" fillId="2" borderId="1" xfId="0" applyNumberFormat="1" applyFont="1" applyFill="1" applyBorder="1" applyProtection="1">
      <protection locked="0"/>
    </xf>
    <xf numFmtId="42" fontId="4" fillId="0" borderId="1" xfId="0" applyNumberFormat="1" applyFont="1" applyBorder="1"/>
    <xf numFmtId="3" fontId="4" fillId="0" borderId="0" xfId="0" applyNumberFormat="1" applyFont="1" applyProtection="1">
      <protection locked="0"/>
    </xf>
    <xf numFmtId="0" fontId="18" fillId="0" borderId="0" xfId="0" applyFont="1"/>
    <xf numFmtId="0" fontId="9" fillId="0" borderId="1" xfId="0" applyFont="1" applyBorder="1" applyAlignment="1">
      <alignment horizontal="center" vertical="center" wrapText="1"/>
    </xf>
    <xf numFmtId="3" fontId="24"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3" fontId="18" fillId="0" borderId="0" xfId="0" applyNumberFormat="1" applyFont="1" applyAlignment="1">
      <alignment vertical="center"/>
    </xf>
    <xf numFmtId="3" fontId="18" fillId="0" borderId="2" xfId="0" applyNumberFormat="1" applyFont="1" applyBorder="1" applyAlignment="1">
      <alignment vertical="center"/>
    </xf>
    <xf numFmtId="0" fontId="24" fillId="0" borderId="1" xfId="0" applyFont="1" applyBorder="1"/>
    <xf numFmtId="0" fontId="26" fillId="0" borderId="0" xfId="0" applyFont="1" applyAlignment="1">
      <alignment horizontal="left"/>
    </xf>
    <xf numFmtId="168" fontId="26" fillId="0" borderId="0" xfId="8" applyNumberFormat="1" applyFont="1" applyAlignment="1">
      <alignment horizontal="right"/>
    </xf>
    <xf numFmtId="0" fontId="26" fillId="0" borderId="0" xfId="0" applyFont="1" applyAlignment="1">
      <alignment horizontal="center"/>
    </xf>
    <xf numFmtId="0" fontId="0" fillId="0" borderId="0" xfId="0" applyAlignment="1">
      <alignment horizontal="left"/>
    </xf>
    <xf numFmtId="0" fontId="26" fillId="0" borderId="5" xfId="7" applyNumberFormat="1" applyFont="1" applyBorder="1" applyAlignment="1">
      <alignment vertical="center"/>
    </xf>
    <xf numFmtId="0" fontId="0" fillId="0" borderId="0" xfId="0" applyAlignment="1">
      <alignment vertical="center"/>
    </xf>
    <xf numFmtId="0" fontId="27" fillId="0" borderId="0" xfId="0" applyFont="1" applyAlignment="1">
      <alignment wrapText="1"/>
    </xf>
    <xf numFmtId="0" fontId="26" fillId="0" borderId="5" xfId="7" applyNumberFormat="1" applyFont="1" applyBorder="1" applyAlignment="1">
      <alignment vertical="center" wrapText="1"/>
    </xf>
    <xf numFmtId="0" fontId="26" fillId="4" borderId="6" xfId="7" applyNumberFormat="1" applyFont="1" applyFill="1" applyBorder="1" applyAlignment="1">
      <alignment vertical="center"/>
    </xf>
    <xf numFmtId="0" fontId="26" fillId="4" borderId="3" xfId="7" applyNumberFormat="1" applyFont="1" applyFill="1" applyBorder="1" applyAlignment="1">
      <alignment vertical="center"/>
    </xf>
    <xf numFmtId="0" fontId="26" fillId="4" borderId="8" xfId="7" applyNumberFormat="1" applyFont="1" applyFill="1" applyBorder="1" applyAlignment="1">
      <alignment vertical="center"/>
    </xf>
    <xf numFmtId="0" fontId="26" fillId="0" borderId="0" xfId="8" applyNumberFormat="1" applyFont="1" applyAlignment="1">
      <alignment horizontal="right"/>
    </xf>
    <xf numFmtId="3" fontId="26" fillId="0" borderId="5" xfId="7" applyNumberFormat="1" applyFont="1" applyBorder="1" applyAlignment="1">
      <alignment horizontal="center" vertical="center"/>
    </xf>
    <xf numFmtId="0" fontId="27" fillId="0" borderId="0" xfId="0" applyFont="1" applyAlignment="1">
      <alignment horizontal="left" vertical="top" wrapText="1"/>
    </xf>
    <xf numFmtId="166" fontId="26" fillId="0" borderId="5" xfId="7" applyNumberFormat="1" applyFont="1" applyBorder="1" applyAlignment="1">
      <alignment vertical="center"/>
    </xf>
    <xf numFmtId="164" fontId="26" fillId="0" borderId="5" xfId="7" applyNumberFormat="1" applyFont="1" applyBorder="1" applyAlignment="1">
      <alignment vertical="center"/>
    </xf>
    <xf numFmtId="166" fontId="28" fillId="0" borderId="5" xfId="7" applyNumberFormat="1" applyFont="1" applyBorder="1" applyAlignment="1">
      <alignment vertical="center"/>
    </xf>
    <xf numFmtId="5" fontId="26" fillId="0" borderId="5" xfId="7" applyNumberFormat="1" applyFont="1" applyBorder="1" applyAlignment="1">
      <alignment vertical="center"/>
    </xf>
    <xf numFmtId="0" fontId="28" fillId="0" borderId="5" xfId="7" applyNumberFormat="1" applyFont="1" applyBorder="1" applyAlignment="1">
      <alignment horizontal="left"/>
    </xf>
    <xf numFmtId="0" fontId="28" fillId="0" borderId="5" xfId="7" applyNumberFormat="1" applyFont="1" applyBorder="1" applyAlignment="1">
      <alignment horizontal="center" wrapText="1"/>
    </xf>
    <xf numFmtId="3" fontId="28" fillId="0" borderId="5" xfId="7" applyNumberFormat="1" applyFont="1" applyBorder="1" applyAlignment="1">
      <alignment horizontal="center"/>
    </xf>
    <xf numFmtId="0" fontId="28" fillId="0" borderId="5" xfId="7" applyNumberFormat="1" applyFont="1" applyBorder="1" applyAlignment="1">
      <alignment horizontal="center"/>
    </xf>
    <xf numFmtId="0" fontId="28" fillId="0" borderId="5" xfId="7" applyNumberFormat="1" applyFont="1" applyBorder="1" applyAlignment="1"/>
    <xf numFmtId="0" fontId="28" fillId="0" borderId="5" xfId="7" applyNumberFormat="1" applyFont="1" applyBorder="1" applyAlignment="1">
      <alignment horizontal="center" vertical="center" wrapText="1"/>
    </xf>
    <xf numFmtId="0" fontId="29" fillId="0" borderId="0" xfId="0" applyFont="1" applyAlignment="1">
      <alignment vertical="top" wrapText="1"/>
    </xf>
    <xf numFmtId="0" fontId="30" fillId="0" borderId="0" xfId="0" applyFont="1" applyAlignment="1">
      <alignment horizontal="center"/>
    </xf>
    <xf numFmtId="0" fontId="31" fillId="0" borderId="0" xfId="0" applyFont="1" applyAlignment="1">
      <alignment vertical="top" wrapText="1"/>
    </xf>
    <xf numFmtId="3" fontId="5" fillId="4" borderId="0" xfId="0" applyNumberFormat="1" applyFont="1" applyFill="1" applyProtection="1">
      <protection locked="0"/>
    </xf>
    <xf numFmtId="2" fontId="5" fillId="4" borderId="0" xfId="0" applyNumberFormat="1" applyFont="1" applyFill="1" applyAlignment="1" applyProtection="1">
      <alignment horizontal="right"/>
      <protection locked="0"/>
    </xf>
    <xf numFmtId="3" fontId="5" fillId="4" borderId="0" xfId="0" applyNumberFormat="1" applyFont="1" applyFill="1" applyAlignment="1" applyProtection="1">
      <alignment horizontal="center"/>
      <protection locked="0"/>
    </xf>
    <xf numFmtId="10" fontId="4" fillId="4" borderId="0" xfId="0" applyNumberFormat="1" applyFont="1" applyFill="1" applyProtection="1">
      <protection locked="0"/>
    </xf>
    <xf numFmtId="2" fontId="4" fillId="4" borderId="0" xfId="0" applyNumberFormat="1" applyFont="1" applyFill="1" applyProtection="1">
      <protection locked="0"/>
    </xf>
    <xf numFmtId="0" fontId="6" fillId="5" borderId="1" xfId="0" applyFont="1" applyFill="1" applyBorder="1" applyAlignment="1">
      <alignment horizontal="left"/>
    </xf>
    <xf numFmtId="0" fontId="9" fillId="5" borderId="1" xfId="0" applyFont="1" applyFill="1" applyBorder="1" applyAlignment="1">
      <alignment horizontal="center" wrapText="1"/>
    </xf>
    <xf numFmtId="3" fontId="6" fillId="5" borderId="1"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3" xfId="0" applyFont="1" applyFill="1" applyBorder="1" applyAlignment="1">
      <alignment vertical="center"/>
    </xf>
    <xf numFmtId="0" fontId="4" fillId="5" borderId="3" xfId="0" applyFont="1" applyFill="1" applyBorder="1" applyAlignment="1">
      <alignment vertical="center"/>
    </xf>
    <xf numFmtId="3" fontId="6" fillId="5" borderId="3" xfId="0" applyNumberFormat="1" applyFont="1" applyFill="1" applyBorder="1" applyAlignment="1">
      <alignment vertical="center"/>
    </xf>
    <xf numFmtId="3" fontId="4" fillId="5" borderId="3" xfId="0" applyNumberFormat="1" applyFont="1" applyFill="1" applyBorder="1" applyAlignment="1">
      <alignment vertical="center"/>
    </xf>
    <xf numFmtId="0" fontId="6" fillId="5" borderId="3" xfId="0" applyFont="1" applyFill="1" applyBorder="1" applyAlignment="1" applyProtection="1">
      <alignment vertical="center"/>
      <protection locked="0"/>
    </xf>
    <xf numFmtId="0" fontId="6" fillId="5" borderId="3" xfId="1" applyFont="1" applyFill="1" applyBorder="1" applyAlignment="1" applyProtection="1">
      <alignment horizontal="left" vertical="top"/>
      <protection locked="0"/>
    </xf>
    <xf numFmtId="0" fontId="9" fillId="5" borderId="3" xfId="0" applyFont="1" applyFill="1" applyBorder="1" applyAlignment="1" applyProtection="1">
      <alignment horizontal="center" wrapText="1"/>
      <protection locked="0"/>
    </xf>
    <xf numFmtId="3" fontId="6" fillId="5" borderId="3" xfId="0" applyNumberFormat="1" applyFont="1" applyFill="1" applyBorder="1" applyProtection="1">
      <protection locked="0"/>
    </xf>
    <xf numFmtId="3" fontId="9" fillId="5" borderId="3" xfId="0" applyNumberFormat="1" applyFont="1" applyFill="1" applyBorder="1" applyAlignment="1" applyProtection="1">
      <alignment horizontal="center" wrapText="1"/>
      <protection locked="0"/>
    </xf>
    <xf numFmtId="0" fontId="6" fillId="5" borderId="4" xfId="0" applyFont="1" applyFill="1" applyBorder="1" applyAlignment="1" applyProtection="1">
      <alignment vertical="center"/>
      <protection locked="0"/>
    </xf>
    <xf numFmtId="0" fontId="4" fillId="5" borderId="4" xfId="0" applyFont="1" applyFill="1" applyBorder="1" applyAlignment="1" applyProtection="1">
      <alignment vertical="center"/>
      <protection locked="0"/>
    </xf>
    <xf numFmtId="3" fontId="6" fillId="5" borderId="4" xfId="0" applyNumberFormat="1" applyFont="1" applyFill="1" applyBorder="1" applyAlignment="1" applyProtection="1">
      <alignment vertical="center"/>
      <protection locked="0"/>
    </xf>
    <xf numFmtId="3" fontId="4" fillId="5" borderId="4" xfId="0" applyNumberFormat="1" applyFont="1" applyFill="1" applyBorder="1" applyAlignment="1" applyProtection="1">
      <alignment vertical="center"/>
      <protection locked="0"/>
    </xf>
    <xf numFmtId="3" fontId="4" fillId="5" borderId="4" xfId="0" applyNumberFormat="1" applyFont="1" applyFill="1" applyBorder="1"/>
    <xf numFmtId="3" fontId="6" fillId="5" borderId="4" xfId="0" applyNumberFormat="1" applyFont="1" applyFill="1" applyBorder="1"/>
    <xf numFmtId="41" fontId="4" fillId="5" borderId="4" xfId="0" applyNumberFormat="1" applyFont="1" applyFill="1" applyBorder="1" applyProtection="1">
      <protection locked="0"/>
    </xf>
    <xf numFmtId="42" fontId="4" fillId="5" borderId="4" xfId="0" applyNumberFormat="1" applyFont="1" applyFill="1" applyBorder="1" applyProtection="1">
      <protection locked="0"/>
    </xf>
    <xf numFmtId="3" fontId="18" fillId="3" borderId="0" xfId="0" applyNumberFormat="1" applyFont="1" applyFill="1"/>
    <xf numFmtId="0" fontId="33" fillId="0" borderId="0" xfId="0" applyFont="1" applyAlignment="1">
      <alignment horizontal="center"/>
    </xf>
    <xf numFmtId="0" fontId="34" fillId="0" borderId="0" xfId="0" applyFont="1"/>
    <xf numFmtId="0" fontId="34" fillId="0" borderId="0" xfId="0" applyFont="1" applyAlignment="1">
      <alignment vertical="top" wrapText="1"/>
    </xf>
    <xf numFmtId="4" fontId="5" fillId="4" borderId="0" xfId="0" applyNumberFormat="1" applyFont="1" applyFill="1" applyProtection="1">
      <protection locked="0"/>
    </xf>
    <xf numFmtId="1" fontId="4" fillId="4" borderId="0" xfId="0" applyNumberFormat="1" applyFont="1" applyFill="1" applyProtection="1">
      <protection locked="0"/>
    </xf>
    <xf numFmtId="4" fontId="22" fillId="4" borderId="0" xfId="0" applyNumberFormat="1" applyFont="1" applyFill="1" applyProtection="1">
      <protection locked="0"/>
    </xf>
    <xf numFmtId="2" fontId="22" fillId="4" borderId="0" xfId="0" applyNumberFormat="1" applyFont="1" applyFill="1" applyAlignment="1" applyProtection="1">
      <alignment horizontal="right"/>
      <protection locked="0"/>
    </xf>
    <xf numFmtId="3" fontId="22" fillId="4" borderId="0" xfId="0" applyNumberFormat="1" applyFont="1" applyFill="1" applyAlignment="1" applyProtection="1">
      <alignment horizontal="center"/>
      <protection locked="0"/>
    </xf>
    <xf numFmtId="10" fontId="23" fillId="4" borderId="0" xfId="0" applyNumberFormat="1" applyFont="1" applyFill="1" applyProtection="1">
      <protection locked="0"/>
    </xf>
    <xf numFmtId="2" fontId="23" fillId="4" borderId="0" xfId="0" applyNumberFormat="1" applyFont="1" applyFill="1" applyProtection="1">
      <protection locked="0"/>
    </xf>
    <xf numFmtId="165" fontId="23" fillId="0" borderId="0" xfId="0" applyNumberFormat="1" applyFont="1" applyProtection="1">
      <protection locked="0"/>
    </xf>
    <xf numFmtId="0" fontId="23" fillId="0" borderId="0" xfId="0" applyFont="1" applyProtection="1">
      <protection locked="0"/>
    </xf>
    <xf numFmtId="2" fontId="23" fillId="0" borderId="0" xfId="0" applyNumberFormat="1" applyFont="1" applyProtection="1">
      <protection locked="0"/>
    </xf>
    <xf numFmtId="10" fontId="5" fillId="4" borderId="0" xfId="0" applyNumberFormat="1" applyFont="1" applyFill="1" applyProtection="1">
      <protection locked="0"/>
    </xf>
    <xf numFmtId="165" fontId="4" fillId="4" borderId="0" xfId="0" applyNumberFormat="1" applyFont="1" applyFill="1" applyProtection="1">
      <protection locked="0"/>
    </xf>
    <xf numFmtId="165" fontId="23" fillId="4" borderId="0" xfId="0" applyNumberFormat="1" applyFont="1" applyFill="1" applyProtection="1">
      <protection locked="0"/>
    </xf>
    <xf numFmtId="10" fontId="4" fillId="4" borderId="0" xfId="9" applyNumberFormat="1" applyFont="1" applyFill="1" applyProtection="1">
      <protection locked="0"/>
    </xf>
    <xf numFmtId="10" fontId="23" fillId="4" borderId="0" xfId="9" applyNumberFormat="1" applyFont="1" applyFill="1" applyProtection="1">
      <protection locked="0"/>
    </xf>
    <xf numFmtId="0" fontId="5" fillId="0" borderId="0" xfId="0" applyFont="1" applyAlignment="1" applyProtection="1">
      <alignment horizontal="center"/>
      <protection locked="0"/>
    </xf>
    <xf numFmtId="1" fontId="4" fillId="0" borderId="0" xfId="0" applyNumberFormat="1" applyFont="1" applyProtection="1">
      <protection locked="0"/>
    </xf>
    <xf numFmtId="4" fontId="5" fillId="4" borderId="0" xfId="0" applyNumberFormat="1" applyFont="1" applyFill="1" applyAlignment="1" applyProtection="1">
      <alignment horizontal="center"/>
      <protection locked="0"/>
    </xf>
    <xf numFmtId="4" fontId="22" fillId="4" borderId="0" xfId="0" applyNumberFormat="1" applyFont="1" applyFill="1" applyAlignment="1" applyProtection="1">
      <alignment horizontal="center"/>
      <protection locked="0"/>
    </xf>
    <xf numFmtId="0" fontId="4" fillId="0" borderId="0" xfId="0" applyFont="1" applyAlignment="1" applyProtection="1">
      <alignment horizontal="left"/>
      <protection locked="0"/>
    </xf>
    <xf numFmtId="0" fontId="4" fillId="4" borderId="0" xfId="0" applyFont="1" applyFill="1" applyAlignment="1" applyProtection="1">
      <alignment horizontal="left"/>
      <protection locked="0"/>
    </xf>
    <xf numFmtId="3" fontId="4" fillId="4" borderId="0" xfId="0" applyNumberFormat="1" applyFont="1" applyFill="1" applyProtection="1">
      <protection locked="0"/>
    </xf>
    <xf numFmtId="3" fontId="4" fillId="0" borderId="0" xfId="0" applyNumberFormat="1" applyFont="1" applyAlignment="1" applyProtection="1">
      <alignment horizontal="right"/>
      <protection locked="0"/>
    </xf>
    <xf numFmtId="3" fontId="5" fillId="0" borderId="0" xfId="0" applyNumberFormat="1" applyFont="1" applyAlignment="1" applyProtection="1">
      <alignment horizontal="left"/>
      <protection locked="0"/>
    </xf>
    <xf numFmtId="0" fontId="4" fillId="0" borderId="0" xfId="0" applyFont="1" applyAlignment="1" applyProtection="1">
      <alignment horizontal="right"/>
      <protection locked="0"/>
    </xf>
    <xf numFmtId="0" fontId="4" fillId="0" borderId="0" xfId="0" applyFont="1" applyAlignment="1" applyProtection="1">
      <alignment horizontal="center"/>
      <protection locked="0"/>
    </xf>
    <xf numFmtId="0" fontId="0" fillId="0" borderId="0" xfId="0" applyProtection="1">
      <protection locked="0"/>
    </xf>
    <xf numFmtId="3" fontId="4" fillId="0" borderId="0" xfId="0" applyNumberFormat="1" applyFont="1" applyAlignment="1" applyProtection="1">
      <alignment horizontal="center"/>
      <protection locked="0"/>
    </xf>
    <xf numFmtId="3" fontId="4" fillId="4" borderId="0" xfId="0" applyNumberFormat="1" applyFont="1" applyFill="1" applyAlignment="1" applyProtection="1">
      <alignment horizontal="left"/>
      <protection locked="0"/>
    </xf>
    <xf numFmtId="0" fontId="7" fillId="0" borderId="0" xfId="0" applyFont="1" applyProtection="1">
      <protection locked="0"/>
    </xf>
    <xf numFmtId="10" fontId="5" fillId="0" borderId="7" xfId="0" applyNumberFormat="1" applyFont="1" applyBorder="1" applyProtection="1">
      <protection locked="0"/>
    </xf>
    <xf numFmtId="3" fontId="5" fillId="0" borderId="0" xfId="0" applyNumberFormat="1" applyFont="1" applyAlignment="1" applyProtection="1">
      <alignment horizontal="right"/>
      <protection locked="0"/>
    </xf>
    <xf numFmtId="2" fontId="4" fillId="3" borderId="0" xfId="0" applyNumberFormat="1" applyFont="1" applyFill="1" applyProtection="1">
      <protection locked="0"/>
    </xf>
    <xf numFmtId="2" fontId="4" fillId="3" borderId="0" xfId="0" applyNumberFormat="1" applyFont="1" applyFill="1" applyAlignment="1" applyProtection="1">
      <alignment horizontal="right"/>
      <protection locked="0"/>
    </xf>
    <xf numFmtId="3" fontId="6" fillId="2" borderId="0" xfId="0" applyNumberFormat="1" applyFont="1" applyFill="1" applyAlignment="1" applyProtection="1">
      <alignment horizontal="center"/>
      <protection locked="0"/>
    </xf>
    <xf numFmtId="3" fontId="8" fillId="0" borderId="0" xfId="0" applyNumberFormat="1" applyFont="1" applyAlignment="1" applyProtection="1">
      <alignment horizontal="right"/>
      <protection locked="0"/>
    </xf>
    <xf numFmtId="0" fontId="6" fillId="0" borderId="0" xfId="0" applyFont="1" applyAlignment="1" applyProtection="1">
      <alignment horizontal="left"/>
      <protection locked="0"/>
    </xf>
    <xf numFmtId="3" fontId="6" fillId="0" borderId="0" xfId="0" applyNumberFormat="1" applyFont="1" applyAlignment="1" applyProtection="1">
      <alignment horizontal="right"/>
      <protection locked="0"/>
    </xf>
    <xf numFmtId="3" fontId="4" fillId="2" borderId="0" xfId="0" applyNumberFormat="1" applyFont="1" applyFill="1" applyAlignment="1" applyProtection="1">
      <alignment horizontal="right"/>
      <protection locked="0"/>
    </xf>
    <xf numFmtId="0" fontId="4" fillId="2" borderId="0" xfId="0" applyFont="1" applyFill="1" applyAlignment="1" applyProtection="1">
      <alignment horizontal="right"/>
      <protection locked="0"/>
    </xf>
    <xf numFmtId="3" fontId="5" fillId="0" borderId="0" xfId="0" applyNumberFormat="1" applyFont="1" applyAlignment="1" applyProtection="1">
      <alignment horizontal="center"/>
      <protection locked="0"/>
    </xf>
    <xf numFmtId="10" fontId="4" fillId="0" borderId="0" xfId="0" applyNumberFormat="1" applyFont="1" applyAlignment="1" applyProtection="1">
      <alignment horizontal="left"/>
      <protection locked="0"/>
    </xf>
    <xf numFmtId="0" fontId="4" fillId="4" borderId="7" xfId="0" applyFont="1" applyFill="1" applyBorder="1" applyProtection="1">
      <protection locked="0"/>
    </xf>
    <xf numFmtId="0" fontId="23" fillId="4" borderId="0" xfId="0" applyFont="1" applyFill="1" applyAlignment="1" applyProtection="1">
      <alignment horizontal="left"/>
      <protection locked="0"/>
    </xf>
    <xf numFmtId="0" fontId="37" fillId="0" borderId="0" xfId="0" applyFont="1" applyAlignment="1" applyProtection="1">
      <alignment horizontal="left"/>
      <protection locked="0"/>
    </xf>
    <xf numFmtId="0" fontId="23" fillId="0" borderId="0" xfId="0" applyFont="1" applyAlignment="1" applyProtection="1">
      <alignment horizontal="left"/>
      <protection locked="0"/>
    </xf>
    <xf numFmtId="3" fontId="23" fillId="0" borderId="0" xfId="0" applyNumberFormat="1" applyFont="1" applyProtection="1">
      <protection locked="0"/>
    </xf>
    <xf numFmtId="3" fontId="22" fillId="0" borderId="0" xfId="0" applyNumberFormat="1" applyFont="1" applyAlignment="1" applyProtection="1">
      <alignment horizontal="center"/>
      <protection locked="0"/>
    </xf>
    <xf numFmtId="3" fontId="37" fillId="0" borderId="0" xfId="0" applyNumberFormat="1" applyFont="1" applyAlignment="1" applyProtection="1">
      <alignment horizontal="right"/>
      <protection locked="0"/>
    </xf>
    <xf numFmtId="3" fontId="23" fillId="0" borderId="0" xfId="0" applyNumberFormat="1" applyFont="1" applyAlignment="1" applyProtection="1">
      <alignment horizontal="right"/>
      <protection locked="0"/>
    </xf>
    <xf numFmtId="0" fontId="23" fillId="0" borderId="0" xfId="0" applyFont="1" applyAlignment="1" applyProtection="1">
      <alignment horizontal="right"/>
      <protection locked="0"/>
    </xf>
    <xf numFmtId="3" fontId="23" fillId="2" borderId="0" xfId="0" applyNumberFormat="1" applyFont="1" applyFill="1" applyAlignment="1" applyProtection="1">
      <alignment horizontal="right"/>
      <protection locked="0"/>
    </xf>
    <xf numFmtId="0" fontId="23" fillId="4" borderId="7" xfId="0" applyFont="1" applyFill="1" applyBorder="1" applyProtection="1">
      <protection locked="0"/>
    </xf>
    <xf numFmtId="0" fontId="38" fillId="0" borderId="0" xfId="0" applyFont="1" applyProtection="1">
      <protection locked="0"/>
    </xf>
    <xf numFmtId="0" fontId="4" fillId="0" borderId="7" xfId="0" applyFont="1" applyBorder="1" applyProtection="1">
      <protection locked="0"/>
    </xf>
    <xf numFmtId="3" fontId="4" fillId="2" borderId="2" xfId="0" applyNumberFormat="1" applyFont="1" applyFill="1" applyBorder="1" applyAlignment="1" applyProtection="1">
      <alignment horizontal="right"/>
      <protection locked="0"/>
    </xf>
    <xf numFmtId="0" fontId="4" fillId="2" borderId="2" xfId="0" applyFont="1" applyFill="1" applyBorder="1" applyAlignment="1" applyProtection="1">
      <alignment horizontal="right"/>
      <protection locked="0"/>
    </xf>
    <xf numFmtId="10" fontId="4" fillId="0" borderId="0" xfId="0" applyNumberFormat="1" applyFont="1" applyProtection="1">
      <protection locked="0"/>
    </xf>
    <xf numFmtId="3" fontId="18" fillId="0" borderId="0" xfId="0" applyNumberFormat="1" applyFont="1" applyProtection="1">
      <protection locked="0"/>
    </xf>
    <xf numFmtId="3" fontId="13" fillId="0" borderId="0" xfId="0" applyNumberFormat="1" applyFont="1" applyAlignment="1" applyProtection="1">
      <alignment horizontal="center"/>
      <protection locked="0"/>
    </xf>
    <xf numFmtId="10" fontId="5" fillId="0" borderId="0" xfId="0" applyNumberFormat="1" applyFont="1" applyAlignment="1" applyProtection="1">
      <alignment horizontal="right"/>
      <protection locked="0"/>
    </xf>
    <xf numFmtId="168" fontId="5" fillId="0" borderId="0" xfId="8" applyNumberFormat="1" applyFont="1" applyAlignment="1" applyProtection="1">
      <alignment horizontal="right"/>
      <protection locked="0"/>
    </xf>
    <xf numFmtId="3" fontId="4" fillId="2" borderId="1" xfId="0" applyNumberFormat="1" applyFont="1" applyFill="1" applyBorder="1" applyAlignment="1" applyProtection="1">
      <alignment horizontal="right"/>
      <protection locked="0"/>
    </xf>
    <xf numFmtId="0" fontId="5" fillId="0" borderId="0" xfId="0" applyFont="1" applyAlignment="1" applyProtection="1">
      <alignment horizontal="left"/>
      <protection locked="0"/>
    </xf>
    <xf numFmtId="166" fontId="18" fillId="0" borderId="0" xfId="0" applyNumberFormat="1" applyFont="1" applyAlignment="1" applyProtection="1">
      <alignment horizontal="center"/>
      <protection locked="0"/>
    </xf>
    <xf numFmtId="3" fontId="18" fillId="0" borderId="0" xfId="0" applyNumberFormat="1" applyFont="1" applyAlignment="1" applyProtection="1">
      <alignment horizontal="center"/>
      <protection locked="0"/>
    </xf>
    <xf numFmtId="0" fontId="5" fillId="0" borderId="0" xfId="0" applyFont="1" applyProtection="1">
      <protection locked="0"/>
    </xf>
    <xf numFmtId="166" fontId="18" fillId="3" borderId="0" xfId="0" applyNumberFormat="1" applyFont="1" applyFill="1" applyAlignment="1" applyProtection="1">
      <alignment horizontal="center"/>
      <protection locked="0"/>
    </xf>
    <xf numFmtId="3" fontId="18" fillId="3" borderId="0" xfId="0" applyNumberFormat="1" applyFont="1" applyFill="1" applyAlignment="1" applyProtection="1">
      <alignment horizontal="center"/>
      <protection locked="0"/>
    </xf>
    <xf numFmtId="0" fontId="39" fillId="0" borderId="0" xfId="10" applyAlignment="1" applyProtection="1">
      <alignment horizontal="left"/>
      <protection locked="0"/>
    </xf>
    <xf numFmtId="164" fontId="18" fillId="3" borderId="0" xfId="0" applyNumberFormat="1" applyFont="1" applyFill="1" applyAlignment="1" applyProtection="1">
      <alignment horizontal="center"/>
      <protection locked="0"/>
    </xf>
    <xf numFmtId="3" fontId="12" fillId="0" borderId="0" xfId="0" applyNumberFormat="1" applyFont="1" applyAlignment="1" applyProtection="1">
      <alignment horizontal="right"/>
      <protection locked="0"/>
    </xf>
    <xf numFmtId="3" fontId="12" fillId="2" borderId="0" xfId="0" applyNumberFormat="1" applyFont="1" applyFill="1" applyAlignment="1" applyProtection="1">
      <alignment horizontal="right"/>
      <protection locked="0"/>
    </xf>
    <xf numFmtId="164" fontId="18" fillId="0" borderId="0" xfId="0" applyNumberFormat="1" applyFont="1" applyAlignment="1" applyProtection="1">
      <alignment horizontal="center"/>
      <protection locked="0"/>
    </xf>
    <xf numFmtId="166" fontId="18" fillId="0" borderId="0" xfId="0" applyNumberFormat="1" applyFont="1" applyAlignment="1" applyProtection="1">
      <alignment horizontal="left"/>
      <protection locked="0"/>
    </xf>
    <xf numFmtId="3" fontId="18" fillId="0" borderId="0" xfId="0" applyNumberFormat="1" applyFont="1" applyAlignment="1" applyProtection="1">
      <alignment horizontal="right"/>
      <protection locked="0"/>
    </xf>
    <xf numFmtId="166" fontId="5" fillId="0" borderId="0" xfId="0" applyNumberFormat="1" applyFont="1" applyAlignment="1" applyProtection="1">
      <alignment horizontal="center"/>
      <protection locked="0"/>
    </xf>
    <xf numFmtId="3" fontId="17" fillId="2" borderId="0" xfId="0" applyNumberFormat="1" applyFont="1" applyFill="1" applyAlignment="1" applyProtection="1">
      <alignment horizontal="right"/>
      <protection locked="0"/>
    </xf>
    <xf numFmtId="3" fontId="12" fillId="0" borderId="0" xfId="0" applyNumberFormat="1" applyFont="1" applyProtection="1">
      <protection locked="0"/>
    </xf>
    <xf numFmtId="3" fontId="18" fillId="0" borderId="0" xfId="0" applyNumberFormat="1" applyFont="1" applyAlignment="1" applyProtection="1">
      <alignment horizontal="left"/>
      <protection locked="0"/>
    </xf>
    <xf numFmtId="3" fontId="14" fillId="0" borderId="0" xfId="0" applyNumberFormat="1" applyFont="1" applyAlignment="1" applyProtection="1">
      <alignment horizontal="right"/>
      <protection locked="0"/>
    </xf>
    <xf numFmtId="3" fontId="6" fillId="2" borderId="0" xfId="0" applyNumberFormat="1" applyFont="1" applyFill="1" applyAlignment="1" applyProtection="1">
      <alignment horizontal="right"/>
      <protection locked="0"/>
    </xf>
    <xf numFmtId="0" fontId="11" fillId="0" borderId="0" xfId="0" applyFont="1" applyAlignment="1" applyProtection="1">
      <alignment horizontal="left"/>
      <protection locked="0"/>
    </xf>
    <xf numFmtId="3" fontId="11" fillId="0" borderId="0" xfId="0" applyNumberFormat="1" applyFont="1" applyProtection="1">
      <protection locked="0"/>
    </xf>
    <xf numFmtId="3" fontId="11" fillId="0" borderId="0" xfId="0" applyNumberFormat="1" applyFont="1" applyAlignment="1" applyProtection="1">
      <alignment horizontal="right"/>
      <protection locked="0"/>
    </xf>
    <xf numFmtId="3" fontId="22" fillId="0" borderId="0" xfId="0" applyNumberFormat="1" applyFont="1" applyAlignment="1" applyProtection="1">
      <alignment horizontal="right"/>
      <protection locked="0"/>
    </xf>
    <xf numFmtId="0" fontId="4" fillId="2" borderId="2" xfId="0" applyFont="1" applyFill="1" applyBorder="1" applyProtection="1">
      <protection locked="0"/>
    </xf>
    <xf numFmtId="0" fontId="13" fillId="0" borderId="0" xfId="0" applyFont="1" applyAlignment="1" applyProtection="1">
      <alignment horizontal="left"/>
      <protection locked="0"/>
    </xf>
    <xf numFmtId="0" fontId="15" fillId="0" borderId="0" xfId="0" applyFont="1" applyAlignment="1" applyProtection="1">
      <alignment vertical="center"/>
      <protection locked="0"/>
    </xf>
    <xf numFmtId="0" fontId="4" fillId="0" borderId="0" xfId="0" applyFont="1" applyAlignment="1" applyProtection="1">
      <alignment horizontal="left" wrapText="1"/>
      <protection locked="0"/>
    </xf>
    <xf numFmtId="0" fontId="4" fillId="0" borderId="0" xfId="0" applyFont="1" applyAlignment="1" applyProtection="1">
      <alignment wrapText="1"/>
      <protection locked="0"/>
    </xf>
    <xf numFmtId="3" fontId="5" fillId="4" borderId="6" xfId="0" applyNumberFormat="1" applyFont="1" applyFill="1" applyBorder="1" applyAlignment="1">
      <alignment horizontal="center"/>
    </xf>
    <xf numFmtId="3" fontId="5" fillId="4" borderId="9" xfId="0" applyNumberFormat="1" applyFont="1" applyFill="1" applyBorder="1"/>
    <xf numFmtId="10" fontId="5" fillId="4" borderId="7" xfId="0" applyNumberFormat="1" applyFont="1" applyFill="1" applyBorder="1"/>
    <xf numFmtId="3" fontId="5" fillId="4" borderId="10" xfId="0" applyNumberFormat="1" applyFont="1" applyFill="1" applyBorder="1"/>
    <xf numFmtId="10" fontId="5" fillId="4" borderId="10" xfId="0" applyNumberFormat="1" applyFont="1" applyFill="1" applyBorder="1"/>
    <xf numFmtId="3" fontId="5" fillId="4" borderId="11" xfId="0" applyNumberFormat="1" applyFont="1" applyFill="1" applyBorder="1"/>
    <xf numFmtId="10" fontId="5" fillId="4" borderId="11" xfId="0" applyNumberFormat="1" applyFont="1" applyFill="1" applyBorder="1"/>
    <xf numFmtId="0" fontId="4" fillId="0" borderId="0" xfId="0" applyFont="1" applyAlignment="1">
      <alignment horizontal="center"/>
    </xf>
    <xf numFmtId="0" fontId="6" fillId="0" borderId="0" xfId="0" applyFont="1" applyAlignment="1">
      <alignment horizontal="center"/>
    </xf>
    <xf numFmtId="0" fontId="6" fillId="2" borderId="0" xfId="0" applyFont="1" applyFill="1" applyAlignment="1">
      <alignment horizontal="center"/>
    </xf>
    <xf numFmtId="0" fontId="5" fillId="0" borderId="0" xfId="0" applyFont="1" applyAlignment="1">
      <alignment horizontal="center"/>
    </xf>
    <xf numFmtId="3" fontId="13" fillId="0" borderId="0" xfId="0" applyNumberFormat="1" applyFont="1" applyAlignment="1">
      <alignment horizontal="left"/>
    </xf>
    <xf numFmtId="2" fontId="4" fillId="0" borderId="0" xfId="0" applyNumberFormat="1" applyFont="1"/>
    <xf numFmtId="165" fontId="4" fillId="0" borderId="0" xfId="0" applyNumberFormat="1" applyFont="1"/>
    <xf numFmtId="0" fontId="4" fillId="0" borderId="0" xfId="0" applyFont="1" applyAlignment="1">
      <alignment horizontal="right"/>
    </xf>
    <xf numFmtId="0" fontId="4" fillId="2" borderId="0" xfId="0" applyFont="1" applyFill="1" applyAlignment="1">
      <alignment horizontal="right"/>
    </xf>
    <xf numFmtId="3" fontId="5" fillId="0" borderId="0" xfId="0" applyNumberFormat="1"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3" fontId="5" fillId="0" borderId="0" xfId="0" applyNumberFormat="1" applyFont="1" applyAlignment="1">
      <alignment horizontal="right"/>
    </xf>
    <xf numFmtId="3" fontId="0" fillId="0" borderId="0" xfId="0" applyNumberFormat="1"/>
    <xf numFmtId="0" fontId="4" fillId="4" borderId="0" xfId="0" applyFont="1" applyFill="1"/>
    <xf numFmtId="0" fontId="4" fillId="4" borderId="12" xfId="0" applyFont="1" applyFill="1" applyBorder="1" applyAlignment="1">
      <alignment horizontal="center"/>
    </xf>
    <xf numFmtId="0" fontId="4" fillId="4" borderId="13" xfId="0" applyFont="1" applyFill="1" applyBorder="1" applyAlignment="1">
      <alignment horizontal="left"/>
    </xf>
    <xf numFmtId="0" fontId="4" fillId="4" borderId="1" xfId="0" applyFont="1" applyFill="1" applyBorder="1"/>
    <xf numFmtId="0" fontId="4" fillId="4" borderId="9" xfId="0" applyFont="1" applyFill="1" applyBorder="1"/>
    <xf numFmtId="0" fontId="4" fillId="4" borderId="10" xfId="0" applyFont="1" applyFill="1" applyBorder="1"/>
    <xf numFmtId="0" fontId="4" fillId="4" borderId="11" xfId="0" applyFont="1" applyFill="1" applyBorder="1"/>
    <xf numFmtId="0" fontId="4" fillId="4" borderId="12" xfId="0" applyFont="1" applyFill="1" applyBorder="1" applyAlignment="1">
      <alignment horizontal="left"/>
    </xf>
    <xf numFmtId="0" fontId="14" fillId="0" borderId="0" xfId="0" applyFont="1" applyProtection="1">
      <protection locked="0"/>
    </xf>
    <xf numFmtId="2" fontId="14" fillId="0" borderId="0" xfId="0" applyNumberFormat="1" applyFont="1" applyProtection="1">
      <protection locked="0"/>
    </xf>
    <xf numFmtId="0" fontId="14" fillId="0" borderId="0" xfId="0" applyFont="1" applyAlignment="1" applyProtection="1">
      <alignment horizontal="center"/>
      <protection locked="0"/>
    </xf>
    <xf numFmtId="165" fontId="14" fillId="0" borderId="0" xfId="0" applyNumberFormat="1" applyFont="1" applyProtection="1">
      <protection locked="0"/>
    </xf>
    <xf numFmtId="0" fontId="41" fillId="0" borderId="0" xfId="0" applyFont="1" applyProtection="1">
      <protection locked="0"/>
    </xf>
    <xf numFmtId="3" fontId="14" fillId="0" borderId="0" xfId="0" applyNumberFormat="1" applyFont="1" applyProtection="1">
      <protection locked="0"/>
    </xf>
    <xf numFmtId="167" fontId="14" fillId="0" borderId="0" xfId="0" applyNumberFormat="1" applyFont="1"/>
    <xf numFmtId="44" fontId="14" fillId="0" borderId="0" xfId="8" applyFont="1" applyFill="1" applyBorder="1" applyAlignment="1" applyProtection="1">
      <alignment horizontal="left" vertical="top"/>
    </xf>
    <xf numFmtId="0" fontId="14" fillId="0" borderId="0" xfId="0" applyFont="1" applyAlignment="1">
      <alignment horizontal="left"/>
    </xf>
    <xf numFmtId="3" fontId="14" fillId="0" borderId="0" xfId="0" applyNumberFormat="1" applyFont="1"/>
    <xf numFmtId="0" fontId="14" fillId="0" borderId="0" xfId="1" applyFont="1" applyAlignment="1">
      <alignment horizontal="left" vertical="top" wrapText="1"/>
    </xf>
    <xf numFmtId="0" fontId="42" fillId="0" borderId="0" xfId="1" applyFont="1" applyAlignment="1">
      <alignment horizontal="left" vertical="top"/>
    </xf>
    <xf numFmtId="166" fontId="14" fillId="0" borderId="0" xfId="0" applyNumberFormat="1" applyFont="1"/>
    <xf numFmtId="0" fontId="42" fillId="0" borderId="0" xfId="0" applyFont="1"/>
    <xf numFmtId="0" fontId="18" fillId="0" borderId="0" xfId="0" applyFont="1" applyAlignment="1" applyProtection="1">
      <alignment horizontal="left"/>
      <protection locked="0"/>
    </xf>
    <xf numFmtId="0" fontId="14" fillId="0" borderId="0" xfId="0" applyFont="1" applyAlignment="1" applyProtection="1">
      <alignment horizontal="left"/>
      <protection locked="0"/>
    </xf>
    <xf numFmtId="3" fontId="43" fillId="0" borderId="0" xfId="0" applyNumberFormat="1" applyFont="1" applyProtection="1">
      <protection locked="0"/>
    </xf>
    <xf numFmtId="49" fontId="5" fillId="4" borderId="8" xfId="0" applyNumberFormat="1" applyFont="1" applyFill="1" applyBorder="1" applyAlignment="1">
      <alignment horizontal="center"/>
    </xf>
    <xf numFmtId="0" fontId="8" fillId="0" borderId="0" xfId="0" applyFont="1" applyAlignment="1" applyProtection="1">
      <alignment horizontal="left"/>
      <protection locked="0"/>
    </xf>
    <xf numFmtId="3" fontId="8" fillId="0" borderId="0" xfId="0" applyNumberFormat="1" applyFont="1" applyProtection="1">
      <protection locked="0"/>
    </xf>
    <xf numFmtId="4" fontId="8" fillId="0" borderId="0" xfId="0" applyNumberFormat="1" applyFont="1" applyAlignment="1" applyProtection="1">
      <alignment horizontal="right"/>
      <protection locked="0"/>
    </xf>
    <xf numFmtId="0" fontId="8" fillId="0" borderId="0" xfId="0" applyFont="1" applyAlignment="1" applyProtection="1">
      <alignment horizontal="left" wrapText="1"/>
      <protection locked="0"/>
    </xf>
    <xf numFmtId="0" fontId="46" fillId="0" borderId="0" xfId="0" applyFont="1" applyAlignment="1" applyProtection="1">
      <alignment vertical="center"/>
      <protection locked="0"/>
    </xf>
    <xf numFmtId="168" fontId="4" fillId="0" borderId="0" xfId="0" applyNumberFormat="1" applyFont="1" applyAlignment="1" applyProtection="1">
      <alignment horizontal="right"/>
      <protection locked="0"/>
    </xf>
    <xf numFmtId="168" fontId="4" fillId="0" borderId="0" xfId="0" applyNumberFormat="1" applyFont="1" applyProtection="1">
      <protection locked="0"/>
    </xf>
    <xf numFmtId="168" fontId="4" fillId="0" borderId="0" xfId="0" applyNumberFormat="1" applyFont="1" applyAlignment="1" applyProtection="1">
      <alignment horizontal="center"/>
      <protection locked="0"/>
    </xf>
    <xf numFmtId="168" fontId="8" fillId="0" borderId="0" xfId="0" applyNumberFormat="1" applyFont="1" applyProtection="1">
      <protection locked="0"/>
    </xf>
    <xf numFmtId="168" fontId="4" fillId="4" borderId="0" xfId="0" applyNumberFormat="1" applyFont="1" applyFill="1" applyAlignment="1" applyProtection="1">
      <alignment horizontal="left" vertical="top" wrapText="1"/>
      <protection locked="0"/>
    </xf>
    <xf numFmtId="168" fontId="4" fillId="0" borderId="0" xfId="0" applyNumberFormat="1" applyFont="1" applyAlignment="1" applyProtection="1">
      <alignment horizontal="left"/>
      <protection locked="0"/>
    </xf>
    <xf numFmtId="168" fontId="7" fillId="0" borderId="0" xfId="0" applyNumberFormat="1" applyFont="1" applyProtection="1">
      <protection locked="0"/>
    </xf>
    <xf numFmtId="168" fontId="6" fillId="2" borderId="0" xfId="0" applyNumberFormat="1" applyFont="1" applyFill="1" applyAlignment="1" applyProtection="1">
      <alignment horizontal="center"/>
      <protection locked="0"/>
    </xf>
    <xf numFmtId="168" fontId="6" fillId="0" borderId="0" xfId="0" applyNumberFormat="1" applyFont="1" applyAlignment="1">
      <alignment horizontal="center"/>
    </xf>
    <xf numFmtId="168" fontId="6" fillId="2" borderId="0" xfId="0" applyNumberFormat="1" applyFont="1" applyFill="1" applyAlignment="1">
      <alignment horizontal="center"/>
    </xf>
    <xf numFmtId="168" fontId="4" fillId="0" borderId="0" xfId="0" applyNumberFormat="1" applyFont="1" applyAlignment="1">
      <alignment horizontal="center"/>
    </xf>
    <xf numFmtId="168" fontId="6" fillId="0" borderId="0" xfId="0" applyNumberFormat="1" applyFont="1" applyAlignment="1">
      <alignment horizontal="right"/>
    </xf>
    <xf numFmtId="168" fontId="4" fillId="0" borderId="0" xfId="0" applyNumberFormat="1" applyFont="1" applyAlignment="1">
      <alignment horizontal="right"/>
    </xf>
    <xf numFmtId="168" fontId="4" fillId="2" borderId="0" xfId="0" applyNumberFormat="1" applyFont="1" applyFill="1" applyAlignment="1">
      <alignment horizontal="right"/>
    </xf>
    <xf numFmtId="168" fontId="4" fillId="0" borderId="0" xfId="0" applyNumberFormat="1" applyFont="1"/>
    <xf numFmtId="168" fontId="4" fillId="2" borderId="0" xfId="0" applyNumberFormat="1" applyFont="1" applyFill="1"/>
    <xf numFmtId="168" fontId="4" fillId="2" borderId="0" xfId="0" applyNumberFormat="1" applyFont="1" applyFill="1" applyAlignment="1" applyProtection="1">
      <alignment horizontal="right"/>
      <protection locked="0"/>
    </xf>
    <xf numFmtId="168" fontId="40" fillId="0" borderId="0" xfId="0" applyNumberFormat="1" applyFont="1" applyAlignment="1" applyProtection="1">
      <alignment horizontal="right"/>
      <protection locked="0"/>
    </xf>
    <xf numFmtId="168" fontId="23" fillId="0" borderId="0" xfId="0" applyNumberFormat="1" applyFont="1" applyAlignment="1" applyProtection="1">
      <alignment horizontal="right"/>
      <protection locked="0"/>
    </xf>
    <xf numFmtId="168" fontId="23" fillId="0" borderId="0" xfId="0" applyNumberFormat="1" applyFont="1" applyProtection="1">
      <protection locked="0"/>
    </xf>
    <xf numFmtId="168" fontId="4" fillId="0" borderId="2" xfId="0" applyNumberFormat="1" applyFont="1" applyBorder="1" applyAlignment="1" applyProtection="1">
      <alignment horizontal="right"/>
      <protection locked="0"/>
    </xf>
    <xf numFmtId="168" fontId="4" fillId="2" borderId="2" xfId="0" applyNumberFormat="1" applyFont="1" applyFill="1" applyBorder="1" applyAlignment="1" applyProtection="1">
      <alignment horizontal="right"/>
      <protection locked="0"/>
    </xf>
    <xf numFmtId="168" fontId="4" fillId="0" borderId="2" xfId="0" applyNumberFormat="1" applyFont="1" applyBorder="1" applyProtection="1">
      <protection locked="0"/>
    </xf>
    <xf numFmtId="168" fontId="4" fillId="2" borderId="2" xfId="0" applyNumberFormat="1" applyFont="1" applyFill="1" applyBorder="1" applyProtection="1">
      <protection locked="0"/>
    </xf>
    <xf numFmtId="168" fontId="4" fillId="2" borderId="0" xfId="0" applyNumberFormat="1" applyFont="1" applyFill="1" applyProtection="1">
      <protection locked="0"/>
    </xf>
    <xf numFmtId="168" fontId="4" fillId="0" borderId="1" xfId="0" applyNumberFormat="1" applyFont="1" applyBorder="1" applyAlignment="1" applyProtection="1">
      <alignment horizontal="right"/>
      <protection locked="0"/>
    </xf>
    <xf numFmtId="168" fontId="4" fillId="2" borderId="1" xfId="0" applyNumberFormat="1" applyFont="1" applyFill="1" applyBorder="1" applyAlignment="1" applyProtection="1">
      <alignment horizontal="right"/>
      <protection locked="0"/>
    </xf>
    <xf numFmtId="168" fontId="18" fillId="0" borderId="0" xfId="0" applyNumberFormat="1" applyFont="1" applyAlignment="1" applyProtection="1">
      <alignment horizontal="right"/>
      <protection locked="0"/>
    </xf>
    <xf numFmtId="168" fontId="18" fillId="2" borderId="0" xfId="0" applyNumberFormat="1" applyFont="1" applyFill="1" applyAlignment="1" applyProtection="1">
      <alignment horizontal="right"/>
      <protection locked="0"/>
    </xf>
    <xf numFmtId="168" fontId="18" fillId="0" borderId="0" xfId="0" applyNumberFormat="1" applyFont="1" applyProtection="1">
      <protection locked="0"/>
    </xf>
    <xf numFmtId="168" fontId="17" fillId="0" borderId="0" xfId="0" applyNumberFormat="1" applyFont="1" applyAlignment="1" applyProtection="1">
      <alignment horizontal="right"/>
      <protection locked="0"/>
    </xf>
    <xf numFmtId="168" fontId="17" fillId="2" borderId="0" xfId="0" applyNumberFormat="1" applyFont="1" applyFill="1" applyAlignment="1" applyProtection="1">
      <alignment horizontal="right"/>
      <protection locked="0"/>
    </xf>
    <xf numFmtId="168" fontId="17" fillId="0" borderId="0" xfId="0" applyNumberFormat="1" applyFont="1" applyProtection="1">
      <protection locked="0"/>
    </xf>
    <xf numFmtId="168" fontId="6" fillId="0" borderId="0" xfId="0" applyNumberFormat="1" applyFont="1" applyAlignment="1" applyProtection="1">
      <alignment horizontal="right"/>
      <protection locked="0"/>
    </xf>
    <xf numFmtId="168" fontId="6" fillId="2" borderId="0" xfId="0" applyNumberFormat="1" applyFont="1" applyFill="1" applyAlignment="1" applyProtection="1">
      <alignment horizontal="right"/>
      <protection locked="0"/>
    </xf>
    <xf numFmtId="168" fontId="6" fillId="0" borderId="0" xfId="0" applyNumberFormat="1" applyFont="1" applyProtection="1">
      <protection locked="0"/>
    </xf>
    <xf numFmtId="168" fontId="11" fillId="0" borderId="0" xfId="0" applyNumberFormat="1" applyFont="1" applyAlignment="1" applyProtection="1">
      <alignment horizontal="right"/>
      <protection locked="0"/>
    </xf>
    <xf numFmtId="168" fontId="11" fillId="0" borderId="0" xfId="0" applyNumberFormat="1" applyFont="1" applyProtection="1">
      <protection locked="0"/>
    </xf>
    <xf numFmtId="168" fontId="22" fillId="0" borderId="0" xfId="0" applyNumberFormat="1" applyFont="1" applyAlignment="1" applyProtection="1">
      <alignment horizontal="right"/>
      <protection locked="0"/>
    </xf>
    <xf numFmtId="168" fontId="22" fillId="2" borderId="0" xfId="0" applyNumberFormat="1" applyFont="1" applyFill="1" applyAlignment="1" applyProtection="1">
      <alignment horizontal="right"/>
      <protection locked="0"/>
    </xf>
    <xf numFmtId="168" fontId="22" fillId="0" borderId="0" xfId="0" applyNumberFormat="1" applyFont="1" applyProtection="1">
      <protection locked="0"/>
    </xf>
    <xf numFmtId="168" fontId="22" fillId="2" borderId="0" xfId="0" applyNumberFormat="1" applyFont="1" applyFill="1" applyProtection="1">
      <protection locked="0"/>
    </xf>
    <xf numFmtId="168" fontId="8" fillId="0" borderId="0" xfId="0" applyNumberFormat="1" applyFont="1" applyAlignment="1" applyProtection="1">
      <alignment horizontal="right"/>
      <protection locked="0"/>
    </xf>
    <xf numFmtId="3" fontId="47" fillId="0" borderId="0" xfId="0" applyNumberFormat="1" applyFont="1" applyProtection="1">
      <protection locked="0"/>
    </xf>
    <xf numFmtId="2" fontId="4" fillId="6" borderId="0" xfId="0" applyNumberFormat="1" applyFont="1" applyFill="1" applyProtection="1">
      <protection locked="0"/>
    </xf>
    <xf numFmtId="0" fontId="4" fillId="7" borderId="0" xfId="0" applyFont="1" applyFill="1" applyProtection="1">
      <protection locked="0"/>
    </xf>
    <xf numFmtId="0" fontId="4" fillId="7" borderId="0" xfId="0" applyFont="1" applyFill="1" applyAlignment="1">
      <alignment horizontal="center"/>
    </xf>
    <xf numFmtId="10" fontId="4" fillId="3" borderId="0" xfId="0" applyNumberFormat="1" applyFont="1" applyFill="1" applyAlignment="1" applyProtection="1">
      <alignment horizontal="left"/>
      <protection locked="0"/>
    </xf>
    <xf numFmtId="9" fontId="4" fillId="0" borderId="0" xfId="9" applyFont="1" applyFill="1" applyAlignment="1" applyProtection="1">
      <alignment horizontal="right"/>
      <protection locked="0"/>
    </xf>
    <xf numFmtId="9" fontId="4" fillId="3" borderId="0" xfId="9" applyFont="1" applyFill="1" applyAlignment="1" applyProtection="1">
      <alignment horizontal="right"/>
      <protection locked="0"/>
    </xf>
    <xf numFmtId="4" fontId="5" fillId="6" borderId="0" xfId="0" applyNumberFormat="1" applyFont="1" applyFill="1" applyAlignment="1" applyProtection="1">
      <alignment horizontal="center"/>
      <protection locked="0"/>
    </xf>
    <xf numFmtId="10" fontId="4" fillId="6" borderId="0" xfId="0" applyNumberFormat="1" applyFont="1" applyFill="1" applyProtection="1">
      <protection locked="0"/>
    </xf>
    <xf numFmtId="166" fontId="4" fillId="0" borderId="0" xfId="0" applyNumberFormat="1" applyFont="1" applyProtection="1">
      <protection locked="0"/>
    </xf>
    <xf numFmtId="0" fontId="4" fillId="0" borderId="0" xfId="1" applyFont="1" applyAlignment="1" applyProtection="1">
      <alignment horizontal="left" vertical="top"/>
      <protection locked="0"/>
    </xf>
    <xf numFmtId="0" fontId="12" fillId="0" borderId="0" xfId="0" applyFont="1" applyAlignment="1" applyProtection="1">
      <alignment horizontal="left"/>
      <protection locked="0"/>
    </xf>
    <xf numFmtId="168" fontId="5" fillId="0" borderId="0" xfId="0" applyNumberFormat="1" applyFont="1" applyAlignment="1" applyProtection="1">
      <alignment horizontal="right"/>
      <protection locked="0"/>
    </xf>
    <xf numFmtId="168" fontId="5" fillId="0" borderId="0" xfId="0" applyNumberFormat="1" applyFont="1" applyProtection="1">
      <protection locked="0"/>
    </xf>
    <xf numFmtId="0" fontId="39" fillId="0" borderId="0" xfId="10" applyProtection="1">
      <protection locked="0"/>
    </xf>
    <xf numFmtId="2" fontId="39" fillId="0" borderId="0" xfId="10" applyNumberFormat="1" applyProtection="1">
      <protection locked="0"/>
    </xf>
    <xf numFmtId="168" fontId="14" fillId="0" borderId="0" xfId="0" applyNumberFormat="1" applyFont="1" applyAlignment="1" applyProtection="1">
      <alignment horizontal="right"/>
      <protection locked="0"/>
    </xf>
    <xf numFmtId="168" fontId="14" fillId="0" borderId="0" xfId="0" applyNumberFormat="1" applyFont="1" applyProtection="1">
      <protection locked="0"/>
    </xf>
    <xf numFmtId="168" fontId="4" fillId="6" borderId="0" xfId="0" applyNumberFormat="1" applyFont="1" applyFill="1" applyAlignment="1" applyProtection="1">
      <alignment horizontal="right"/>
      <protection locked="0"/>
    </xf>
    <xf numFmtId="168" fontId="4" fillId="6" borderId="0" xfId="0" applyNumberFormat="1" applyFont="1" applyFill="1" applyProtection="1">
      <protection locked="0"/>
    </xf>
    <xf numFmtId="0" fontId="15" fillId="0" borderId="0" xfId="0" applyFont="1" applyProtection="1">
      <protection locked="0"/>
    </xf>
    <xf numFmtId="0" fontId="48" fillId="0" borderId="0" xfId="10" applyFont="1" applyProtection="1">
      <protection locked="0"/>
    </xf>
    <xf numFmtId="44" fontId="14" fillId="0" borderId="0" xfId="8" applyFont="1" applyProtection="1">
      <protection locked="0"/>
    </xf>
    <xf numFmtId="0" fontId="4" fillId="0" borderId="0" xfId="0" applyFont="1" applyFill="1" applyAlignment="1" applyProtection="1">
      <alignment horizontal="left"/>
      <protection locked="0"/>
    </xf>
    <xf numFmtId="3" fontId="4" fillId="0" borderId="0" xfId="0" applyNumberFormat="1" applyFont="1" applyFill="1" applyProtection="1">
      <protection locked="0"/>
    </xf>
    <xf numFmtId="0" fontId="49" fillId="0" borderId="0" xfId="0" applyFont="1"/>
    <xf numFmtId="0" fontId="0" fillId="0" borderId="0" xfId="0" applyFill="1"/>
    <xf numFmtId="0" fontId="4" fillId="0" borderId="0" xfId="0" applyFont="1" applyFill="1" applyAlignment="1" applyProtection="1">
      <alignment horizontal="center"/>
      <protection locked="0"/>
    </xf>
    <xf numFmtId="0" fontId="39" fillId="0" borderId="0" xfId="10"/>
    <xf numFmtId="0" fontId="4" fillId="4" borderId="0" xfId="0" applyFont="1" applyFill="1" applyAlignment="1" applyProtection="1">
      <alignment horizontal="left"/>
      <protection locked="0"/>
    </xf>
    <xf numFmtId="0" fontId="4" fillId="4" borderId="0" xfId="0" applyFont="1" applyFill="1" applyAlignment="1" applyProtection="1">
      <alignment horizontal="left"/>
      <protection locked="0"/>
    </xf>
    <xf numFmtId="0" fontId="6" fillId="0" borderId="0" xfId="0" applyFont="1" applyFill="1" applyAlignment="1" applyProtection="1">
      <alignment horizontal="left"/>
      <protection locked="0"/>
    </xf>
    <xf numFmtId="0" fontId="4" fillId="0" borderId="0" xfId="0" applyFont="1" applyFill="1" applyProtection="1">
      <protection locked="0"/>
    </xf>
    <xf numFmtId="3" fontId="4" fillId="0" borderId="0" xfId="0" applyNumberFormat="1" applyFont="1" applyFill="1" applyAlignment="1" applyProtection="1">
      <alignment horizontal="right"/>
      <protection locked="0"/>
    </xf>
    <xf numFmtId="168" fontId="4" fillId="0" borderId="0" xfId="0" applyNumberFormat="1" applyFont="1" applyFill="1" applyAlignment="1" applyProtection="1">
      <alignment horizontal="right"/>
      <protection locked="0"/>
    </xf>
    <xf numFmtId="168" fontId="4" fillId="0" borderId="0" xfId="0" applyNumberFormat="1" applyFont="1" applyFill="1" applyProtection="1">
      <protection locked="0"/>
    </xf>
    <xf numFmtId="0" fontId="49" fillId="0" borderId="0" xfId="0" applyFont="1" applyFill="1"/>
    <xf numFmtId="0" fontId="0" fillId="0" borderId="0" xfId="0" applyFont="1"/>
    <xf numFmtId="3" fontId="18" fillId="0" borderId="0" xfId="0" applyNumberFormat="1" applyFont="1" applyFill="1" applyAlignment="1" applyProtection="1">
      <alignment horizontal="center"/>
      <protection locked="0"/>
    </xf>
    <xf numFmtId="0" fontId="4" fillId="4" borderId="0" xfId="0" applyFont="1" applyFill="1" applyAlignment="1" applyProtection="1">
      <alignment horizontal="left"/>
      <protection locked="0"/>
    </xf>
    <xf numFmtId="168" fontId="5" fillId="0" borderId="0" xfId="8" applyNumberFormat="1" applyFont="1" applyFill="1" applyAlignment="1" applyProtection="1">
      <alignment horizontal="right"/>
      <protection locked="0"/>
    </xf>
    <xf numFmtId="0" fontId="48" fillId="0" borderId="0" xfId="10" applyFont="1" applyFill="1" applyProtection="1">
      <protection locked="0"/>
    </xf>
    <xf numFmtId="3" fontId="6" fillId="0" borderId="0" xfId="0" applyNumberFormat="1" applyFont="1" applyFill="1" applyProtection="1">
      <protection locked="0"/>
    </xf>
    <xf numFmtId="3" fontId="5" fillId="0" borderId="0" xfId="0" applyNumberFormat="1" applyFont="1" applyFill="1" applyProtection="1">
      <protection locked="0"/>
    </xf>
    <xf numFmtId="168" fontId="11" fillId="0" borderId="0" xfId="0" applyNumberFormat="1" applyFont="1" applyFill="1" applyAlignment="1" applyProtection="1">
      <alignment horizontal="right"/>
      <protection locked="0"/>
    </xf>
    <xf numFmtId="0" fontId="5" fillId="3" borderId="0" xfId="0" applyFont="1" applyFill="1" applyAlignment="1" applyProtection="1">
      <alignment horizontal="left"/>
      <protection locked="0"/>
    </xf>
    <xf numFmtId="0" fontId="4" fillId="3" borderId="0" xfId="0" applyFont="1" applyFill="1" applyAlignment="1" applyProtection="1">
      <alignment horizontal="left"/>
      <protection locked="0"/>
    </xf>
    <xf numFmtId="3" fontId="4" fillId="3" borderId="0" xfId="0" applyNumberFormat="1" applyFont="1" applyFill="1" applyProtection="1">
      <protection locked="0"/>
    </xf>
    <xf numFmtId="0" fontId="5" fillId="0" borderId="0" xfId="0" applyFont="1" applyFill="1" applyProtection="1">
      <protection locked="0"/>
    </xf>
    <xf numFmtId="0" fontId="4" fillId="4" borderId="0" xfId="0" applyFont="1" applyFill="1" applyAlignment="1" applyProtection="1">
      <alignment horizontal="left"/>
      <protection locked="0"/>
    </xf>
    <xf numFmtId="44" fontId="13" fillId="3" borderId="0" xfId="8" applyNumberFormat="1" applyFont="1" applyFill="1" applyAlignment="1" applyProtection="1">
      <alignment horizontal="center"/>
      <protection locked="0"/>
    </xf>
    <xf numFmtId="0" fontId="5" fillId="0" borderId="0" xfId="0" applyFont="1" applyAlignment="1">
      <alignment horizontal="center"/>
    </xf>
    <xf numFmtId="0" fontId="15" fillId="0" borderId="0" xfId="0" applyFont="1" applyAlignment="1">
      <alignment horizontal="center"/>
    </xf>
    <xf numFmtId="3" fontId="4" fillId="4" borderId="0" xfId="0" applyNumberFormat="1" applyFont="1" applyFill="1" applyAlignment="1" applyProtection="1">
      <alignment horizontal="center" vertical="top" wrapText="1"/>
      <protection locked="0"/>
    </xf>
    <xf numFmtId="0" fontId="4" fillId="4" borderId="12" xfId="0" applyFont="1" applyFill="1" applyBorder="1" applyAlignment="1">
      <alignment horizontal="left"/>
    </xf>
    <xf numFmtId="0" fontId="4" fillId="4" borderId="0" xfId="0" applyFont="1" applyFill="1" applyAlignment="1">
      <alignment horizontal="left"/>
    </xf>
    <xf numFmtId="0" fontId="6" fillId="0" borderId="0" xfId="0" applyFont="1" applyAlignment="1" applyProtection="1">
      <alignment horizontal="center"/>
      <protection locked="0"/>
    </xf>
    <xf numFmtId="14" fontId="4" fillId="4" borderId="0" xfId="0" applyNumberFormat="1" applyFont="1" applyFill="1" applyAlignment="1" applyProtection="1">
      <alignment horizontal="left"/>
      <protection locked="0"/>
    </xf>
    <xf numFmtId="0" fontId="4" fillId="4" borderId="0" xfId="0" applyFont="1" applyFill="1" applyAlignment="1" applyProtection="1">
      <alignment horizontal="left"/>
      <protection locked="0"/>
    </xf>
    <xf numFmtId="0" fontId="4" fillId="4" borderId="0" xfId="0" applyFont="1" applyFill="1" applyAlignment="1">
      <alignment horizontal="center"/>
    </xf>
    <xf numFmtId="3" fontId="4" fillId="4" borderId="0" xfId="0" applyNumberFormat="1" applyFont="1" applyFill="1" applyAlignment="1" applyProtection="1">
      <alignment horizontal="center"/>
      <protection locked="0"/>
    </xf>
    <xf numFmtId="0" fontId="4" fillId="4" borderId="6" xfId="0" applyFont="1" applyFill="1" applyBorder="1" applyAlignment="1" applyProtection="1">
      <alignment horizontal="center"/>
      <protection locked="0"/>
    </xf>
    <xf numFmtId="0" fontId="4" fillId="4" borderId="3" xfId="0" applyFont="1" applyFill="1" applyBorder="1" applyAlignment="1" applyProtection="1">
      <alignment horizontal="center"/>
      <protection locked="0"/>
    </xf>
    <xf numFmtId="0" fontId="4" fillId="4" borderId="8" xfId="0" applyFont="1" applyFill="1" applyBorder="1" applyAlignment="1" applyProtection="1">
      <alignment horizontal="center"/>
      <protection locked="0"/>
    </xf>
    <xf numFmtId="3" fontId="24" fillId="0" borderId="0" xfId="0" applyNumberFormat="1" applyFont="1" applyAlignment="1">
      <alignment horizontal="center"/>
    </xf>
    <xf numFmtId="3" fontId="4" fillId="0" borderId="0" xfId="0" applyNumberFormat="1" applyFont="1" applyAlignment="1">
      <alignment horizontal="left" vertical="top" wrapText="1"/>
    </xf>
    <xf numFmtId="0" fontId="6" fillId="4" borderId="0" xfId="0" applyFont="1" applyFill="1" applyAlignment="1">
      <alignment horizontal="center" vertical="center"/>
    </xf>
    <xf numFmtId="0" fontId="4" fillId="0" borderId="0" xfId="0" applyFont="1" applyAlignment="1">
      <alignment horizontal="left"/>
    </xf>
    <xf numFmtId="3" fontId="4" fillId="0" borderId="0" xfId="0" applyNumberFormat="1" applyFont="1" applyAlignment="1">
      <alignment horizontal="left"/>
    </xf>
    <xf numFmtId="14" fontId="4" fillId="0" borderId="0" xfId="0" applyNumberFormat="1" applyFont="1" applyAlignment="1">
      <alignment horizontal="left"/>
    </xf>
    <xf numFmtId="0" fontId="34" fillId="0" borderId="0" xfId="0" applyFont="1" applyAlignment="1">
      <alignment vertical="top" wrapText="1"/>
    </xf>
    <xf numFmtId="0" fontId="35" fillId="0" borderId="0" xfId="0" applyFont="1" applyAlignment="1">
      <alignment vertical="top" wrapText="1"/>
    </xf>
    <xf numFmtId="0" fontId="26" fillId="4" borderId="6" xfId="7" applyNumberFormat="1" applyFont="1" applyFill="1" applyBorder="1" applyAlignment="1">
      <alignment horizontal="center" vertical="center"/>
    </xf>
    <xf numFmtId="0" fontId="26" fillId="4" borderId="3" xfId="7" applyNumberFormat="1" applyFont="1" applyFill="1" applyBorder="1" applyAlignment="1">
      <alignment horizontal="center" vertical="center"/>
    </xf>
    <xf numFmtId="0" fontId="26" fillId="4" borderId="8" xfId="7" applyNumberFormat="1" applyFont="1" applyFill="1" applyBorder="1" applyAlignment="1">
      <alignment horizontal="center" vertical="center"/>
    </xf>
    <xf numFmtId="0" fontId="32" fillId="4" borderId="6" xfId="7" applyNumberFormat="1" applyFont="1" applyFill="1" applyBorder="1" applyAlignment="1">
      <alignment horizontal="left" vertical="center" indent="1"/>
    </xf>
    <xf numFmtId="0" fontId="32" fillId="4" borderId="3" xfId="7" applyNumberFormat="1" applyFont="1" applyFill="1" applyBorder="1" applyAlignment="1">
      <alignment horizontal="left" vertical="center" indent="1"/>
    </xf>
    <xf numFmtId="0" fontId="32" fillId="4" borderId="8" xfId="7" applyNumberFormat="1" applyFont="1" applyFill="1" applyBorder="1" applyAlignment="1">
      <alignment horizontal="left" vertical="center" indent="1"/>
    </xf>
    <xf numFmtId="0" fontId="32" fillId="4" borderId="5" xfId="7" applyNumberFormat="1" applyFont="1" applyFill="1" applyBorder="1" applyAlignment="1">
      <alignment horizontal="left" vertical="center" indent="1"/>
    </xf>
    <xf numFmtId="0" fontId="31" fillId="0" borderId="0" xfId="0" applyFont="1" applyAlignment="1">
      <alignment horizontal="left" vertical="top" wrapText="1"/>
    </xf>
    <xf numFmtId="3" fontId="28" fillId="0" borderId="5" xfId="7" applyNumberFormat="1" applyFont="1" applyBorder="1" applyAlignment="1">
      <alignment vertical="center"/>
    </xf>
    <xf numFmtId="0" fontId="28" fillId="0" borderId="5" xfId="7" applyNumberFormat="1" applyFont="1" applyBorder="1" applyAlignment="1">
      <alignment vertical="center"/>
    </xf>
    <xf numFmtId="4" fontId="4" fillId="0" borderId="0" xfId="0" applyNumberFormat="1" applyFont="1" applyProtection="1">
      <protection locked="0"/>
    </xf>
    <xf numFmtId="10" fontId="5" fillId="0" borderId="0" xfId="0" applyNumberFormat="1" applyFont="1" applyFill="1" applyAlignment="1" applyProtection="1">
      <alignment horizontal="right"/>
      <protection locked="0"/>
    </xf>
    <xf numFmtId="3" fontId="6" fillId="0" borderId="0" xfId="0" applyNumberFormat="1" applyFont="1" applyFill="1" applyAlignment="1" applyProtection="1">
      <alignment horizontal="right"/>
      <protection locked="0"/>
    </xf>
    <xf numFmtId="0" fontId="39" fillId="0" borderId="0" xfId="10" applyFill="1" applyAlignment="1" applyProtection="1">
      <alignment horizontal="left"/>
      <protection locked="0"/>
    </xf>
    <xf numFmtId="0" fontId="50" fillId="0" borderId="0" xfId="0" applyFont="1" applyAlignment="1" applyProtection="1">
      <alignment vertical="center"/>
      <protection locked="0"/>
    </xf>
    <xf numFmtId="0" fontId="14" fillId="0" borderId="0" xfId="0" applyFont="1" applyAlignment="1" applyProtection="1">
      <alignment horizontal="left" wrapText="1"/>
      <protection locked="0"/>
    </xf>
    <xf numFmtId="168" fontId="14" fillId="0" borderId="0" xfId="1" applyNumberFormat="1" applyFont="1" applyAlignment="1" applyProtection="1">
      <alignment horizontal="left" vertical="top"/>
      <protection locked="0"/>
    </xf>
    <xf numFmtId="0" fontId="14" fillId="0" borderId="0" xfId="0" applyFont="1" applyAlignment="1" applyProtection="1">
      <alignment wrapText="1"/>
      <protection locked="0"/>
    </xf>
  </cellXfs>
  <cellStyles count="11">
    <cellStyle name="Comma" xfId="7" builtinId="3"/>
    <cellStyle name="Currency" xfId="8" builtinId="4"/>
    <cellStyle name="Hyperlink" xfId="10" builtinId="8"/>
    <cellStyle name="Hyperlink 2" xfId="3" xr:uid="{00000000-0005-0000-0000-000002000000}"/>
    <cellStyle name="Hyperlink 2 2" xfId="4" xr:uid="{00000000-0005-0000-0000-000003000000}"/>
    <cellStyle name="Normal" xfId="0" builtinId="0"/>
    <cellStyle name="Normal 2" xfId="1" xr:uid="{00000000-0005-0000-0000-000005000000}"/>
    <cellStyle name="Normal 3" xfId="2" xr:uid="{00000000-0005-0000-0000-000006000000}"/>
    <cellStyle name="Normal 4" xfId="5" xr:uid="{00000000-0005-0000-0000-000007000000}"/>
    <cellStyle name="Normal 5" xfId="6" xr:uid="{00000000-0005-0000-0000-000008000000}"/>
    <cellStyle name="Percent" xfId="9"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70</xdr:row>
      <xdr:rowOff>93499</xdr:rowOff>
    </xdr:from>
    <xdr:to>
      <xdr:col>9</xdr:col>
      <xdr:colOff>142875</xdr:colOff>
      <xdr:row>77</xdr:row>
      <xdr:rowOff>152673</xdr:rowOff>
    </xdr:to>
    <xdr:pic>
      <xdr:nvPicPr>
        <xdr:cNvPr id="5" name="Picture 4">
          <a:extLst>
            <a:ext uri="{FF2B5EF4-FFF2-40B4-BE49-F238E27FC236}">
              <a16:creationId xmlns:a16="http://schemas.microsoft.com/office/drawing/2014/main" id="{CD6251AF-CC60-46DA-B7CD-B0BC775844A3}"/>
            </a:ext>
          </a:extLst>
        </xdr:cNvPr>
        <xdr:cNvPicPr>
          <a:picLocks noChangeAspect="1"/>
        </xdr:cNvPicPr>
      </xdr:nvPicPr>
      <xdr:blipFill>
        <a:blip xmlns:r="http://schemas.openxmlformats.org/officeDocument/2006/relationships" r:embed="rId1"/>
        <a:stretch>
          <a:fillRect/>
        </a:stretch>
      </xdr:blipFill>
      <xdr:spPr>
        <a:xfrm>
          <a:off x="771525" y="10494799"/>
          <a:ext cx="5667375" cy="1459349"/>
        </a:xfrm>
        <a:prstGeom prst="rect">
          <a:avLst/>
        </a:prstGeom>
      </xdr:spPr>
    </xdr:pic>
    <xdr:clientData/>
  </xdr:twoCellAnchor>
  <xdr:twoCellAnchor editAs="oneCell">
    <xdr:from>
      <xdr:col>1</xdr:col>
      <xdr:colOff>57151</xdr:colOff>
      <xdr:row>105</xdr:row>
      <xdr:rowOff>94981</xdr:rowOff>
    </xdr:from>
    <xdr:to>
      <xdr:col>7</xdr:col>
      <xdr:colOff>457200</xdr:colOff>
      <xdr:row>115</xdr:row>
      <xdr:rowOff>113413</xdr:rowOff>
    </xdr:to>
    <xdr:pic>
      <xdr:nvPicPr>
        <xdr:cNvPr id="6" name="Picture 5">
          <a:extLst>
            <a:ext uri="{FF2B5EF4-FFF2-40B4-BE49-F238E27FC236}">
              <a16:creationId xmlns:a16="http://schemas.microsoft.com/office/drawing/2014/main" id="{380756C9-2618-42C9-AD73-C42490408BF1}"/>
            </a:ext>
          </a:extLst>
        </xdr:cNvPr>
        <xdr:cNvPicPr>
          <a:picLocks noChangeAspect="1"/>
        </xdr:cNvPicPr>
      </xdr:nvPicPr>
      <xdr:blipFill>
        <a:blip xmlns:r="http://schemas.openxmlformats.org/officeDocument/2006/relationships" r:embed="rId2"/>
        <a:stretch>
          <a:fillRect/>
        </a:stretch>
      </xdr:blipFill>
      <xdr:spPr>
        <a:xfrm>
          <a:off x="742951" y="20497531"/>
          <a:ext cx="4638674" cy="2018682"/>
        </a:xfrm>
        <a:prstGeom prst="rect">
          <a:avLst/>
        </a:prstGeom>
      </xdr:spPr>
    </xdr:pic>
    <xdr:clientData/>
  </xdr:twoCellAnchor>
  <xdr:twoCellAnchor editAs="oneCell">
    <xdr:from>
      <xdr:col>1</xdr:col>
      <xdr:colOff>85724</xdr:colOff>
      <xdr:row>120</xdr:row>
      <xdr:rowOff>133350</xdr:rowOff>
    </xdr:from>
    <xdr:to>
      <xdr:col>12</xdr:col>
      <xdr:colOff>622796</xdr:colOff>
      <xdr:row>129</xdr:row>
      <xdr:rowOff>57150</xdr:rowOff>
    </xdr:to>
    <xdr:pic>
      <xdr:nvPicPr>
        <xdr:cNvPr id="7" name="Picture 6">
          <a:extLst>
            <a:ext uri="{FF2B5EF4-FFF2-40B4-BE49-F238E27FC236}">
              <a16:creationId xmlns:a16="http://schemas.microsoft.com/office/drawing/2014/main" id="{44A4BEB1-1DB7-463D-B2DB-8209D0C35558}"/>
            </a:ext>
          </a:extLst>
        </xdr:cNvPr>
        <xdr:cNvPicPr>
          <a:picLocks noChangeAspect="1"/>
        </xdr:cNvPicPr>
      </xdr:nvPicPr>
      <xdr:blipFill>
        <a:blip xmlns:r="http://schemas.openxmlformats.org/officeDocument/2006/relationships" r:embed="rId3"/>
        <a:stretch>
          <a:fillRect/>
        </a:stretch>
      </xdr:blipFill>
      <xdr:spPr>
        <a:xfrm>
          <a:off x="771524" y="22736175"/>
          <a:ext cx="8204697" cy="1724025"/>
        </a:xfrm>
        <a:prstGeom prst="rect">
          <a:avLst/>
        </a:prstGeom>
      </xdr:spPr>
    </xdr:pic>
    <xdr:clientData/>
  </xdr:twoCellAnchor>
  <xdr:twoCellAnchor editAs="oneCell">
    <xdr:from>
      <xdr:col>1</xdr:col>
      <xdr:colOff>0</xdr:colOff>
      <xdr:row>134</xdr:row>
      <xdr:rowOff>0</xdr:rowOff>
    </xdr:from>
    <xdr:to>
      <xdr:col>12</xdr:col>
      <xdr:colOff>590550</xdr:colOff>
      <xdr:row>143</xdr:row>
      <xdr:rowOff>184217</xdr:rowOff>
    </xdr:to>
    <xdr:pic>
      <xdr:nvPicPr>
        <xdr:cNvPr id="9" name="Picture 8">
          <a:extLst>
            <a:ext uri="{FF2B5EF4-FFF2-40B4-BE49-F238E27FC236}">
              <a16:creationId xmlns:a16="http://schemas.microsoft.com/office/drawing/2014/main" id="{12D02AC9-4D0F-4C43-B495-15B5BAF7299C}"/>
            </a:ext>
          </a:extLst>
        </xdr:cNvPr>
        <xdr:cNvPicPr>
          <a:picLocks noChangeAspect="1"/>
        </xdr:cNvPicPr>
      </xdr:nvPicPr>
      <xdr:blipFill>
        <a:blip xmlns:r="http://schemas.openxmlformats.org/officeDocument/2006/relationships" r:embed="rId4"/>
        <a:stretch>
          <a:fillRect/>
        </a:stretch>
      </xdr:blipFill>
      <xdr:spPr>
        <a:xfrm>
          <a:off x="685800" y="24003000"/>
          <a:ext cx="8258175" cy="1984442"/>
        </a:xfrm>
        <a:prstGeom prst="rect">
          <a:avLst/>
        </a:prstGeom>
      </xdr:spPr>
    </xdr:pic>
    <xdr:clientData/>
  </xdr:twoCellAnchor>
  <xdr:twoCellAnchor editAs="oneCell">
    <xdr:from>
      <xdr:col>1</xdr:col>
      <xdr:colOff>9525</xdr:colOff>
      <xdr:row>18</xdr:row>
      <xdr:rowOff>133350</xdr:rowOff>
    </xdr:from>
    <xdr:to>
      <xdr:col>13</xdr:col>
      <xdr:colOff>484221</xdr:colOff>
      <xdr:row>30</xdr:row>
      <xdr:rowOff>0</xdr:rowOff>
    </xdr:to>
    <xdr:pic>
      <xdr:nvPicPr>
        <xdr:cNvPr id="11" name="Picture 10">
          <a:extLst>
            <a:ext uri="{FF2B5EF4-FFF2-40B4-BE49-F238E27FC236}">
              <a16:creationId xmlns:a16="http://schemas.microsoft.com/office/drawing/2014/main" id="{8AC0DF99-9A2E-4B03-82E3-173095F176B6}"/>
            </a:ext>
          </a:extLst>
        </xdr:cNvPr>
        <xdr:cNvPicPr>
          <a:picLocks noChangeAspect="1"/>
        </xdr:cNvPicPr>
      </xdr:nvPicPr>
      <xdr:blipFill>
        <a:blip xmlns:r="http://schemas.openxmlformats.org/officeDocument/2006/relationships" r:embed="rId5"/>
        <a:stretch>
          <a:fillRect/>
        </a:stretch>
      </xdr:blipFill>
      <xdr:spPr>
        <a:xfrm>
          <a:off x="695325" y="3133725"/>
          <a:ext cx="8828121" cy="2266950"/>
        </a:xfrm>
        <a:prstGeom prst="rect">
          <a:avLst/>
        </a:prstGeom>
      </xdr:spPr>
    </xdr:pic>
    <xdr:clientData/>
  </xdr:twoCellAnchor>
  <xdr:twoCellAnchor editAs="oneCell">
    <xdr:from>
      <xdr:col>1</xdr:col>
      <xdr:colOff>47625</xdr:colOff>
      <xdr:row>52</xdr:row>
      <xdr:rowOff>95250</xdr:rowOff>
    </xdr:from>
    <xdr:to>
      <xdr:col>4</xdr:col>
      <xdr:colOff>181281</xdr:colOff>
      <xdr:row>60</xdr:row>
      <xdr:rowOff>105000</xdr:rowOff>
    </xdr:to>
    <xdr:pic>
      <xdr:nvPicPr>
        <xdr:cNvPr id="2" name="Picture 1">
          <a:extLst>
            <a:ext uri="{FF2B5EF4-FFF2-40B4-BE49-F238E27FC236}">
              <a16:creationId xmlns:a16="http://schemas.microsoft.com/office/drawing/2014/main" id="{5BAF884D-A0FF-4905-9561-98F8394E853A}"/>
            </a:ext>
          </a:extLst>
        </xdr:cNvPr>
        <xdr:cNvPicPr>
          <a:picLocks noChangeAspect="1"/>
        </xdr:cNvPicPr>
      </xdr:nvPicPr>
      <xdr:blipFill>
        <a:blip xmlns:r="http://schemas.openxmlformats.org/officeDocument/2006/relationships" r:embed="rId6"/>
        <a:stretch>
          <a:fillRect/>
        </a:stretch>
      </xdr:blipFill>
      <xdr:spPr>
        <a:xfrm>
          <a:off x="733425" y="9496425"/>
          <a:ext cx="2191056" cy="1609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39158</xdr:colOff>
      <xdr:row>9</xdr:row>
      <xdr:rowOff>21166</xdr:rowOff>
    </xdr:from>
    <xdr:to>
      <xdr:col>6</xdr:col>
      <xdr:colOff>119591</xdr:colOff>
      <xdr:row>13</xdr:row>
      <xdr:rowOff>98066</xdr:rowOff>
    </xdr:to>
    <xdr:pic>
      <xdr:nvPicPr>
        <xdr:cNvPr id="4" name="Picture 3" descr="Office of Research &amp; Creative Scholarship Lo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9861" y="1807104"/>
          <a:ext cx="3642386" cy="87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95404</xdr:colOff>
      <xdr:row>1</xdr:row>
      <xdr:rowOff>139700</xdr:rowOff>
    </xdr:to>
    <xdr:pic>
      <xdr:nvPicPr>
        <xdr:cNvPr id="6" name="Picture 5" descr="Office of Research &amp; Creative Scholarship Lo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900" y="0"/>
          <a:ext cx="2470304" cy="69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5</xdr:col>
      <xdr:colOff>38100</xdr:colOff>
      <xdr:row>1</xdr:row>
      <xdr:rowOff>169348</xdr:rowOff>
    </xdr:to>
    <xdr:pic>
      <xdr:nvPicPr>
        <xdr:cNvPr id="4" name="Picture 3" descr="Office of Research &amp; Creative Scholarship Log">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0"/>
          <a:ext cx="2552700" cy="721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mt.edu/sponsored-programs/pre-award/developing-a-proposal-budget/default.php"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sa.gov/travel/plan-book/per-diem-rates" TargetMode="External"/><Relationship Id="rId13" Type="http://schemas.openxmlformats.org/officeDocument/2006/relationships/hyperlink" Target="https://www.umt.edu/global-engagement/international-travel-guidance/enroll-in-international-insurance.php" TargetMode="External"/><Relationship Id="rId18" Type="http://schemas.openxmlformats.org/officeDocument/2006/relationships/hyperlink" Target="https://montana.servicenowservices.com/citizen?id=kb_article&amp;sys_kb_id=d740ada41b2ec714af3486eae54bcbf9&amp;spa=1" TargetMode="External"/><Relationship Id="rId3" Type="http://schemas.openxmlformats.org/officeDocument/2006/relationships/hyperlink" Target="https://www.gsa.gov/travel/plan-book/per-diem-rates" TargetMode="External"/><Relationship Id="rId21" Type="http://schemas.openxmlformats.org/officeDocument/2006/relationships/printerSettings" Target="../printerSettings/printerSettings4.bin"/><Relationship Id="rId7" Type="http://schemas.openxmlformats.org/officeDocument/2006/relationships/hyperlink" Target="https://aoprals.state.gov/web920/per_diem.asp" TargetMode="External"/><Relationship Id="rId12" Type="http://schemas.openxmlformats.org/officeDocument/2006/relationships/hyperlink" Target="https://montana.servicenowservices.com/citizen?id=kb_article&amp;sys_kb_id=e9e79c7587244fd0c45364e60cbb3521&amp;spa=1" TargetMode="External"/><Relationship Id="rId17" Type="http://schemas.openxmlformats.org/officeDocument/2006/relationships/hyperlink" Target="https://www.umt.edu/sponsored-programs/resources/_files/fanda-rate-agreement.pdf" TargetMode="External"/><Relationship Id="rId2" Type="http://schemas.openxmlformats.org/officeDocument/2006/relationships/printerSettings" Target="../printerSettings/printerSettings3.bin"/><Relationship Id="rId16" Type="http://schemas.openxmlformats.org/officeDocument/2006/relationships/hyperlink" Target="https://www.umt.edu/curry-health-center/insurance/student-health-insurance-plan.php" TargetMode="External"/><Relationship Id="rId20" Type="http://schemas.openxmlformats.org/officeDocument/2006/relationships/hyperlink" Target="https://montana.servicenowservices.com/citizen?id=kb_article&amp;sys_kb_id=d740ada41b2ec714af3486eae54bcbf9&amp;spa=1" TargetMode="External"/><Relationship Id="rId1" Type="http://schemas.openxmlformats.org/officeDocument/2006/relationships/printerSettings" Target="../printerSettings/printerSettings2.bin"/><Relationship Id="rId6" Type="http://schemas.openxmlformats.org/officeDocument/2006/relationships/hyperlink" Target="https://aoprals.state.gov/web920/per_diem.asp" TargetMode="External"/><Relationship Id="rId11" Type="http://schemas.openxmlformats.org/officeDocument/2006/relationships/hyperlink" Target="https://www.umt.edu/business-services/students/tuition-and-fees/default.php" TargetMode="External"/><Relationship Id="rId24" Type="http://schemas.openxmlformats.org/officeDocument/2006/relationships/comments" Target="../comments1.xml"/><Relationship Id="rId5" Type="http://schemas.openxmlformats.org/officeDocument/2006/relationships/hyperlink" Target="https://aoprals.state.gov/web920/per_diem.asp" TargetMode="External"/><Relationship Id="rId15" Type="http://schemas.openxmlformats.org/officeDocument/2006/relationships/hyperlink" Target="https://www.umt.edu/global-engagement/international-travel-guidance/enroll-in-international-insurance.php" TargetMode="External"/><Relationship Id="rId23" Type="http://schemas.openxmlformats.org/officeDocument/2006/relationships/vmlDrawing" Target="../drawings/vmlDrawing1.vml"/><Relationship Id="rId10" Type="http://schemas.openxmlformats.org/officeDocument/2006/relationships/hyperlink" Target="https://www.gsa.gov/travel/plan-book/per-diem-rates" TargetMode="External"/><Relationship Id="rId19" Type="http://schemas.openxmlformats.org/officeDocument/2006/relationships/hyperlink" Target="https://montana.servicenowservices.com/citizen?id=kb_article&amp;sys_kb_id=d740ada41b2ec714af3486eae54bcbf9&amp;spa=1" TargetMode="External"/><Relationship Id="rId4" Type="http://schemas.openxmlformats.org/officeDocument/2006/relationships/hyperlink" Target="https://montana.servicenowservices.com/citizen?id=kb_article&amp;sys_kb_id=d740ada41b2ec714af3486eae54bcbf9&amp;spa=1" TargetMode="External"/><Relationship Id="rId9" Type="http://schemas.openxmlformats.org/officeDocument/2006/relationships/hyperlink" Target="https://www.gsa.gov/travel/plan-book/per-diem-rates" TargetMode="External"/><Relationship Id="rId14" Type="http://schemas.openxmlformats.org/officeDocument/2006/relationships/hyperlink" Target="https://www.umt.edu/global-engagement/international-travel-guidance/enroll-in-international-insurance.php" TargetMode="External"/><Relationship Id="rId2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0C07B-D5B9-4A0F-A810-736AF45DA741}">
  <dimension ref="B2:L195"/>
  <sheetViews>
    <sheetView topLeftCell="A142" workbookViewId="0">
      <selection activeCell="R153" sqref="R153"/>
    </sheetView>
  </sheetViews>
  <sheetFormatPr defaultRowHeight="15.75" x14ac:dyDescent="0.25"/>
  <cols>
    <col min="5" max="5" width="10.625" customWidth="1"/>
  </cols>
  <sheetData>
    <row r="2" spans="2:12" x14ac:dyDescent="0.25">
      <c r="B2" s="370" t="s">
        <v>349</v>
      </c>
      <c r="C2" s="370"/>
      <c r="D2" s="370"/>
      <c r="E2" s="370"/>
      <c r="F2" s="360"/>
    </row>
    <row r="3" spans="2:12" x14ac:dyDescent="0.25">
      <c r="B3" s="359" t="s">
        <v>382</v>
      </c>
      <c r="C3" s="359"/>
    </row>
    <row r="4" spans="2:12" x14ac:dyDescent="0.25">
      <c r="B4" t="s">
        <v>341</v>
      </c>
    </row>
    <row r="6" spans="2:12" x14ac:dyDescent="0.25">
      <c r="B6" s="359" t="s">
        <v>385</v>
      </c>
    </row>
    <row r="7" spans="2:12" x14ac:dyDescent="0.25">
      <c r="B7" s="359" t="s">
        <v>386</v>
      </c>
    </row>
    <row r="8" spans="2:12" x14ac:dyDescent="0.25">
      <c r="B8" s="359" t="s">
        <v>340</v>
      </c>
    </row>
    <row r="10" spans="2:12" x14ac:dyDescent="0.25">
      <c r="B10" t="s">
        <v>326</v>
      </c>
    </row>
    <row r="11" spans="2:12" x14ac:dyDescent="0.25">
      <c r="B11" t="s">
        <v>350</v>
      </c>
    </row>
    <row r="12" spans="2:12" x14ac:dyDescent="0.25">
      <c r="B12" t="s">
        <v>351</v>
      </c>
    </row>
    <row r="14" spans="2:12" x14ac:dyDescent="0.25">
      <c r="B14" s="359" t="s">
        <v>389</v>
      </c>
    </row>
    <row r="16" spans="2:12" x14ac:dyDescent="0.25">
      <c r="B16" t="s">
        <v>345</v>
      </c>
      <c r="L16" s="362" t="s">
        <v>344</v>
      </c>
    </row>
    <row r="18" spans="2:2" x14ac:dyDescent="0.25">
      <c r="B18" s="359" t="s">
        <v>270</v>
      </c>
    </row>
    <row r="19" spans="2:2" x14ac:dyDescent="0.25">
      <c r="B19" s="359"/>
    </row>
    <row r="20" spans="2:2" x14ac:dyDescent="0.25">
      <c r="B20" s="359"/>
    </row>
    <row r="21" spans="2:2" x14ac:dyDescent="0.25">
      <c r="B21" s="359"/>
    </row>
    <row r="22" spans="2:2" x14ac:dyDescent="0.25">
      <c r="B22" s="359"/>
    </row>
    <row r="23" spans="2:2" x14ac:dyDescent="0.25">
      <c r="B23" s="359"/>
    </row>
    <row r="24" spans="2:2" x14ac:dyDescent="0.25">
      <c r="B24" s="359"/>
    </row>
    <row r="25" spans="2:2" x14ac:dyDescent="0.25">
      <c r="B25" s="359"/>
    </row>
    <row r="26" spans="2:2" x14ac:dyDescent="0.25">
      <c r="B26" s="359"/>
    </row>
    <row r="27" spans="2:2" x14ac:dyDescent="0.25">
      <c r="B27" s="359"/>
    </row>
    <row r="28" spans="2:2" x14ac:dyDescent="0.25">
      <c r="B28" s="359"/>
    </row>
    <row r="29" spans="2:2" x14ac:dyDescent="0.25">
      <c r="B29" s="359"/>
    </row>
    <row r="30" spans="2:2" x14ac:dyDescent="0.25">
      <c r="B30" s="359"/>
    </row>
    <row r="31" spans="2:2" x14ac:dyDescent="0.25">
      <c r="B31" s="359"/>
    </row>
    <row r="32" spans="2:2" x14ac:dyDescent="0.25">
      <c r="B32" s="359" t="s">
        <v>271</v>
      </c>
    </row>
    <row r="33" spans="2:2" x14ac:dyDescent="0.25">
      <c r="B33" t="s">
        <v>377</v>
      </c>
    </row>
    <row r="34" spans="2:2" x14ac:dyDescent="0.25">
      <c r="B34" t="s">
        <v>378</v>
      </c>
    </row>
    <row r="35" spans="2:2" x14ac:dyDescent="0.25">
      <c r="B35" s="359" t="s">
        <v>272</v>
      </c>
    </row>
    <row r="36" spans="2:2" x14ac:dyDescent="0.25">
      <c r="B36" t="s">
        <v>352</v>
      </c>
    </row>
    <row r="37" spans="2:2" x14ac:dyDescent="0.25">
      <c r="B37" s="371" t="s">
        <v>353</v>
      </c>
    </row>
    <row r="38" spans="2:2" x14ac:dyDescent="0.25">
      <c r="B38" s="359" t="s">
        <v>273</v>
      </c>
    </row>
    <row r="39" spans="2:2" x14ac:dyDescent="0.25">
      <c r="B39" t="s">
        <v>274</v>
      </c>
    </row>
    <row r="40" spans="2:2" x14ac:dyDescent="0.25">
      <c r="B40" s="359" t="s">
        <v>275</v>
      </c>
    </row>
    <row r="41" spans="2:2" x14ac:dyDescent="0.25">
      <c r="B41" t="s">
        <v>276</v>
      </c>
    </row>
    <row r="42" spans="2:2" x14ac:dyDescent="0.25">
      <c r="B42" s="359" t="s">
        <v>277</v>
      </c>
    </row>
    <row r="43" spans="2:2" x14ac:dyDescent="0.25">
      <c r="B43" t="s">
        <v>379</v>
      </c>
    </row>
    <row r="44" spans="2:2" x14ac:dyDescent="0.25">
      <c r="B44" s="371" t="s">
        <v>380</v>
      </c>
    </row>
    <row r="45" spans="2:2" x14ac:dyDescent="0.25">
      <c r="B45" s="359" t="s">
        <v>278</v>
      </c>
    </row>
    <row r="46" spans="2:2" x14ac:dyDescent="0.25">
      <c r="B46" t="s">
        <v>279</v>
      </c>
    </row>
    <row r="47" spans="2:2" x14ac:dyDescent="0.25">
      <c r="B47" t="s">
        <v>354</v>
      </c>
    </row>
    <row r="48" spans="2:2" x14ac:dyDescent="0.25">
      <c r="B48" t="s">
        <v>381</v>
      </c>
    </row>
    <row r="49" spans="2:3" x14ac:dyDescent="0.25">
      <c r="B49" t="s">
        <v>280</v>
      </c>
    </row>
    <row r="50" spans="2:3" x14ac:dyDescent="0.25">
      <c r="B50" t="s">
        <v>355</v>
      </c>
    </row>
    <row r="52" spans="2:3" x14ac:dyDescent="0.25">
      <c r="B52" s="359" t="s">
        <v>281</v>
      </c>
    </row>
    <row r="62" spans="2:3" x14ac:dyDescent="0.25">
      <c r="B62" t="s">
        <v>374</v>
      </c>
    </row>
    <row r="63" spans="2:3" x14ac:dyDescent="0.25">
      <c r="B63" t="s">
        <v>356</v>
      </c>
    </row>
    <row r="64" spans="2:3" x14ac:dyDescent="0.25">
      <c r="C64" t="s">
        <v>358</v>
      </c>
    </row>
    <row r="65" spans="2:3" x14ac:dyDescent="0.25">
      <c r="C65" t="s">
        <v>359</v>
      </c>
    </row>
    <row r="66" spans="2:3" x14ac:dyDescent="0.25">
      <c r="C66" t="s">
        <v>357</v>
      </c>
    </row>
    <row r="67" spans="2:3" x14ac:dyDescent="0.25">
      <c r="B67" t="s">
        <v>375</v>
      </c>
    </row>
    <row r="68" spans="2:3" x14ac:dyDescent="0.25">
      <c r="B68" t="s">
        <v>376</v>
      </c>
    </row>
    <row r="70" spans="2:3" x14ac:dyDescent="0.25">
      <c r="B70" s="359" t="s">
        <v>110</v>
      </c>
    </row>
    <row r="71" spans="2:3" x14ac:dyDescent="0.25">
      <c r="B71" s="359"/>
    </row>
    <row r="72" spans="2:3" x14ac:dyDescent="0.25">
      <c r="B72" s="359"/>
    </row>
    <row r="73" spans="2:3" x14ac:dyDescent="0.25">
      <c r="B73" s="359"/>
    </row>
    <row r="74" spans="2:3" x14ac:dyDescent="0.25">
      <c r="B74" s="359"/>
    </row>
    <row r="75" spans="2:3" x14ac:dyDescent="0.25">
      <c r="B75" s="359"/>
    </row>
    <row r="76" spans="2:3" x14ac:dyDescent="0.25">
      <c r="B76" s="359"/>
    </row>
    <row r="77" spans="2:3" x14ac:dyDescent="0.25">
      <c r="B77" s="359"/>
    </row>
    <row r="78" spans="2:3" x14ac:dyDescent="0.25">
      <c r="B78" s="359"/>
    </row>
    <row r="79" spans="2:3" x14ac:dyDescent="0.25">
      <c r="B79" s="359"/>
    </row>
    <row r="80" spans="2:3" x14ac:dyDescent="0.25">
      <c r="B80" t="s">
        <v>282</v>
      </c>
    </row>
    <row r="81" spans="2:2" x14ac:dyDescent="0.25">
      <c r="B81" s="359" t="s">
        <v>283</v>
      </c>
    </row>
    <row r="82" spans="2:2" x14ac:dyDescent="0.25">
      <c r="B82" t="s">
        <v>311</v>
      </c>
    </row>
    <row r="83" spans="2:2" x14ac:dyDescent="0.25">
      <c r="B83" t="s">
        <v>312</v>
      </c>
    </row>
    <row r="84" spans="2:2" x14ac:dyDescent="0.25">
      <c r="B84" s="359" t="s">
        <v>284</v>
      </c>
    </row>
    <row r="85" spans="2:2" x14ac:dyDescent="0.25">
      <c r="B85" t="s">
        <v>360</v>
      </c>
    </row>
    <row r="86" spans="2:2" x14ac:dyDescent="0.25">
      <c r="B86" t="s">
        <v>313</v>
      </c>
    </row>
    <row r="87" spans="2:2" x14ac:dyDescent="0.25">
      <c r="B87" s="359" t="s">
        <v>285</v>
      </c>
    </row>
    <row r="88" spans="2:2" x14ac:dyDescent="0.25">
      <c r="B88" t="s">
        <v>314</v>
      </c>
    </row>
    <row r="89" spans="2:2" x14ac:dyDescent="0.25">
      <c r="B89" t="s">
        <v>315</v>
      </c>
    </row>
    <row r="90" spans="2:2" x14ac:dyDescent="0.25">
      <c r="B90" s="359" t="s">
        <v>286</v>
      </c>
    </row>
    <row r="91" spans="2:2" x14ac:dyDescent="0.25">
      <c r="B91" t="s">
        <v>287</v>
      </c>
    </row>
    <row r="92" spans="2:2" x14ac:dyDescent="0.25">
      <c r="B92" s="359" t="s">
        <v>288</v>
      </c>
    </row>
    <row r="93" spans="2:2" x14ac:dyDescent="0.25">
      <c r="B93" t="s">
        <v>289</v>
      </c>
    </row>
    <row r="94" spans="2:2" x14ac:dyDescent="0.25">
      <c r="B94" s="359" t="s">
        <v>290</v>
      </c>
    </row>
    <row r="95" spans="2:2" x14ac:dyDescent="0.25">
      <c r="B95" t="s">
        <v>316</v>
      </c>
    </row>
    <row r="96" spans="2:2" x14ac:dyDescent="0.25">
      <c r="B96" t="s">
        <v>317</v>
      </c>
    </row>
    <row r="97" spans="2:3" x14ac:dyDescent="0.25">
      <c r="B97" s="359" t="s">
        <v>291</v>
      </c>
    </row>
    <row r="98" spans="2:3" x14ac:dyDescent="0.25">
      <c r="B98" t="s">
        <v>292</v>
      </c>
    </row>
    <row r="99" spans="2:3" x14ac:dyDescent="0.25">
      <c r="B99" s="359" t="s">
        <v>293</v>
      </c>
    </row>
    <row r="100" spans="2:3" x14ac:dyDescent="0.25">
      <c r="B100" t="s">
        <v>294</v>
      </c>
    </row>
    <row r="102" spans="2:3" x14ac:dyDescent="0.25">
      <c r="B102" s="359" t="s">
        <v>295</v>
      </c>
      <c r="C102" s="359"/>
    </row>
    <row r="103" spans="2:3" x14ac:dyDescent="0.25">
      <c r="B103" t="s">
        <v>318</v>
      </c>
    </row>
    <row r="104" spans="2:3" x14ac:dyDescent="0.25">
      <c r="B104" t="s">
        <v>319</v>
      </c>
    </row>
    <row r="105" spans="2:3" x14ac:dyDescent="0.25">
      <c r="B105" t="s">
        <v>310</v>
      </c>
    </row>
    <row r="118" spans="2:2" x14ac:dyDescent="0.25">
      <c r="B118" s="359" t="s">
        <v>296</v>
      </c>
    </row>
    <row r="119" spans="2:2" x14ac:dyDescent="0.25">
      <c r="B119" t="s">
        <v>308</v>
      </c>
    </row>
    <row r="120" spans="2:2" x14ac:dyDescent="0.25">
      <c r="B120" t="s">
        <v>309</v>
      </c>
    </row>
    <row r="131" spans="2:2" x14ac:dyDescent="0.25">
      <c r="B131" s="359" t="s">
        <v>297</v>
      </c>
    </row>
    <row r="132" spans="2:2" x14ac:dyDescent="0.25">
      <c r="B132" t="s">
        <v>338</v>
      </c>
    </row>
    <row r="133" spans="2:2" x14ac:dyDescent="0.25">
      <c r="B133" t="s">
        <v>307</v>
      </c>
    </row>
    <row r="146" spans="2:2" x14ac:dyDescent="0.25">
      <c r="B146" s="359" t="s">
        <v>6</v>
      </c>
    </row>
    <row r="147" spans="2:2" x14ac:dyDescent="0.25">
      <c r="B147" t="s">
        <v>342</v>
      </c>
    </row>
    <row r="148" spans="2:2" x14ac:dyDescent="0.25">
      <c r="B148" t="s">
        <v>343</v>
      </c>
    </row>
    <row r="149" spans="2:2" x14ac:dyDescent="0.25">
      <c r="B149" t="s">
        <v>306</v>
      </c>
    </row>
    <row r="151" spans="2:2" x14ac:dyDescent="0.25">
      <c r="B151" s="359" t="s">
        <v>144</v>
      </c>
    </row>
    <row r="152" spans="2:2" x14ac:dyDescent="0.25">
      <c r="B152" t="s">
        <v>329</v>
      </c>
    </row>
    <row r="153" spans="2:2" x14ac:dyDescent="0.25">
      <c r="B153" t="s">
        <v>361</v>
      </c>
    </row>
    <row r="154" spans="2:2" x14ac:dyDescent="0.25">
      <c r="B154" t="s">
        <v>305</v>
      </c>
    </row>
    <row r="155" spans="2:2" x14ac:dyDescent="0.25">
      <c r="B155" t="s">
        <v>330</v>
      </c>
    </row>
    <row r="156" spans="2:2" x14ac:dyDescent="0.25">
      <c r="B156" s="359" t="s">
        <v>390</v>
      </c>
    </row>
    <row r="157" spans="2:2" x14ac:dyDescent="0.25">
      <c r="B157" s="359" t="s">
        <v>392</v>
      </c>
    </row>
    <row r="158" spans="2:2" x14ac:dyDescent="0.25">
      <c r="B158" s="359" t="s">
        <v>393</v>
      </c>
    </row>
    <row r="160" spans="2:2" x14ac:dyDescent="0.25">
      <c r="B160" s="359" t="s">
        <v>63</v>
      </c>
    </row>
    <row r="161" spans="2:2" x14ac:dyDescent="0.25">
      <c r="B161" t="s">
        <v>304</v>
      </c>
    </row>
    <row r="162" spans="2:2" x14ac:dyDescent="0.25">
      <c r="B162" t="s">
        <v>362</v>
      </c>
    </row>
    <row r="163" spans="2:2" x14ac:dyDescent="0.25">
      <c r="B163" t="s">
        <v>331</v>
      </c>
    </row>
    <row r="165" spans="2:2" x14ac:dyDescent="0.25">
      <c r="B165" s="359" t="s">
        <v>10</v>
      </c>
    </row>
    <row r="166" spans="2:2" x14ac:dyDescent="0.25">
      <c r="B166" t="s">
        <v>332</v>
      </c>
    </row>
    <row r="167" spans="2:2" x14ac:dyDescent="0.25">
      <c r="B167" t="s">
        <v>321</v>
      </c>
    </row>
    <row r="168" spans="2:2" x14ac:dyDescent="0.25">
      <c r="B168" t="s">
        <v>322</v>
      </c>
    </row>
    <row r="169" spans="2:2" x14ac:dyDescent="0.25">
      <c r="B169" t="s">
        <v>320</v>
      </c>
    </row>
    <row r="170" spans="2:2" x14ac:dyDescent="0.25">
      <c r="B170" t="s">
        <v>335</v>
      </c>
    </row>
    <row r="172" spans="2:2" x14ac:dyDescent="0.25">
      <c r="B172" s="359" t="s">
        <v>29</v>
      </c>
    </row>
    <row r="173" spans="2:2" x14ac:dyDescent="0.25">
      <c r="B173" t="s">
        <v>333</v>
      </c>
    </row>
    <row r="174" spans="2:2" x14ac:dyDescent="0.25">
      <c r="B174" t="s">
        <v>334</v>
      </c>
    </row>
    <row r="175" spans="2:2" x14ac:dyDescent="0.25">
      <c r="B175" t="s">
        <v>323</v>
      </c>
    </row>
    <row r="176" spans="2:2" x14ac:dyDescent="0.25">
      <c r="B176" t="s">
        <v>363</v>
      </c>
    </row>
    <row r="178" spans="2:2" x14ac:dyDescent="0.25">
      <c r="B178" s="359" t="s">
        <v>12</v>
      </c>
    </row>
    <row r="179" spans="2:2" x14ac:dyDescent="0.25">
      <c r="B179" t="s">
        <v>327</v>
      </c>
    </row>
    <row r="180" spans="2:2" x14ac:dyDescent="0.25">
      <c r="B180" t="s">
        <v>328</v>
      </c>
    </row>
    <row r="182" spans="2:2" x14ac:dyDescent="0.25">
      <c r="B182" s="359" t="s">
        <v>339</v>
      </c>
    </row>
    <row r="183" spans="2:2" x14ac:dyDescent="0.25">
      <c r="B183" t="s">
        <v>324</v>
      </c>
    </row>
    <row r="184" spans="2:2" x14ac:dyDescent="0.25">
      <c r="B184" t="s">
        <v>366</v>
      </c>
    </row>
    <row r="185" spans="2:2" x14ac:dyDescent="0.25">
      <c r="B185" t="s">
        <v>325</v>
      </c>
    </row>
    <row r="186" spans="2:2" x14ac:dyDescent="0.25">
      <c r="B186" t="s">
        <v>298</v>
      </c>
    </row>
    <row r="187" spans="2:2" x14ac:dyDescent="0.25">
      <c r="B187" t="s">
        <v>367</v>
      </c>
    </row>
    <row r="188" spans="2:2" x14ac:dyDescent="0.25">
      <c r="B188" t="s">
        <v>368</v>
      </c>
    </row>
    <row r="190" spans="2:2" x14ac:dyDescent="0.25">
      <c r="B190" s="359" t="s">
        <v>336</v>
      </c>
    </row>
    <row r="191" spans="2:2" x14ac:dyDescent="0.25">
      <c r="B191" t="s">
        <v>299</v>
      </c>
    </row>
    <row r="192" spans="2:2" x14ac:dyDescent="0.25">
      <c r="B192" t="s">
        <v>300</v>
      </c>
    </row>
    <row r="193" spans="2:2" x14ac:dyDescent="0.25">
      <c r="B193" t="s">
        <v>301</v>
      </c>
    </row>
    <row r="194" spans="2:2" x14ac:dyDescent="0.25">
      <c r="B194" t="s">
        <v>302</v>
      </c>
    </row>
    <row r="195" spans="2:2" x14ac:dyDescent="0.25">
      <c r="B195" t="s">
        <v>303</v>
      </c>
    </row>
  </sheetData>
  <hyperlinks>
    <hyperlink ref="L16" r:id="rId1" xr:uid="{795DDB04-F13B-4937-9D76-3AE8D53255B4}"/>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U478"/>
  <sheetViews>
    <sheetView tabSelected="1" zoomScaleNormal="100" workbookViewId="0">
      <selection activeCell="E20" sqref="E20"/>
    </sheetView>
  </sheetViews>
  <sheetFormatPr defaultColWidth="11" defaultRowHeight="15.75" outlineLevelRow="1" x14ac:dyDescent="0.25"/>
  <cols>
    <col min="1" max="1" width="34.875" style="167" customWidth="1"/>
    <col min="2" max="2" width="2.75" style="167" customWidth="1"/>
    <col min="3" max="3" width="5.125" style="167" customWidth="1"/>
    <col min="4" max="4" width="30.25" style="167" customWidth="1"/>
    <col min="5" max="5" width="6.5" style="167" customWidth="1"/>
    <col min="6" max="6" width="11.75" style="81" customWidth="1"/>
    <col min="7" max="7" width="15" style="81" customWidth="1"/>
    <col min="8" max="8" width="14.625" style="170" customWidth="1"/>
    <col min="9" max="9" width="1.75" style="170" hidden="1" customWidth="1"/>
    <col min="10" max="10" width="11" style="291" customWidth="1"/>
    <col min="11" max="11" width="1.75" style="291" customWidth="1"/>
    <col min="12" max="12" width="11" style="291" hidden="1" customWidth="1"/>
    <col min="13" max="13" width="1.75" style="291" hidden="1" customWidth="1"/>
    <col min="14" max="14" width="11" style="291" customWidth="1"/>
    <col min="15" max="15" width="1.75" style="292" customWidth="1"/>
    <col min="16" max="16" width="11" style="291" hidden="1" customWidth="1"/>
    <col min="17" max="17" width="1.75" style="292" hidden="1" customWidth="1"/>
    <col min="18" max="18" width="11" style="292" customWidth="1"/>
    <col min="19" max="19" width="1.75" style="292" customWidth="1"/>
    <col min="20" max="20" width="11" style="292" hidden="1" customWidth="1"/>
    <col min="21" max="21" width="1.75" style="292" hidden="1" customWidth="1"/>
    <col min="22" max="22" width="11" style="292" customWidth="1"/>
    <col min="23" max="23" width="1.75" style="292" customWidth="1"/>
    <col min="24" max="24" width="11" style="292" hidden="1" customWidth="1"/>
    <col min="25" max="25" width="1.75" style="292" hidden="1" customWidth="1"/>
    <col min="26" max="26" width="11" style="292" customWidth="1"/>
    <col min="27" max="27" width="1.75" style="292" customWidth="1"/>
    <col min="28" max="28" width="11.125" style="292" hidden="1" customWidth="1"/>
    <col min="29" max="29" width="1.75" style="292" hidden="1" customWidth="1"/>
    <col min="30" max="30" width="11" style="291" customWidth="1"/>
    <col min="31" max="31" width="2.125" style="172" hidden="1" customWidth="1"/>
    <col min="32" max="32" width="11" style="172" hidden="1" customWidth="1"/>
    <col min="33" max="33" width="13.5" style="28" hidden="1" customWidth="1"/>
    <col min="34" max="34" width="9.25" style="28" customWidth="1"/>
    <col min="35" max="35" width="14.25" style="28" customWidth="1"/>
    <col min="36" max="36" width="13.625" style="60" customWidth="1"/>
    <col min="37" max="37" width="9.25" style="45" customWidth="1"/>
    <col min="38" max="39" width="9.875" style="173" customWidth="1"/>
    <col min="40" max="40" width="8.375" style="28" customWidth="1"/>
    <col min="41" max="41" width="6.75" style="28" customWidth="1"/>
    <col min="42" max="42" width="6.75" style="41" customWidth="1"/>
    <col min="43" max="43" width="1.875" style="28" customWidth="1"/>
    <col min="44" max="44" width="8.25" style="28" customWidth="1"/>
    <col min="45" max="45" width="7.375" style="28" customWidth="1"/>
    <col min="46" max="46" width="6.75" style="28" customWidth="1"/>
    <col min="47" max="47" width="6.75" style="41" customWidth="1"/>
    <col min="48" max="48" width="1.875" style="28" customWidth="1"/>
    <col min="49" max="49" width="8.25" style="28" customWidth="1"/>
    <col min="50" max="50" width="7.375" style="28" customWidth="1"/>
    <col min="51" max="51" width="6.75" style="28" customWidth="1"/>
    <col min="52" max="52" width="6.75" style="41" customWidth="1"/>
    <col min="53" max="53" width="1.625" style="28" customWidth="1"/>
    <col min="54" max="54" width="7.5" style="28" customWidth="1"/>
    <col min="55" max="55" width="7.375" style="28" customWidth="1"/>
    <col min="56" max="56" width="6.25" style="28" customWidth="1"/>
    <col min="57" max="57" width="6.25" style="41" customWidth="1"/>
    <col min="58" max="58" width="1.875" style="28" customWidth="1"/>
    <col min="59" max="59" width="8.25" style="28" customWidth="1"/>
    <col min="60" max="60" width="7.375" style="28" customWidth="1"/>
    <col min="61" max="61" width="6.25" style="28" customWidth="1"/>
    <col min="62" max="62" width="6.25" style="41" customWidth="1"/>
    <col min="63" max="63" width="1.75" style="45" customWidth="1"/>
    <col min="64" max="64" width="11" style="28"/>
    <col min="65" max="73" width="11" style="174"/>
    <col min="74" max="16384" width="11" style="28"/>
  </cols>
  <sheetData>
    <row r="1" spans="1:64" x14ac:dyDescent="0.25">
      <c r="B1" s="167" t="s">
        <v>140</v>
      </c>
      <c r="E1" s="168"/>
      <c r="F1" s="169"/>
      <c r="G1" s="169"/>
      <c r="I1" s="171"/>
    </row>
    <row r="2" spans="1:64" x14ac:dyDescent="0.25">
      <c r="B2" s="167" t="s">
        <v>141</v>
      </c>
      <c r="E2" s="168"/>
      <c r="F2" s="169"/>
      <c r="G2" s="169"/>
      <c r="AJ2" s="334" t="s">
        <v>239</v>
      </c>
    </row>
    <row r="3" spans="1:64" x14ac:dyDescent="0.25">
      <c r="B3" s="167" t="s">
        <v>109</v>
      </c>
      <c r="E3" s="391"/>
      <c r="F3" s="391"/>
      <c r="G3" s="391"/>
      <c r="AJ3" s="239" t="s">
        <v>51</v>
      </c>
      <c r="AK3" s="285" t="s">
        <v>337</v>
      </c>
      <c r="AL3" s="357"/>
      <c r="AM3" s="361"/>
    </row>
    <row r="4" spans="1:64" x14ac:dyDescent="0.25">
      <c r="B4" s="167" t="s">
        <v>135</v>
      </c>
      <c r="E4" s="392"/>
      <c r="F4" s="392"/>
      <c r="G4" s="392"/>
      <c r="AJ4" s="240" t="s">
        <v>55</v>
      </c>
      <c r="AK4" s="241">
        <v>3.5000000000000003E-2</v>
      </c>
    </row>
    <row r="5" spans="1:64" x14ac:dyDescent="0.25">
      <c r="B5" s="390" t="s">
        <v>136</v>
      </c>
      <c r="C5" s="390"/>
      <c r="D5" s="390"/>
      <c r="E5" s="390"/>
      <c r="F5" s="390"/>
      <c r="G5" s="390"/>
      <c r="H5" s="390"/>
      <c r="I5" s="390"/>
      <c r="J5" s="390"/>
      <c r="K5" s="390"/>
      <c r="L5" s="390"/>
      <c r="M5" s="390"/>
      <c r="N5" s="293"/>
      <c r="O5" s="293"/>
      <c r="P5" s="293"/>
      <c r="Q5" s="293"/>
      <c r="V5" s="294"/>
      <c r="X5" s="294"/>
      <c r="AJ5" s="242" t="s">
        <v>6</v>
      </c>
      <c r="AK5" s="241">
        <v>0</v>
      </c>
      <c r="AM5" s="395" t="s">
        <v>210</v>
      </c>
      <c r="AN5" s="396"/>
      <c r="AO5" s="397"/>
    </row>
    <row r="6" spans="1:64" x14ac:dyDescent="0.25">
      <c r="B6" s="167" t="s">
        <v>47</v>
      </c>
      <c r="D6" s="174"/>
      <c r="E6" s="176"/>
      <c r="F6" s="176"/>
      <c r="G6" s="176"/>
      <c r="AH6" s="45"/>
      <c r="AJ6" s="242" t="s">
        <v>52</v>
      </c>
      <c r="AK6" s="241">
        <v>0.03</v>
      </c>
      <c r="AM6" s="267" t="s">
        <v>198</v>
      </c>
      <c r="AN6" s="260"/>
      <c r="AO6" s="264">
        <f>(190/195)*9</f>
        <v>8.7692307692307701</v>
      </c>
    </row>
    <row r="7" spans="1:64" x14ac:dyDescent="0.25">
      <c r="B7" s="167" t="s">
        <v>48</v>
      </c>
      <c r="E7" s="176"/>
      <c r="F7" s="176"/>
      <c r="G7" s="176"/>
      <c r="H7" s="167" t="s">
        <v>20</v>
      </c>
      <c r="I7" s="387"/>
      <c r="J7" s="387"/>
      <c r="K7" s="387"/>
      <c r="L7" s="387"/>
      <c r="M7" s="387"/>
      <c r="N7" s="387"/>
      <c r="O7" s="387"/>
      <c r="P7" s="387"/>
      <c r="Q7" s="387"/>
      <c r="R7" s="387"/>
      <c r="S7" s="387"/>
      <c r="T7" s="387"/>
      <c r="U7" s="387"/>
      <c r="V7" s="387"/>
      <c r="W7" s="387"/>
      <c r="X7" s="387"/>
      <c r="Y7" s="387"/>
      <c r="Z7" s="387"/>
      <c r="AA7" s="387"/>
      <c r="AB7" s="295"/>
      <c r="AC7" s="295"/>
      <c r="AJ7" s="242" t="s">
        <v>25</v>
      </c>
      <c r="AK7" s="243">
        <v>0.03</v>
      </c>
      <c r="AM7" s="267" t="s">
        <v>199</v>
      </c>
      <c r="AN7" s="260"/>
      <c r="AO7" s="265">
        <v>12</v>
      </c>
    </row>
    <row r="8" spans="1:64" x14ac:dyDescent="0.25">
      <c r="E8" s="168"/>
      <c r="F8" s="176"/>
      <c r="G8" s="176"/>
      <c r="I8" s="387"/>
      <c r="J8" s="387"/>
      <c r="K8" s="387"/>
      <c r="L8" s="387"/>
      <c r="M8" s="387"/>
      <c r="N8" s="387"/>
      <c r="O8" s="387"/>
      <c r="P8" s="387"/>
      <c r="Q8" s="387"/>
      <c r="R8" s="387"/>
      <c r="S8" s="387"/>
      <c r="T8" s="387"/>
      <c r="U8" s="387"/>
      <c r="V8" s="387"/>
      <c r="W8" s="387"/>
      <c r="X8" s="387"/>
      <c r="Y8" s="387"/>
      <c r="Z8" s="387"/>
      <c r="AA8" s="387"/>
      <c r="AB8" s="295"/>
      <c r="AC8" s="295"/>
      <c r="AF8" s="177"/>
      <c r="AJ8" s="244" t="s">
        <v>144</v>
      </c>
      <c r="AK8" s="245">
        <v>0.03</v>
      </c>
      <c r="AM8" s="261"/>
      <c r="AN8" s="260"/>
      <c r="AO8" s="265"/>
    </row>
    <row r="9" spans="1:64" x14ac:dyDescent="0.25">
      <c r="I9" s="387"/>
      <c r="J9" s="387"/>
      <c r="K9" s="387"/>
      <c r="L9" s="387"/>
      <c r="M9" s="387"/>
      <c r="N9" s="387"/>
      <c r="O9" s="387"/>
      <c r="P9" s="387"/>
      <c r="Q9" s="387"/>
      <c r="R9" s="387"/>
      <c r="S9" s="387"/>
      <c r="T9" s="387"/>
      <c r="U9" s="387"/>
      <c r="V9" s="387"/>
      <c r="W9" s="387"/>
      <c r="X9" s="387"/>
      <c r="Y9" s="387"/>
      <c r="Z9" s="387"/>
      <c r="AA9" s="387"/>
      <c r="AB9" s="295"/>
      <c r="AC9" s="295"/>
      <c r="AF9" s="177"/>
      <c r="AK9" s="178"/>
      <c r="AM9" s="267" t="s">
        <v>196</v>
      </c>
      <c r="AN9" s="260"/>
      <c r="AO9" s="265">
        <v>190</v>
      </c>
    </row>
    <row r="10" spans="1:64" x14ac:dyDescent="0.25">
      <c r="I10" s="387"/>
      <c r="J10" s="387"/>
      <c r="K10" s="387"/>
      <c r="L10" s="387"/>
      <c r="M10" s="387"/>
      <c r="N10" s="387"/>
      <c r="O10" s="387"/>
      <c r="P10" s="387"/>
      <c r="Q10" s="387"/>
      <c r="R10" s="387"/>
      <c r="S10" s="387"/>
      <c r="T10" s="387"/>
      <c r="U10" s="387"/>
      <c r="V10" s="387"/>
      <c r="W10" s="387"/>
      <c r="X10" s="387"/>
      <c r="Y10" s="387"/>
      <c r="Z10" s="387"/>
      <c r="AA10" s="387"/>
      <c r="AB10" s="295"/>
      <c r="AC10" s="295"/>
      <c r="AF10" s="177"/>
      <c r="AH10" s="8"/>
      <c r="AI10" s="8"/>
      <c r="AJ10" s="258" t="s">
        <v>89</v>
      </c>
      <c r="AK10" s="181">
        <v>1</v>
      </c>
      <c r="AM10" s="388" t="s">
        <v>197</v>
      </c>
      <c r="AN10" s="389"/>
      <c r="AO10" s="265">
        <v>70</v>
      </c>
    </row>
    <row r="11" spans="1:64" x14ac:dyDescent="0.25">
      <c r="I11" s="177"/>
      <c r="J11" s="296"/>
      <c r="K11" s="297"/>
      <c r="L11" s="296"/>
      <c r="M11" s="297"/>
      <c r="N11" s="297"/>
      <c r="O11" s="297"/>
      <c r="P11" s="297"/>
      <c r="Q11" s="297"/>
      <c r="R11" s="297"/>
      <c r="S11" s="297"/>
      <c r="T11" s="297"/>
      <c r="U11" s="297"/>
      <c r="V11" s="297"/>
      <c r="W11" s="297"/>
      <c r="X11" s="297"/>
      <c r="Y11" s="297"/>
      <c r="Z11" s="297"/>
      <c r="AA11" s="297"/>
      <c r="AB11" s="297"/>
      <c r="AC11" s="297"/>
      <c r="AD11" s="297"/>
      <c r="AE11" s="177"/>
      <c r="AF11" s="177"/>
      <c r="AH11" s="393" t="s">
        <v>266</v>
      </c>
      <c r="AI11" s="393"/>
      <c r="AJ11" s="393"/>
      <c r="AK11" s="181" t="s">
        <v>114</v>
      </c>
      <c r="AM11" s="262" t="s">
        <v>208</v>
      </c>
      <c r="AN11" s="263"/>
      <c r="AO11" s="266">
        <f>260/12</f>
        <v>21.6666666666667</v>
      </c>
    </row>
    <row r="12" spans="1:64" ht="15.95" customHeight="1" x14ac:dyDescent="0.25">
      <c r="H12" s="175" t="s">
        <v>146</v>
      </c>
      <c r="I12" s="394"/>
      <c r="J12" s="394"/>
      <c r="K12" s="394"/>
      <c r="L12" s="394"/>
      <c r="M12" s="394"/>
      <c r="N12" s="394"/>
      <c r="P12" s="292"/>
      <c r="AH12" s="393" t="s">
        <v>267</v>
      </c>
      <c r="AI12" s="393"/>
      <c r="AJ12" s="393"/>
      <c r="AK12" s="181" t="s">
        <v>114</v>
      </c>
      <c r="AM12" s="167"/>
      <c r="AR12" s="28" t="s">
        <v>195</v>
      </c>
    </row>
    <row r="13" spans="1:64" x14ac:dyDescent="0.25">
      <c r="L13" s="298" t="s">
        <v>53</v>
      </c>
      <c r="P13" s="298" t="s">
        <v>53</v>
      </c>
      <c r="T13" s="298" t="s">
        <v>53</v>
      </c>
      <c r="X13" s="298" t="s">
        <v>53</v>
      </c>
      <c r="AB13" s="298" t="s">
        <v>53</v>
      </c>
      <c r="AF13" s="182" t="s">
        <v>53</v>
      </c>
      <c r="AG13" s="163" t="s">
        <v>54</v>
      </c>
      <c r="AH13" s="393" t="s">
        <v>268</v>
      </c>
      <c r="AI13" s="393"/>
      <c r="AJ13" s="393"/>
      <c r="AK13" s="181" t="s">
        <v>114</v>
      </c>
      <c r="AM13" s="336" t="s">
        <v>234</v>
      </c>
      <c r="AN13" s="336"/>
      <c r="AO13" s="336"/>
      <c r="AP13" s="336"/>
      <c r="AQ13" s="336"/>
      <c r="AR13" s="336"/>
      <c r="AS13" s="336"/>
      <c r="AT13" s="336"/>
    </row>
    <row r="14" spans="1:64" x14ac:dyDescent="0.25">
      <c r="H14" s="183"/>
      <c r="J14" s="299" t="s">
        <v>0</v>
      </c>
      <c r="K14" s="299"/>
      <c r="L14" s="300" t="s">
        <v>0</v>
      </c>
      <c r="M14" s="299"/>
      <c r="N14" s="299" t="s">
        <v>1</v>
      </c>
      <c r="O14" s="301"/>
      <c r="P14" s="300" t="s">
        <v>1</v>
      </c>
      <c r="Q14" s="301"/>
      <c r="R14" s="299" t="s">
        <v>22</v>
      </c>
      <c r="S14" s="301"/>
      <c r="T14" s="300" t="s">
        <v>22</v>
      </c>
      <c r="U14" s="301"/>
      <c r="V14" s="299" t="s">
        <v>30</v>
      </c>
      <c r="W14" s="301"/>
      <c r="X14" s="300" t="s">
        <v>30</v>
      </c>
      <c r="Y14" s="301"/>
      <c r="Z14" s="299" t="s">
        <v>41</v>
      </c>
      <c r="AA14" s="301"/>
      <c r="AB14" s="300" t="s">
        <v>41</v>
      </c>
      <c r="AC14" s="301"/>
      <c r="AD14" s="299" t="s">
        <v>23</v>
      </c>
      <c r="AE14" s="247"/>
      <c r="AF14" s="248" t="s">
        <v>23</v>
      </c>
      <c r="AG14" s="249" t="s">
        <v>142</v>
      </c>
      <c r="AH14" s="8"/>
      <c r="AI14" s="8"/>
      <c r="AJ14" s="250" t="s">
        <v>110</v>
      </c>
      <c r="AK14" s="251"/>
      <c r="AL14" s="246"/>
      <c r="AM14" s="386" t="s">
        <v>231</v>
      </c>
      <c r="AN14" s="386"/>
      <c r="AO14" s="386"/>
      <c r="AP14" s="386"/>
      <c r="AQ14" s="386"/>
      <c r="AR14" s="386"/>
      <c r="AS14" s="386"/>
      <c r="AT14" s="386"/>
      <c r="AU14" s="386"/>
      <c r="AV14" s="8"/>
      <c r="AW14" s="8"/>
      <c r="AX14" s="8"/>
      <c r="AY14" s="8"/>
      <c r="AZ14" s="252"/>
      <c r="BA14" s="8"/>
      <c r="BB14" s="8"/>
      <c r="BC14" s="8"/>
      <c r="BD14" s="8"/>
      <c r="BE14" s="252"/>
      <c r="BF14" s="8"/>
      <c r="BG14" s="8"/>
      <c r="BH14" s="8"/>
      <c r="BI14" s="8"/>
      <c r="BJ14" s="252"/>
      <c r="BK14" s="251"/>
      <c r="BL14" s="8"/>
    </row>
    <row r="15" spans="1:64" x14ac:dyDescent="0.25">
      <c r="H15" s="183"/>
      <c r="J15" s="299"/>
      <c r="K15" s="299"/>
      <c r="L15" s="300"/>
      <c r="M15" s="299"/>
      <c r="N15" s="299"/>
      <c r="O15" s="301"/>
      <c r="P15" s="300"/>
      <c r="Q15" s="301"/>
      <c r="R15" s="299"/>
      <c r="S15" s="301"/>
      <c r="T15" s="300"/>
      <c r="U15" s="301"/>
      <c r="V15" s="299"/>
      <c r="W15" s="301"/>
      <c r="X15" s="300"/>
      <c r="Y15" s="301"/>
      <c r="Z15" s="299"/>
      <c r="AA15" s="301"/>
      <c r="AB15" s="300"/>
      <c r="AC15" s="301"/>
      <c r="AD15" s="299"/>
      <c r="AE15" s="247"/>
      <c r="AF15" s="248"/>
      <c r="AG15" s="249"/>
      <c r="AH15" s="8"/>
      <c r="AI15" s="246" t="s">
        <v>240</v>
      </c>
      <c r="AJ15" s="250"/>
      <c r="AK15" s="251"/>
      <c r="AL15" s="246"/>
      <c r="AM15" s="246"/>
      <c r="AN15" s="8"/>
      <c r="AO15" s="8"/>
      <c r="AP15" s="252"/>
      <c r="AQ15" s="8"/>
      <c r="AR15" s="8"/>
      <c r="AS15" s="8"/>
      <c r="AT15" s="8"/>
      <c r="AU15" s="252"/>
      <c r="AV15" s="8"/>
      <c r="AW15" s="8"/>
      <c r="AX15" s="8"/>
      <c r="AY15" s="8"/>
      <c r="AZ15" s="252"/>
      <c r="BA15" s="8"/>
      <c r="BB15" s="8"/>
      <c r="BC15" s="8"/>
      <c r="BD15" s="8"/>
      <c r="BE15" s="252"/>
      <c r="BF15" s="8"/>
      <c r="BG15" s="8"/>
      <c r="BH15" s="8"/>
      <c r="BI15" s="8"/>
      <c r="BJ15" s="252"/>
      <c r="BK15" s="251"/>
      <c r="BL15" s="8"/>
    </row>
    <row r="16" spans="1:64" x14ac:dyDescent="0.25">
      <c r="A16" s="184" t="s">
        <v>111</v>
      </c>
      <c r="B16" s="184" t="s">
        <v>2</v>
      </c>
      <c r="C16" s="184" t="s">
        <v>3</v>
      </c>
      <c r="I16" s="185"/>
      <c r="J16" s="302"/>
      <c r="K16" s="303"/>
      <c r="L16" s="304"/>
      <c r="M16" s="303"/>
      <c r="N16" s="303"/>
      <c r="O16" s="305"/>
      <c r="P16" s="304"/>
      <c r="Q16" s="305"/>
      <c r="R16" s="303"/>
      <c r="S16" s="305"/>
      <c r="T16" s="306"/>
      <c r="U16" s="305"/>
      <c r="V16" s="303"/>
      <c r="W16" s="305"/>
      <c r="X16" s="306"/>
      <c r="Y16" s="305"/>
      <c r="Z16" s="303"/>
      <c r="AA16" s="305"/>
      <c r="AB16" s="306"/>
      <c r="AC16" s="305"/>
      <c r="AD16" s="303"/>
      <c r="AE16" s="253"/>
      <c r="AF16" s="254"/>
      <c r="AG16" s="8"/>
      <c r="AH16" s="8"/>
      <c r="AI16" s="337" t="s">
        <v>232</v>
      </c>
      <c r="AJ16" s="255" t="s">
        <v>57</v>
      </c>
      <c r="AK16" s="256" t="s">
        <v>62</v>
      </c>
      <c r="AL16" s="255" t="s">
        <v>58</v>
      </c>
      <c r="AM16" s="255" t="s">
        <v>158</v>
      </c>
      <c r="AN16" s="249" t="s">
        <v>59</v>
      </c>
      <c r="AO16" s="249" t="s">
        <v>60</v>
      </c>
      <c r="AP16" s="257" t="s">
        <v>61</v>
      </c>
      <c r="AQ16" s="249"/>
      <c r="AR16" s="249" t="s">
        <v>161</v>
      </c>
      <c r="AS16" s="249" t="s">
        <v>59</v>
      </c>
      <c r="AT16" s="249" t="s">
        <v>60</v>
      </c>
      <c r="AU16" s="257" t="s">
        <v>61</v>
      </c>
      <c r="AV16" s="249"/>
      <c r="AW16" s="249" t="s">
        <v>161</v>
      </c>
      <c r="AX16" s="249" t="s">
        <v>59</v>
      </c>
      <c r="AY16" s="249" t="s">
        <v>60</v>
      </c>
      <c r="AZ16" s="257" t="s">
        <v>61</v>
      </c>
      <c r="BA16" s="249"/>
      <c r="BB16" s="249" t="s">
        <v>161</v>
      </c>
      <c r="BC16" s="249" t="s">
        <v>59</v>
      </c>
      <c r="BD16" s="249" t="s">
        <v>60</v>
      </c>
      <c r="BE16" s="257" t="s">
        <v>61</v>
      </c>
      <c r="BF16" s="246"/>
      <c r="BG16" s="249" t="s">
        <v>161</v>
      </c>
      <c r="BH16" s="249" t="s">
        <v>59</v>
      </c>
      <c r="BI16" s="249" t="s">
        <v>60</v>
      </c>
      <c r="BJ16" s="257" t="s">
        <v>61</v>
      </c>
      <c r="BK16" s="256"/>
      <c r="BL16" s="249" t="s">
        <v>77</v>
      </c>
    </row>
    <row r="17" spans="1:73" x14ac:dyDescent="0.25">
      <c r="A17" s="168"/>
      <c r="B17" s="184"/>
      <c r="C17" s="167" t="str">
        <f>"PI: "&amp;E6</f>
        <v xml:space="preserve">PI: </v>
      </c>
      <c r="H17" s="188"/>
      <c r="I17" s="185"/>
      <c r="J17" s="303"/>
      <c r="K17" s="303"/>
      <c r="L17" s="304"/>
      <c r="M17" s="303"/>
      <c r="N17" s="303"/>
      <c r="O17" s="305"/>
      <c r="P17" s="304"/>
      <c r="Q17" s="305"/>
      <c r="R17" s="305"/>
      <c r="S17" s="305"/>
      <c r="T17" s="306"/>
      <c r="U17" s="305"/>
      <c r="V17" s="305"/>
      <c r="W17" s="305"/>
      <c r="X17" s="306"/>
      <c r="Y17" s="305"/>
      <c r="Z17" s="305"/>
      <c r="AA17" s="305"/>
      <c r="AB17" s="306"/>
      <c r="AC17" s="305"/>
      <c r="AD17" s="303"/>
      <c r="AE17" s="253"/>
      <c r="AF17" s="254"/>
      <c r="AG17" s="8"/>
      <c r="AH17" s="8" t="s">
        <v>241</v>
      </c>
      <c r="AI17" s="173" t="s">
        <v>245</v>
      </c>
      <c r="AJ17" s="37"/>
      <c r="AK17" s="251"/>
      <c r="AL17" s="10"/>
      <c r="AM17" s="10"/>
      <c r="AN17" s="385" t="s">
        <v>0</v>
      </c>
      <c r="AO17" s="385"/>
      <c r="AP17" s="385"/>
      <c r="AQ17" s="249"/>
      <c r="AR17" s="249"/>
      <c r="AS17" s="385" t="s">
        <v>1</v>
      </c>
      <c r="AT17" s="385"/>
      <c r="AU17" s="385"/>
      <c r="AV17" s="249"/>
      <c r="AW17" s="249"/>
      <c r="AX17" s="385" t="s">
        <v>22</v>
      </c>
      <c r="AY17" s="385"/>
      <c r="AZ17" s="385"/>
      <c r="BA17" s="249"/>
      <c r="BB17" s="249"/>
      <c r="BC17" s="385" t="s">
        <v>30</v>
      </c>
      <c r="BD17" s="385"/>
      <c r="BE17" s="385"/>
      <c r="BF17" s="8"/>
      <c r="BG17" s="8"/>
      <c r="BH17" s="385" t="s">
        <v>41</v>
      </c>
      <c r="BI17" s="385"/>
      <c r="BJ17" s="385"/>
      <c r="BK17" s="249"/>
      <c r="BL17" s="249" t="s">
        <v>23</v>
      </c>
    </row>
    <row r="18" spans="1:73" x14ac:dyDescent="0.25">
      <c r="A18" s="168" t="s">
        <v>153</v>
      </c>
      <c r="B18" s="184"/>
      <c r="C18" s="184"/>
      <c r="D18" s="189" t="str">
        <f>IF(AL18="Summer", (AM18)&amp;" days,"&amp;" Summer", ((AN18*100)&amp;"%"&amp;" time, "&amp;AO18&amp;" months, "&amp;AL18))</f>
        <v>0% time, 0 months, AY</v>
      </c>
      <c r="E18" s="189"/>
      <c r="F18" s="175"/>
      <c r="G18" s="175"/>
      <c r="H18" s="188"/>
      <c r="I18" s="185"/>
      <c r="J18" s="291">
        <f>IF($AK$13="No", IF(AP18=0,0,($AJ18/$AK18*AP18)), ($AJ18*(1+$AK$4)/$AK18*AP18))</f>
        <v>0</v>
      </c>
      <c r="L18" s="307">
        <v>0</v>
      </c>
      <c r="N18" s="291">
        <f>IF($AK$13="No",IF(AU18=0,0,($AJ18*(1+$AK$4)/$AK18*AU18)),($AJ18*(1+$AK$4)^2/$AK18*AU18))</f>
        <v>0</v>
      </c>
      <c r="O18" s="291"/>
      <c r="P18" s="307">
        <v>0</v>
      </c>
      <c r="R18" s="291">
        <f>IF($AK$13="No",IF(AZ18=0,0,($AJ18*(1+$AK$4)^2/$AK18*AZ18)),($AJ18*(1+$AK$4)^3/$AK18*AZ18))</f>
        <v>0</v>
      </c>
      <c r="S18" s="291"/>
      <c r="T18" s="307">
        <v>0</v>
      </c>
      <c r="V18" s="291">
        <f>IF($AK$13="No",IF(BE18=0,0,($AJ18*(1+$AK$4)^3/$AK18*BE18)),($AJ18*(1+$AK$4)^4/$AK18*BE18))</f>
        <v>0</v>
      </c>
      <c r="W18" s="291"/>
      <c r="X18" s="307">
        <v>0</v>
      </c>
      <c r="Z18" s="291">
        <f>IF($AK$13="No", IF(BJ18=0,0,($AJ18*(1+$AK$4)^4/$AK18*BJ18)), ($AJ18*(1+$AK$4)^5/$AK18*BJ18))</f>
        <v>0</v>
      </c>
      <c r="AA18" s="291"/>
      <c r="AB18" s="307">
        <v>0</v>
      </c>
      <c r="AD18" s="291">
        <f t="shared" ref="AD18:AD50" si="0">J18+N18+R18+V18+Z18</f>
        <v>0</v>
      </c>
      <c r="AE18" s="170"/>
      <c r="AF18" s="186">
        <f t="shared" ref="AF18:AF50" si="1">L18+P18+T18+X18+AB18</f>
        <v>0</v>
      </c>
      <c r="AH18" s="180"/>
      <c r="AI18" s="190"/>
      <c r="AJ18" s="148">
        <v>100000</v>
      </c>
      <c r="AK18" s="118">
        <f t="shared" ref="AK18:AK48" si="2">VLOOKUP(A18, $D$323:$H$337, 5, FALSE)</f>
        <v>8.77</v>
      </c>
      <c r="AL18" s="119" t="s">
        <v>81</v>
      </c>
      <c r="AM18" s="165"/>
      <c r="AN18" s="342">
        <v>0</v>
      </c>
      <c r="AO18" s="335">
        <v>0</v>
      </c>
      <c r="AP18" s="41">
        <f>IF($AL18="Summer",(AM18/$AO$9*AK18),AN18*AO18)</f>
        <v>0</v>
      </c>
      <c r="AR18" s="121">
        <f>IF($AK$10=1,0,AM18)</f>
        <v>0</v>
      </c>
      <c r="AS18" s="120">
        <f t="shared" ref="AS18" si="3">IF($AK$10=1,0,AN18)</f>
        <v>0</v>
      </c>
      <c r="AT18" s="121">
        <f t="shared" ref="AT18:AT50" si="4">IF($AK$10=1,0,AO18)</f>
        <v>0</v>
      </c>
      <c r="AU18" s="41">
        <f>IF($AL18="Summer",(AR18/$AO$9*AK18),AS18*AT18)</f>
        <v>0</v>
      </c>
      <c r="AW18" s="121">
        <f t="shared" ref="AW18:AY20" si="5">IF($AK$10=2,0,AR18)</f>
        <v>0</v>
      </c>
      <c r="AX18" s="161">
        <f t="shared" si="5"/>
        <v>0</v>
      </c>
      <c r="AY18" s="159">
        <f t="shared" si="5"/>
        <v>0</v>
      </c>
      <c r="AZ18" s="41">
        <f>IF($AL18="Summer",(AW18/$AO$9*AK18),AX18*AY18)</f>
        <v>0</v>
      </c>
      <c r="BB18" s="121">
        <f t="shared" ref="BB18:BD20" si="6">IF($AK$10=3,0,AW18)</f>
        <v>0</v>
      </c>
      <c r="BC18" s="120">
        <f t="shared" si="6"/>
        <v>0</v>
      </c>
      <c r="BD18" s="121">
        <f t="shared" si="6"/>
        <v>0</v>
      </c>
      <c r="BE18" s="41">
        <f>IF($AL18="Summer",(BB18/$AO$9*AK18),BC18*BD18)</f>
        <v>0</v>
      </c>
      <c r="BG18" s="121">
        <f t="shared" ref="BG18:BI20" si="7">IF($AK$10=4,0,BB18)</f>
        <v>0</v>
      </c>
      <c r="BH18" s="120">
        <f t="shared" si="7"/>
        <v>0</v>
      </c>
      <c r="BI18" s="121">
        <f t="shared" si="7"/>
        <v>0</v>
      </c>
      <c r="BJ18" s="41">
        <f>IF($AL18="Summer",(BG18/$AO$9*AK18),BH18*BI18)</f>
        <v>0</v>
      </c>
      <c r="BL18" s="45">
        <f>BJ18+BE18+AZ18+AU18+AP18</f>
        <v>0</v>
      </c>
    </row>
    <row r="19" spans="1:73" x14ac:dyDescent="0.25">
      <c r="A19" s="168" t="s">
        <v>153</v>
      </c>
      <c r="B19" s="184"/>
      <c r="C19" s="184"/>
      <c r="D19" s="189" t="str">
        <f>IF(AL19="Summer", (AM19)&amp;" days,"&amp;" Summer", ((AN19*100)&amp;"%"&amp;" time, "&amp;AO19&amp;" months, "&amp;AL19))</f>
        <v>0 days, Summer</v>
      </c>
      <c r="E19" s="189"/>
      <c r="F19" s="175"/>
      <c r="G19" s="175"/>
      <c r="H19" s="188"/>
      <c r="I19" s="185"/>
      <c r="J19" s="291">
        <f>IF($AK$13="No", IF(AP19=0,0,($AJ19/$AK19*AP19)), ($AJ19*(1+$AK$4)/$AK19*AP19))</f>
        <v>0</v>
      </c>
      <c r="L19" s="307">
        <v>0</v>
      </c>
      <c r="N19" s="291">
        <f>IF($AK$13="No",IF(AU19=0,0,($AJ19*(1+$AK$4)/$AK19*AU19)),($AJ19*(1+$AK$4)^2/$AK19*AU19))</f>
        <v>0</v>
      </c>
      <c r="O19" s="291"/>
      <c r="P19" s="307">
        <v>0</v>
      </c>
      <c r="R19" s="291">
        <f>IF($AK$13="No",IF(AZ19=0,0,($AJ19*(1+$AK$4)^2/$AK19*AZ19)),($AJ19*(1+$AK$4)^3/$AK19*AZ19))</f>
        <v>0</v>
      </c>
      <c r="S19" s="291"/>
      <c r="T19" s="307">
        <v>0</v>
      </c>
      <c r="V19" s="291">
        <f>IF($AK$13="No",IF(BE19=0,0,($AJ19*(1+$AK$4)^3/$AK19*BE19)),($AJ19*(1+$AK$4)^4/$AK19*BE19))</f>
        <v>0</v>
      </c>
      <c r="W19" s="291"/>
      <c r="X19" s="307">
        <v>0</v>
      </c>
      <c r="Z19" s="291">
        <f>IF($AK$13="No", IF(BJ19=0,0,($AJ19*(1+$AK$4)^4/$AK19*BJ19)), ($AJ19*(1+$AK$4)^5/$AK19*BJ19))</f>
        <v>0</v>
      </c>
      <c r="AA19" s="291"/>
      <c r="AB19" s="307">
        <v>0</v>
      </c>
      <c r="AD19" s="291">
        <f t="shared" si="0"/>
        <v>0</v>
      </c>
      <c r="AE19" s="170"/>
      <c r="AF19" s="186">
        <f t="shared" si="1"/>
        <v>0</v>
      </c>
      <c r="AI19" s="190"/>
      <c r="AJ19" s="148">
        <v>100000</v>
      </c>
      <c r="AK19" s="118">
        <f t="shared" si="2"/>
        <v>8.77</v>
      </c>
      <c r="AL19" s="119" t="s">
        <v>82</v>
      </c>
      <c r="AM19" s="341">
        <v>0</v>
      </c>
      <c r="AN19" s="120">
        <v>0</v>
      </c>
      <c r="AO19" s="121">
        <v>0</v>
      </c>
      <c r="AP19" s="41">
        <f>IF($AL19="Summer",(AM19/$AO$9*AK19),AN19*AO19)</f>
        <v>0</v>
      </c>
      <c r="AR19" s="121">
        <f>IF($AK$10=1,0,AM19)</f>
        <v>0</v>
      </c>
      <c r="AS19" s="120">
        <f>IF($AK$10=1, 0, AN19)</f>
        <v>0</v>
      </c>
      <c r="AT19" s="121">
        <f t="shared" ref="AT19" si="8">IF($AK$10=1,0,AO19)</f>
        <v>0</v>
      </c>
      <c r="AU19" s="41">
        <f>IF($AL19="Summer",(AR19/$AO$9*AK19),AS19*AT19)</f>
        <v>0</v>
      </c>
      <c r="AW19" s="121">
        <f t="shared" ref="AW19" si="9">IF($AK$10=2,0,AR19)</f>
        <v>0</v>
      </c>
      <c r="AX19" s="161">
        <f t="shared" ref="AX19" si="10">IF($AK$10=2,0,AS19)</f>
        <v>0</v>
      </c>
      <c r="AY19" s="159">
        <f t="shared" ref="AY19" si="11">IF($AK$10=2,0,AT19)</f>
        <v>0</v>
      </c>
      <c r="AZ19" s="41">
        <f>IF($AL19="Summer",(AW19/$AO$9*AK19),AX19*AY19)</f>
        <v>0</v>
      </c>
      <c r="BB19" s="121">
        <f t="shared" ref="BB19" si="12">IF($AK$10=3,0,AW19)</f>
        <v>0</v>
      </c>
      <c r="BC19" s="120">
        <f t="shared" ref="BC19" si="13">IF($AK$10=3,0,AX19)</f>
        <v>0</v>
      </c>
      <c r="BD19" s="121">
        <f t="shared" ref="BD19" si="14">IF($AK$10=3,0,AY19)</f>
        <v>0</v>
      </c>
      <c r="BE19" s="41">
        <f>IF($AL19="Summer",(BB19/$AO$9*AK19),BC19*BD19)</f>
        <v>0</v>
      </c>
      <c r="BG19" s="121">
        <f t="shared" ref="BG19" si="15">IF($AK$10=4,0,BB19)</f>
        <v>0</v>
      </c>
      <c r="BH19" s="120">
        <f t="shared" ref="BH19" si="16">IF($AK$10=4,0,BC19)</f>
        <v>0</v>
      </c>
      <c r="BI19" s="121">
        <f t="shared" ref="BI19" si="17">IF($AK$10=4,0,BD19)</f>
        <v>0</v>
      </c>
      <c r="BJ19" s="41">
        <f>IF($AL19="Summer",(BG19/$AO$9*AK19),BH19*BI19)</f>
        <v>0</v>
      </c>
      <c r="BL19" s="45">
        <f>BJ19+BE19+AZ19+AU19+AP19</f>
        <v>0</v>
      </c>
    </row>
    <row r="20" spans="1:73" s="156" customFormat="1" x14ac:dyDescent="0.25">
      <c r="A20" s="191" t="s">
        <v>153</v>
      </c>
      <c r="B20" s="192"/>
      <c r="C20" s="167" t="str">
        <f>"Co-PI: "&amp;E7</f>
        <v xml:space="preserve">Co-PI: </v>
      </c>
      <c r="D20" s="193"/>
      <c r="E20" s="193"/>
      <c r="F20" s="194"/>
      <c r="G20" s="194"/>
      <c r="H20" s="195"/>
      <c r="I20" s="196"/>
      <c r="J20" s="308">
        <f t="shared" ref="J20:J48" si="18">IF($AK$13="No", IF(AP20=0,0,($AJ20/$AK20*AP20)), ($AJ20*(1+$AK$4)/$AK20*AP20))</f>
        <v>0</v>
      </c>
      <c r="K20" s="309"/>
      <c r="L20" s="307"/>
      <c r="M20" s="309"/>
      <c r="N20" s="309">
        <f t="shared" ref="N20:N48" si="19">IF($AK$13="No",IF(AU20=0,0,($AJ20*(1+$AK$4)/$AK20*AU20)),($AJ20*(1+$AK$4)^2/$AK20*AU20))</f>
        <v>0</v>
      </c>
      <c r="O20" s="309"/>
      <c r="P20" s="307"/>
      <c r="Q20" s="310"/>
      <c r="R20" s="309">
        <f t="shared" ref="R20:R48" si="20">IF($AK$13="No",IF(AZ20=0,0,($AJ20*(1+$AK$4)^2/$AK20*AZ20)),($AJ20*(1+$AK$4)^3/$AK20*AZ20))</f>
        <v>0</v>
      </c>
      <c r="S20" s="309"/>
      <c r="T20" s="307"/>
      <c r="U20" s="310"/>
      <c r="V20" s="291">
        <f t="shared" ref="V20:V50" si="21">IF($AK$13="No",IF(BE20=0,0,($AJ20*(1+$AK$4)^3/$AK20*BE20)),($AJ20*(1+$AK$4)^4/$AK20*BE20))</f>
        <v>0</v>
      </c>
      <c r="W20" s="309"/>
      <c r="X20" s="307"/>
      <c r="Y20" s="310"/>
      <c r="Z20" s="309">
        <f t="shared" ref="Z20:Z48" si="22">IF($AK$13="No", IF(BJ20=0,0,($AJ20*(1+$AK$4)^4/$AK20*BJ20)), ($AJ20*(1+$AK$4)^5/$AK20*BJ20))</f>
        <v>0</v>
      </c>
      <c r="AA20" s="309"/>
      <c r="AB20" s="307"/>
      <c r="AC20" s="310"/>
      <c r="AD20" s="309">
        <f t="shared" si="0"/>
        <v>0</v>
      </c>
      <c r="AE20" s="198"/>
      <c r="AF20" s="199">
        <f t="shared" si="1"/>
        <v>0</v>
      </c>
      <c r="AI20" s="200"/>
      <c r="AJ20" s="150">
        <v>0.01</v>
      </c>
      <c r="AK20" s="151">
        <f t="shared" si="2"/>
        <v>8.77</v>
      </c>
      <c r="AL20" s="152"/>
      <c r="AM20" s="166"/>
      <c r="AN20" s="153">
        <v>0</v>
      </c>
      <c r="AO20" s="154">
        <v>0</v>
      </c>
      <c r="AP20" s="155">
        <f t="shared" ref="AP20:AP47" si="23">IF($AL20="Summer",(AM20/$AO$9*AK20),AN20*AO20)</f>
        <v>0</v>
      </c>
      <c r="AR20" s="154">
        <f>IF($AK$10=1,0,AM20)</f>
        <v>0</v>
      </c>
      <c r="AS20" s="153">
        <f>IF($AK$10=1, 0, AN20)</f>
        <v>0</v>
      </c>
      <c r="AT20" s="154">
        <f t="shared" si="4"/>
        <v>0</v>
      </c>
      <c r="AU20" s="155">
        <f t="shared" ref="AU20:AU48" si="24">IF($AL20="Summer",(AR20/$AO$9*AK20),AS20*AT20)</f>
        <v>0</v>
      </c>
      <c r="AW20" s="154">
        <f t="shared" si="5"/>
        <v>0</v>
      </c>
      <c r="AX20" s="162">
        <f t="shared" si="5"/>
        <v>0</v>
      </c>
      <c r="AY20" s="160">
        <f t="shared" si="5"/>
        <v>0</v>
      </c>
      <c r="AZ20" s="155">
        <f t="shared" ref="AZ20:AZ48" si="25">IF($AL20="Summer",(AW20/$AO$9*AK20),AX20*AY20)</f>
        <v>0</v>
      </c>
      <c r="BB20" s="154">
        <f t="shared" si="6"/>
        <v>0</v>
      </c>
      <c r="BC20" s="153">
        <f t="shared" si="6"/>
        <v>0</v>
      </c>
      <c r="BD20" s="154">
        <f t="shared" si="6"/>
        <v>0</v>
      </c>
      <c r="BE20" s="155">
        <f t="shared" ref="BE20:BE48" si="26">IF($AL20="Summer",(BB20/$AO$9*AK20),BC20*BD20)</f>
        <v>0</v>
      </c>
      <c r="BG20" s="154">
        <f t="shared" si="7"/>
        <v>0</v>
      </c>
      <c r="BH20" s="153">
        <f t="shared" si="7"/>
        <v>0</v>
      </c>
      <c r="BI20" s="154">
        <f t="shared" si="7"/>
        <v>0</v>
      </c>
      <c r="BJ20" s="155">
        <f t="shared" ref="BJ20:BJ48" si="27">IF($AL20="Summer",(BG20/$AO$9*AK20),BH20*BI20)</f>
        <v>0</v>
      </c>
      <c r="BK20" s="157"/>
      <c r="BL20" s="157">
        <f t="shared" ref="BL20:BL48" si="28">BJ20+BE20+AZ20+AU20+AP20</f>
        <v>0</v>
      </c>
      <c r="BM20" s="201"/>
      <c r="BN20" s="201"/>
      <c r="BO20" s="201"/>
      <c r="BP20" s="201"/>
      <c r="BQ20" s="201"/>
      <c r="BR20" s="201"/>
      <c r="BS20" s="201"/>
      <c r="BT20" s="201"/>
      <c r="BU20" s="201"/>
    </row>
    <row r="21" spans="1:73" ht="16.5" customHeight="1" x14ac:dyDescent="0.25">
      <c r="A21" s="168" t="s">
        <v>153</v>
      </c>
      <c r="B21" s="184"/>
      <c r="C21" s="184"/>
      <c r="D21" s="189" t="str">
        <f>IF(AL21="Summer", (AM21)&amp;" days,"&amp;" Summer", ((AN21*100)&amp;"%"&amp;" time, "&amp;AO21&amp;" months, "&amp;AL21))</f>
        <v>0% time, 0 months, AY</v>
      </c>
      <c r="E21" s="189"/>
      <c r="F21" s="175"/>
      <c r="G21" s="175"/>
      <c r="H21" s="188"/>
      <c r="I21" s="185"/>
      <c r="J21" s="291">
        <f t="shared" si="18"/>
        <v>0</v>
      </c>
      <c r="L21" s="307">
        <v>0</v>
      </c>
      <c r="N21" s="291">
        <f t="shared" si="19"/>
        <v>0</v>
      </c>
      <c r="O21" s="291"/>
      <c r="P21" s="307">
        <v>0</v>
      </c>
      <c r="R21" s="291">
        <f t="shared" si="20"/>
        <v>0</v>
      </c>
      <c r="S21" s="291"/>
      <c r="T21" s="307">
        <v>0</v>
      </c>
      <c r="V21" s="291">
        <f t="shared" si="21"/>
        <v>0</v>
      </c>
      <c r="W21" s="291"/>
      <c r="X21" s="307">
        <v>0</v>
      </c>
      <c r="Z21" s="291">
        <f t="shared" si="22"/>
        <v>0</v>
      </c>
      <c r="AA21" s="291"/>
      <c r="AB21" s="307">
        <v>0</v>
      </c>
      <c r="AD21" s="291">
        <f t="shared" si="0"/>
        <v>0</v>
      </c>
      <c r="AE21" s="170"/>
      <c r="AF21" s="186">
        <f t="shared" si="1"/>
        <v>0</v>
      </c>
      <c r="AH21" s="180"/>
      <c r="AI21" s="190"/>
      <c r="AJ21" s="148">
        <v>0.01</v>
      </c>
      <c r="AK21" s="118">
        <f t="shared" si="2"/>
        <v>8.77</v>
      </c>
      <c r="AL21" s="119" t="s">
        <v>81</v>
      </c>
      <c r="AM21" s="165"/>
      <c r="AN21" s="120">
        <v>0</v>
      </c>
      <c r="AO21" s="121">
        <v>0</v>
      </c>
      <c r="AP21" s="41">
        <f t="shared" si="23"/>
        <v>0</v>
      </c>
      <c r="AR21" s="121">
        <f>IF($AK$10=1,0,AM21)</f>
        <v>0</v>
      </c>
      <c r="AS21" s="120">
        <f t="shared" ref="AS21:AS48" si="29">IF($AK$10=1,0,AN21)</f>
        <v>0</v>
      </c>
      <c r="AT21" s="121">
        <f t="shared" si="4"/>
        <v>0</v>
      </c>
      <c r="AU21" s="41">
        <f t="shared" si="24"/>
        <v>0</v>
      </c>
      <c r="AW21" s="121">
        <f t="shared" ref="AW21:AW47" si="30">IF($AK$10=2,0,AR21)</f>
        <v>0</v>
      </c>
      <c r="AX21" s="120">
        <f t="shared" ref="AX21:AX50" si="31">IF($AK$10=2,0,AS21)</f>
        <v>0</v>
      </c>
      <c r="AY21" s="121">
        <f t="shared" ref="AY21:AY50" si="32">IF($AK$10=2,0,AT21)</f>
        <v>0</v>
      </c>
      <c r="AZ21" s="41">
        <f t="shared" si="25"/>
        <v>0</v>
      </c>
      <c r="BB21" s="121">
        <f t="shared" ref="BB21:BB47" si="33">IF($AK$10=3,0,AW21)</f>
        <v>0</v>
      </c>
      <c r="BC21" s="120">
        <f t="shared" ref="BC21:BC50" si="34">IF($AK$10=3,0,AX21)</f>
        <v>0</v>
      </c>
      <c r="BD21" s="121">
        <f t="shared" ref="BD21:BD50" si="35">IF($AK$10=3,0,AY21)</f>
        <v>0</v>
      </c>
      <c r="BE21" s="41">
        <f t="shared" si="26"/>
        <v>0</v>
      </c>
      <c r="BG21" s="121">
        <f t="shared" ref="BG21:BG47" si="36">IF($AK$10=4,0,BB21)</f>
        <v>0</v>
      </c>
      <c r="BH21" s="120">
        <f t="shared" ref="BH21:BH50" si="37">IF($AK$10=4,0,BC21)</f>
        <v>0</v>
      </c>
      <c r="BI21" s="121">
        <f t="shared" ref="BI21:BI50" si="38">IF($AK$10=4,0,BD21)</f>
        <v>0</v>
      </c>
      <c r="BJ21" s="41">
        <f t="shared" si="27"/>
        <v>0</v>
      </c>
      <c r="BL21" s="45">
        <f t="shared" si="28"/>
        <v>0</v>
      </c>
    </row>
    <row r="22" spans="1:73" ht="16.5" customHeight="1" x14ac:dyDescent="0.25">
      <c r="A22" s="168" t="s">
        <v>153</v>
      </c>
      <c r="B22" s="184"/>
      <c r="C22" s="184"/>
      <c r="D22" s="189" t="str">
        <f>IF(AL22="Summer", (AM22)&amp;" days,"&amp;" Summer", ((AN22*100)&amp;"%"&amp;" time, "&amp;AO22&amp;" months, "&amp;AL22))</f>
        <v>0 days, Summer</v>
      </c>
      <c r="E22" s="189"/>
      <c r="F22" s="175"/>
      <c r="G22" s="175"/>
      <c r="H22" s="188"/>
      <c r="I22" s="185"/>
      <c r="J22" s="291">
        <f t="shared" ref="J22" si="39">IF($AK$13="No", IF(AP22=0,0,($AJ22/$AK22*AP22)), ($AJ22*(1+$AK$4)/$AK22*AP22))</f>
        <v>0</v>
      </c>
      <c r="L22" s="307">
        <v>0</v>
      </c>
      <c r="N22" s="291">
        <f t="shared" ref="N22" si="40">IF($AK$13="No",IF(AU22=0,0,($AJ22*(1+$AK$4)/$AK22*AU22)),($AJ22*(1+$AK$4)^2/$AK22*AU22))</f>
        <v>0</v>
      </c>
      <c r="O22" s="291"/>
      <c r="P22" s="307">
        <v>0</v>
      </c>
      <c r="R22" s="291">
        <f t="shared" ref="R22" si="41">IF($AK$13="No",IF(AZ22=0,0,($AJ22*(1+$AK$4)^2/$AK22*AZ22)),($AJ22*(1+$AK$4)^3/$AK22*AZ22))</f>
        <v>0</v>
      </c>
      <c r="S22" s="291"/>
      <c r="T22" s="307">
        <v>0</v>
      </c>
      <c r="V22" s="291">
        <f t="shared" si="21"/>
        <v>0</v>
      </c>
      <c r="W22" s="291"/>
      <c r="X22" s="307">
        <v>0</v>
      </c>
      <c r="Z22" s="291">
        <f t="shared" ref="Z22" si="42">IF($AK$13="No", IF(BJ22=0,0,($AJ22*(1+$AK$4)^4/$AK22*BJ22)), ($AJ22*(1+$AK$4)^5/$AK22*BJ22))</f>
        <v>0</v>
      </c>
      <c r="AA22" s="291"/>
      <c r="AB22" s="307">
        <v>0</v>
      </c>
      <c r="AD22" s="291">
        <f t="shared" si="0"/>
        <v>0</v>
      </c>
      <c r="AE22" s="170"/>
      <c r="AF22" s="186">
        <f t="shared" si="1"/>
        <v>0</v>
      </c>
      <c r="AI22" s="190"/>
      <c r="AJ22" s="148">
        <v>0.01</v>
      </c>
      <c r="AK22" s="118">
        <f t="shared" si="2"/>
        <v>8.77</v>
      </c>
      <c r="AL22" s="119" t="s">
        <v>82</v>
      </c>
      <c r="AM22" s="165">
        <v>0</v>
      </c>
      <c r="AN22" s="120">
        <v>0</v>
      </c>
      <c r="AO22" s="121">
        <v>0</v>
      </c>
      <c r="AP22" s="41">
        <f t="shared" si="23"/>
        <v>0</v>
      </c>
      <c r="AR22" s="121">
        <f t="shared" ref="AR22" si="43">IF($AK$10=1,0,AM22)</f>
        <v>0</v>
      </c>
      <c r="AS22" s="120">
        <f t="shared" ref="AS22" si="44">IF($AK$10=1,0,AN22)</f>
        <v>0</v>
      </c>
      <c r="AT22" s="121">
        <f t="shared" ref="AT22" si="45">IF($AK$10=1,0,AO22)</f>
        <v>0</v>
      </c>
      <c r="AU22" s="41">
        <f t="shared" si="24"/>
        <v>0</v>
      </c>
      <c r="AW22" s="121">
        <f t="shared" ref="AW22" si="46">IF($AK$10=2,0,AR22)</f>
        <v>0</v>
      </c>
      <c r="AX22" s="120">
        <f t="shared" ref="AX22" si="47">IF($AK$10=2,0,AS22)</f>
        <v>0</v>
      </c>
      <c r="AY22" s="121">
        <f t="shared" ref="AY22" si="48">IF($AK$10=2,0,AT22)</f>
        <v>0</v>
      </c>
      <c r="AZ22" s="41">
        <f t="shared" ref="AZ22" si="49">IF($AL22="Summer",(AW22/$AO$9*AK22),AX22*AY22)</f>
        <v>0</v>
      </c>
      <c r="BB22" s="121">
        <f t="shared" ref="BB22" si="50">IF($AK$10=3,0,AW22)</f>
        <v>0</v>
      </c>
      <c r="BC22" s="120">
        <f t="shared" ref="BC22" si="51">IF($AK$10=3,0,AX22)</f>
        <v>0</v>
      </c>
      <c r="BD22" s="121">
        <f t="shared" ref="BD22" si="52">IF($AK$10=3,0,AY22)</f>
        <v>0</v>
      </c>
      <c r="BE22" s="41">
        <f t="shared" ref="BE22" si="53">IF($AL22="Summer",(BB22/$AO$9*AK22),BC22*BD22)</f>
        <v>0</v>
      </c>
      <c r="BG22" s="121">
        <f t="shared" ref="BG22" si="54">IF($AK$10=4,0,BB22)</f>
        <v>0</v>
      </c>
      <c r="BH22" s="120">
        <f t="shared" ref="BH22" si="55">IF($AK$10=4,0,BC22)</f>
        <v>0</v>
      </c>
      <c r="BI22" s="121">
        <f t="shared" ref="BI22" si="56">IF($AK$10=4,0,BD22)</f>
        <v>0</v>
      </c>
      <c r="BJ22" s="41">
        <f t="shared" ref="BJ22" si="57">IF($AL22="Summer",(BG22/$AO$9*AK22),BH22*BI22)</f>
        <v>0</v>
      </c>
      <c r="BL22" s="45">
        <f t="shared" si="28"/>
        <v>0</v>
      </c>
    </row>
    <row r="23" spans="1:73" s="156" customFormat="1" ht="16.5" customHeight="1" x14ac:dyDescent="0.25">
      <c r="A23" s="191" t="s">
        <v>153</v>
      </c>
      <c r="B23" s="184"/>
      <c r="C23" s="167" t="str">
        <f>"Co-PI: "&amp;E8</f>
        <v xml:space="preserve">Co-PI: </v>
      </c>
      <c r="D23" s="167"/>
      <c r="E23" s="193"/>
      <c r="F23" s="194"/>
      <c r="G23" s="194"/>
      <c r="H23" s="195"/>
      <c r="I23" s="196"/>
      <c r="J23" s="308">
        <f t="shared" si="18"/>
        <v>0</v>
      </c>
      <c r="K23" s="309"/>
      <c r="L23" s="307"/>
      <c r="M23" s="309"/>
      <c r="N23" s="309">
        <f t="shared" si="19"/>
        <v>0</v>
      </c>
      <c r="O23" s="309"/>
      <c r="P23" s="307"/>
      <c r="Q23" s="310"/>
      <c r="R23" s="309">
        <f t="shared" si="20"/>
        <v>0</v>
      </c>
      <c r="S23" s="309"/>
      <c r="T23" s="307"/>
      <c r="U23" s="310"/>
      <c r="V23" s="291">
        <f t="shared" si="21"/>
        <v>0</v>
      </c>
      <c r="W23" s="309"/>
      <c r="X23" s="307"/>
      <c r="Y23" s="310"/>
      <c r="Z23" s="309">
        <f t="shared" si="22"/>
        <v>0</v>
      </c>
      <c r="AA23" s="309"/>
      <c r="AB23" s="307"/>
      <c r="AC23" s="310"/>
      <c r="AD23" s="309">
        <f t="shared" si="0"/>
        <v>0</v>
      </c>
      <c r="AE23" s="197"/>
      <c r="AF23" s="199">
        <f t="shared" si="1"/>
        <v>0</v>
      </c>
      <c r="AI23" s="190"/>
      <c r="AJ23" s="150">
        <v>0.01</v>
      </c>
      <c r="AK23" s="151">
        <f t="shared" si="2"/>
        <v>8.77</v>
      </c>
      <c r="AL23" s="152"/>
      <c r="AM23" s="166"/>
      <c r="AN23" s="153">
        <v>0</v>
      </c>
      <c r="AO23" s="154">
        <v>0</v>
      </c>
      <c r="AP23" s="155">
        <f t="shared" ref="AP23" si="58">IF($AL23="Summer",(AM23/$AO$9*AK23),AN23*AO23)</f>
        <v>0</v>
      </c>
      <c r="AR23" s="154">
        <f t="shared" ref="AR23" si="59">IF($AK$10=1,0,AM23)</f>
        <v>0</v>
      </c>
      <c r="AS23" s="153">
        <f t="shared" si="29"/>
        <v>0</v>
      </c>
      <c r="AT23" s="154">
        <f t="shared" si="4"/>
        <v>0</v>
      </c>
      <c r="AU23" s="155">
        <f t="shared" si="24"/>
        <v>0</v>
      </c>
      <c r="AW23" s="154">
        <f t="shared" ref="AW23" si="60">IF($AK$10=2,0,AR23)</f>
        <v>0</v>
      </c>
      <c r="AX23" s="153">
        <f t="shared" si="31"/>
        <v>0</v>
      </c>
      <c r="AY23" s="154">
        <f t="shared" si="32"/>
        <v>0</v>
      </c>
      <c r="AZ23" s="155">
        <f t="shared" si="25"/>
        <v>0</v>
      </c>
      <c r="BB23" s="154">
        <f t="shared" ref="BB23" si="61">IF($AK$10=3,0,AW23)</f>
        <v>0</v>
      </c>
      <c r="BC23" s="153">
        <f t="shared" si="34"/>
        <v>0</v>
      </c>
      <c r="BD23" s="154">
        <f t="shared" si="35"/>
        <v>0</v>
      </c>
      <c r="BE23" s="155">
        <f t="shared" si="26"/>
        <v>0</v>
      </c>
      <c r="BG23" s="154">
        <f t="shared" ref="BG23" si="62">IF($AK$10=4,0,BB23)</f>
        <v>0</v>
      </c>
      <c r="BH23" s="153">
        <f t="shared" si="37"/>
        <v>0</v>
      </c>
      <c r="BI23" s="154">
        <f t="shared" si="38"/>
        <v>0</v>
      </c>
      <c r="BJ23" s="155">
        <f t="shared" si="27"/>
        <v>0</v>
      </c>
      <c r="BK23" s="157"/>
      <c r="BL23" s="157">
        <f t="shared" si="28"/>
        <v>0</v>
      </c>
      <c r="BM23" s="201"/>
      <c r="BN23" s="201"/>
      <c r="BO23" s="201"/>
      <c r="BP23" s="201"/>
      <c r="BQ23" s="201"/>
      <c r="BR23" s="201"/>
      <c r="BS23" s="201"/>
      <c r="BT23" s="201"/>
      <c r="BU23" s="201"/>
    </row>
    <row r="24" spans="1:73" ht="16.5" customHeight="1" x14ac:dyDescent="0.25">
      <c r="A24" s="168" t="s">
        <v>153</v>
      </c>
      <c r="B24" s="184"/>
      <c r="D24" s="189" t="str">
        <f>IF(AL24="Summer", (AM24)&amp;" days,"&amp;" Summer", ((AN24*100)&amp;"%"&amp;" time, "&amp;AO24&amp;" months, "&amp;AL24))</f>
        <v>0% time, 0 months, AY</v>
      </c>
      <c r="E24" s="189"/>
      <c r="H24" s="188"/>
      <c r="I24" s="185"/>
      <c r="J24" s="291">
        <f t="shared" si="18"/>
        <v>0</v>
      </c>
      <c r="L24" s="307">
        <v>0</v>
      </c>
      <c r="N24" s="291">
        <f t="shared" si="19"/>
        <v>0</v>
      </c>
      <c r="O24" s="291"/>
      <c r="P24" s="307">
        <v>0</v>
      </c>
      <c r="R24" s="291">
        <f t="shared" si="20"/>
        <v>0</v>
      </c>
      <c r="S24" s="291"/>
      <c r="T24" s="307">
        <v>0</v>
      </c>
      <c r="V24" s="291">
        <f t="shared" si="21"/>
        <v>0</v>
      </c>
      <c r="W24" s="291"/>
      <c r="X24" s="307">
        <v>0</v>
      </c>
      <c r="Z24" s="291">
        <f t="shared" si="22"/>
        <v>0</v>
      </c>
      <c r="AA24" s="291"/>
      <c r="AB24" s="307">
        <v>0</v>
      </c>
      <c r="AD24" s="291">
        <f t="shared" si="0"/>
        <v>0</v>
      </c>
      <c r="AE24" s="170"/>
      <c r="AF24" s="186">
        <f t="shared" si="1"/>
        <v>0</v>
      </c>
      <c r="AH24" s="180"/>
      <c r="AI24" s="190"/>
      <c r="AJ24" s="148">
        <v>0.01</v>
      </c>
      <c r="AK24" s="118">
        <f t="shared" si="2"/>
        <v>8.77</v>
      </c>
      <c r="AL24" s="119" t="s">
        <v>81</v>
      </c>
      <c r="AM24" s="165"/>
      <c r="AN24" s="120">
        <v>0</v>
      </c>
      <c r="AO24" s="121">
        <v>0</v>
      </c>
      <c r="AP24" s="41">
        <f t="shared" si="23"/>
        <v>0</v>
      </c>
      <c r="AR24" s="121">
        <f t="shared" ref="AR21:AR47" si="63">IF($AK$10=1,0,AM24)</f>
        <v>0</v>
      </c>
      <c r="AS24" s="120">
        <f t="shared" si="29"/>
        <v>0</v>
      </c>
      <c r="AT24" s="121">
        <f t="shared" si="4"/>
        <v>0</v>
      </c>
      <c r="AU24" s="41">
        <f t="shared" si="24"/>
        <v>0</v>
      </c>
      <c r="AW24" s="121">
        <f t="shared" si="30"/>
        <v>0</v>
      </c>
      <c r="AX24" s="120">
        <f t="shared" si="31"/>
        <v>0</v>
      </c>
      <c r="AY24" s="121">
        <f t="shared" si="32"/>
        <v>0</v>
      </c>
      <c r="AZ24" s="41">
        <f t="shared" si="25"/>
        <v>0</v>
      </c>
      <c r="BB24" s="121">
        <f t="shared" si="33"/>
        <v>0</v>
      </c>
      <c r="BC24" s="120">
        <f t="shared" si="34"/>
        <v>0</v>
      </c>
      <c r="BD24" s="121">
        <f t="shared" si="35"/>
        <v>0</v>
      </c>
      <c r="BE24" s="41">
        <f t="shared" si="26"/>
        <v>0</v>
      </c>
      <c r="BG24" s="121">
        <f t="shared" si="36"/>
        <v>0</v>
      </c>
      <c r="BH24" s="120">
        <f t="shared" si="37"/>
        <v>0</v>
      </c>
      <c r="BI24" s="121">
        <f t="shared" si="38"/>
        <v>0</v>
      </c>
      <c r="BJ24" s="41">
        <f t="shared" si="27"/>
        <v>0</v>
      </c>
      <c r="BL24" s="45">
        <f t="shared" si="28"/>
        <v>0</v>
      </c>
    </row>
    <row r="25" spans="1:73" ht="16.5" customHeight="1" x14ac:dyDescent="0.25">
      <c r="A25" s="168" t="s">
        <v>153</v>
      </c>
      <c r="B25" s="184"/>
      <c r="D25" s="189" t="str">
        <f>IF(AL25="Summer", (AM25)&amp;" days,"&amp;" Summer", ((AN25*100)&amp;"%"&amp;" time, "&amp;AO25&amp;" months, "&amp;AL25))</f>
        <v>0 days, Summer</v>
      </c>
      <c r="E25" s="189"/>
      <c r="H25" s="188"/>
      <c r="I25" s="185"/>
      <c r="J25" s="291">
        <f t="shared" ref="J25" si="64">IF($AK$13="No", IF(AP25=0,0,($AJ25/$AK25*AP25)), ($AJ25*(1+$AK$4)/$AK25*AP25))</f>
        <v>0</v>
      </c>
      <c r="L25" s="307">
        <v>0</v>
      </c>
      <c r="N25" s="291">
        <f t="shared" ref="N25" si="65">IF($AK$13="No",IF(AU25=0,0,($AJ25*(1+$AK$4)/$AK25*AU25)),($AJ25*(1+$AK$4)^2/$AK25*AU25))</f>
        <v>0</v>
      </c>
      <c r="O25" s="291"/>
      <c r="P25" s="307">
        <v>0</v>
      </c>
      <c r="R25" s="291">
        <f t="shared" ref="R25" si="66">IF($AK$13="No",IF(AZ25=0,0,($AJ25*(1+$AK$4)^2/$AK25*AZ25)),($AJ25*(1+$AK$4)^3/$AK25*AZ25))</f>
        <v>0</v>
      </c>
      <c r="S25" s="291"/>
      <c r="T25" s="307">
        <v>0</v>
      </c>
      <c r="V25" s="291">
        <f t="shared" si="21"/>
        <v>0</v>
      </c>
      <c r="W25" s="291"/>
      <c r="X25" s="307">
        <v>0</v>
      </c>
      <c r="Z25" s="291">
        <f t="shared" ref="Z25" si="67">IF($AK$13="No", IF(BJ25=0,0,($AJ25*(1+$AK$4)^4/$AK25*BJ25)), ($AJ25*(1+$AK$4)^5/$AK25*BJ25))</f>
        <v>0</v>
      </c>
      <c r="AA25" s="291"/>
      <c r="AB25" s="307">
        <v>0</v>
      </c>
      <c r="AD25" s="291">
        <f t="shared" si="0"/>
        <v>0</v>
      </c>
      <c r="AE25" s="170"/>
      <c r="AF25" s="186">
        <f t="shared" si="1"/>
        <v>0</v>
      </c>
      <c r="AI25" s="190"/>
      <c r="AJ25" s="148">
        <v>0.01</v>
      </c>
      <c r="AK25" s="118">
        <f t="shared" si="2"/>
        <v>8.77</v>
      </c>
      <c r="AL25" s="119" t="s">
        <v>82</v>
      </c>
      <c r="AM25" s="165">
        <v>0</v>
      </c>
      <c r="AN25" s="120">
        <v>0</v>
      </c>
      <c r="AO25" s="121">
        <v>0</v>
      </c>
      <c r="AP25" s="41">
        <f t="shared" si="23"/>
        <v>0</v>
      </c>
      <c r="AR25" s="121">
        <f t="shared" ref="AR25" si="68">IF($AK$10=1,0,AM25)</f>
        <v>0</v>
      </c>
      <c r="AS25" s="120">
        <f t="shared" ref="AS25" si="69">IF($AK$10=1,0,AN25)</f>
        <v>0</v>
      </c>
      <c r="AT25" s="121">
        <f t="shared" ref="AT25" si="70">IF($AK$10=1,0,AO25)</f>
        <v>0</v>
      </c>
      <c r="AU25" s="41">
        <f t="shared" ref="AU25" si="71">IF($AL25="Summer",(AR25/$AO$9*AK25),AS25*AT25)</f>
        <v>0</v>
      </c>
      <c r="AW25" s="121">
        <f t="shared" ref="AW25" si="72">IF($AK$10=2,0,AR25)</f>
        <v>0</v>
      </c>
      <c r="AX25" s="120">
        <f t="shared" ref="AX25" si="73">IF($AK$10=2,0,AS25)</f>
        <v>0</v>
      </c>
      <c r="AY25" s="121">
        <f t="shared" ref="AY25" si="74">IF($AK$10=2,0,AT25)</f>
        <v>0</v>
      </c>
      <c r="AZ25" s="41">
        <f t="shared" ref="AZ25" si="75">IF($AL25="Summer",(AW25/$AO$9*AK25),AX25*AY25)</f>
        <v>0</v>
      </c>
      <c r="BB25" s="121">
        <f t="shared" ref="BB25" si="76">IF($AK$10=3,0,AW25)</f>
        <v>0</v>
      </c>
      <c r="BC25" s="120">
        <f t="shared" ref="BC25" si="77">IF($AK$10=3,0,AX25)</f>
        <v>0</v>
      </c>
      <c r="BD25" s="121">
        <f t="shared" ref="BD25" si="78">IF($AK$10=3,0,AY25)</f>
        <v>0</v>
      </c>
      <c r="BE25" s="41">
        <f t="shared" ref="BE25" si="79">IF($AL25="Summer",(BB25/$AO$9*AK25),BC25*BD25)</f>
        <v>0</v>
      </c>
      <c r="BG25" s="121">
        <f t="shared" ref="BG25" si="80">IF($AK$10=4,0,BB25)</f>
        <v>0</v>
      </c>
      <c r="BH25" s="120">
        <f t="shared" ref="BH25" si="81">IF($AK$10=4,0,BC25)</f>
        <v>0</v>
      </c>
      <c r="BI25" s="121">
        <f t="shared" ref="BI25" si="82">IF($AK$10=4,0,BD25)</f>
        <v>0</v>
      </c>
      <c r="BJ25" s="41">
        <f t="shared" ref="BJ25" si="83">IF($AL25="Summer",(BG25/$AO$9*AK25),BH25*BI25)</f>
        <v>0</v>
      </c>
      <c r="BL25" s="45">
        <f t="shared" si="28"/>
        <v>0</v>
      </c>
    </row>
    <row r="26" spans="1:73" s="156" customFormat="1" ht="16.5" customHeight="1" x14ac:dyDescent="0.25">
      <c r="A26" s="191" t="s">
        <v>153</v>
      </c>
      <c r="B26" s="184"/>
      <c r="C26" s="167" t="s">
        <v>85</v>
      </c>
      <c r="D26" s="167"/>
      <c r="E26" s="193"/>
      <c r="F26" s="194"/>
      <c r="G26" s="194"/>
      <c r="H26" s="195"/>
      <c r="I26" s="196"/>
      <c r="J26" s="308">
        <f t="shared" si="18"/>
        <v>0</v>
      </c>
      <c r="K26" s="309"/>
      <c r="L26" s="307"/>
      <c r="M26" s="309"/>
      <c r="N26" s="309">
        <f t="shared" si="19"/>
        <v>0</v>
      </c>
      <c r="O26" s="309"/>
      <c r="P26" s="307"/>
      <c r="Q26" s="310"/>
      <c r="R26" s="309">
        <f t="shared" si="20"/>
        <v>0</v>
      </c>
      <c r="S26" s="309"/>
      <c r="T26" s="307"/>
      <c r="U26" s="310"/>
      <c r="V26" s="291">
        <f t="shared" si="21"/>
        <v>0</v>
      </c>
      <c r="W26" s="309"/>
      <c r="X26" s="307"/>
      <c r="Y26" s="310"/>
      <c r="Z26" s="309">
        <f t="shared" si="22"/>
        <v>0</v>
      </c>
      <c r="AA26" s="309"/>
      <c r="AB26" s="307"/>
      <c r="AC26" s="310"/>
      <c r="AD26" s="309">
        <f t="shared" si="0"/>
        <v>0</v>
      </c>
      <c r="AE26" s="197"/>
      <c r="AF26" s="199">
        <f t="shared" si="1"/>
        <v>0</v>
      </c>
      <c r="AI26" s="190"/>
      <c r="AJ26" s="150">
        <v>0.01</v>
      </c>
      <c r="AK26" s="151">
        <f t="shared" si="2"/>
        <v>8.77</v>
      </c>
      <c r="AL26" s="152"/>
      <c r="AM26" s="166"/>
      <c r="AN26" s="153">
        <v>0</v>
      </c>
      <c r="AO26" s="154">
        <v>0</v>
      </c>
      <c r="AP26" s="155">
        <f t="shared" ref="AP26" si="84">IF($AL26="Summer",(AM26/$AO$9*AK26),AN26*AO26)</f>
        <v>0</v>
      </c>
      <c r="AR26" s="154">
        <f t="shared" ref="AR26" si="85">IF($AK$10=1,0,AM26)</f>
        <v>0</v>
      </c>
      <c r="AS26" s="153">
        <f t="shared" si="29"/>
        <v>0</v>
      </c>
      <c r="AT26" s="154">
        <f t="shared" si="4"/>
        <v>0</v>
      </c>
      <c r="AU26" s="155">
        <f t="shared" si="24"/>
        <v>0</v>
      </c>
      <c r="AW26" s="154">
        <f t="shared" ref="AW26" si="86">IF($AK$10=2,0,AR26)</f>
        <v>0</v>
      </c>
      <c r="AX26" s="153">
        <f t="shared" si="31"/>
        <v>0</v>
      </c>
      <c r="AY26" s="154">
        <f t="shared" si="32"/>
        <v>0</v>
      </c>
      <c r="AZ26" s="155">
        <f t="shared" si="25"/>
        <v>0</v>
      </c>
      <c r="BB26" s="154">
        <f t="shared" ref="BB26" si="87">IF($AK$10=3,0,AW26)</f>
        <v>0</v>
      </c>
      <c r="BC26" s="153">
        <f t="shared" si="34"/>
        <v>0</v>
      </c>
      <c r="BD26" s="154">
        <f t="shared" si="35"/>
        <v>0</v>
      </c>
      <c r="BE26" s="155">
        <f t="shared" si="26"/>
        <v>0</v>
      </c>
      <c r="BG26" s="154">
        <f t="shared" ref="BG26" si="88">IF($AK$10=4,0,BB26)</f>
        <v>0</v>
      </c>
      <c r="BH26" s="153">
        <f t="shared" si="37"/>
        <v>0</v>
      </c>
      <c r="BI26" s="154">
        <f t="shared" si="38"/>
        <v>0</v>
      </c>
      <c r="BJ26" s="155">
        <f t="shared" si="27"/>
        <v>0</v>
      </c>
      <c r="BK26" s="157"/>
      <c r="BL26" s="157">
        <f t="shared" si="28"/>
        <v>0</v>
      </c>
      <c r="BM26" s="201"/>
      <c r="BN26" s="201"/>
      <c r="BO26" s="201"/>
      <c r="BP26" s="201"/>
      <c r="BQ26" s="201"/>
      <c r="BR26" s="201"/>
      <c r="BS26" s="201"/>
      <c r="BT26" s="201"/>
      <c r="BU26" s="201"/>
    </row>
    <row r="27" spans="1:73" ht="16.5" customHeight="1" x14ac:dyDescent="0.25">
      <c r="A27" s="168" t="s">
        <v>153</v>
      </c>
      <c r="B27" s="184"/>
      <c r="D27" s="189" t="str">
        <f>IF(AL27="Summer", (AM27)&amp;" days,"&amp;" Summer", ((AN27*100)&amp;"%"&amp;" time, "&amp;AO27&amp;" months, "&amp;AL27))</f>
        <v>0% time, 0 months, AY</v>
      </c>
      <c r="E27" s="189"/>
      <c r="H27" s="188"/>
      <c r="I27" s="185"/>
      <c r="J27" s="291">
        <f t="shared" si="18"/>
        <v>0</v>
      </c>
      <c r="L27" s="307">
        <v>0</v>
      </c>
      <c r="N27" s="291">
        <f t="shared" si="19"/>
        <v>0</v>
      </c>
      <c r="O27" s="291"/>
      <c r="P27" s="307">
        <v>0</v>
      </c>
      <c r="R27" s="291">
        <f t="shared" si="20"/>
        <v>0</v>
      </c>
      <c r="S27" s="291"/>
      <c r="T27" s="307">
        <v>0</v>
      </c>
      <c r="V27" s="291">
        <f t="shared" si="21"/>
        <v>0</v>
      </c>
      <c r="W27" s="291"/>
      <c r="X27" s="307">
        <v>0</v>
      </c>
      <c r="Z27" s="291">
        <f t="shared" si="22"/>
        <v>0</v>
      </c>
      <c r="AA27" s="291"/>
      <c r="AB27" s="307">
        <v>0</v>
      </c>
      <c r="AD27" s="291">
        <f t="shared" si="0"/>
        <v>0</v>
      </c>
      <c r="AE27" s="170"/>
      <c r="AF27" s="186">
        <f t="shared" si="1"/>
        <v>0</v>
      </c>
      <c r="AH27" s="180"/>
      <c r="AI27" s="190"/>
      <c r="AJ27" s="148">
        <v>0.01</v>
      </c>
      <c r="AK27" s="118">
        <f t="shared" si="2"/>
        <v>8.77</v>
      </c>
      <c r="AL27" s="119" t="s">
        <v>81</v>
      </c>
      <c r="AM27" s="165"/>
      <c r="AN27" s="120">
        <v>0</v>
      </c>
      <c r="AO27" s="121">
        <v>0</v>
      </c>
      <c r="AP27" s="41">
        <f t="shared" si="23"/>
        <v>0</v>
      </c>
      <c r="AR27" s="121">
        <f t="shared" si="63"/>
        <v>0</v>
      </c>
      <c r="AS27" s="120">
        <f t="shared" si="29"/>
        <v>0</v>
      </c>
      <c r="AT27" s="121">
        <f t="shared" si="4"/>
        <v>0</v>
      </c>
      <c r="AU27" s="41">
        <f t="shared" si="24"/>
        <v>0</v>
      </c>
      <c r="AW27" s="121">
        <f t="shared" si="30"/>
        <v>0</v>
      </c>
      <c r="AX27" s="120">
        <f t="shared" si="31"/>
        <v>0</v>
      </c>
      <c r="AY27" s="121">
        <f t="shared" si="32"/>
        <v>0</v>
      </c>
      <c r="AZ27" s="41">
        <f t="shared" si="25"/>
        <v>0</v>
      </c>
      <c r="BB27" s="121">
        <f t="shared" si="33"/>
        <v>0</v>
      </c>
      <c r="BC27" s="120">
        <f t="shared" si="34"/>
        <v>0</v>
      </c>
      <c r="BD27" s="121">
        <f t="shared" si="35"/>
        <v>0</v>
      </c>
      <c r="BE27" s="41">
        <f t="shared" si="26"/>
        <v>0</v>
      </c>
      <c r="BG27" s="121">
        <f t="shared" si="36"/>
        <v>0</v>
      </c>
      <c r="BH27" s="120">
        <f t="shared" si="37"/>
        <v>0</v>
      </c>
      <c r="BI27" s="121">
        <f t="shared" si="38"/>
        <v>0</v>
      </c>
      <c r="BJ27" s="41">
        <f t="shared" si="27"/>
        <v>0</v>
      </c>
      <c r="BL27" s="45">
        <f t="shared" si="28"/>
        <v>0</v>
      </c>
    </row>
    <row r="28" spans="1:73" ht="16.5" customHeight="1" x14ac:dyDescent="0.25">
      <c r="A28" s="168" t="s">
        <v>153</v>
      </c>
      <c r="B28" s="184"/>
      <c r="D28" s="189" t="str">
        <f>IF(AL28="Summer", (AM28)&amp;" days,"&amp;" Summer", ((AN28*100)&amp;"%"&amp;" time, "&amp;AO28&amp;" months, "&amp;AL28))</f>
        <v>0 days, Summer</v>
      </c>
      <c r="E28" s="189"/>
      <c r="H28" s="188"/>
      <c r="I28" s="185"/>
      <c r="J28" s="291">
        <f t="shared" ref="J28" si="89">IF($AK$13="No", IF(AP28=0,0,($AJ28/$AK28*AP28)), ($AJ28*(1+$AK$4)/$AK28*AP28))</f>
        <v>0</v>
      </c>
      <c r="L28" s="307">
        <v>0</v>
      </c>
      <c r="N28" s="291">
        <f t="shared" ref="N28" si="90">IF($AK$13="No",IF(AU28=0,0,($AJ28*(1+$AK$4)/$AK28*AU28)),($AJ28*(1+$AK$4)^2/$AK28*AU28))</f>
        <v>0</v>
      </c>
      <c r="O28" s="291"/>
      <c r="P28" s="307">
        <v>0</v>
      </c>
      <c r="R28" s="291">
        <f t="shared" ref="R28" si="91">IF($AK$13="No",IF(AZ28=0,0,($AJ28*(1+$AK$4)^2/$AK28*AZ28)),($AJ28*(1+$AK$4)^3/$AK28*AZ28))</f>
        <v>0</v>
      </c>
      <c r="S28" s="291"/>
      <c r="T28" s="307">
        <v>0</v>
      </c>
      <c r="V28" s="291">
        <f t="shared" si="21"/>
        <v>0</v>
      </c>
      <c r="W28" s="291"/>
      <c r="X28" s="307">
        <v>0</v>
      </c>
      <c r="Z28" s="291">
        <f t="shared" ref="Z28" si="92">IF($AK$13="No", IF(BJ28=0,0,($AJ28*(1+$AK$4)^4/$AK28*BJ28)), ($AJ28*(1+$AK$4)^5/$AK28*BJ28))</f>
        <v>0</v>
      </c>
      <c r="AA28" s="291"/>
      <c r="AB28" s="307">
        <v>0</v>
      </c>
      <c r="AD28" s="291">
        <f t="shared" si="0"/>
        <v>0</v>
      </c>
      <c r="AE28" s="170"/>
      <c r="AF28" s="186">
        <f t="shared" si="1"/>
        <v>0</v>
      </c>
      <c r="AI28" s="190"/>
      <c r="AJ28" s="148">
        <v>0.01</v>
      </c>
      <c r="AK28" s="118">
        <f t="shared" si="2"/>
        <v>8.77</v>
      </c>
      <c r="AL28" s="119" t="s">
        <v>82</v>
      </c>
      <c r="AM28" s="165">
        <v>0</v>
      </c>
      <c r="AN28" s="120">
        <v>0</v>
      </c>
      <c r="AO28" s="121">
        <v>0</v>
      </c>
      <c r="AP28" s="41">
        <f t="shared" si="23"/>
        <v>0</v>
      </c>
      <c r="AR28" s="121">
        <f t="shared" ref="AR28" si="93">IF($AK$10=1,0,AM28)</f>
        <v>0</v>
      </c>
      <c r="AS28" s="120">
        <f t="shared" ref="AS28" si="94">IF($AK$10=1,0,AN28)</f>
        <v>0</v>
      </c>
      <c r="AT28" s="121">
        <f t="shared" ref="AT28" si="95">IF($AK$10=1,0,AO28)</f>
        <v>0</v>
      </c>
      <c r="AU28" s="41">
        <f t="shared" ref="AU28" si="96">IF($AL28="Summer",(AR28/$AO$9*AK28),AS28*AT28)</f>
        <v>0</v>
      </c>
      <c r="AW28" s="121">
        <f t="shared" ref="AW28" si="97">IF($AK$10=2,0,AR28)</f>
        <v>0</v>
      </c>
      <c r="AX28" s="120">
        <f t="shared" ref="AX28" si="98">IF($AK$10=2,0,AS28)</f>
        <v>0</v>
      </c>
      <c r="AY28" s="121">
        <f t="shared" ref="AY28" si="99">IF($AK$10=2,0,AT28)</f>
        <v>0</v>
      </c>
      <c r="AZ28" s="41">
        <f t="shared" ref="AZ28" si="100">IF($AL28="Summer",(AW28/$AO$9*AK28),AX28*AY28)</f>
        <v>0</v>
      </c>
      <c r="BB28" s="121">
        <f t="shared" ref="BB28" si="101">IF($AK$10=3,0,AW28)</f>
        <v>0</v>
      </c>
      <c r="BC28" s="120">
        <f t="shared" ref="BC28" si="102">IF($AK$10=3,0,AX28)</f>
        <v>0</v>
      </c>
      <c r="BD28" s="121">
        <f t="shared" ref="BD28" si="103">IF($AK$10=3,0,AY28)</f>
        <v>0</v>
      </c>
      <c r="BE28" s="41">
        <f t="shared" ref="BE28" si="104">IF($AL28="Summer",(BB28/$AO$9*AK28),BC28*BD28)</f>
        <v>0</v>
      </c>
      <c r="BG28" s="121">
        <f t="shared" ref="BG28" si="105">IF($AK$10=4,0,BB28)</f>
        <v>0</v>
      </c>
      <c r="BH28" s="120">
        <f t="shared" ref="BH28" si="106">IF($AK$10=4,0,BC28)</f>
        <v>0</v>
      </c>
      <c r="BI28" s="121">
        <f t="shared" ref="BI28" si="107">IF($AK$10=4,0,BD28)</f>
        <v>0</v>
      </c>
      <c r="BJ28" s="41">
        <f t="shared" ref="BJ28" si="108">IF($AL28="Summer",(BG28/$AO$9*AK28),BH28*BI28)</f>
        <v>0</v>
      </c>
      <c r="BL28" s="45">
        <f t="shared" si="28"/>
        <v>0</v>
      </c>
    </row>
    <row r="29" spans="1:73" s="156" customFormat="1" ht="16.5" customHeight="1" x14ac:dyDescent="0.25">
      <c r="A29" s="191" t="s">
        <v>153</v>
      </c>
      <c r="B29" s="184"/>
      <c r="C29" s="167" t="s">
        <v>85</v>
      </c>
      <c r="D29" s="167"/>
      <c r="E29" s="193"/>
      <c r="F29" s="194"/>
      <c r="G29" s="194"/>
      <c r="H29" s="195"/>
      <c r="I29" s="196"/>
      <c r="J29" s="308">
        <f t="shared" si="18"/>
        <v>0</v>
      </c>
      <c r="K29" s="309"/>
      <c r="L29" s="307"/>
      <c r="M29" s="309"/>
      <c r="N29" s="309">
        <f t="shared" si="19"/>
        <v>0</v>
      </c>
      <c r="O29" s="309"/>
      <c r="P29" s="307"/>
      <c r="Q29" s="310"/>
      <c r="R29" s="309">
        <f t="shared" si="20"/>
        <v>0</v>
      </c>
      <c r="S29" s="309"/>
      <c r="T29" s="307"/>
      <c r="U29" s="310"/>
      <c r="V29" s="291">
        <f t="shared" si="21"/>
        <v>0</v>
      </c>
      <c r="W29" s="309"/>
      <c r="X29" s="307"/>
      <c r="Y29" s="310"/>
      <c r="Z29" s="309">
        <f t="shared" si="22"/>
        <v>0</v>
      </c>
      <c r="AA29" s="309"/>
      <c r="AB29" s="307"/>
      <c r="AC29" s="310"/>
      <c r="AD29" s="309">
        <f t="shared" si="0"/>
        <v>0</v>
      </c>
      <c r="AE29" s="197"/>
      <c r="AF29" s="199">
        <f t="shared" si="1"/>
        <v>0</v>
      </c>
      <c r="AI29" s="190"/>
      <c r="AJ29" s="150">
        <v>0.01</v>
      </c>
      <c r="AK29" s="151">
        <f t="shared" si="2"/>
        <v>8.77</v>
      </c>
      <c r="AL29" s="152"/>
      <c r="AM29" s="166"/>
      <c r="AN29" s="153">
        <v>0</v>
      </c>
      <c r="AO29" s="154">
        <v>0</v>
      </c>
      <c r="AP29" s="155">
        <f t="shared" ref="AP29" si="109">IF($AL29="Summer",(AM29/$AO$9*AK29),AN29*AO29)</f>
        <v>0</v>
      </c>
      <c r="AR29" s="154">
        <f t="shared" ref="AR29:AR30" si="110">IF($AK$10=1,0,AM29)</f>
        <v>0</v>
      </c>
      <c r="AS29" s="153">
        <f t="shared" si="29"/>
        <v>0</v>
      </c>
      <c r="AT29" s="154">
        <f t="shared" si="4"/>
        <v>0</v>
      </c>
      <c r="AU29" s="155">
        <f t="shared" si="24"/>
        <v>0</v>
      </c>
      <c r="AW29" s="154">
        <f t="shared" ref="AW29:AW30" si="111">IF($AK$10=2,0,AR29)</f>
        <v>0</v>
      </c>
      <c r="AX29" s="153">
        <f t="shared" si="31"/>
        <v>0</v>
      </c>
      <c r="AY29" s="154">
        <f t="shared" si="32"/>
        <v>0</v>
      </c>
      <c r="AZ29" s="155">
        <f t="shared" si="25"/>
        <v>0</v>
      </c>
      <c r="BB29" s="154">
        <f t="shared" ref="BB29:BB30" si="112">IF($AK$10=3,0,AW29)</f>
        <v>0</v>
      </c>
      <c r="BC29" s="153">
        <f t="shared" si="34"/>
        <v>0</v>
      </c>
      <c r="BD29" s="154">
        <f t="shared" si="35"/>
        <v>0</v>
      </c>
      <c r="BE29" s="155">
        <f t="shared" si="26"/>
        <v>0</v>
      </c>
      <c r="BG29" s="154">
        <f t="shared" ref="BG29:BG30" si="113">IF($AK$10=4,0,BB29)</f>
        <v>0</v>
      </c>
      <c r="BH29" s="153">
        <f t="shared" si="37"/>
        <v>0</v>
      </c>
      <c r="BI29" s="154">
        <f t="shared" si="38"/>
        <v>0</v>
      </c>
      <c r="BJ29" s="155">
        <f t="shared" si="27"/>
        <v>0</v>
      </c>
      <c r="BK29" s="157"/>
      <c r="BL29" s="157">
        <f t="shared" si="28"/>
        <v>0</v>
      </c>
      <c r="BM29" s="201"/>
      <c r="BN29" s="201"/>
      <c r="BO29" s="201"/>
      <c r="BP29" s="201"/>
      <c r="BQ29" s="201"/>
      <c r="BR29" s="201"/>
      <c r="BS29" s="201"/>
      <c r="BT29" s="201"/>
      <c r="BU29" s="201"/>
    </row>
    <row r="30" spans="1:73" ht="16.5" customHeight="1" x14ac:dyDescent="0.25">
      <c r="A30" s="168" t="s">
        <v>153</v>
      </c>
      <c r="B30" s="184"/>
      <c r="D30" s="189" t="str">
        <f>IF(AL30="Summer", (AM30)&amp;" days,"&amp;" Summer", ((AN30*100)&amp;"%"&amp;" time, "&amp;AO30&amp;" months, "&amp;AL30))</f>
        <v>0% time, 0 months, AY</v>
      </c>
      <c r="H30" s="188"/>
      <c r="I30" s="185"/>
      <c r="J30" s="291">
        <f t="shared" ref="J30" si="114">IF($AK$13="No", IF(AP30=0,0,($AJ30/$AK30*AP30)), ($AJ30*(1+$AK$4)/$AK30*AP30))</f>
        <v>0</v>
      </c>
      <c r="L30" s="307">
        <v>0</v>
      </c>
      <c r="N30" s="291">
        <f t="shared" ref="N30" si="115">IF($AK$13="No",IF(AU30=0,0,($AJ30*(1+$AK$4)/$AK30*AU30)),($AJ30*(1+$AK$4)^2/$AK30*AU30))</f>
        <v>0</v>
      </c>
      <c r="O30" s="291"/>
      <c r="P30" s="307">
        <v>0</v>
      </c>
      <c r="R30" s="291">
        <f t="shared" ref="R30" si="116">IF($AK$13="No",IF(AZ30=0,0,($AJ30*(1+$AK$4)^2/$AK30*AZ30)),($AJ30*(1+$AK$4)^3/$AK30*AZ30))</f>
        <v>0</v>
      </c>
      <c r="S30" s="291"/>
      <c r="T30" s="307">
        <v>0</v>
      </c>
      <c r="V30" s="291">
        <f t="shared" si="21"/>
        <v>0</v>
      </c>
      <c r="W30" s="291"/>
      <c r="X30" s="307">
        <v>0</v>
      </c>
      <c r="Z30" s="291">
        <f t="shared" ref="Z30" si="117">IF($AK$13="No", IF(BJ30=0,0,($AJ30*(1+$AK$4)^4/$AK30*BJ30)), ($AJ30*(1+$AK$4)^5/$AK30*BJ30))</f>
        <v>0</v>
      </c>
      <c r="AA30" s="291"/>
      <c r="AB30" s="307">
        <v>0</v>
      </c>
      <c r="AD30" s="291">
        <f t="shared" si="0"/>
        <v>0</v>
      </c>
      <c r="AE30" s="170"/>
      <c r="AF30" s="186">
        <f t="shared" si="1"/>
        <v>0</v>
      </c>
      <c r="AH30" s="180"/>
      <c r="AI30" s="190"/>
      <c r="AJ30" s="148">
        <v>0.01</v>
      </c>
      <c r="AK30" s="118">
        <f t="shared" si="2"/>
        <v>8.77</v>
      </c>
      <c r="AL30" s="119" t="s">
        <v>81</v>
      </c>
      <c r="AM30" s="165"/>
      <c r="AN30" s="120">
        <v>0</v>
      </c>
      <c r="AO30" s="121">
        <v>0</v>
      </c>
      <c r="AP30" s="41">
        <f t="shared" si="23"/>
        <v>0</v>
      </c>
      <c r="AR30" s="121">
        <f t="shared" si="110"/>
        <v>0</v>
      </c>
      <c r="AS30" s="120">
        <f t="shared" ref="AS30" si="118">IF($AK$10=1,0,AN30)</f>
        <v>0</v>
      </c>
      <c r="AT30" s="121">
        <f t="shared" ref="AT30" si="119">IF($AK$10=1,0,AO30)</f>
        <v>0</v>
      </c>
      <c r="AU30" s="41">
        <f t="shared" ref="AU30" si="120">IF($AL30="Summer",(AR30/$AO$9*AK30),AS30*AT30)</f>
        <v>0</v>
      </c>
      <c r="AW30" s="121">
        <f t="shared" si="111"/>
        <v>0</v>
      </c>
      <c r="AX30" s="120">
        <f t="shared" ref="AX30" si="121">IF($AK$10=2,0,AS30)</f>
        <v>0</v>
      </c>
      <c r="AY30" s="121">
        <f t="shared" ref="AY30" si="122">IF($AK$10=2,0,AT30)</f>
        <v>0</v>
      </c>
      <c r="AZ30" s="41">
        <f t="shared" ref="AZ30" si="123">IF($AL30="Summer",(AW30/$AO$9*AK30),AX30*AY30)</f>
        <v>0</v>
      </c>
      <c r="BB30" s="121">
        <f t="shared" si="112"/>
        <v>0</v>
      </c>
      <c r="BC30" s="120">
        <f t="shared" ref="BC30" si="124">IF($AK$10=3,0,AX30)</f>
        <v>0</v>
      </c>
      <c r="BD30" s="121">
        <f t="shared" ref="BD30" si="125">IF($AK$10=3,0,AY30)</f>
        <v>0</v>
      </c>
      <c r="BE30" s="41">
        <f t="shared" ref="BE30" si="126">IF($AL30="Summer",(BB30/$AO$9*AK30),BC30*BD30)</f>
        <v>0</v>
      </c>
      <c r="BG30" s="121">
        <f t="shared" si="113"/>
        <v>0</v>
      </c>
      <c r="BH30" s="120">
        <f t="shared" ref="BH30" si="127">IF($AK$10=4,0,BC30)</f>
        <v>0</v>
      </c>
      <c r="BI30" s="121">
        <f t="shared" ref="BI30" si="128">IF($AK$10=4,0,BD30)</f>
        <v>0</v>
      </c>
      <c r="BJ30" s="41">
        <f t="shared" ref="BJ30" si="129">IF($AL30="Summer",(BG30/$AO$9*AK30),BH30*BI30)</f>
        <v>0</v>
      </c>
      <c r="BL30" s="45">
        <f t="shared" si="28"/>
        <v>0</v>
      </c>
    </row>
    <row r="31" spans="1:73" ht="16.5" customHeight="1" x14ac:dyDescent="0.25">
      <c r="A31" s="168" t="s">
        <v>153</v>
      </c>
      <c r="B31" s="184"/>
      <c r="D31" s="189" t="str">
        <f>IF(AL31="Summer", (AM31)&amp;" days,"&amp;" Summer", ((AN31*100)&amp;"%"&amp;" time, "&amp;AO31&amp;" months, "&amp;AL31))</f>
        <v>0 days, Summer</v>
      </c>
      <c r="E31" s="189"/>
      <c r="H31" s="188"/>
      <c r="I31" s="185"/>
      <c r="J31" s="291">
        <f t="shared" si="18"/>
        <v>0</v>
      </c>
      <c r="L31" s="307">
        <v>0</v>
      </c>
      <c r="N31" s="291">
        <f t="shared" si="19"/>
        <v>0</v>
      </c>
      <c r="O31" s="291"/>
      <c r="P31" s="307">
        <v>0</v>
      </c>
      <c r="R31" s="291">
        <f t="shared" si="20"/>
        <v>0</v>
      </c>
      <c r="S31" s="291"/>
      <c r="T31" s="307">
        <v>0</v>
      </c>
      <c r="V31" s="291">
        <f t="shared" si="21"/>
        <v>0</v>
      </c>
      <c r="W31" s="291"/>
      <c r="X31" s="307">
        <v>0</v>
      </c>
      <c r="Z31" s="291">
        <f t="shared" si="22"/>
        <v>0</v>
      </c>
      <c r="AA31" s="291"/>
      <c r="AB31" s="307">
        <v>0</v>
      </c>
      <c r="AD31" s="291">
        <f t="shared" si="0"/>
        <v>0</v>
      </c>
      <c r="AE31" s="170"/>
      <c r="AF31" s="186">
        <f t="shared" si="1"/>
        <v>0</v>
      </c>
      <c r="AI31" s="190"/>
      <c r="AJ31" s="148">
        <v>0.01</v>
      </c>
      <c r="AK31" s="118">
        <f t="shared" si="2"/>
        <v>8.77</v>
      </c>
      <c r="AL31" s="119" t="s">
        <v>82</v>
      </c>
      <c r="AM31" s="165">
        <v>0</v>
      </c>
      <c r="AN31" s="120">
        <v>0</v>
      </c>
      <c r="AO31" s="121">
        <v>0</v>
      </c>
      <c r="AP31" s="41">
        <f t="shared" si="23"/>
        <v>0</v>
      </c>
      <c r="AR31" s="121">
        <f t="shared" si="63"/>
        <v>0</v>
      </c>
      <c r="AS31" s="120">
        <f t="shared" si="29"/>
        <v>0</v>
      </c>
      <c r="AT31" s="121">
        <f t="shared" si="4"/>
        <v>0</v>
      </c>
      <c r="AU31" s="41">
        <f t="shared" si="24"/>
        <v>0</v>
      </c>
      <c r="AW31" s="121">
        <f t="shared" si="30"/>
        <v>0</v>
      </c>
      <c r="AX31" s="120">
        <f t="shared" si="31"/>
        <v>0</v>
      </c>
      <c r="AY31" s="121">
        <f t="shared" si="32"/>
        <v>0</v>
      </c>
      <c r="AZ31" s="41">
        <f t="shared" si="25"/>
        <v>0</v>
      </c>
      <c r="BB31" s="121">
        <f t="shared" si="33"/>
        <v>0</v>
      </c>
      <c r="BC31" s="120">
        <f t="shared" si="34"/>
        <v>0</v>
      </c>
      <c r="BD31" s="121">
        <f t="shared" si="35"/>
        <v>0</v>
      </c>
      <c r="BE31" s="41">
        <f t="shared" si="26"/>
        <v>0</v>
      </c>
      <c r="BG31" s="121">
        <f t="shared" si="36"/>
        <v>0</v>
      </c>
      <c r="BH31" s="120">
        <f t="shared" si="37"/>
        <v>0</v>
      </c>
      <c r="BI31" s="121">
        <f t="shared" si="38"/>
        <v>0</v>
      </c>
      <c r="BJ31" s="41">
        <f t="shared" si="27"/>
        <v>0</v>
      </c>
      <c r="BL31" s="45">
        <f t="shared" si="28"/>
        <v>0</v>
      </c>
    </row>
    <row r="32" spans="1:73" s="156" customFormat="1" ht="16.5" customHeight="1" x14ac:dyDescent="0.25">
      <c r="A32" s="191" t="s">
        <v>155</v>
      </c>
      <c r="B32" s="184"/>
      <c r="C32" s="357" t="s">
        <v>388</v>
      </c>
      <c r="D32" s="357"/>
      <c r="E32" s="193"/>
      <c r="F32" s="194"/>
      <c r="G32" s="194"/>
      <c r="H32" s="195"/>
      <c r="I32" s="196"/>
      <c r="J32" s="308">
        <f t="shared" si="18"/>
        <v>0</v>
      </c>
      <c r="K32" s="309"/>
      <c r="L32" s="307"/>
      <c r="M32" s="309"/>
      <c r="N32" s="309">
        <f t="shared" si="19"/>
        <v>0</v>
      </c>
      <c r="O32" s="309"/>
      <c r="P32" s="307"/>
      <c r="Q32" s="310"/>
      <c r="R32" s="309">
        <f t="shared" si="20"/>
        <v>0</v>
      </c>
      <c r="S32" s="309"/>
      <c r="T32" s="307"/>
      <c r="U32" s="310"/>
      <c r="V32" s="291">
        <f t="shared" si="21"/>
        <v>0</v>
      </c>
      <c r="W32" s="309"/>
      <c r="X32" s="307"/>
      <c r="Y32" s="310"/>
      <c r="Z32" s="309">
        <f t="shared" si="22"/>
        <v>0</v>
      </c>
      <c r="AA32" s="309"/>
      <c r="AB32" s="307"/>
      <c r="AC32" s="310"/>
      <c r="AD32" s="309">
        <f t="shared" si="0"/>
        <v>0</v>
      </c>
      <c r="AE32" s="197"/>
      <c r="AF32" s="199">
        <f t="shared" si="1"/>
        <v>0</v>
      </c>
      <c r="AI32" s="190"/>
      <c r="AJ32" s="150">
        <v>0.01</v>
      </c>
      <c r="AK32" s="151">
        <f t="shared" si="2"/>
        <v>12</v>
      </c>
      <c r="AL32" s="152"/>
      <c r="AM32" s="166"/>
      <c r="AN32" s="153">
        <v>0</v>
      </c>
      <c r="AO32" s="154">
        <v>0</v>
      </c>
      <c r="AP32" s="155">
        <f t="shared" ref="AP32" si="130">IF($AL32="Summer",(AM32/$AO$9*AK32),AN32*AO32)</f>
        <v>0</v>
      </c>
      <c r="AR32" s="154">
        <f t="shared" ref="AR32" si="131">IF($AK$10=1,0,AM32)</f>
        <v>0</v>
      </c>
      <c r="AS32" s="153">
        <f t="shared" si="29"/>
        <v>0</v>
      </c>
      <c r="AT32" s="154">
        <f t="shared" si="4"/>
        <v>0</v>
      </c>
      <c r="AU32" s="155">
        <f t="shared" si="24"/>
        <v>0</v>
      </c>
      <c r="AW32" s="154">
        <f t="shared" ref="AW32" si="132">IF($AK$10=2,0,AR32)</f>
        <v>0</v>
      </c>
      <c r="AX32" s="153">
        <f t="shared" si="31"/>
        <v>0</v>
      </c>
      <c r="AY32" s="154">
        <f t="shared" si="32"/>
        <v>0</v>
      </c>
      <c r="AZ32" s="155">
        <f t="shared" si="25"/>
        <v>0</v>
      </c>
      <c r="BB32" s="154">
        <f t="shared" ref="BB32" si="133">IF($AK$10=3,0,AW32)</f>
        <v>0</v>
      </c>
      <c r="BC32" s="153">
        <f t="shared" si="34"/>
        <v>0</v>
      </c>
      <c r="BD32" s="154">
        <f t="shared" si="35"/>
        <v>0</v>
      </c>
      <c r="BE32" s="155">
        <f t="shared" si="26"/>
        <v>0</v>
      </c>
      <c r="BG32" s="154">
        <f t="shared" ref="BG32" si="134">IF($AK$10=4,0,BB32)</f>
        <v>0</v>
      </c>
      <c r="BH32" s="153">
        <f t="shared" si="37"/>
        <v>0</v>
      </c>
      <c r="BI32" s="154">
        <f t="shared" si="38"/>
        <v>0</v>
      </c>
      <c r="BJ32" s="155">
        <f t="shared" si="27"/>
        <v>0</v>
      </c>
      <c r="BK32" s="157"/>
      <c r="BL32" s="157">
        <f t="shared" si="28"/>
        <v>0</v>
      </c>
      <c r="BM32" s="201"/>
      <c r="BN32" s="201"/>
      <c r="BO32" s="201"/>
      <c r="BP32" s="201"/>
      <c r="BQ32" s="201"/>
      <c r="BR32" s="201"/>
      <c r="BS32" s="201"/>
      <c r="BT32" s="201"/>
      <c r="BU32" s="201"/>
    </row>
    <row r="33" spans="1:73" ht="16.5" customHeight="1" x14ac:dyDescent="0.25">
      <c r="A33" s="168" t="s">
        <v>155</v>
      </c>
      <c r="B33" s="184"/>
      <c r="D33" s="189" t="str">
        <f>IF(AL33="Summer", (AM33)&amp;" days,"&amp;" Summer", ((AN33*100)&amp;"%"&amp;" time, "&amp;AO33&amp;" months, "&amp;AL33))</f>
        <v>0% time, 0 months, CY</v>
      </c>
      <c r="E33" s="189"/>
      <c r="H33" s="188"/>
      <c r="I33" s="185"/>
      <c r="J33" s="291">
        <f t="shared" si="18"/>
        <v>0</v>
      </c>
      <c r="L33" s="307">
        <v>0</v>
      </c>
      <c r="N33" s="291">
        <f t="shared" si="19"/>
        <v>0</v>
      </c>
      <c r="O33" s="291"/>
      <c r="P33" s="307">
        <v>0</v>
      </c>
      <c r="R33" s="291">
        <f t="shared" si="20"/>
        <v>0</v>
      </c>
      <c r="S33" s="291"/>
      <c r="T33" s="307">
        <v>0</v>
      </c>
      <c r="V33" s="291">
        <f t="shared" si="21"/>
        <v>0</v>
      </c>
      <c r="W33" s="291"/>
      <c r="X33" s="307">
        <v>0</v>
      </c>
      <c r="Z33" s="291">
        <f t="shared" si="22"/>
        <v>0</v>
      </c>
      <c r="AA33" s="291"/>
      <c r="AB33" s="307">
        <v>0</v>
      </c>
      <c r="AD33" s="291">
        <f t="shared" si="0"/>
        <v>0</v>
      </c>
      <c r="AE33" s="170"/>
      <c r="AF33" s="186">
        <f t="shared" si="1"/>
        <v>0</v>
      </c>
      <c r="AH33" s="180"/>
      <c r="AI33" s="190"/>
      <c r="AJ33" s="148">
        <v>0</v>
      </c>
      <c r="AK33" s="118">
        <f t="shared" si="2"/>
        <v>12</v>
      </c>
      <c r="AL33" s="119" t="s">
        <v>80</v>
      </c>
      <c r="AM33" s="165"/>
      <c r="AN33" s="120">
        <v>0</v>
      </c>
      <c r="AO33" s="121">
        <v>0</v>
      </c>
      <c r="AP33" s="41">
        <f t="shared" si="23"/>
        <v>0</v>
      </c>
      <c r="AR33" s="121">
        <f t="shared" si="63"/>
        <v>0</v>
      </c>
      <c r="AS33" s="120">
        <f t="shared" si="29"/>
        <v>0</v>
      </c>
      <c r="AT33" s="121">
        <f t="shared" si="4"/>
        <v>0</v>
      </c>
      <c r="AU33" s="41">
        <f t="shared" si="24"/>
        <v>0</v>
      </c>
      <c r="AW33" s="121">
        <f t="shared" si="30"/>
        <v>0</v>
      </c>
      <c r="AX33" s="120">
        <f t="shared" si="31"/>
        <v>0</v>
      </c>
      <c r="AY33" s="121">
        <f t="shared" si="32"/>
        <v>0</v>
      </c>
      <c r="AZ33" s="41">
        <f t="shared" si="25"/>
        <v>0</v>
      </c>
      <c r="BB33" s="121">
        <f t="shared" si="33"/>
        <v>0</v>
      </c>
      <c r="BC33" s="120">
        <f t="shared" si="34"/>
        <v>0</v>
      </c>
      <c r="BD33" s="121">
        <f t="shared" si="35"/>
        <v>0</v>
      </c>
      <c r="BE33" s="41">
        <f t="shared" si="26"/>
        <v>0</v>
      </c>
      <c r="BG33" s="121">
        <f t="shared" si="36"/>
        <v>0</v>
      </c>
      <c r="BH33" s="120">
        <f t="shared" si="37"/>
        <v>0</v>
      </c>
      <c r="BI33" s="121">
        <f t="shared" si="38"/>
        <v>0</v>
      </c>
      <c r="BJ33" s="41">
        <f t="shared" si="27"/>
        <v>0</v>
      </c>
      <c r="BL33" s="45">
        <f t="shared" si="28"/>
        <v>0</v>
      </c>
    </row>
    <row r="34" spans="1:73" s="156" customFormat="1" ht="16.5" customHeight="1" x14ac:dyDescent="0.25">
      <c r="A34" s="191" t="s">
        <v>155</v>
      </c>
      <c r="B34" s="184"/>
      <c r="C34" s="167" t="s">
        <v>86</v>
      </c>
      <c r="D34" s="167"/>
      <c r="E34" s="193"/>
      <c r="F34" s="194"/>
      <c r="G34" s="194"/>
      <c r="H34" s="195"/>
      <c r="I34" s="196"/>
      <c r="J34" s="308">
        <f t="shared" si="18"/>
        <v>0</v>
      </c>
      <c r="K34" s="309"/>
      <c r="L34" s="307"/>
      <c r="M34" s="309"/>
      <c r="N34" s="309">
        <f t="shared" si="19"/>
        <v>0</v>
      </c>
      <c r="O34" s="309"/>
      <c r="P34" s="307"/>
      <c r="Q34" s="310"/>
      <c r="R34" s="309">
        <f t="shared" si="20"/>
        <v>0</v>
      </c>
      <c r="S34" s="309"/>
      <c r="T34" s="307"/>
      <c r="U34" s="310"/>
      <c r="V34" s="291">
        <f t="shared" si="21"/>
        <v>0</v>
      </c>
      <c r="W34" s="309"/>
      <c r="X34" s="307"/>
      <c r="Y34" s="310"/>
      <c r="Z34" s="309">
        <f t="shared" si="22"/>
        <v>0</v>
      </c>
      <c r="AA34" s="309"/>
      <c r="AB34" s="307"/>
      <c r="AC34" s="310"/>
      <c r="AD34" s="309">
        <f t="shared" si="0"/>
        <v>0</v>
      </c>
      <c r="AE34" s="197"/>
      <c r="AF34" s="199">
        <f t="shared" si="1"/>
        <v>0</v>
      </c>
      <c r="AI34" s="190"/>
      <c r="AJ34" s="150">
        <v>0.01</v>
      </c>
      <c r="AK34" s="151">
        <f t="shared" si="2"/>
        <v>12</v>
      </c>
      <c r="AL34" s="152"/>
      <c r="AM34" s="166"/>
      <c r="AN34" s="153">
        <v>0</v>
      </c>
      <c r="AO34" s="154">
        <v>0</v>
      </c>
      <c r="AP34" s="155">
        <f t="shared" ref="AP34" si="135">IF($AL34="Summer",(AM34/$AO$9*AK34),AN34*AO34)</f>
        <v>0</v>
      </c>
      <c r="AR34" s="154">
        <f t="shared" ref="AR34" si="136">IF($AK$10=1,0,AM34)</f>
        <v>0</v>
      </c>
      <c r="AS34" s="153">
        <f t="shared" si="29"/>
        <v>0</v>
      </c>
      <c r="AT34" s="154">
        <f t="shared" si="4"/>
        <v>0</v>
      </c>
      <c r="AU34" s="155">
        <f t="shared" si="24"/>
        <v>0</v>
      </c>
      <c r="AW34" s="154">
        <f t="shared" ref="AW34" si="137">IF($AK$10=2,0,AR34)</f>
        <v>0</v>
      </c>
      <c r="AX34" s="153">
        <f t="shared" si="31"/>
        <v>0</v>
      </c>
      <c r="AY34" s="154">
        <f t="shared" si="32"/>
        <v>0</v>
      </c>
      <c r="AZ34" s="155">
        <f t="shared" si="25"/>
        <v>0</v>
      </c>
      <c r="BB34" s="154">
        <f t="shared" ref="BB34" si="138">IF($AK$10=3,0,AW34)</f>
        <v>0</v>
      </c>
      <c r="BC34" s="153">
        <f t="shared" si="34"/>
        <v>0</v>
      </c>
      <c r="BD34" s="154">
        <f t="shared" si="35"/>
        <v>0</v>
      </c>
      <c r="BE34" s="155">
        <f t="shared" si="26"/>
        <v>0</v>
      </c>
      <c r="BG34" s="154">
        <f t="shared" ref="BG34" si="139">IF($AK$10=4,0,BB34)</f>
        <v>0</v>
      </c>
      <c r="BH34" s="153">
        <f t="shared" si="37"/>
        <v>0</v>
      </c>
      <c r="BI34" s="154">
        <f t="shared" si="38"/>
        <v>0</v>
      </c>
      <c r="BJ34" s="155">
        <f t="shared" si="27"/>
        <v>0</v>
      </c>
      <c r="BK34" s="157"/>
      <c r="BL34" s="157">
        <f t="shared" si="28"/>
        <v>0</v>
      </c>
      <c r="BM34" s="201"/>
      <c r="BN34" s="201"/>
      <c r="BO34" s="201"/>
      <c r="BP34" s="201"/>
      <c r="BQ34" s="201"/>
      <c r="BR34" s="201"/>
      <c r="BS34" s="201"/>
      <c r="BT34" s="201"/>
      <c r="BU34" s="201"/>
    </row>
    <row r="35" spans="1:73" ht="16.5" customHeight="1" x14ac:dyDescent="0.25">
      <c r="A35" s="168" t="s">
        <v>155</v>
      </c>
      <c r="B35" s="184"/>
      <c r="D35" s="189" t="str">
        <f>IF(AL35="Summer", (AM35)&amp;" days,"&amp;" Summer", ((AN35*100)&amp;"%"&amp;" time, "&amp;AO35&amp;" months, "&amp;AL35))</f>
        <v>0% time, 0 months, CY</v>
      </c>
      <c r="E35" s="189"/>
      <c r="H35" s="188"/>
      <c r="I35" s="185"/>
      <c r="J35" s="291">
        <f t="shared" si="18"/>
        <v>0</v>
      </c>
      <c r="L35" s="307">
        <v>0</v>
      </c>
      <c r="N35" s="291">
        <f t="shared" si="19"/>
        <v>0</v>
      </c>
      <c r="O35" s="291"/>
      <c r="P35" s="307">
        <v>0</v>
      </c>
      <c r="R35" s="291">
        <f t="shared" si="20"/>
        <v>0</v>
      </c>
      <c r="S35" s="291"/>
      <c r="T35" s="307">
        <v>0</v>
      </c>
      <c r="V35" s="291">
        <f t="shared" si="21"/>
        <v>0</v>
      </c>
      <c r="W35" s="291"/>
      <c r="X35" s="307">
        <v>0</v>
      </c>
      <c r="Z35" s="291">
        <f t="shared" si="22"/>
        <v>0</v>
      </c>
      <c r="AA35" s="291"/>
      <c r="AB35" s="307">
        <v>0</v>
      </c>
      <c r="AD35" s="291">
        <f t="shared" si="0"/>
        <v>0</v>
      </c>
      <c r="AE35" s="170"/>
      <c r="AF35" s="186">
        <f t="shared" si="1"/>
        <v>0</v>
      </c>
      <c r="AH35" s="180"/>
      <c r="AI35" s="190"/>
      <c r="AJ35" s="148">
        <v>0.01</v>
      </c>
      <c r="AK35" s="118">
        <f t="shared" si="2"/>
        <v>12</v>
      </c>
      <c r="AL35" s="119" t="s">
        <v>80</v>
      </c>
      <c r="AM35" s="165"/>
      <c r="AN35" s="120">
        <v>0</v>
      </c>
      <c r="AO35" s="121">
        <v>0</v>
      </c>
      <c r="AP35" s="41">
        <f t="shared" si="23"/>
        <v>0</v>
      </c>
      <c r="AR35" s="121">
        <f t="shared" si="63"/>
        <v>0</v>
      </c>
      <c r="AS35" s="120">
        <f t="shared" si="29"/>
        <v>0</v>
      </c>
      <c r="AT35" s="121">
        <f t="shared" si="4"/>
        <v>0</v>
      </c>
      <c r="AU35" s="41">
        <f t="shared" si="24"/>
        <v>0</v>
      </c>
      <c r="AW35" s="121">
        <f t="shared" si="30"/>
        <v>0</v>
      </c>
      <c r="AX35" s="120">
        <f t="shared" si="31"/>
        <v>0</v>
      </c>
      <c r="AY35" s="121">
        <f t="shared" si="32"/>
        <v>0</v>
      </c>
      <c r="AZ35" s="41">
        <f t="shared" si="25"/>
        <v>0</v>
      </c>
      <c r="BB35" s="121">
        <f t="shared" si="33"/>
        <v>0</v>
      </c>
      <c r="BC35" s="120">
        <f t="shared" si="34"/>
        <v>0</v>
      </c>
      <c r="BD35" s="121">
        <f t="shared" si="35"/>
        <v>0</v>
      </c>
      <c r="BE35" s="41">
        <f t="shared" si="26"/>
        <v>0</v>
      </c>
      <c r="BG35" s="121">
        <f t="shared" si="36"/>
        <v>0</v>
      </c>
      <c r="BH35" s="120">
        <f t="shared" si="37"/>
        <v>0</v>
      </c>
      <c r="BI35" s="121">
        <f t="shared" si="38"/>
        <v>0</v>
      </c>
      <c r="BJ35" s="41">
        <f t="shared" si="27"/>
        <v>0</v>
      </c>
      <c r="BL35" s="45">
        <f t="shared" si="28"/>
        <v>0</v>
      </c>
    </row>
    <row r="36" spans="1:73" s="156" customFormat="1" ht="16.5" customHeight="1" x14ac:dyDescent="0.25">
      <c r="A36" s="191" t="s">
        <v>155</v>
      </c>
      <c r="B36" s="184"/>
      <c r="C36" s="167" t="s">
        <v>86</v>
      </c>
      <c r="D36" s="167"/>
      <c r="E36" s="193"/>
      <c r="F36" s="194"/>
      <c r="G36" s="194"/>
      <c r="H36" s="195"/>
      <c r="I36" s="196"/>
      <c r="J36" s="308">
        <f t="shared" si="18"/>
        <v>0</v>
      </c>
      <c r="K36" s="309"/>
      <c r="L36" s="307"/>
      <c r="M36" s="309"/>
      <c r="N36" s="309">
        <f t="shared" si="19"/>
        <v>0</v>
      </c>
      <c r="O36" s="309"/>
      <c r="P36" s="307"/>
      <c r="Q36" s="310"/>
      <c r="R36" s="309">
        <f t="shared" si="20"/>
        <v>0</v>
      </c>
      <c r="S36" s="309"/>
      <c r="T36" s="307"/>
      <c r="U36" s="310"/>
      <c r="V36" s="291">
        <f t="shared" si="21"/>
        <v>0</v>
      </c>
      <c r="W36" s="309"/>
      <c r="X36" s="307"/>
      <c r="Y36" s="310"/>
      <c r="Z36" s="309">
        <f t="shared" si="22"/>
        <v>0</v>
      </c>
      <c r="AA36" s="309"/>
      <c r="AB36" s="307"/>
      <c r="AC36" s="310"/>
      <c r="AD36" s="309">
        <f t="shared" si="0"/>
        <v>0</v>
      </c>
      <c r="AE36" s="197"/>
      <c r="AF36" s="199">
        <f t="shared" si="1"/>
        <v>0</v>
      </c>
      <c r="AI36" s="190"/>
      <c r="AJ36" s="150">
        <v>0.01</v>
      </c>
      <c r="AK36" s="151">
        <f t="shared" si="2"/>
        <v>12</v>
      </c>
      <c r="AL36" s="152"/>
      <c r="AM36" s="166"/>
      <c r="AN36" s="153">
        <v>0</v>
      </c>
      <c r="AO36" s="154">
        <v>0</v>
      </c>
      <c r="AP36" s="155">
        <f t="shared" ref="AP36" si="140">IF($AL36="Summer",(AM36/$AO$9*AK36),AN36*AO36)</f>
        <v>0</v>
      </c>
      <c r="AR36" s="154">
        <f t="shared" ref="AR36" si="141">IF($AK$10=1,0,AM36)</f>
        <v>0</v>
      </c>
      <c r="AS36" s="153">
        <f t="shared" si="29"/>
        <v>0</v>
      </c>
      <c r="AT36" s="154">
        <f t="shared" si="4"/>
        <v>0</v>
      </c>
      <c r="AU36" s="155">
        <f t="shared" si="24"/>
        <v>0</v>
      </c>
      <c r="AW36" s="154">
        <f t="shared" ref="AW36" si="142">IF($AK$10=2,0,AR36)</f>
        <v>0</v>
      </c>
      <c r="AX36" s="153">
        <f t="shared" si="31"/>
        <v>0</v>
      </c>
      <c r="AY36" s="154">
        <f t="shared" si="32"/>
        <v>0</v>
      </c>
      <c r="AZ36" s="155">
        <f t="shared" si="25"/>
        <v>0</v>
      </c>
      <c r="BB36" s="154">
        <f t="shared" ref="BB36" si="143">IF($AK$10=3,0,AW36)</f>
        <v>0</v>
      </c>
      <c r="BC36" s="153">
        <f t="shared" si="34"/>
        <v>0</v>
      </c>
      <c r="BD36" s="154">
        <f t="shared" si="35"/>
        <v>0</v>
      </c>
      <c r="BE36" s="155">
        <f t="shared" si="26"/>
        <v>0</v>
      </c>
      <c r="BG36" s="154">
        <f t="shared" ref="BG36" si="144">IF($AK$10=4,0,BB36)</f>
        <v>0</v>
      </c>
      <c r="BH36" s="153">
        <f t="shared" si="37"/>
        <v>0</v>
      </c>
      <c r="BI36" s="154">
        <f t="shared" si="38"/>
        <v>0</v>
      </c>
      <c r="BJ36" s="155">
        <f t="shared" si="27"/>
        <v>0</v>
      </c>
      <c r="BK36" s="157"/>
      <c r="BL36" s="157">
        <f t="shared" si="28"/>
        <v>0</v>
      </c>
      <c r="BM36" s="201"/>
      <c r="BN36" s="201"/>
      <c r="BO36" s="201"/>
      <c r="BP36" s="201"/>
      <c r="BQ36" s="201"/>
      <c r="BR36" s="201"/>
      <c r="BS36" s="201"/>
      <c r="BT36" s="201"/>
      <c r="BU36" s="201"/>
    </row>
    <row r="37" spans="1:73" ht="16.5" customHeight="1" x14ac:dyDescent="0.25">
      <c r="A37" s="168" t="s">
        <v>155</v>
      </c>
      <c r="B37" s="184"/>
      <c r="D37" s="189" t="str">
        <f>IF(AL37="Summer", (AM37)&amp;" days,"&amp;" Summer", ((AN37*100)&amp;"%"&amp;" time, "&amp;AO37&amp;" months, "&amp;AL37))</f>
        <v>0% time, 0 months, CY</v>
      </c>
      <c r="E37" s="189"/>
      <c r="H37" s="188"/>
      <c r="I37" s="185"/>
      <c r="J37" s="291">
        <f t="shared" si="18"/>
        <v>0</v>
      </c>
      <c r="L37" s="307">
        <v>0</v>
      </c>
      <c r="N37" s="291">
        <f t="shared" si="19"/>
        <v>0</v>
      </c>
      <c r="O37" s="291"/>
      <c r="P37" s="307">
        <v>0</v>
      </c>
      <c r="R37" s="291">
        <f t="shared" si="20"/>
        <v>0</v>
      </c>
      <c r="S37" s="291"/>
      <c r="T37" s="307">
        <v>0</v>
      </c>
      <c r="V37" s="291">
        <f t="shared" si="21"/>
        <v>0</v>
      </c>
      <c r="W37" s="291"/>
      <c r="X37" s="307">
        <v>0</v>
      </c>
      <c r="Z37" s="291">
        <f t="shared" si="22"/>
        <v>0</v>
      </c>
      <c r="AA37" s="291"/>
      <c r="AB37" s="307">
        <v>0</v>
      </c>
      <c r="AD37" s="291">
        <f t="shared" si="0"/>
        <v>0</v>
      </c>
      <c r="AE37" s="170"/>
      <c r="AF37" s="186">
        <f t="shared" si="1"/>
        <v>0</v>
      </c>
      <c r="AH37" s="180"/>
      <c r="AI37" s="190"/>
      <c r="AJ37" s="148">
        <v>0.01</v>
      </c>
      <c r="AK37" s="118">
        <f t="shared" si="2"/>
        <v>12</v>
      </c>
      <c r="AL37" s="119" t="s">
        <v>80</v>
      </c>
      <c r="AM37" s="165"/>
      <c r="AN37" s="120">
        <v>0</v>
      </c>
      <c r="AO37" s="121">
        <v>0</v>
      </c>
      <c r="AP37" s="41">
        <f t="shared" si="23"/>
        <v>0</v>
      </c>
      <c r="AR37" s="121">
        <f t="shared" si="63"/>
        <v>0</v>
      </c>
      <c r="AS37" s="120">
        <f t="shared" si="29"/>
        <v>0</v>
      </c>
      <c r="AT37" s="121">
        <f t="shared" si="4"/>
        <v>0</v>
      </c>
      <c r="AU37" s="41">
        <f t="shared" si="24"/>
        <v>0</v>
      </c>
      <c r="AW37" s="121">
        <f t="shared" si="30"/>
        <v>0</v>
      </c>
      <c r="AX37" s="120">
        <f t="shared" si="31"/>
        <v>0</v>
      </c>
      <c r="AY37" s="121">
        <f t="shared" si="32"/>
        <v>0</v>
      </c>
      <c r="AZ37" s="41">
        <f t="shared" si="25"/>
        <v>0</v>
      </c>
      <c r="BB37" s="121">
        <f t="shared" si="33"/>
        <v>0</v>
      </c>
      <c r="BC37" s="120">
        <f t="shared" si="34"/>
        <v>0</v>
      </c>
      <c r="BD37" s="121">
        <f t="shared" si="35"/>
        <v>0</v>
      </c>
      <c r="BE37" s="41">
        <f t="shared" si="26"/>
        <v>0</v>
      </c>
      <c r="BG37" s="121">
        <f t="shared" si="36"/>
        <v>0</v>
      </c>
      <c r="BH37" s="120">
        <f t="shared" si="37"/>
        <v>0</v>
      </c>
      <c r="BI37" s="121">
        <f t="shared" si="38"/>
        <v>0</v>
      </c>
      <c r="BJ37" s="41">
        <f t="shared" si="27"/>
        <v>0</v>
      </c>
      <c r="BL37" s="45">
        <f t="shared" si="28"/>
        <v>0</v>
      </c>
    </row>
    <row r="38" spans="1:73" s="156" customFormat="1" ht="16.5" customHeight="1" x14ac:dyDescent="0.25">
      <c r="A38" s="191" t="s">
        <v>157</v>
      </c>
      <c r="B38" s="184"/>
      <c r="C38" s="167" t="s">
        <v>87</v>
      </c>
      <c r="D38" s="167"/>
      <c r="E38" s="193"/>
      <c r="F38" s="194"/>
      <c r="G38" s="194"/>
      <c r="H38" s="195"/>
      <c r="I38" s="196"/>
      <c r="J38" s="308">
        <f t="shared" si="18"/>
        <v>0</v>
      </c>
      <c r="K38" s="309"/>
      <c r="L38" s="307"/>
      <c r="M38" s="309"/>
      <c r="N38" s="309">
        <f t="shared" si="19"/>
        <v>0</v>
      </c>
      <c r="O38" s="309"/>
      <c r="P38" s="307"/>
      <c r="Q38" s="310"/>
      <c r="R38" s="309">
        <f t="shared" si="20"/>
        <v>0</v>
      </c>
      <c r="S38" s="309"/>
      <c r="T38" s="307"/>
      <c r="U38" s="310"/>
      <c r="V38" s="291">
        <f t="shared" si="21"/>
        <v>0</v>
      </c>
      <c r="W38" s="309"/>
      <c r="X38" s="307"/>
      <c r="Y38" s="310"/>
      <c r="Z38" s="309">
        <f t="shared" si="22"/>
        <v>0</v>
      </c>
      <c r="AA38" s="309"/>
      <c r="AB38" s="307"/>
      <c r="AC38" s="310"/>
      <c r="AD38" s="309">
        <f t="shared" si="0"/>
        <v>0</v>
      </c>
      <c r="AE38" s="197"/>
      <c r="AF38" s="199">
        <f t="shared" si="1"/>
        <v>0</v>
      </c>
      <c r="AI38" s="190"/>
      <c r="AJ38" s="150">
        <v>0.01</v>
      </c>
      <c r="AK38" s="151">
        <f t="shared" si="2"/>
        <v>12</v>
      </c>
      <c r="AL38" s="152"/>
      <c r="AM38" s="166"/>
      <c r="AN38" s="153">
        <v>0</v>
      </c>
      <c r="AO38" s="154">
        <v>0</v>
      </c>
      <c r="AP38" s="155">
        <f t="shared" ref="AP38" si="145">IF($AL38="Summer",(AM38/$AO$9*AK38),AN38*AO38)</f>
        <v>0</v>
      </c>
      <c r="AR38" s="154">
        <f t="shared" ref="AR38" si="146">IF($AK$10=1,0,AM38)</f>
        <v>0</v>
      </c>
      <c r="AS38" s="153">
        <f t="shared" si="29"/>
        <v>0</v>
      </c>
      <c r="AT38" s="154">
        <f t="shared" si="4"/>
        <v>0</v>
      </c>
      <c r="AU38" s="155">
        <f t="shared" si="24"/>
        <v>0</v>
      </c>
      <c r="AW38" s="154">
        <f t="shared" ref="AW38" si="147">IF($AK$10=2,0,AR38)</f>
        <v>0</v>
      </c>
      <c r="AX38" s="153">
        <f t="shared" si="31"/>
        <v>0</v>
      </c>
      <c r="AY38" s="154">
        <f t="shared" si="32"/>
        <v>0</v>
      </c>
      <c r="AZ38" s="155">
        <f t="shared" si="25"/>
        <v>0</v>
      </c>
      <c r="BB38" s="154">
        <f t="shared" ref="BB38" si="148">IF($AK$10=3,0,AW38)</f>
        <v>0</v>
      </c>
      <c r="BC38" s="153">
        <f t="shared" si="34"/>
        <v>0</v>
      </c>
      <c r="BD38" s="154">
        <f t="shared" si="35"/>
        <v>0</v>
      </c>
      <c r="BE38" s="155">
        <f t="shared" si="26"/>
        <v>0</v>
      </c>
      <c r="BG38" s="154">
        <f t="shared" ref="BG38" si="149">IF($AK$10=4,0,BB38)</f>
        <v>0</v>
      </c>
      <c r="BH38" s="153">
        <f t="shared" si="37"/>
        <v>0</v>
      </c>
      <c r="BI38" s="154">
        <f t="shared" si="38"/>
        <v>0</v>
      </c>
      <c r="BJ38" s="155">
        <f t="shared" si="27"/>
        <v>0</v>
      </c>
      <c r="BK38" s="157"/>
      <c r="BL38" s="157">
        <f t="shared" si="28"/>
        <v>0</v>
      </c>
      <c r="BM38" s="201"/>
      <c r="BN38" s="201"/>
      <c r="BO38" s="201"/>
      <c r="BP38" s="201"/>
      <c r="BQ38" s="201"/>
      <c r="BR38" s="201"/>
      <c r="BS38" s="201"/>
      <c r="BT38" s="201"/>
      <c r="BU38" s="201"/>
    </row>
    <row r="39" spans="1:73" ht="16.5" customHeight="1" x14ac:dyDescent="0.25">
      <c r="A39" s="168" t="s">
        <v>157</v>
      </c>
      <c r="B39" s="184"/>
      <c r="D39" s="189" t="str">
        <f>IF(AL39="Summer", (AM39)&amp;" days,"&amp;" Summer", ((AN39*100)&amp;"%"&amp;" time, "&amp;AO39&amp;" months, "&amp;AL39))</f>
        <v>0% time, 0 months, CY</v>
      </c>
      <c r="E39" s="189"/>
      <c r="H39" s="188"/>
      <c r="I39" s="185"/>
      <c r="J39" s="291">
        <f t="shared" si="18"/>
        <v>0</v>
      </c>
      <c r="L39" s="307">
        <v>0</v>
      </c>
      <c r="N39" s="291">
        <f t="shared" si="19"/>
        <v>0</v>
      </c>
      <c r="O39" s="291"/>
      <c r="P39" s="307">
        <v>0</v>
      </c>
      <c r="R39" s="291">
        <f t="shared" si="20"/>
        <v>0</v>
      </c>
      <c r="S39" s="291"/>
      <c r="T39" s="307">
        <v>0</v>
      </c>
      <c r="V39" s="291">
        <f t="shared" si="21"/>
        <v>0</v>
      </c>
      <c r="W39" s="291"/>
      <c r="X39" s="307">
        <v>0</v>
      </c>
      <c r="Z39" s="291">
        <f t="shared" si="22"/>
        <v>0</v>
      </c>
      <c r="AA39" s="291"/>
      <c r="AB39" s="307">
        <v>0</v>
      </c>
      <c r="AD39" s="291">
        <f t="shared" si="0"/>
        <v>0</v>
      </c>
      <c r="AE39" s="170"/>
      <c r="AF39" s="186">
        <f t="shared" si="1"/>
        <v>0</v>
      </c>
      <c r="AH39" s="180"/>
      <c r="AI39" s="190"/>
      <c r="AJ39" s="148">
        <v>0.01</v>
      </c>
      <c r="AK39" s="118">
        <f t="shared" si="2"/>
        <v>12</v>
      </c>
      <c r="AL39" s="119" t="s">
        <v>80</v>
      </c>
      <c r="AM39" s="165"/>
      <c r="AN39" s="120">
        <v>0</v>
      </c>
      <c r="AO39" s="121">
        <v>0</v>
      </c>
      <c r="AP39" s="41">
        <f t="shared" si="23"/>
        <v>0</v>
      </c>
      <c r="AR39" s="121">
        <f t="shared" si="63"/>
        <v>0</v>
      </c>
      <c r="AS39" s="120">
        <f t="shared" si="29"/>
        <v>0</v>
      </c>
      <c r="AT39" s="121">
        <f t="shared" si="4"/>
        <v>0</v>
      </c>
      <c r="AU39" s="41">
        <f t="shared" si="24"/>
        <v>0</v>
      </c>
      <c r="AW39" s="121">
        <f t="shared" si="30"/>
        <v>0</v>
      </c>
      <c r="AX39" s="120">
        <f t="shared" si="31"/>
        <v>0</v>
      </c>
      <c r="AY39" s="121">
        <f t="shared" si="32"/>
        <v>0</v>
      </c>
      <c r="AZ39" s="41">
        <f t="shared" si="25"/>
        <v>0</v>
      </c>
      <c r="BB39" s="121">
        <f t="shared" si="33"/>
        <v>0</v>
      </c>
      <c r="BC39" s="120">
        <f t="shared" si="34"/>
        <v>0</v>
      </c>
      <c r="BD39" s="121">
        <f t="shared" si="35"/>
        <v>0</v>
      </c>
      <c r="BE39" s="41">
        <f t="shared" si="26"/>
        <v>0</v>
      </c>
      <c r="BG39" s="121">
        <f t="shared" si="36"/>
        <v>0</v>
      </c>
      <c r="BH39" s="120">
        <f t="shared" si="37"/>
        <v>0</v>
      </c>
      <c r="BI39" s="121">
        <f t="shared" si="38"/>
        <v>0</v>
      </c>
      <c r="BJ39" s="41">
        <f t="shared" si="27"/>
        <v>0</v>
      </c>
      <c r="BL39" s="45">
        <f t="shared" si="28"/>
        <v>0</v>
      </c>
    </row>
    <row r="40" spans="1:73" s="156" customFormat="1" ht="16.5" customHeight="1" x14ac:dyDescent="0.25">
      <c r="A40" s="191" t="s">
        <v>157</v>
      </c>
      <c r="B40" s="184"/>
      <c r="C40" s="167" t="s">
        <v>87</v>
      </c>
      <c r="D40" s="167"/>
      <c r="E40" s="193"/>
      <c r="F40" s="194"/>
      <c r="G40" s="194"/>
      <c r="H40" s="195"/>
      <c r="I40" s="196"/>
      <c r="J40" s="308">
        <f t="shared" si="18"/>
        <v>0</v>
      </c>
      <c r="K40" s="309"/>
      <c r="L40" s="307"/>
      <c r="M40" s="309"/>
      <c r="N40" s="309">
        <f t="shared" si="19"/>
        <v>0</v>
      </c>
      <c r="O40" s="309"/>
      <c r="P40" s="307"/>
      <c r="Q40" s="310"/>
      <c r="R40" s="309">
        <f t="shared" si="20"/>
        <v>0</v>
      </c>
      <c r="S40" s="309"/>
      <c r="T40" s="307"/>
      <c r="U40" s="310"/>
      <c r="V40" s="291">
        <f t="shared" si="21"/>
        <v>0</v>
      </c>
      <c r="W40" s="309"/>
      <c r="X40" s="307"/>
      <c r="Y40" s="310"/>
      <c r="Z40" s="309">
        <f t="shared" si="22"/>
        <v>0</v>
      </c>
      <c r="AA40" s="309"/>
      <c r="AB40" s="307"/>
      <c r="AC40" s="310"/>
      <c r="AD40" s="309">
        <f t="shared" si="0"/>
        <v>0</v>
      </c>
      <c r="AE40" s="197"/>
      <c r="AF40" s="199">
        <f t="shared" si="1"/>
        <v>0</v>
      </c>
      <c r="AI40" s="190"/>
      <c r="AJ40" s="150">
        <v>0.01</v>
      </c>
      <c r="AK40" s="151">
        <f t="shared" si="2"/>
        <v>12</v>
      </c>
      <c r="AL40" s="152"/>
      <c r="AM40" s="166"/>
      <c r="AN40" s="153">
        <v>0</v>
      </c>
      <c r="AO40" s="154">
        <v>0</v>
      </c>
      <c r="AP40" s="155">
        <f t="shared" ref="AP40" si="150">IF($AL40="Summer",(AM40/$AO$9*AK40),AN40*AO40)</f>
        <v>0</v>
      </c>
      <c r="AR40" s="154">
        <f t="shared" ref="AR40" si="151">IF($AK$10=1,0,AM40)</f>
        <v>0</v>
      </c>
      <c r="AS40" s="153">
        <f t="shared" si="29"/>
        <v>0</v>
      </c>
      <c r="AT40" s="154">
        <f t="shared" si="4"/>
        <v>0</v>
      </c>
      <c r="AU40" s="155">
        <f t="shared" si="24"/>
        <v>0</v>
      </c>
      <c r="AW40" s="154">
        <f t="shared" ref="AW40" si="152">IF($AK$10=2,0,AR40)</f>
        <v>0</v>
      </c>
      <c r="AX40" s="153">
        <f t="shared" si="31"/>
        <v>0</v>
      </c>
      <c r="AY40" s="154">
        <f t="shared" si="32"/>
        <v>0</v>
      </c>
      <c r="AZ40" s="155">
        <f t="shared" si="25"/>
        <v>0</v>
      </c>
      <c r="BB40" s="154">
        <f t="shared" ref="BB40" si="153">IF($AK$10=3,0,AW40)</f>
        <v>0</v>
      </c>
      <c r="BC40" s="153">
        <f t="shared" si="34"/>
        <v>0</v>
      </c>
      <c r="BD40" s="154">
        <f t="shared" si="35"/>
        <v>0</v>
      </c>
      <c r="BE40" s="155">
        <f t="shared" si="26"/>
        <v>0</v>
      </c>
      <c r="BG40" s="154">
        <f t="shared" ref="BG40" si="154">IF($AK$10=4,0,BB40)</f>
        <v>0</v>
      </c>
      <c r="BH40" s="153">
        <f t="shared" si="37"/>
        <v>0</v>
      </c>
      <c r="BI40" s="154">
        <f t="shared" si="38"/>
        <v>0</v>
      </c>
      <c r="BJ40" s="155">
        <f t="shared" si="27"/>
        <v>0</v>
      </c>
      <c r="BK40" s="157"/>
      <c r="BL40" s="157">
        <f t="shared" si="28"/>
        <v>0</v>
      </c>
      <c r="BM40" s="201"/>
      <c r="BN40" s="201"/>
      <c r="BO40" s="201"/>
      <c r="BP40" s="201"/>
      <c r="BQ40" s="201"/>
      <c r="BR40" s="201"/>
      <c r="BS40" s="201"/>
      <c r="BT40" s="201"/>
      <c r="BU40" s="201"/>
    </row>
    <row r="41" spans="1:73" ht="16.5" customHeight="1" x14ac:dyDescent="0.25">
      <c r="A41" s="168" t="s">
        <v>157</v>
      </c>
      <c r="B41" s="184"/>
      <c r="D41" s="189" t="str">
        <f>IF(AL41="Summer", (AM41)&amp;" days,"&amp;" Summer", ((AN41*100)&amp;"%"&amp;" time, "&amp;AO41&amp;" months, "&amp;AL41))</f>
        <v>0% time, 0 months, CY</v>
      </c>
      <c r="E41" s="189"/>
      <c r="H41" s="188"/>
      <c r="I41" s="185"/>
      <c r="J41" s="291">
        <f t="shared" si="18"/>
        <v>0</v>
      </c>
      <c r="L41" s="307">
        <v>0</v>
      </c>
      <c r="N41" s="291">
        <f t="shared" si="19"/>
        <v>0</v>
      </c>
      <c r="O41" s="291"/>
      <c r="P41" s="307">
        <v>0</v>
      </c>
      <c r="R41" s="291">
        <f t="shared" si="20"/>
        <v>0</v>
      </c>
      <c r="S41" s="291"/>
      <c r="T41" s="307">
        <v>0</v>
      </c>
      <c r="V41" s="291">
        <f t="shared" si="21"/>
        <v>0</v>
      </c>
      <c r="W41" s="291"/>
      <c r="X41" s="307">
        <v>0</v>
      </c>
      <c r="Z41" s="291">
        <f t="shared" si="22"/>
        <v>0</v>
      </c>
      <c r="AA41" s="291"/>
      <c r="AB41" s="307">
        <v>0</v>
      </c>
      <c r="AD41" s="291">
        <f t="shared" si="0"/>
        <v>0</v>
      </c>
      <c r="AE41" s="170"/>
      <c r="AF41" s="186">
        <f t="shared" si="1"/>
        <v>0</v>
      </c>
      <c r="AH41" s="180"/>
      <c r="AI41" s="190"/>
      <c r="AJ41" s="148">
        <v>0.01</v>
      </c>
      <c r="AK41" s="118">
        <f t="shared" si="2"/>
        <v>12</v>
      </c>
      <c r="AL41" s="119" t="s">
        <v>80</v>
      </c>
      <c r="AM41" s="165"/>
      <c r="AN41" s="120">
        <v>0</v>
      </c>
      <c r="AO41" s="121">
        <v>0</v>
      </c>
      <c r="AP41" s="41">
        <f t="shared" si="23"/>
        <v>0</v>
      </c>
      <c r="AR41" s="121">
        <f t="shared" si="63"/>
        <v>0</v>
      </c>
      <c r="AS41" s="120">
        <f t="shared" si="29"/>
        <v>0</v>
      </c>
      <c r="AT41" s="121">
        <f t="shared" si="4"/>
        <v>0</v>
      </c>
      <c r="AU41" s="41">
        <f t="shared" si="24"/>
        <v>0</v>
      </c>
      <c r="AW41" s="121">
        <f t="shared" si="30"/>
        <v>0</v>
      </c>
      <c r="AX41" s="120">
        <f t="shared" si="31"/>
        <v>0</v>
      </c>
      <c r="AY41" s="121">
        <f t="shared" si="32"/>
        <v>0</v>
      </c>
      <c r="AZ41" s="41">
        <f t="shared" si="25"/>
        <v>0</v>
      </c>
      <c r="BB41" s="121">
        <f t="shared" si="33"/>
        <v>0</v>
      </c>
      <c r="BC41" s="120">
        <f t="shared" si="34"/>
        <v>0</v>
      </c>
      <c r="BD41" s="121">
        <f t="shared" si="35"/>
        <v>0</v>
      </c>
      <c r="BE41" s="41">
        <f t="shared" si="26"/>
        <v>0</v>
      </c>
      <c r="BG41" s="121">
        <f t="shared" si="36"/>
        <v>0</v>
      </c>
      <c r="BH41" s="120">
        <f t="shared" si="37"/>
        <v>0</v>
      </c>
      <c r="BI41" s="121">
        <f t="shared" si="38"/>
        <v>0</v>
      </c>
      <c r="BJ41" s="41">
        <f t="shared" si="27"/>
        <v>0</v>
      </c>
      <c r="BL41" s="45">
        <f t="shared" si="28"/>
        <v>0</v>
      </c>
    </row>
    <row r="42" spans="1:73" s="156" customFormat="1" ht="16.5" customHeight="1" x14ac:dyDescent="0.25">
      <c r="A42" s="191" t="s">
        <v>157</v>
      </c>
      <c r="B42" s="184"/>
      <c r="C42" s="167" t="s">
        <v>87</v>
      </c>
      <c r="D42" s="167"/>
      <c r="E42" s="193"/>
      <c r="F42" s="194"/>
      <c r="G42" s="194"/>
      <c r="H42" s="195"/>
      <c r="I42" s="196"/>
      <c r="J42" s="308">
        <f t="shared" si="18"/>
        <v>0</v>
      </c>
      <c r="K42" s="309"/>
      <c r="L42" s="307"/>
      <c r="M42" s="309"/>
      <c r="N42" s="309">
        <f t="shared" si="19"/>
        <v>0</v>
      </c>
      <c r="O42" s="309"/>
      <c r="P42" s="307"/>
      <c r="Q42" s="310"/>
      <c r="R42" s="309">
        <f t="shared" si="20"/>
        <v>0</v>
      </c>
      <c r="S42" s="309"/>
      <c r="T42" s="307"/>
      <c r="U42" s="310"/>
      <c r="V42" s="291">
        <f t="shared" si="21"/>
        <v>0</v>
      </c>
      <c r="W42" s="309"/>
      <c r="X42" s="307"/>
      <c r="Y42" s="310"/>
      <c r="Z42" s="309">
        <f t="shared" si="22"/>
        <v>0</v>
      </c>
      <c r="AA42" s="309"/>
      <c r="AB42" s="307"/>
      <c r="AC42" s="310"/>
      <c r="AD42" s="309">
        <f t="shared" si="0"/>
        <v>0</v>
      </c>
      <c r="AE42" s="197"/>
      <c r="AF42" s="199">
        <f t="shared" si="1"/>
        <v>0</v>
      </c>
      <c r="AI42" s="190"/>
      <c r="AJ42" s="150">
        <v>0.01</v>
      </c>
      <c r="AK42" s="151">
        <f t="shared" si="2"/>
        <v>12</v>
      </c>
      <c r="AL42" s="152"/>
      <c r="AM42" s="166"/>
      <c r="AN42" s="153">
        <v>0</v>
      </c>
      <c r="AO42" s="154">
        <v>0</v>
      </c>
      <c r="AP42" s="155">
        <f t="shared" ref="AP42" si="155">IF($AL42="Summer",(AM42/$AO$9*AK42),AN42*AO42)</f>
        <v>0</v>
      </c>
      <c r="AR42" s="154">
        <f t="shared" ref="AR42" si="156">IF($AK$10=1,0,AM42)</f>
        <v>0</v>
      </c>
      <c r="AS42" s="153">
        <f t="shared" si="29"/>
        <v>0</v>
      </c>
      <c r="AT42" s="154">
        <f t="shared" si="4"/>
        <v>0</v>
      </c>
      <c r="AU42" s="155">
        <f t="shared" si="24"/>
        <v>0</v>
      </c>
      <c r="AW42" s="154">
        <f t="shared" ref="AW42" si="157">IF($AK$10=2,0,AR42)</f>
        <v>0</v>
      </c>
      <c r="AX42" s="153">
        <f t="shared" si="31"/>
        <v>0</v>
      </c>
      <c r="AY42" s="154">
        <f t="shared" si="32"/>
        <v>0</v>
      </c>
      <c r="AZ42" s="155">
        <f t="shared" si="25"/>
        <v>0</v>
      </c>
      <c r="BB42" s="154">
        <f t="shared" ref="BB42" si="158">IF($AK$10=3,0,AW42)</f>
        <v>0</v>
      </c>
      <c r="BC42" s="153">
        <f t="shared" si="34"/>
        <v>0</v>
      </c>
      <c r="BD42" s="154">
        <f t="shared" si="35"/>
        <v>0</v>
      </c>
      <c r="BE42" s="155">
        <f t="shared" si="26"/>
        <v>0</v>
      </c>
      <c r="BG42" s="154">
        <f t="shared" ref="BG42" si="159">IF($AK$10=4,0,BB42)</f>
        <v>0</v>
      </c>
      <c r="BH42" s="153">
        <f t="shared" si="37"/>
        <v>0</v>
      </c>
      <c r="BI42" s="154">
        <f t="shared" si="38"/>
        <v>0</v>
      </c>
      <c r="BJ42" s="155">
        <f t="shared" si="27"/>
        <v>0</v>
      </c>
      <c r="BK42" s="157"/>
      <c r="BL42" s="157">
        <f t="shared" si="28"/>
        <v>0</v>
      </c>
      <c r="BM42" s="201"/>
      <c r="BN42" s="201"/>
      <c r="BO42" s="201"/>
      <c r="BP42" s="201"/>
      <c r="BQ42" s="201"/>
      <c r="BR42" s="201"/>
      <c r="BS42" s="201"/>
      <c r="BT42" s="201"/>
      <c r="BU42" s="201"/>
    </row>
    <row r="43" spans="1:73" ht="16.5" customHeight="1" x14ac:dyDescent="0.25">
      <c r="A43" s="168" t="s">
        <v>157</v>
      </c>
      <c r="B43" s="184"/>
      <c r="D43" s="189" t="str">
        <f>IF(AL43="Summer", (AM43)&amp;" days,"&amp;" Summer", ((AN43*100)&amp;"%"&amp;" time, "&amp;AO43&amp;" months, "&amp;AL43))</f>
        <v>0% time, 0 months, CY</v>
      </c>
      <c r="E43" s="189"/>
      <c r="H43" s="188"/>
      <c r="I43" s="185"/>
      <c r="J43" s="291">
        <f t="shared" si="18"/>
        <v>0</v>
      </c>
      <c r="L43" s="307">
        <v>0</v>
      </c>
      <c r="N43" s="291">
        <f t="shared" si="19"/>
        <v>0</v>
      </c>
      <c r="O43" s="291"/>
      <c r="P43" s="307">
        <v>0</v>
      </c>
      <c r="R43" s="291">
        <f t="shared" si="20"/>
        <v>0</v>
      </c>
      <c r="S43" s="291"/>
      <c r="T43" s="307">
        <v>0</v>
      </c>
      <c r="V43" s="291">
        <f t="shared" si="21"/>
        <v>0</v>
      </c>
      <c r="W43" s="291"/>
      <c r="X43" s="307">
        <v>0</v>
      </c>
      <c r="Z43" s="291">
        <f t="shared" si="22"/>
        <v>0</v>
      </c>
      <c r="AA43" s="291"/>
      <c r="AB43" s="307">
        <v>0</v>
      </c>
      <c r="AD43" s="291">
        <f t="shared" si="0"/>
        <v>0</v>
      </c>
      <c r="AE43" s="170"/>
      <c r="AF43" s="186">
        <f t="shared" si="1"/>
        <v>0</v>
      </c>
      <c r="AH43" s="180"/>
      <c r="AI43" s="190"/>
      <c r="AJ43" s="148">
        <v>0.01</v>
      </c>
      <c r="AK43" s="118">
        <f t="shared" si="2"/>
        <v>12</v>
      </c>
      <c r="AL43" s="119" t="s">
        <v>80</v>
      </c>
      <c r="AM43" s="165"/>
      <c r="AN43" s="120">
        <v>0</v>
      </c>
      <c r="AO43" s="121">
        <v>0</v>
      </c>
      <c r="AP43" s="41">
        <f t="shared" si="23"/>
        <v>0</v>
      </c>
      <c r="AR43" s="121">
        <f t="shared" si="63"/>
        <v>0</v>
      </c>
      <c r="AS43" s="120">
        <f t="shared" si="29"/>
        <v>0</v>
      </c>
      <c r="AT43" s="121">
        <f t="shared" si="4"/>
        <v>0</v>
      </c>
      <c r="AU43" s="41">
        <f t="shared" si="24"/>
        <v>0</v>
      </c>
      <c r="AW43" s="121">
        <f t="shared" si="30"/>
        <v>0</v>
      </c>
      <c r="AX43" s="120">
        <f t="shared" si="31"/>
        <v>0</v>
      </c>
      <c r="AY43" s="121">
        <f t="shared" si="32"/>
        <v>0</v>
      </c>
      <c r="AZ43" s="41">
        <f t="shared" si="25"/>
        <v>0</v>
      </c>
      <c r="BB43" s="121">
        <f t="shared" si="33"/>
        <v>0</v>
      </c>
      <c r="BC43" s="120">
        <f t="shared" si="34"/>
        <v>0</v>
      </c>
      <c r="BD43" s="121">
        <f t="shared" si="35"/>
        <v>0</v>
      </c>
      <c r="BE43" s="41">
        <f t="shared" si="26"/>
        <v>0</v>
      </c>
      <c r="BG43" s="121">
        <f t="shared" si="36"/>
        <v>0</v>
      </c>
      <c r="BH43" s="120">
        <f t="shared" si="37"/>
        <v>0</v>
      </c>
      <c r="BI43" s="121">
        <f t="shared" si="38"/>
        <v>0</v>
      </c>
      <c r="BJ43" s="41">
        <f t="shared" si="27"/>
        <v>0</v>
      </c>
      <c r="BL43" s="45">
        <f t="shared" si="28"/>
        <v>0</v>
      </c>
    </row>
    <row r="44" spans="1:73" s="156" customFormat="1" ht="16.5" customHeight="1" x14ac:dyDescent="0.25">
      <c r="A44" s="191" t="s">
        <v>233</v>
      </c>
      <c r="B44" s="184"/>
      <c r="C44" s="167" t="s">
        <v>88</v>
      </c>
      <c r="D44" s="167"/>
      <c r="E44" s="193"/>
      <c r="F44" s="194"/>
      <c r="G44" s="194"/>
      <c r="H44" s="195"/>
      <c r="I44" s="196"/>
      <c r="J44" s="308">
        <f t="shared" si="18"/>
        <v>0</v>
      </c>
      <c r="K44" s="309"/>
      <c r="L44" s="307"/>
      <c r="M44" s="309"/>
      <c r="N44" s="309">
        <f>IF($AK$13="No",IF(AU44=0,0,($AJ44*(1+$AK$4)/$AK44*AU44)),($AJ44*(1+$AK$4)^2/$AK44*AU44))</f>
        <v>0</v>
      </c>
      <c r="O44" s="309"/>
      <c r="P44" s="307"/>
      <c r="Q44" s="310"/>
      <c r="R44" s="309">
        <f t="shared" si="20"/>
        <v>0</v>
      </c>
      <c r="S44" s="309"/>
      <c r="T44" s="307"/>
      <c r="U44" s="310"/>
      <c r="V44" s="291">
        <f t="shared" si="21"/>
        <v>0</v>
      </c>
      <c r="W44" s="309"/>
      <c r="X44" s="307"/>
      <c r="Y44" s="310"/>
      <c r="Z44" s="309">
        <f t="shared" si="22"/>
        <v>0</v>
      </c>
      <c r="AA44" s="309"/>
      <c r="AB44" s="307"/>
      <c r="AC44" s="310"/>
      <c r="AD44" s="309">
        <f t="shared" si="0"/>
        <v>0</v>
      </c>
      <c r="AE44" s="197"/>
      <c r="AF44" s="199">
        <f t="shared" si="1"/>
        <v>0</v>
      </c>
      <c r="AI44" s="190"/>
      <c r="AJ44" s="150">
        <v>0.01</v>
      </c>
      <c r="AK44" s="151">
        <f t="shared" si="2"/>
        <v>12</v>
      </c>
      <c r="AL44" s="152"/>
      <c r="AM44" s="166"/>
      <c r="AN44" s="153">
        <v>0</v>
      </c>
      <c r="AO44" s="154">
        <v>0</v>
      </c>
      <c r="AP44" s="155">
        <f t="shared" ref="AP44" si="160">IF($AL44="Summer",(AM44/$AO$9*AK44),AN44*AO44)</f>
        <v>0</v>
      </c>
      <c r="AR44" s="154">
        <f t="shared" ref="AR44" si="161">IF($AK$10=1,0,AM44)</f>
        <v>0</v>
      </c>
      <c r="AS44" s="153">
        <f t="shared" si="29"/>
        <v>0</v>
      </c>
      <c r="AT44" s="154">
        <f t="shared" si="4"/>
        <v>0</v>
      </c>
      <c r="AU44" s="155">
        <f t="shared" si="24"/>
        <v>0</v>
      </c>
      <c r="AW44" s="154">
        <f t="shared" ref="AW44" si="162">IF($AK$10=2,0,AR44)</f>
        <v>0</v>
      </c>
      <c r="AX44" s="153">
        <f t="shared" si="31"/>
        <v>0</v>
      </c>
      <c r="AY44" s="154">
        <f t="shared" si="32"/>
        <v>0</v>
      </c>
      <c r="AZ44" s="155">
        <f t="shared" si="25"/>
        <v>0</v>
      </c>
      <c r="BB44" s="154">
        <f t="shared" ref="BB44" si="163">IF($AK$10=3,0,AW44)</f>
        <v>0</v>
      </c>
      <c r="BC44" s="153">
        <f t="shared" si="34"/>
        <v>0</v>
      </c>
      <c r="BD44" s="154">
        <f t="shared" si="35"/>
        <v>0</v>
      </c>
      <c r="BE44" s="155">
        <f t="shared" si="26"/>
        <v>0</v>
      </c>
      <c r="BG44" s="154">
        <f t="shared" ref="BG44" si="164">IF($AK$10=4,0,BB44)</f>
        <v>0</v>
      </c>
      <c r="BH44" s="153">
        <f t="shared" si="37"/>
        <v>0</v>
      </c>
      <c r="BI44" s="154">
        <f t="shared" si="38"/>
        <v>0</v>
      </c>
      <c r="BJ44" s="155">
        <f t="shared" si="27"/>
        <v>0</v>
      </c>
      <c r="BK44" s="157"/>
      <c r="BL44" s="157">
        <f t="shared" si="28"/>
        <v>0</v>
      </c>
      <c r="BM44" s="201"/>
      <c r="BN44" s="201"/>
      <c r="BO44" s="201"/>
      <c r="BP44" s="201"/>
      <c r="BQ44" s="201"/>
      <c r="BR44" s="201"/>
      <c r="BS44" s="201"/>
      <c r="BT44" s="201"/>
      <c r="BU44" s="201"/>
    </row>
    <row r="45" spans="1:73" ht="16.5" customHeight="1" x14ac:dyDescent="0.25">
      <c r="A45" s="168" t="s">
        <v>233</v>
      </c>
      <c r="B45" s="184"/>
      <c r="D45" s="189" t="str">
        <f>IF(AL45="Summer", (AM45)&amp;" days,"&amp;" Summer", ((AN45*100)&amp;"%"&amp;" time, "&amp;AO45&amp;" months, "&amp;AL45))</f>
        <v>0% time, 0 months, CY</v>
      </c>
      <c r="E45" s="189"/>
      <c r="H45" s="188"/>
      <c r="I45" s="185"/>
      <c r="J45" s="291">
        <f t="shared" si="18"/>
        <v>0</v>
      </c>
      <c r="L45" s="307">
        <v>0</v>
      </c>
      <c r="N45" s="291">
        <f t="shared" si="19"/>
        <v>0</v>
      </c>
      <c r="O45" s="291"/>
      <c r="P45" s="307">
        <v>0</v>
      </c>
      <c r="R45" s="291">
        <f t="shared" si="20"/>
        <v>0</v>
      </c>
      <c r="S45" s="291"/>
      <c r="T45" s="307">
        <v>0</v>
      </c>
      <c r="V45" s="291">
        <f t="shared" si="21"/>
        <v>0</v>
      </c>
      <c r="W45" s="291"/>
      <c r="X45" s="307">
        <v>0</v>
      </c>
      <c r="Z45" s="291">
        <f t="shared" si="22"/>
        <v>0</v>
      </c>
      <c r="AA45" s="291"/>
      <c r="AB45" s="307">
        <v>0</v>
      </c>
      <c r="AD45" s="291">
        <f t="shared" si="0"/>
        <v>0</v>
      </c>
      <c r="AE45" s="170"/>
      <c r="AF45" s="186">
        <f t="shared" si="1"/>
        <v>0</v>
      </c>
      <c r="AH45" s="180"/>
      <c r="AI45" s="190"/>
      <c r="AJ45" s="148">
        <v>0.01</v>
      </c>
      <c r="AK45" s="118">
        <f t="shared" si="2"/>
        <v>12</v>
      </c>
      <c r="AL45" s="119" t="s">
        <v>80</v>
      </c>
      <c r="AM45" s="165"/>
      <c r="AN45" s="120">
        <v>0</v>
      </c>
      <c r="AO45" s="121">
        <v>0</v>
      </c>
      <c r="AP45" s="41">
        <f t="shared" si="23"/>
        <v>0</v>
      </c>
      <c r="AR45" s="121">
        <f t="shared" si="63"/>
        <v>0</v>
      </c>
      <c r="AS45" s="120">
        <f t="shared" si="29"/>
        <v>0</v>
      </c>
      <c r="AT45" s="121">
        <f t="shared" si="4"/>
        <v>0</v>
      </c>
      <c r="AU45" s="41">
        <f t="shared" si="24"/>
        <v>0</v>
      </c>
      <c r="AW45" s="121">
        <f t="shared" si="30"/>
        <v>0</v>
      </c>
      <c r="AX45" s="120">
        <f t="shared" si="31"/>
        <v>0</v>
      </c>
      <c r="AY45" s="121">
        <f t="shared" si="32"/>
        <v>0</v>
      </c>
      <c r="AZ45" s="41">
        <f t="shared" si="25"/>
        <v>0</v>
      </c>
      <c r="BB45" s="121">
        <f t="shared" si="33"/>
        <v>0</v>
      </c>
      <c r="BC45" s="120">
        <f t="shared" si="34"/>
        <v>0</v>
      </c>
      <c r="BD45" s="121">
        <f t="shared" si="35"/>
        <v>0</v>
      </c>
      <c r="BE45" s="41">
        <f t="shared" si="26"/>
        <v>0</v>
      </c>
      <c r="BG45" s="121">
        <f t="shared" si="36"/>
        <v>0</v>
      </c>
      <c r="BH45" s="120">
        <f t="shared" si="37"/>
        <v>0</v>
      </c>
      <c r="BI45" s="121">
        <f t="shared" si="38"/>
        <v>0</v>
      </c>
      <c r="BJ45" s="41">
        <f t="shared" si="27"/>
        <v>0</v>
      </c>
      <c r="BL45" s="45">
        <f t="shared" si="28"/>
        <v>0</v>
      </c>
    </row>
    <row r="46" spans="1:73" s="156" customFormat="1" ht="16.5" customHeight="1" x14ac:dyDescent="0.25">
      <c r="A46" s="191" t="s">
        <v>233</v>
      </c>
      <c r="B46" s="184"/>
      <c r="C46" s="167" t="s">
        <v>88</v>
      </c>
      <c r="D46" s="167"/>
      <c r="E46" s="193"/>
      <c r="F46" s="194"/>
      <c r="G46" s="194"/>
      <c r="H46" s="195"/>
      <c r="I46" s="196"/>
      <c r="J46" s="308">
        <f t="shared" si="18"/>
        <v>0</v>
      </c>
      <c r="K46" s="309"/>
      <c r="L46" s="307"/>
      <c r="M46" s="309"/>
      <c r="N46" s="309">
        <f t="shared" si="19"/>
        <v>0</v>
      </c>
      <c r="O46" s="309"/>
      <c r="P46" s="307"/>
      <c r="Q46" s="310"/>
      <c r="R46" s="309">
        <f t="shared" si="20"/>
        <v>0</v>
      </c>
      <c r="S46" s="309"/>
      <c r="T46" s="307"/>
      <c r="U46" s="310"/>
      <c r="V46" s="291">
        <f t="shared" si="21"/>
        <v>0</v>
      </c>
      <c r="W46" s="309"/>
      <c r="X46" s="307"/>
      <c r="Y46" s="310"/>
      <c r="Z46" s="309">
        <f t="shared" si="22"/>
        <v>0</v>
      </c>
      <c r="AA46" s="309"/>
      <c r="AB46" s="307"/>
      <c r="AC46" s="310"/>
      <c r="AD46" s="309">
        <f t="shared" si="0"/>
        <v>0</v>
      </c>
      <c r="AE46" s="197"/>
      <c r="AF46" s="199">
        <f t="shared" si="1"/>
        <v>0</v>
      </c>
      <c r="AI46" s="190"/>
      <c r="AJ46" s="150">
        <v>0.01</v>
      </c>
      <c r="AK46" s="151">
        <f t="shared" si="2"/>
        <v>12</v>
      </c>
      <c r="AL46" s="152"/>
      <c r="AM46" s="166"/>
      <c r="AN46" s="153">
        <v>0</v>
      </c>
      <c r="AO46" s="154">
        <v>0</v>
      </c>
      <c r="AP46" s="155">
        <f t="shared" ref="AP46" si="165">IF($AL46="Summer",(AM46/$AO$9*AK46),AN46*AO46)</f>
        <v>0</v>
      </c>
      <c r="AR46" s="154">
        <f t="shared" ref="AR46" si="166">IF($AK$10=1,0,AM46)</f>
        <v>0</v>
      </c>
      <c r="AS46" s="153">
        <f t="shared" si="29"/>
        <v>0</v>
      </c>
      <c r="AT46" s="154">
        <f t="shared" si="4"/>
        <v>0</v>
      </c>
      <c r="AU46" s="155">
        <f t="shared" si="24"/>
        <v>0</v>
      </c>
      <c r="AW46" s="154">
        <f t="shared" ref="AW46" si="167">IF($AK$10=2,0,AR46)</f>
        <v>0</v>
      </c>
      <c r="AX46" s="153">
        <f t="shared" si="31"/>
        <v>0</v>
      </c>
      <c r="AY46" s="154">
        <f t="shared" si="32"/>
        <v>0</v>
      </c>
      <c r="AZ46" s="155">
        <f t="shared" si="25"/>
        <v>0</v>
      </c>
      <c r="BB46" s="154">
        <f t="shared" ref="BB46" si="168">IF($AK$10=3,0,AW46)</f>
        <v>0</v>
      </c>
      <c r="BC46" s="153">
        <f t="shared" si="34"/>
        <v>0</v>
      </c>
      <c r="BD46" s="154">
        <f t="shared" si="35"/>
        <v>0</v>
      </c>
      <c r="BE46" s="155">
        <f t="shared" si="26"/>
        <v>0</v>
      </c>
      <c r="BG46" s="154">
        <f t="shared" ref="BG46" si="169">IF($AK$10=4,0,BB46)</f>
        <v>0</v>
      </c>
      <c r="BH46" s="153">
        <f t="shared" si="37"/>
        <v>0</v>
      </c>
      <c r="BI46" s="154">
        <f t="shared" si="38"/>
        <v>0</v>
      </c>
      <c r="BJ46" s="155">
        <f t="shared" si="27"/>
        <v>0</v>
      </c>
      <c r="BK46" s="157"/>
      <c r="BL46" s="157">
        <f t="shared" si="28"/>
        <v>0</v>
      </c>
      <c r="BM46" s="201"/>
      <c r="BN46" s="201"/>
      <c r="BO46" s="201"/>
      <c r="BP46" s="201"/>
      <c r="BQ46" s="201"/>
      <c r="BR46" s="201"/>
      <c r="BS46" s="201"/>
      <c r="BT46" s="201"/>
      <c r="BU46" s="201"/>
    </row>
    <row r="47" spans="1:73" ht="16.5" customHeight="1" x14ac:dyDescent="0.25">
      <c r="A47" s="168" t="s">
        <v>233</v>
      </c>
      <c r="B47" s="184"/>
      <c r="D47" s="189" t="str">
        <f>IF(AL47="Summer", (AM47)&amp;" days,"&amp;" Summer", ((AN47*100)&amp;"%"&amp;" time, "&amp;AO47&amp;" months, "&amp;AL47))</f>
        <v>0% time, 0 months, CY</v>
      </c>
      <c r="E47" s="189"/>
      <c r="H47" s="188"/>
      <c r="I47" s="185"/>
      <c r="J47" s="291">
        <f t="shared" si="18"/>
        <v>0</v>
      </c>
      <c r="L47" s="307">
        <v>0</v>
      </c>
      <c r="N47" s="291">
        <f t="shared" si="19"/>
        <v>0</v>
      </c>
      <c r="O47" s="291"/>
      <c r="P47" s="307">
        <v>0</v>
      </c>
      <c r="R47" s="291">
        <f t="shared" si="20"/>
        <v>0</v>
      </c>
      <c r="S47" s="291"/>
      <c r="T47" s="307">
        <v>0</v>
      </c>
      <c r="V47" s="291">
        <f t="shared" si="21"/>
        <v>0</v>
      </c>
      <c r="W47" s="291"/>
      <c r="X47" s="307">
        <v>0</v>
      </c>
      <c r="Z47" s="291">
        <f t="shared" si="22"/>
        <v>0</v>
      </c>
      <c r="AA47" s="291"/>
      <c r="AB47" s="307">
        <v>0</v>
      </c>
      <c r="AD47" s="291">
        <f t="shared" si="0"/>
        <v>0</v>
      </c>
      <c r="AE47" s="170"/>
      <c r="AF47" s="186">
        <f t="shared" si="1"/>
        <v>0</v>
      </c>
      <c r="AH47" s="81"/>
      <c r="AI47" s="190"/>
      <c r="AJ47" s="148">
        <v>0.01</v>
      </c>
      <c r="AK47" s="118">
        <f t="shared" si="2"/>
        <v>12</v>
      </c>
      <c r="AL47" s="119" t="s">
        <v>80</v>
      </c>
      <c r="AM47" s="165"/>
      <c r="AN47" s="120">
        <v>0</v>
      </c>
      <c r="AO47" s="121">
        <v>0</v>
      </c>
      <c r="AP47" s="41">
        <f t="shared" si="23"/>
        <v>0</v>
      </c>
      <c r="AR47" s="121">
        <f t="shared" si="63"/>
        <v>0</v>
      </c>
      <c r="AS47" s="120">
        <f t="shared" si="29"/>
        <v>0</v>
      </c>
      <c r="AT47" s="121">
        <f t="shared" si="4"/>
        <v>0</v>
      </c>
      <c r="AU47" s="41">
        <f t="shared" si="24"/>
        <v>0</v>
      </c>
      <c r="AW47" s="121">
        <f t="shared" si="30"/>
        <v>0</v>
      </c>
      <c r="AX47" s="120">
        <f t="shared" si="31"/>
        <v>0</v>
      </c>
      <c r="AY47" s="121">
        <f t="shared" si="32"/>
        <v>0</v>
      </c>
      <c r="AZ47" s="41">
        <f t="shared" si="25"/>
        <v>0</v>
      </c>
      <c r="BB47" s="121">
        <f t="shared" si="33"/>
        <v>0</v>
      </c>
      <c r="BC47" s="120">
        <f t="shared" si="34"/>
        <v>0</v>
      </c>
      <c r="BD47" s="121">
        <f t="shared" si="35"/>
        <v>0</v>
      </c>
      <c r="BE47" s="41">
        <f t="shared" si="26"/>
        <v>0</v>
      </c>
      <c r="BG47" s="121">
        <f t="shared" si="36"/>
        <v>0</v>
      </c>
      <c r="BH47" s="120">
        <f t="shared" si="37"/>
        <v>0</v>
      </c>
      <c r="BI47" s="121">
        <f t="shared" si="38"/>
        <v>0</v>
      </c>
      <c r="BJ47" s="41">
        <f t="shared" si="27"/>
        <v>0</v>
      </c>
      <c r="BL47" s="45">
        <f t="shared" si="28"/>
        <v>0</v>
      </c>
    </row>
    <row r="48" spans="1:73" ht="16.5" customHeight="1" x14ac:dyDescent="0.25">
      <c r="A48" s="191" t="s">
        <v>174</v>
      </c>
      <c r="B48" s="184"/>
      <c r="C48" s="167" t="s">
        <v>49</v>
      </c>
      <c r="H48" s="188"/>
      <c r="I48" s="185"/>
      <c r="J48" s="308">
        <f t="shared" si="18"/>
        <v>0</v>
      </c>
      <c r="K48" s="309"/>
      <c r="L48" s="307"/>
      <c r="M48" s="309"/>
      <c r="N48" s="309">
        <f t="shared" si="19"/>
        <v>0</v>
      </c>
      <c r="O48" s="309"/>
      <c r="P48" s="307"/>
      <c r="Q48" s="310"/>
      <c r="R48" s="309">
        <f t="shared" si="20"/>
        <v>0</v>
      </c>
      <c r="S48" s="309"/>
      <c r="T48" s="307"/>
      <c r="U48" s="310"/>
      <c r="V48" s="291">
        <f t="shared" si="21"/>
        <v>0</v>
      </c>
      <c r="W48" s="309"/>
      <c r="X48" s="307"/>
      <c r="Y48" s="310"/>
      <c r="Z48" s="309">
        <f t="shared" si="22"/>
        <v>0</v>
      </c>
      <c r="AA48" s="309"/>
      <c r="AB48" s="307"/>
      <c r="AC48" s="310"/>
      <c r="AD48" s="309">
        <f t="shared" si="0"/>
        <v>0</v>
      </c>
      <c r="AE48" s="197"/>
      <c r="AF48" s="199">
        <f t="shared" si="1"/>
        <v>0</v>
      </c>
      <c r="AG48" s="156"/>
      <c r="AH48" s="156"/>
      <c r="AI48" s="190"/>
      <c r="AJ48" s="150">
        <v>0.01</v>
      </c>
      <c r="AK48" s="151">
        <f t="shared" si="2"/>
        <v>9</v>
      </c>
      <c r="AL48" s="152"/>
      <c r="AM48" s="166"/>
      <c r="AN48" s="153">
        <v>0</v>
      </c>
      <c r="AO48" s="154">
        <v>0</v>
      </c>
      <c r="AP48" s="155">
        <f t="shared" ref="AP48" si="170">IF($AL48="Summer",(AM48/$AO$9*AK48),AN48*AO48)</f>
        <v>0</v>
      </c>
      <c r="AQ48" s="156"/>
      <c r="AR48" s="154">
        <f t="shared" ref="AR48" si="171">IF($AK$10=1,0,AM48)</f>
        <v>0</v>
      </c>
      <c r="AS48" s="153">
        <f t="shared" si="29"/>
        <v>0</v>
      </c>
      <c r="AT48" s="154">
        <f t="shared" si="4"/>
        <v>0</v>
      </c>
      <c r="AU48" s="155">
        <f t="shared" si="24"/>
        <v>0</v>
      </c>
      <c r="AV48" s="156"/>
      <c r="AW48" s="154">
        <f t="shared" ref="AW48" si="172">IF($AK$10=2,0,AR48)</f>
        <v>0</v>
      </c>
      <c r="AX48" s="153">
        <f t="shared" si="31"/>
        <v>0</v>
      </c>
      <c r="AY48" s="154">
        <f t="shared" si="32"/>
        <v>0</v>
      </c>
      <c r="AZ48" s="155">
        <f t="shared" si="25"/>
        <v>0</v>
      </c>
      <c r="BA48" s="156"/>
      <c r="BB48" s="154">
        <f t="shared" ref="BB48" si="173">IF($AK$10=3,0,AW48)</f>
        <v>0</v>
      </c>
      <c r="BC48" s="153">
        <f t="shared" si="34"/>
        <v>0</v>
      </c>
      <c r="BD48" s="154">
        <f t="shared" si="35"/>
        <v>0</v>
      </c>
      <c r="BE48" s="155">
        <f t="shared" si="26"/>
        <v>0</v>
      </c>
      <c r="BF48" s="156"/>
      <c r="BG48" s="154">
        <f t="shared" ref="BG48" si="174">IF($AK$10=4,0,BB48)</f>
        <v>0</v>
      </c>
      <c r="BH48" s="153">
        <f t="shared" si="37"/>
        <v>0</v>
      </c>
      <c r="BI48" s="154">
        <f t="shared" si="38"/>
        <v>0</v>
      </c>
      <c r="BJ48" s="155">
        <f t="shared" si="27"/>
        <v>0</v>
      </c>
      <c r="BK48" s="157"/>
      <c r="BL48" s="157">
        <f t="shared" si="28"/>
        <v>0</v>
      </c>
    </row>
    <row r="49" spans="1:64" ht="16.5" customHeight="1" x14ac:dyDescent="0.25">
      <c r="A49" s="168" t="s">
        <v>174</v>
      </c>
      <c r="B49" s="184"/>
      <c r="D49" s="189" t="str">
        <f>((AN49*100)&amp;"%"&amp;" time, "&amp;AO49&amp;" months, "&amp;AL49)</f>
        <v>47.5% time, 9.23 months, AY</v>
      </c>
      <c r="E49" s="189"/>
      <c r="H49" s="188"/>
      <c r="I49" s="185"/>
      <c r="J49" s="291">
        <f>IF($AK$13="No", IF(AP49=0,0,($AJ49/$AK49*AP49)), ($AJ49*(1+$AK$4)/$AK49*AP49))</f>
        <v>0</v>
      </c>
      <c r="L49" s="307">
        <v>0</v>
      </c>
      <c r="N49" s="291">
        <f>IF($AK$13="No",IF(AU49=0,0,(($AJ49)*(1+$AK$4)/$AK49*AU49)),(($AJ49)*(1+$AK$4)^2/$AK49*AU49))</f>
        <v>0</v>
      </c>
      <c r="O49" s="291"/>
      <c r="P49" s="307">
        <v>0</v>
      </c>
      <c r="R49" s="291">
        <f>IF($AK$13="No",IF(AZ49=0,0,(($AJ49)*(1+$AK$4)^2/$AK49*AZ49)),(($AJ49)*(1+$AK$4)^3/$AK49*AZ49))</f>
        <v>0</v>
      </c>
      <c r="S49" s="291"/>
      <c r="T49" s="307">
        <v>0</v>
      </c>
      <c r="V49" s="291">
        <f t="shared" si="21"/>
        <v>0</v>
      </c>
      <c r="W49" s="291"/>
      <c r="X49" s="307">
        <v>0</v>
      </c>
      <c r="Z49" s="291">
        <f>IF($AK$13="No", IF(BJ49=0,0,(($AJ49)*(1+$AK$4)^4/$AK49*BJ49)), (($AJ49)*(1+$AK$4)^5/$AK49*BJ49))</f>
        <v>0</v>
      </c>
      <c r="AA49" s="291"/>
      <c r="AB49" s="307">
        <v>0</v>
      </c>
      <c r="AD49" s="291">
        <f t="shared" si="0"/>
        <v>0</v>
      </c>
      <c r="AE49" s="170"/>
      <c r="AF49" s="186">
        <f t="shared" si="1"/>
        <v>0</v>
      </c>
      <c r="AI49" s="202"/>
      <c r="AJ49" s="148">
        <v>0.01</v>
      </c>
      <c r="AK49" s="118">
        <v>12</v>
      </c>
      <c r="AL49" s="119" t="s">
        <v>81</v>
      </c>
      <c r="AM49" s="163"/>
      <c r="AN49" s="120">
        <v>0.47499999999999998</v>
      </c>
      <c r="AO49" s="121">
        <v>9.23</v>
      </c>
      <c r="AP49" s="41">
        <f>AN49*AO49</f>
        <v>4.3840000000000003</v>
      </c>
      <c r="AR49" s="164"/>
      <c r="AS49" s="120">
        <f>AN49</f>
        <v>0.47499999999999998</v>
      </c>
      <c r="AT49" s="121">
        <f t="shared" si="4"/>
        <v>0</v>
      </c>
      <c r="AU49" s="41">
        <f>AS49*AT49</f>
        <v>0</v>
      </c>
      <c r="AX49" s="120">
        <f t="shared" si="31"/>
        <v>0.47499999999999998</v>
      </c>
      <c r="AY49" s="121">
        <f t="shared" si="32"/>
        <v>0</v>
      </c>
      <c r="AZ49" s="41">
        <f>AX49*AY49</f>
        <v>0</v>
      </c>
      <c r="BC49" s="120">
        <f t="shared" si="34"/>
        <v>0.47499999999999998</v>
      </c>
      <c r="BD49" s="121">
        <f t="shared" si="35"/>
        <v>0</v>
      </c>
      <c r="BE49" s="41">
        <f>BC49*BD49</f>
        <v>0</v>
      </c>
      <c r="BH49" s="120">
        <f t="shared" si="37"/>
        <v>0.47499999999999998</v>
      </c>
      <c r="BI49" s="121">
        <f t="shared" si="38"/>
        <v>0</v>
      </c>
      <c r="BJ49" s="41">
        <f>BH49*BI49</f>
        <v>0</v>
      </c>
      <c r="BL49" s="45">
        <f>BJ49+BE49+AZ49+AU49+AP49</f>
        <v>4.38</v>
      </c>
    </row>
    <row r="50" spans="1:64" ht="16.5" customHeight="1" x14ac:dyDescent="0.25">
      <c r="A50" s="168" t="s">
        <v>175</v>
      </c>
      <c r="B50" s="184"/>
      <c r="D50" s="189" t="str">
        <f>((AN50*100)&amp;"%"&amp;" time, "&amp;AO50&amp;" months, "&amp;AL50)</f>
        <v>47.5% time, 2.77 months, Summer</v>
      </c>
      <c r="E50" s="189"/>
      <c r="H50" s="188"/>
      <c r="I50" s="185"/>
      <c r="J50" s="291">
        <f>IF($AK$13="No", IF(AP50=0,0,($AJ50/$AK50*AP50)), ($AJ50*(1+$AK$4)/$AK50*AP50))</f>
        <v>0</v>
      </c>
      <c r="L50" s="307">
        <v>0</v>
      </c>
      <c r="N50" s="291">
        <f>IF($AK$13="No",IF(AU50=0,0,(($AJ50)*(1+$AK$4)/$AK50*AU50)),(($AJ50)*(1+$AK$4)^2/$AK50*AU50))</f>
        <v>0</v>
      </c>
      <c r="O50" s="291"/>
      <c r="P50" s="307">
        <v>0</v>
      </c>
      <c r="R50" s="291">
        <f>IF($AK$13="No",IF(AZ50=0,0,(($AJ50)*(1+$AK$4)^2/$AK50*AZ50)),(($AJ50)*(1+$AK$4)^3/$AK50*AZ50))</f>
        <v>0</v>
      </c>
      <c r="S50" s="291"/>
      <c r="T50" s="307">
        <v>0</v>
      </c>
      <c r="V50" s="291">
        <f t="shared" si="21"/>
        <v>0</v>
      </c>
      <c r="W50" s="291"/>
      <c r="X50" s="307">
        <v>0</v>
      </c>
      <c r="Z50" s="291">
        <f>IF($AK$13="No", IF(BJ50=0,0,(($AJ50)*(1+$AK$4)^4/$AK50*BJ50)), (($AJ50)*(1+$AK$4)^5/$AK50*BJ50))</f>
        <v>0</v>
      </c>
      <c r="AA50" s="291"/>
      <c r="AB50" s="307">
        <v>0</v>
      </c>
      <c r="AD50" s="291">
        <f t="shared" si="0"/>
        <v>0</v>
      </c>
      <c r="AE50" s="170"/>
      <c r="AF50" s="186">
        <f t="shared" si="1"/>
        <v>0</v>
      </c>
      <c r="AI50" s="202"/>
      <c r="AJ50" s="148">
        <v>0.01</v>
      </c>
      <c r="AK50" s="118">
        <v>12</v>
      </c>
      <c r="AL50" s="119" t="s">
        <v>82</v>
      </c>
      <c r="AM50" s="163"/>
      <c r="AN50" s="120">
        <v>0.47499999999999998</v>
      </c>
      <c r="AO50" s="121">
        <v>2.77</v>
      </c>
      <c r="AP50" s="41">
        <f>AN50*AO50</f>
        <v>1.3160000000000001</v>
      </c>
      <c r="AR50" s="164"/>
      <c r="AS50" s="120">
        <f>AN50</f>
        <v>0.47499999999999998</v>
      </c>
      <c r="AT50" s="121">
        <f t="shared" si="4"/>
        <v>0</v>
      </c>
      <c r="AU50" s="41">
        <f t="shared" ref="AU50:AU59" si="175">AS50*AT50</f>
        <v>0</v>
      </c>
      <c r="AX50" s="120">
        <f t="shared" si="31"/>
        <v>0.47499999999999998</v>
      </c>
      <c r="AY50" s="121">
        <f t="shared" si="32"/>
        <v>0</v>
      </c>
      <c r="AZ50" s="41">
        <f t="shared" ref="AZ50:AZ59" si="176">AX50*AY50</f>
        <v>0</v>
      </c>
      <c r="BC50" s="120">
        <f t="shared" si="34"/>
        <v>0.47499999999999998</v>
      </c>
      <c r="BD50" s="121">
        <f t="shared" si="35"/>
        <v>0</v>
      </c>
      <c r="BE50" s="41">
        <f t="shared" ref="BE50:BE59" si="177">BC50*BD50</f>
        <v>0</v>
      </c>
      <c r="BH50" s="120">
        <f t="shared" si="37"/>
        <v>0.47499999999999998</v>
      </c>
      <c r="BI50" s="121">
        <f t="shared" si="38"/>
        <v>0</v>
      </c>
      <c r="BJ50" s="41">
        <f t="shared" ref="BJ50:BJ59" si="178">BH50*BI50</f>
        <v>0</v>
      </c>
      <c r="BL50" s="45">
        <f>BJ50+BE50+AZ50+AU50+AP50</f>
        <v>1.32</v>
      </c>
    </row>
    <row r="51" spans="1:64" x14ac:dyDescent="0.25">
      <c r="A51" s="191"/>
      <c r="C51" s="167" t="s">
        <v>49</v>
      </c>
      <c r="H51" s="188"/>
      <c r="I51" s="185"/>
      <c r="L51" s="307"/>
      <c r="O51" s="291"/>
      <c r="P51" s="307"/>
      <c r="R51" s="291"/>
      <c r="S51" s="291"/>
      <c r="T51" s="307"/>
      <c r="V51" s="291"/>
      <c r="W51" s="291"/>
      <c r="X51" s="307"/>
      <c r="Z51" s="291"/>
      <c r="AA51" s="291"/>
      <c r="AB51" s="307"/>
      <c r="AF51" s="187"/>
      <c r="AI51" s="202"/>
      <c r="AJ51" s="148"/>
      <c r="AK51" s="151"/>
      <c r="AL51" s="119"/>
      <c r="AM51" s="163"/>
      <c r="AN51" s="120"/>
      <c r="AO51" s="121"/>
      <c r="AR51" s="164"/>
      <c r="AS51" s="120"/>
      <c r="AT51" s="121"/>
      <c r="AX51" s="120"/>
      <c r="AY51" s="121"/>
      <c r="BC51" s="120"/>
      <c r="BD51" s="121"/>
      <c r="BH51" s="120"/>
      <c r="BI51" s="121"/>
      <c r="BL51" s="45"/>
    </row>
    <row r="52" spans="1:64" ht="16.5" customHeight="1" x14ac:dyDescent="0.25">
      <c r="A52" s="168" t="s">
        <v>174</v>
      </c>
      <c r="B52" s="184"/>
      <c r="D52" s="189" t="str">
        <f>((AN52*100)&amp;"%"&amp;" time, "&amp;AO52&amp;" months, "&amp;AL52)</f>
        <v>47.5% time, 9.23 months, AY</v>
      </c>
      <c r="E52" s="189"/>
      <c r="H52" s="188"/>
      <c r="I52" s="185"/>
      <c r="J52" s="291">
        <f>IF($AK$13="No", IF(AP52=0,0,($AJ52/$AK52*AP52)), ($AJ52*(1+$AK$4)/$AK52*AP52))</f>
        <v>0</v>
      </c>
      <c r="L52" s="307">
        <v>0</v>
      </c>
      <c r="N52" s="291">
        <f>IF($AK$13="No",IF(AU52=0,0,(($AJ52)*(1+$AK$4)/$AK52*AU52)),(($AJ52)*(1+$AK$4)^2/$AK52*AU52))</f>
        <v>0</v>
      </c>
      <c r="O52" s="291"/>
      <c r="P52" s="307">
        <v>0</v>
      </c>
      <c r="R52" s="291">
        <f>IF($AK$13="No",IF(AZ52=0,0,(($AJ52)*(1+$AK$4)^2/$AK52*AZ52)),(($AJ52)*(1+$AK$4)^3/$AK52*AZ52))</f>
        <v>0</v>
      </c>
      <c r="S52" s="291"/>
      <c r="T52" s="307">
        <v>0</v>
      </c>
      <c r="V52" s="291">
        <f>IF($AK$13="No",IF(BE52=0,0,(($AJ52)*(1+$AK$4)^3/$AK52*BE52)),(($AJ52)*(1+$AK$4)^4/$AK52*BE52))</f>
        <v>0</v>
      </c>
      <c r="W52" s="291"/>
      <c r="X52" s="307">
        <v>0</v>
      </c>
      <c r="Z52" s="291">
        <f>IF($AK$13="No", IF(BJ52=0,0,(($AJ52)*(1+$AK$4)^4/$AK52*BJ52)), (($AJ52)*(1+$AK$4)^5/$AK52*BJ52))</f>
        <v>0</v>
      </c>
      <c r="AA52" s="291"/>
      <c r="AB52" s="307">
        <v>0</v>
      </c>
      <c r="AD52" s="291">
        <f>J52+N52+R52+V52+Z52</f>
        <v>0</v>
      </c>
      <c r="AE52" s="170"/>
      <c r="AF52" s="186">
        <f>L52+P52+T52+X52+AB52</f>
        <v>0</v>
      </c>
      <c r="AI52" s="202"/>
      <c r="AJ52" s="148">
        <v>0</v>
      </c>
      <c r="AK52" s="118">
        <v>12</v>
      </c>
      <c r="AL52" s="119" t="s">
        <v>81</v>
      </c>
      <c r="AM52" s="163"/>
      <c r="AN52" s="120">
        <v>0.47499999999999998</v>
      </c>
      <c r="AO52" s="121">
        <v>9.23</v>
      </c>
      <c r="AP52" s="41">
        <f t="shared" ref="AP52:AP59" si="179">AN52*AO52</f>
        <v>4.3840000000000003</v>
      </c>
      <c r="AR52" s="164"/>
      <c r="AS52" s="120">
        <f>AN52</f>
        <v>0.47499999999999998</v>
      </c>
      <c r="AT52" s="121">
        <f>IF($AK$10=1,0,AO52)</f>
        <v>0</v>
      </c>
      <c r="AU52" s="41">
        <f t="shared" si="175"/>
        <v>0</v>
      </c>
      <c r="AX52" s="120">
        <f>IF($AK$10=2,0,AS52)</f>
        <v>0.47499999999999998</v>
      </c>
      <c r="AY52" s="121">
        <f>IF($AK$10=2,0,AT52)</f>
        <v>0</v>
      </c>
      <c r="AZ52" s="41">
        <f t="shared" si="176"/>
        <v>0</v>
      </c>
      <c r="BC52" s="120">
        <f>IF($AK$10=3,0,AX52)</f>
        <v>0.47499999999999998</v>
      </c>
      <c r="BD52" s="121">
        <f>IF($AK$10=3,0,AY52)</f>
        <v>0</v>
      </c>
      <c r="BE52" s="41">
        <f t="shared" si="177"/>
        <v>0</v>
      </c>
      <c r="BH52" s="120">
        <f>IF($AK$10=4,0,BC52)</f>
        <v>0.47499999999999998</v>
      </c>
      <c r="BI52" s="121">
        <f>IF($AK$10=4,0,BD52)</f>
        <v>0</v>
      </c>
      <c r="BJ52" s="41">
        <f t="shared" si="178"/>
        <v>0</v>
      </c>
      <c r="BL52" s="45">
        <f>BJ52+BE52+AZ52+AU52+AP52</f>
        <v>4.38</v>
      </c>
    </row>
    <row r="53" spans="1:64" ht="16.5" customHeight="1" x14ac:dyDescent="0.25">
      <c r="A53" s="168" t="s">
        <v>175</v>
      </c>
      <c r="B53" s="184"/>
      <c r="D53" s="189" t="str">
        <f>((AN53*100)&amp;"%"&amp;" time, "&amp;AO53&amp;" months, "&amp;AL53)</f>
        <v>47.5% time, 2.77 months, Summer</v>
      </c>
      <c r="E53" s="189"/>
      <c r="H53" s="188"/>
      <c r="I53" s="185"/>
      <c r="J53" s="291">
        <f>IF($AK$13="No", IF(AP53=0,0,($AJ53/$AK53*AP53)), ($AJ53*(1+$AK$4)/$AK53*AP53))</f>
        <v>0</v>
      </c>
      <c r="L53" s="307">
        <v>0</v>
      </c>
      <c r="N53" s="291">
        <f>IF($AK$13="No",IF(AU53=0,0,(($AJ53)*(1+$AK$4)/$AK53*AU53)),(($AJ53)*(1+$AK$4)^2/$AK53*AU53))</f>
        <v>0</v>
      </c>
      <c r="O53" s="291"/>
      <c r="P53" s="307">
        <v>0</v>
      </c>
      <c r="R53" s="291">
        <f>IF($AK$13="No",IF(AZ53=0,0,(($AJ53)*(1+$AK$4)^2/$AK53*AZ53)),(($AJ53)*(1+$AK$4)^3/$AK53*AZ53))</f>
        <v>0</v>
      </c>
      <c r="S53" s="291"/>
      <c r="T53" s="307">
        <v>0</v>
      </c>
      <c r="V53" s="291">
        <f>IF($AK$13="No",IF(BE53=0,0,(($AJ53)*(1+$AK$4)^3/$AK53*BE53)),(($AJ53)*(1+$AK$4)^4/$AK53*BE53))</f>
        <v>0</v>
      </c>
      <c r="W53" s="291"/>
      <c r="X53" s="307">
        <v>0</v>
      </c>
      <c r="Z53" s="291">
        <f>IF($AK$13="No", IF(BJ53=0,0,(($AJ53)*(1+$AK$4)^4/$AK53*BJ53)), (($AJ53)*(1+$AK$4)^5/$AK53*BJ53))</f>
        <v>0</v>
      </c>
      <c r="AA53" s="291"/>
      <c r="AB53" s="307">
        <v>0</v>
      </c>
      <c r="AD53" s="291">
        <f>J53+N53+R53+V53+Z53</f>
        <v>0</v>
      </c>
      <c r="AE53" s="170"/>
      <c r="AF53" s="186">
        <f>L53+P53+T53+X53+AB53</f>
        <v>0</v>
      </c>
      <c r="AI53" s="202"/>
      <c r="AJ53" s="148">
        <v>0</v>
      </c>
      <c r="AK53" s="118">
        <v>12</v>
      </c>
      <c r="AL53" s="119" t="s">
        <v>82</v>
      </c>
      <c r="AM53" s="163"/>
      <c r="AN53" s="120">
        <v>0.47499999999999998</v>
      </c>
      <c r="AO53" s="121">
        <v>2.77</v>
      </c>
      <c r="AP53" s="41">
        <f t="shared" si="179"/>
        <v>1.3160000000000001</v>
      </c>
      <c r="AR53" s="164"/>
      <c r="AS53" s="120">
        <f>AN53</f>
        <v>0.47499999999999998</v>
      </c>
      <c r="AT53" s="121">
        <f>IF($AK$10=1,0,AO53)</f>
        <v>0</v>
      </c>
      <c r="AU53" s="41">
        <f t="shared" si="175"/>
        <v>0</v>
      </c>
      <c r="AX53" s="120">
        <f>IF($AK$10=2,0,AS53)</f>
        <v>0.47499999999999998</v>
      </c>
      <c r="AY53" s="121">
        <f>IF($AK$10=2,0,AT53)</f>
        <v>0</v>
      </c>
      <c r="AZ53" s="41">
        <f t="shared" si="176"/>
        <v>0</v>
      </c>
      <c r="BC53" s="120">
        <f>IF($AK$10=3,0,AX53)</f>
        <v>0.47499999999999998</v>
      </c>
      <c r="BD53" s="121">
        <f>IF($AK$10=3,0,AY53)</f>
        <v>0</v>
      </c>
      <c r="BE53" s="41">
        <f t="shared" si="177"/>
        <v>0</v>
      </c>
      <c r="BH53" s="120">
        <f>IF($AK$10=4,0,BC53)</f>
        <v>0.47499999999999998</v>
      </c>
      <c r="BI53" s="121">
        <f>IF($AK$10=4,0,BD53)</f>
        <v>0</v>
      </c>
      <c r="BJ53" s="41">
        <f t="shared" si="178"/>
        <v>0</v>
      </c>
      <c r="BL53" s="45">
        <f>BJ53+BE53+AZ53+AU53+AP53</f>
        <v>1.32</v>
      </c>
    </row>
    <row r="54" spans="1:64" ht="16.5" customHeight="1" x14ac:dyDescent="0.25">
      <c r="A54" s="191"/>
      <c r="B54" s="184"/>
      <c r="C54" s="167" t="s">
        <v>49</v>
      </c>
      <c r="H54" s="188"/>
      <c r="I54" s="185"/>
      <c r="L54" s="307"/>
      <c r="O54" s="291"/>
      <c r="P54" s="307"/>
      <c r="R54" s="291"/>
      <c r="S54" s="291"/>
      <c r="T54" s="307"/>
      <c r="V54" s="291"/>
      <c r="W54" s="291"/>
      <c r="X54" s="307"/>
      <c r="Z54" s="291"/>
      <c r="AA54" s="291"/>
      <c r="AB54" s="307"/>
      <c r="AE54" s="170"/>
      <c r="AF54" s="186"/>
      <c r="AI54" s="202"/>
      <c r="AJ54" s="148"/>
      <c r="AK54" s="151"/>
      <c r="AL54" s="119"/>
      <c r="AM54" s="163"/>
      <c r="AN54" s="120"/>
      <c r="AO54" s="121"/>
      <c r="AR54" s="164"/>
      <c r="AS54" s="120"/>
      <c r="AT54" s="121"/>
      <c r="AX54" s="120"/>
      <c r="AY54" s="121"/>
      <c r="BC54" s="120"/>
      <c r="BD54" s="121"/>
      <c r="BH54" s="120"/>
      <c r="BI54" s="121"/>
    </row>
    <row r="55" spans="1:64" ht="16.5" customHeight="1" x14ac:dyDescent="0.25">
      <c r="A55" s="168" t="s">
        <v>174</v>
      </c>
      <c r="B55" s="184"/>
      <c r="D55" s="189" t="str">
        <f>((AN55*100)&amp;"%"&amp;" time, "&amp;AO55&amp;" months, "&amp;AL55)</f>
        <v>47.5% time, 9.23 months, AY</v>
      </c>
      <c r="E55" s="189"/>
      <c r="H55" s="188"/>
      <c r="I55" s="185"/>
      <c r="J55" s="291">
        <f>IF($AK$13="No", IF(AP55=0,0,($AJ55/$AK55*AP55)), ($AJ55*(1+$AK$4)/$AK55*AP55))</f>
        <v>0</v>
      </c>
      <c r="L55" s="307">
        <v>0</v>
      </c>
      <c r="N55" s="291">
        <f>IF($AK$13="No",IF(AU55=0,0,(($AJ55)*(1+$AK$4)/$AK55*AU55)),(($AJ55)*(1+$AK$4)^2/$AK55*AU55))</f>
        <v>0</v>
      </c>
      <c r="O55" s="291"/>
      <c r="P55" s="307">
        <v>0</v>
      </c>
      <c r="R55" s="291">
        <f>IF($AK$13="No",IF(AZ55=0,0,(($AJ55)*(1+$AK$4)^2/$AK55*AZ55)),(($AJ55)*(1+$AK$4)^3/$AK55*AZ55))</f>
        <v>0</v>
      </c>
      <c r="S55" s="291"/>
      <c r="T55" s="307">
        <v>0</v>
      </c>
      <c r="V55" s="291">
        <f>IF($AK$13="No",IF(BE55=0,0,(($AJ55)*(1+$AK$4)^3/$AK55*BE55)),(($AJ55)*(1+$AK$4)^4/$AK55*BE55))</f>
        <v>0</v>
      </c>
      <c r="W55" s="291"/>
      <c r="X55" s="307">
        <v>0</v>
      </c>
      <c r="Z55" s="291">
        <f>IF($AK$13="No", IF(BJ55=0,0,(($AJ55)*(1+$AK$4)^4/$AK55*BJ55)), (($AJ55)*(1+$AK$4)^5/$AK55*BJ55))</f>
        <v>0</v>
      </c>
      <c r="AA55" s="291"/>
      <c r="AB55" s="307">
        <v>0</v>
      </c>
      <c r="AD55" s="291">
        <f>J55+N55+R55+V55+Z55</f>
        <v>0</v>
      </c>
      <c r="AE55" s="170"/>
      <c r="AF55" s="186">
        <f>L55+P55+T55+X55+AB55</f>
        <v>0</v>
      </c>
      <c r="AI55" s="202"/>
      <c r="AJ55" s="148">
        <v>0.01</v>
      </c>
      <c r="AK55" s="118">
        <v>12</v>
      </c>
      <c r="AL55" s="119" t="s">
        <v>81</v>
      </c>
      <c r="AM55" s="163"/>
      <c r="AN55" s="120">
        <v>0.47499999999999998</v>
      </c>
      <c r="AO55" s="121">
        <v>9.23</v>
      </c>
      <c r="AP55" s="41">
        <f t="shared" si="179"/>
        <v>4.3840000000000003</v>
      </c>
      <c r="AR55" s="164"/>
      <c r="AS55" s="120">
        <f>AN55</f>
        <v>0.47499999999999998</v>
      </c>
      <c r="AT55" s="121">
        <f>IF($AK$10=1,0,AO55)</f>
        <v>0</v>
      </c>
      <c r="AU55" s="41">
        <f t="shared" si="175"/>
        <v>0</v>
      </c>
      <c r="AX55" s="120">
        <f>IF($AK$10=2,0,AS55)</f>
        <v>0.47499999999999998</v>
      </c>
      <c r="AY55" s="121">
        <f>IF($AK$10=2,0,AT55)</f>
        <v>0</v>
      </c>
      <c r="AZ55" s="41">
        <f t="shared" si="176"/>
        <v>0</v>
      </c>
      <c r="BC55" s="120">
        <f>IF($AK$10=3,0,AX55)</f>
        <v>0.47499999999999998</v>
      </c>
      <c r="BD55" s="121">
        <f>IF($AK$10=3,0,AY55)</f>
        <v>0</v>
      </c>
      <c r="BE55" s="41">
        <f t="shared" si="177"/>
        <v>0</v>
      </c>
      <c r="BH55" s="120">
        <f>IF($AK$10=4,0,BC55)</f>
        <v>0.47499999999999998</v>
      </c>
      <c r="BI55" s="121">
        <f>IF($AK$10=4,0,BD55)</f>
        <v>0</v>
      </c>
      <c r="BJ55" s="41">
        <f t="shared" si="178"/>
        <v>0</v>
      </c>
      <c r="BL55" s="45">
        <f>BJ55+BE55+AZ55+AU55+AP55</f>
        <v>4.38</v>
      </c>
    </row>
    <row r="56" spans="1:64" ht="16.5" customHeight="1" x14ac:dyDescent="0.25">
      <c r="A56" s="168" t="s">
        <v>175</v>
      </c>
      <c r="B56" s="184"/>
      <c r="D56" s="189" t="str">
        <f>((AN56*100)&amp;"%"&amp;" time, "&amp;AO56&amp;" months, "&amp;AL56)</f>
        <v>47.5% time, 2.77 months, Summer</v>
      </c>
      <c r="E56" s="189"/>
      <c r="H56" s="188"/>
      <c r="I56" s="185"/>
      <c r="J56" s="291">
        <f>IF($AK$13="No", IF(AP56=0,0,($AJ56/$AK56*AP56)), ($AJ56*(1+$AK$4)/$AK56*AP56))</f>
        <v>0</v>
      </c>
      <c r="L56" s="307">
        <v>0</v>
      </c>
      <c r="N56" s="291">
        <f>IF($AK$13="No",IF(AU56=0,0,(($AJ56)*(1+$AK$4)/$AK56*AU56)),(($AJ56)*(1+$AK$4)^2/$AK56*AU56))</f>
        <v>0</v>
      </c>
      <c r="O56" s="291"/>
      <c r="P56" s="307">
        <v>0</v>
      </c>
      <c r="R56" s="291">
        <f>IF($AK$13="No",IF(AZ56=0,0,(($AJ56)*(1+$AK$4)^2/$AK56*AZ56)),(($AJ56)*(1+$AK$4)^3/$AK56*AZ56))</f>
        <v>0</v>
      </c>
      <c r="S56" s="291"/>
      <c r="T56" s="307">
        <v>0</v>
      </c>
      <c r="V56" s="291">
        <f>IF($AK$13="No",IF(BE56=0,0,(($AJ56)*(1+$AK$4)^3/$AK56*BE56)),(($AJ56)*(1+$AK$4)^4/$AK56*BE56))</f>
        <v>0</v>
      </c>
      <c r="W56" s="291"/>
      <c r="X56" s="307">
        <v>0</v>
      </c>
      <c r="Z56" s="291">
        <f>IF($AK$13="No", IF(BJ56=0,0,(($AJ56)*(1+$AK$4)^4/$AK56*BJ56)), (($AJ56)*(1+$AK$4)^5/$AK56*BJ56))</f>
        <v>0</v>
      </c>
      <c r="AA56" s="291"/>
      <c r="AB56" s="307">
        <v>0</v>
      </c>
      <c r="AD56" s="291">
        <f>J56+N56+R56+V56+Z56</f>
        <v>0</v>
      </c>
      <c r="AE56" s="170"/>
      <c r="AF56" s="186">
        <f>L56+P56+T56+X56+AB56</f>
        <v>0</v>
      </c>
      <c r="AI56" s="202"/>
      <c r="AJ56" s="148">
        <v>0.01</v>
      </c>
      <c r="AK56" s="118">
        <v>12</v>
      </c>
      <c r="AL56" s="119" t="s">
        <v>82</v>
      </c>
      <c r="AM56" s="163"/>
      <c r="AN56" s="120">
        <v>0.47499999999999998</v>
      </c>
      <c r="AO56" s="121">
        <v>2.77</v>
      </c>
      <c r="AP56" s="41">
        <f t="shared" si="179"/>
        <v>1.3160000000000001</v>
      </c>
      <c r="AR56" s="164"/>
      <c r="AS56" s="120">
        <f>AN56</f>
        <v>0.47499999999999998</v>
      </c>
      <c r="AT56" s="121">
        <f>IF($AK$10=1,0,AO56)</f>
        <v>0</v>
      </c>
      <c r="AU56" s="41">
        <f t="shared" si="175"/>
        <v>0</v>
      </c>
      <c r="AX56" s="120">
        <f>IF($AK$10=2,0,AS56)</f>
        <v>0.47499999999999998</v>
      </c>
      <c r="AY56" s="121">
        <f>IF($AK$10=2,0,AT56)</f>
        <v>0</v>
      </c>
      <c r="AZ56" s="41">
        <f t="shared" si="176"/>
        <v>0</v>
      </c>
      <c r="BC56" s="120">
        <f>IF($AK$10=3,0,AX56)</f>
        <v>0.47499999999999998</v>
      </c>
      <c r="BD56" s="121">
        <f>IF($AK$10=3,0,AY56)</f>
        <v>0</v>
      </c>
      <c r="BE56" s="41">
        <f t="shared" si="177"/>
        <v>0</v>
      </c>
      <c r="BH56" s="120">
        <f>IF($AK$10=4,0,BC56)</f>
        <v>0.47499999999999998</v>
      </c>
      <c r="BI56" s="121">
        <f>IF($AK$10=4,0,BD56)</f>
        <v>0</v>
      </c>
      <c r="BJ56" s="41">
        <f t="shared" si="178"/>
        <v>0</v>
      </c>
      <c r="BL56" s="45">
        <f>BJ56+BE56+AZ56+AU56+AP56</f>
        <v>1.32</v>
      </c>
    </row>
    <row r="57" spans="1:64" x14ac:dyDescent="0.25">
      <c r="A57" s="191"/>
      <c r="C57" s="167" t="s">
        <v>49</v>
      </c>
      <c r="H57" s="188"/>
      <c r="I57" s="185"/>
      <c r="L57" s="307"/>
      <c r="O57" s="291"/>
      <c r="P57" s="307"/>
      <c r="R57" s="291"/>
      <c r="S57" s="291"/>
      <c r="T57" s="307"/>
      <c r="V57" s="291"/>
      <c r="W57" s="291"/>
      <c r="X57" s="307"/>
      <c r="Z57" s="291"/>
      <c r="AA57" s="291"/>
      <c r="AB57" s="307"/>
      <c r="AF57" s="187"/>
      <c r="AI57" s="202"/>
      <c r="AJ57" s="148"/>
      <c r="AK57" s="151"/>
      <c r="AL57" s="119"/>
      <c r="AM57" s="163"/>
      <c r="AN57" s="120"/>
      <c r="AO57" s="121"/>
      <c r="AP57" s="41">
        <f t="shared" si="179"/>
        <v>0</v>
      </c>
      <c r="AR57" s="164"/>
      <c r="AS57" s="120"/>
      <c r="AT57" s="121"/>
      <c r="AX57" s="120"/>
      <c r="AY57" s="121"/>
      <c r="BC57" s="120"/>
      <c r="BD57" s="121"/>
      <c r="BH57" s="120"/>
      <c r="BI57" s="121"/>
      <c r="BL57" s="45"/>
    </row>
    <row r="58" spans="1:64" ht="16.5" customHeight="1" x14ac:dyDescent="0.25">
      <c r="A58" s="168" t="s">
        <v>174</v>
      </c>
      <c r="B58" s="184"/>
      <c r="D58" s="189" t="str">
        <f>((AN58*100)&amp;"%"&amp;" time, "&amp;AO58&amp;" months, "&amp;AL58)</f>
        <v>47.5% time, 9.23 months, AY</v>
      </c>
      <c r="E58" s="189"/>
      <c r="H58" s="188"/>
      <c r="I58" s="185"/>
      <c r="J58" s="291">
        <f>IF($AK$13="No", IF(AP58=0,0,($AJ58/$AK58*AP58)), ($AJ58*(1+$AK$4)/$AK58*AP58))</f>
        <v>0</v>
      </c>
      <c r="L58" s="307">
        <v>0</v>
      </c>
      <c r="N58" s="291">
        <f>IF($AK$13="No",IF(AU58=0,0,(($AJ58)*(1+$AK$4)/$AK58*AU58)),(($AJ58)*(1+$AK$4)^2/$AK58*AU58))</f>
        <v>0</v>
      </c>
      <c r="O58" s="291"/>
      <c r="P58" s="307">
        <v>0</v>
      </c>
      <c r="R58" s="291">
        <f>IF($AK$13="No",IF(AZ58=0,0,(($AJ58)*(1+$AK$4)^2/$AK58*AZ58)),(($AJ58)*(1+$AK$4)^3/$AK58*AZ58))</f>
        <v>0</v>
      </c>
      <c r="S58" s="291"/>
      <c r="T58" s="307">
        <v>0</v>
      </c>
      <c r="V58" s="291">
        <f>IF($AK$13="No",IF(BE58=0,0,(($AJ58)*(1+$AK$4)^3/$AK58*BE58)),(($AJ58)*(1+$AK$4)^4/$AK58*BE58))</f>
        <v>0</v>
      </c>
      <c r="W58" s="291"/>
      <c r="X58" s="307">
        <v>0</v>
      </c>
      <c r="Z58" s="291">
        <f>IF($AK$13="No", IF(BJ58=0,0,(($AJ58)*(1+$AK$4)^4/$AK58*BJ58)), (($AJ58)*(1+$AK$4)^5/$AK58*BJ58))</f>
        <v>0</v>
      </c>
      <c r="AA58" s="291"/>
      <c r="AB58" s="307">
        <v>0</v>
      </c>
      <c r="AD58" s="291">
        <f>J58+N58+R58+V58+Z58</f>
        <v>0</v>
      </c>
      <c r="AE58" s="170"/>
      <c r="AF58" s="186">
        <f>L58+P58+T58+X58+AB58</f>
        <v>0</v>
      </c>
      <c r="AI58" s="202"/>
      <c r="AJ58" s="148">
        <v>0.01</v>
      </c>
      <c r="AK58" s="118">
        <v>12</v>
      </c>
      <c r="AL58" s="119" t="s">
        <v>81</v>
      </c>
      <c r="AM58" s="163"/>
      <c r="AN58" s="120">
        <v>0.47499999999999998</v>
      </c>
      <c r="AO58" s="121">
        <v>9.23</v>
      </c>
      <c r="AP58" s="41">
        <f t="shared" si="179"/>
        <v>4.3840000000000003</v>
      </c>
      <c r="AR58" s="164"/>
      <c r="AS58" s="120">
        <f>AN58</f>
        <v>0.47499999999999998</v>
      </c>
      <c r="AT58" s="121">
        <f>IF($AK$10=1,0,AO58)</f>
        <v>0</v>
      </c>
      <c r="AU58" s="41">
        <f t="shared" si="175"/>
        <v>0</v>
      </c>
      <c r="AX58" s="120">
        <f>IF($AK$10=2,0,AS58)</f>
        <v>0.47499999999999998</v>
      </c>
      <c r="AY58" s="121">
        <f>IF($AK$10=2,0,AT58)</f>
        <v>0</v>
      </c>
      <c r="AZ58" s="41">
        <f t="shared" si="176"/>
        <v>0</v>
      </c>
      <c r="BC58" s="120">
        <f>IF($AK$10=3,0,AX58)</f>
        <v>0.47499999999999998</v>
      </c>
      <c r="BD58" s="121">
        <f>IF($AK$10=3,0,AY58)</f>
        <v>0</v>
      </c>
      <c r="BE58" s="41">
        <f t="shared" si="177"/>
        <v>0</v>
      </c>
      <c r="BH58" s="120">
        <f>IF($AK$10=4,0,BC58)</f>
        <v>0.47499999999999998</v>
      </c>
      <c r="BI58" s="121">
        <f>IF($AK$10=4,0,BD58)</f>
        <v>0</v>
      </c>
      <c r="BJ58" s="41">
        <f t="shared" si="178"/>
        <v>0</v>
      </c>
      <c r="BL58" s="45">
        <f>BJ58+BE58+AZ58+AU58+AP58</f>
        <v>4.38</v>
      </c>
    </row>
    <row r="59" spans="1:64" ht="16.5" customHeight="1" x14ac:dyDescent="0.25">
      <c r="A59" s="168" t="s">
        <v>175</v>
      </c>
      <c r="B59" s="184"/>
      <c r="D59" s="189" t="str">
        <f>((AN59*100)&amp;"%"&amp;" time, "&amp;AO59&amp;" months, "&amp;"Summer")</f>
        <v>47.5% time, 2.77 months, Summer</v>
      </c>
      <c r="E59" s="189"/>
      <c r="H59" s="188"/>
      <c r="I59" s="185"/>
      <c r="J59" s="291">
        <f>IF($AK$13="No", IF(AP59=0,0,($AJ59/$AK59*AP59)), ($AJ59*(1+$AK$4)/$AK59*AP59))</f>
        <v>0</v>
      </c>
      <c r="L59" s="307">
        <v>0</v>
      </c>
      <c r="N59" s="291">
        <f>IF($AK$13="No",IF(AU59=0,0,(($AJ59)*(1+$AK$4)/$AK59*AU59)),(($AJ59)*(1+$AK$4)^2/$AK59*AU59))</f>
        <v>0</v>
      </c>
      <c r="O59" s="291"/>
      <c r="P59" s="307">
        <v>0</v>
      </c>
      <c r="R59" s="291">
        <f>IF($AK$13="No",IF(AZ59=0,0,(($AJ59)*(1+$AK$4)^2/$AK59*AZ59)),(($AJ59)*(1+$AK$4)^3/$AK59*AZ59))</f>
        <v>0</v>
      </c>
      <c r="S59" s="291"/>
      <c r="T59" s="307">
        <v>0</v>
      </c>
      <c r="V59" s="291">
        <f>IF($AK$13="No",IF(BE59=0,0,(($AJ59)*(1+$AK$4)^3/$AK59*BE59)),(($AJ59)*(1+$AK$4)^4/$AK59*BE59))</f>
        <v>0</v>
      </c>
      <c r="W59" s="291"/>
      <c r="X59" s="307">
        <v>0</v>
      </c>
      <c r="Z59" s="291">
        <f>IF($AK$13="No", IF(BJ59=0,0,(($AJ59)*(1+$AK$4)^4/$AK59*BJ59)), (($AJ59)*(1+$AK$4)^5/$AK59*BJ59))</f>
        <v>0</v>
      </c>
      <c r="AA59" s="291"/>
      <c r="AB59" s="307">
        <v>0</v>
      </c>
      <c r="AD59" s="291">
        <f>J59+N59+R59+V59+Z59</f>
        <v>0</v>
      </c>
      <c r="AE59" s="170"/>
      <c r="AF59" s="186">
        <f>L59+P59+T59+X59+AB59</f>
        <v>0</v>
      </c>
      <c r="AH59" s="81"/>
      <c r="AI59" s="202"/>
      <c r="AJ59" s="148">
        <v>0.01</v>
      </c>
      <c r="AK59" s="118">
        <v>12</v>
      </c>
      <c r="AL59" s="119" t="s">
        <v>82</v>
      </c>
      <c r="AM59" s="163"/>
      <c r="AN59" s="120">
        <v>0.47499999999999998</v>
      </c>
      <c r="AO59" s="121">
        <v>2.77</v>
      </c>
      <c r="AP59" s="41">
        <f t="shared" si="179"/>
        <v>1.3160000000000001</v>
      </c>
      <c r="AR59" s="164"/>
      <c r="AS59" s="120">
        <f>AN59</f>
        <v>0.47499999999999998</v>
      </c>
      <c r="AT59" s="121">
        <f>IF($AK$10=1,0,AO59)</f>
        <v>0</v>
      </c>
      <c r="AU59" s="41">
        <f t="shared" si="175"/>
        <v>0</v>
      </c>
      <c r="AX59" s="120">
        <f>IF($AK$10=2,0,AS59)</f>
        <v>0.47499999999999998</v>
      </c>
      <c r="AY59" s="121">
        <f>IF($AK$10=2,0,AT59)</f>
        <v>0</v>
      </c>
      <c r="AZ59" s="41">
        <f t="shared" si="176"/>
        <v>0</v>
      </c>
      <c r="BC59" s="120">
        <f>IF($AK$10=3,0,AX59)</f>
        <v>0.47499999999999998</v>
      </c>
      <c r="BD59" s="121">
        <f>IF($AK$10=3,0,AY59)</f>
        <v>0</v>
      </c>
      <c r="BE59" s="41">
        <f t="shared" si="177"/>
        <v>0</v>
      </c>
      <c r="BH59" s="120">
        <f>IF($AK$10=4,0,BC59)</f>
        <v>0.47499999999999998</v>
      </c>
      <c r="BI59" s="121">
        <f>IF($AK$10=4,0,BD59)</f>
        <v>0</v>
      </c>
      <c r="BJ59" s="41">
        <f t="shared" si="178"/>
        <v>0</v>
      </c>
      <c r="BL59" s="45">
        <f>BJ59+BE59+AZ59+AU59+AP59</f>
        <v>1.32</v>
      </c>
    </row>
    <row r="60" spans="1:64" ht="16.5" customHeight="1" x14ac:dyDescent="0.25">
      <c r="A60" s="168"/>
      <c r="B60" s="184"/>
      <c r="C60" s="357" t="s">
        <v>371</v>
      </c>
      <c r="D60" s="357"/>
      <c r="F60" s="372"/>
      <c r="G60" s="372"/>
      <c r="H60" s="188"/>
      <c r="I60" s="185"/>
      <c r="L60" s="307"/>
      <c r="O60" s="291"/>
      <c r="P60" s="307"/>
      <c r="R60" s="291"/>
      <c r="S60" s="291"/>
      <c r="T60" s="307"/>
      <c r="V60" s="291"/>
      <c r="W60" s="291"/>
      <c r="X60" s="307"/>
      <c r="Z60" s="291"/>
      <c r="AA60" s="291"/>
      <c r="AB60" s="307"/>
      <c r="AE60" s="170"/>
      <c r="AF60" s="186"/>
      <c r="AH60" s="81"/>
      <c r="AI60" s="202"/>
      <c r="AJ60" s="148"/>
      <c r="AK60" s="118"/>
      <c r="AL60" s="119"/>
      <c r="AM60" s="163"/>
      <c r="AN60" s="120"/>
      <c r="AO60" s="121"/>
      <c r="AR60" s="164"/>
      <c r="AS60" s="120"/>
      <c r="AT60" s="121"/>
      <c r="AX60" s="120"/>
      <c r="AY60" s="121"/>
      <c r="BC60" s="120"/>
      <c r="BD60" s="121"/>
      <c r="BH60" s="120"/>
      <c r="BI60" s="121"/>
      <c r="BL60" s="45"/>
    </row>
    <row r="61" spans="1:64" ht="16.5" customHeight="1" x14ac:dyDescent="0.25">
      <c r="A61" s="373" t="s">
        <v>174</v>
      </c>
      <c r="B61" s="184"/>
      <c r="C61" s="357"/>
      <c r="D61" s="338" t="s">
        <v>348</v>
      </c>
      <c r="E61" s="189"/>
      <c r="F61" s="384" t="s">
        <v>373</v>
      </c>
      <c r="G61" s="384"/>
      <c r="H61" s="188"/>
      <c r="I61" s="185"/>
      <c r="J61" s="368">
        <v>0</v>
      </c>
      <c r="K61" s="368"/>
      <c r="L61" s="368">
        <f t="shared" ref="L61:X61" si="180">SUM(H61*I61*I339)</f>
        <v>0</v>
      </c>
      <c r="M61" s="368">
        <f t="shared" si="180"/>
        <v>0</v>
      </c>
      <c r="N61" s="368">
        <v>0</v>
      </c>
      <c r="O61" s="368">
        <f t="shared" si="180"/>
        <v>0</v>
      </c>
      <c r="P61" s="368">
        <f t="shared" si="180"/>
        <v>0</v>
      </c>
      <c r="Q61" s="368"/>
      <c r="R61" s="368">
        <v>0</v>
      </c>
      <c r="S61" s="368">
        <f t="shared" si="180"/>
        <v>0</v>
      </c>
      <c r="T61" s="368">
        <f t="shared" si="180"/>
        <v>0</v>
      </c>
      <c r="U61" s="368"/>
      <c r="V61" s="368">
        <v>0</v>
      </c>
      <c r="W61" s="368">
        <f t="shared" si="180"/>
        <v>0</v>
      </c>
      <c r="X61" s="368">
        <f t="shared" si="180"/>
        <v>0</v>
      </c>
      <c r="Y61" s="368"/>
      <c r="Z61" s="368">
        <v>0</v>
      </c>
      <c r="AA61" s="368"/>
      <c r="AB61" s="368"/>
      <c r="AC61" s="369"/>
      <c r="AD61" s="368">
        <f>J61+N61+R61+V61+Z61</f>
        <v>0</v>
      </c>
      <c r="AE61" s="170"/>
      <c r="AF61" s="186"/>
      <c r="AH61" s="81"/>
      <c r="AI61" s="202"/>
      <c r="AJ61" s="148"/>
      <c r="AK61" s="118"/>
      <c r="AL61" s="119"/>
      <c r="AM61" s="163"/>
      <c r="AN61" s="120"/>
      <c r="AO61" s="121"/>
      <c r="AR61" s="164"/>
      <c r="AS61" s="120"/>
      <c r="AT61" s="121"/>
      <c r="AX61" s="120"/>
      <c r="AY61" s="121"/>
      <c r="BC61" s="120"/>
      <c r="BD61" s="121"/>
      <c r="BH61" s="120"/>
      <c r="BI61" s="121"/>
      <c r="BL61" s="45"/>
    </row>
    <row r="62" spans="1:64" ht="16.5" customHeight="1" x14ac:dyDescent="0.25">
      <c r="A62" s="168"/>
      <c r="B62" s="184"/>
      <c r="C62" s="167" t="s">
        <v>50</v>
      </c>
      <c r="D62" s="189"/>
      <c r="H62" s="188"/>
      <c r="I62" s="185"/>
      <c r="L62" s="307"/>
      <c r="P62" s="307"/>
      <c r="R62" s="291"/>
      <c r="T62" s="307"/>
      <c r="V62" s="291"/>
      <c r="X62" s="307"/>
      <c r="Z62" s="291"/>
      <c r="AB62" s="307"/>
      <c r="AE62" s="170"/>
      <c r="AF62" s="186"/>
      <c r="AI62" s="202"/>
      <c r="AJ62" s="117" t="s">
        <v>172</v>
      </c>
      <c r="AK62" s="118"/>
      <c r="AL62" s="119"/>
      <c r="AM62" s="163"/>
      <c r="AN62" s="158" t="s">
        <v>173</v>
      </c>
      <c r="AO62" s="121"/>
      <c r="AR62" s="164"/>
      <c r="AS62" s="120"/>
      <c r="AT62" s="121"/>
      <c r="AX62" s="120"/>
      <c r="AY62" s="121"/>
      <c r="BC62" s="120"/>
      <c r="BD62" s="121"/>
      <c r="BH62" s="120"/>
      <c r="BI62" s="121"/>
    </row>
    <row r="63" spans="1:64" ht="17.25" customHeight="1" x14ac:dyDescent="0.25">
      <c r="A63" s="168" t="s">
        <v>165</v>
      </c>
      <c r="B63" s="184"/>
      <c r="D63" s="189" t="str">
        <f>("$"&amp;(AJ63)&amp;"/"&amp;"hour, "&amp;AN63&amp;" hours, " &amp;AL63)</f>
        <v>$0.01/hour, 0 hours, AY</v>
      </c>
      <c r="E63" s="189"/>
      <c r="H63" s="188"/>
      <c r="I63" s="185"/>
      <c r="J63" s="291">
        <f>IF($AK$13="No", AP63, (AP63)*(1+$AK$4))</f>
        <v>0</v>
      </c>
      <c r="L63" s="307">
        <v>0</v>
      </c>
      <c r="N63" s="291">
        <f>IF($AK$13="No",AU63*(1+$AK$4), AU63*(1+$AK$4)^2)</f>
        <v>0</v>
      </c>
      <c r="P63" s="307">
        <v>0</v>
      </c>
      <c r="R63" s="291">
        <f>IF($AK$13="No",AZ63*(1+$AK$4)^2,AZ63*(1+$AK$4)^3)</f>
        <v>0</v>
      </c>
      <c r="T63" s="307">
        <v>0</v>
      </c>
      <c r="V63" s="291">
        <f>IF($AK$13="No",BE63*(1+$AK$4)^3,(BE63*(1+$AK$4)^4))</f>
        <v>0</v>
      </c>
      <c r="X63" s="307">
        <v>0</v>
      </c>
      <c r="Z63" s="291">
        <f>IF($AK$13="No", BJ63*(1+$AK$4)^4, BJ63*(1+$AK$4)^5)</f>
        <v>0</v>
      </c>
      <c r="AB63" s="307">
        <v>0</v>
      </c>
      <c r="AD63" s="291">
        <f>J63+N63+R63+V63+Z63</f>
        <v>0</v>
      </c>
      <c r="AE63" s="170"/>
      <c r="AF63" s="186">
        <f>L63+P63+T63+X63+AB63</f>
        <v>0</v>
      </c>
      <c r="AI63" s="202"/>
      <c r="AJ63" s="148">
        <v>0.01</v>
      </c>
      <c r="AK63" s="118"/>
      <c r="AL63" s="119" t="s">
        <v>81</v>
      </c>
      <c r="AM63" s="163"/>
      <c r="AN63" s="149">
        <v>0</v>
      </c>
      <c r="AO63" s="121"/>
      <c r="AP63" s="41">
        <f>AJ63*AN63</f>
        <v>0</v>
      </c>
      <c r="AR63" s="164"/>
      <c r="AS63" s="149">
        <f>IF($AK$10=1,0,AN63)</f>
        <v>0</v>
      </c>
      <c r="AT63" s="121"/>
      <c r="AU63" s="41">
        <f>AJ63*AS63</f>
        <v>0</v>
      </c>
      <c r="AX63" s="149">
        <f>IF($AK$10=2,0,AS63)</f>
        <v>0</v>
      </c>
      <c r="AY63" s="121"/>
      <c r="AZ63" s="41">
        <f>AJ63*AX63</f>
        <v>0</v>
      </c>
      <c r="BC63" s="149">
        <f>IF($AK$10=3,0,AX63)</f>
        <v>0</v>
      </c>
      <c r="BD63" s="121"/>
      <c r="BE63" s="41">
        <f>AJ63*BC63</f>
        <v>0</v>
      </c>
      <c r="BH63" s="149">
        <f>IF($AK$10=4,0,BC63)</f>
        <v>0</v>
      </c>
      <c r="BI63" s="121"/>
      <c r="BJ63" s="41">
        <f>AJ63*BH63</f>
        <v>0</v>
      </c>
      <c r="BL63" s="45">
        <f>BJ63+BE63+AZ63+AU63+AP63</f>
        <v>0</v>
      </c>
    </row>
    <row r="64" spans="1:64" ht="17.25" customHeight="1" x14ac:dyDescent="0.25">
      <c r="A64" s="168" t="s">
        <v>164</v>
      </c>
      <c r="B64" s="184"/>
      <c r="D64" s="189" t="str">
        <f>("$"&amp;(AJ64)&amp;"/"&amp;"hour, "&amp;AN64&amp;" hours, " &amp;AL64)</f>
        <v>$0.01/hour, 0 hours, Summer</v>
      </c>
      <c r="E64" s="189"/>
      <c r="H64" s="188"/>
      <c r="I64" s="185"/>
      <c r="J64" s="291">
        <f>IF($AK$13="No", AP64, (AP64)*(1+$AK$4))</f>
        <v>0</v>
      </c>
      <c r="L64" s="307">
        <v>0</v>
      </c>
      <c r="N64" s="291">
        <f>IF($AK$13="No",AU64*(1+$AK$4), AU64*(1+$AK$4)^2)</f>
        <v>0</v>
      </c>
      <c r="P64" s="307">
        <v>0</v>
      </c>
      <c r="R64" s="291">
        <f>IF($AK$13="No",AZ64*(1+$AK$4)^2,AZ64*(1+$AK$4)^3)</f>
        <v>0</v>
      </c>
      <c r="T64" s="307">
        <v>0</v>
      </c>
      <c r="V64" s="291">
        <f>IF($AK$13="No",BE64*(1+$AK$4)^3,(BE64*(1+$AK$4)^4))</f>
        <v>0</v>
      </c>
      <c r="X64" s="307">
        <v>0</v>
      </c>
      <c r="Z64" s="291">
        <f>IF($AK$13="No", BJ64*(1+$AK$4)^4, BJ64*(1+$AK$4)^5)</f>
        <v>0</v>
      </c>
      <c r="AB64" s="307">
        <v>0</v>
      </c>
      <c r="AD64" s="291">
        <f>J64+N64+R64+V64+Z64</f>
        <v>0</v>
      </c>
      <c r="AE64" s="170"/>
      <c r="AF64" s="186">
        <f>L64+P64+T64+X64+AB64</f>
        <v>0</v>
      </c>
      <c r="AI64" s="202"/>
      <c r="AJ64" s="148">
        <v>0.01</v>
      </c>
      <c r="AK64" s="118"/>
      <c r="AL64" s="119" t="s">
        <v>82</v>
      </c>
      <c r="AM64" s="163"/>
      <c r="AN64" s="149">
        <v>0</v>
      </c>
      <c r="AO64" s="121"/>
      <c r="AP64" s="41">
        <f>AJ64*AN64</f>
        <v>0</v>
      </c>
      <c r="AR64" s="164"/>
      <c r="AS64" s="149">
        <f>IF($AK$10=1,0,AN64)</f>
        <v>0</v>
      </c>
      <c r="AT64" s="121"/>
      <c r="AU64" s="41">
        <f>AJ64*AS64</f>
        <v>0</v>
      </c>
      <c r="AX64" s="149">
        <f>IF($AK$10=2,0,AS64)</f>
        <v>0</v>
      </c>
      <c r="AY64" s="121"/>
      <c r="AZ64" s="41">
        <f>AJ64*AX64</f>
        <v>0</v>
      </c>
      <c r="BC64" s="149">
        <f>IF($AK$10=3,0,AX64)</f>
        <v>0</v>
      </c>
      <c r="BD64" s="121"/>
      <c r="BE64" s="41">
        <f>AJ64*BC64</f>
        <v>0</v>
      </c>
      <c r="BH64" s="149">
        <f>IF($AK$10=4,0,BC64)</f>
        <v>0</v>
      </c>
      <c r="BI64" s="121"/>
      <c r="BJ64" s="41">
        <f>AJ64*BH64</f>
        <v>0</v>
      </c>
      <c r="BL64" s="45">
        <f>BJ64+BE64+AZ64+AU64+AP64</f>
        <v>0</v>
      </c>
    </row>
    <row r="65" spans="1:64" ht="17.25" customHeight="1" x14ac:dyDescent="0.25">
      <c r="A65" s="168"/>
      <c r="B65" s="184"/>
      <c r="C65" s="167" t="s">
        <v>50</v>
      </c>
      <c r="H65" s="188"/>
      <c r="I65" s="185"/>
      <c r="L65" s="307"/>
      <c r="P65" s="307"/>
      <c r="R65" s="291"/>
      <c r="T65" s="307"/>
      <c r="V65" s="291"/>
      <c r="X65" s="307"/>
      <c r="Z65" s="291"/>
      <c r="AB65" s="307"/>
      <c r="AE65" s="170"/>
      <c r="AF65" s="186"/>
      <c r="AI65" s="202"/>
      <c r="AJ65" s="148"/>
      <c r="AK65" s="118"/>
      <c r="AL65" s="119"/>
      <c r="AM65" s="163"/>
      <c r="AN65" s="149"/>
      <c r="AO65" s="121"/>
      <c r="AR65" s="164"/>
      <c r="AS65" s="149"/>
      <c r="AT65" s="121"/>
      <c r="AX65" s="149"/>
      <c r="AY65" s="121"/>
      <c r="BC65" s="149"/>
      <c r="BD65" s="121"/>
      <c r="BH65" s="149"/>
      <c r="BI65" s="121"/>
    </row>
    <row r="66" spans="1:64" ht="17.25" customHeight="1" x14ac:dyDescent="0.25">
      <c r="A66" s="168" t="s">
        <v>165</v>
      </c>
      <c r="B66" s="184"/>
      <c r="D66" s="189" t="str">
        <f>("$"&amp;(AJ66)&amp;"/"&amp;"hour, "&amp;AN66&amp;" hours, " &amp;AL66)</f>
        <v>$0.01/hour, 0 hours, AY</v>
      </c>
      <c r="E66" s="189"/>
      <c r="H66" s="188"/>
      <c r="I66" s="185"/>
      <c r="J66" s="291">
        <f>IF($AK$13="No", AP66, (AP66)*(1+$AK$4))</f>
        <v>0</v>
      </c>
      <c r="L66" s="307">
        <v>0</v>
      </c>
      <c r="N66" s="291">
        <f>IF($AK$13="No",AU66*(1+$AK$4), AU66*(1+$AK$4)^2)</f>
        <v>0</v>
      </c>
      <c r="P66" s="307">
        <v>0</v>
      </c>
      <c r="R66" s="291">
        <f t="shared" ref="R66:R69" si="181">IF($AK$13="No",AZ66*(1+$AK$4)^2,AZ66*(1+$AK$4)^3)</f>
        <v>0</v>
      </c>
      <c r="T66" s="307">
        <v>0</v>
      </c>
      <c r="V66" s="291">
        <f t="shared" ref="V66:V69" si="182">IF($AK$13="No",BE66*(1+$AK$4)^3,(BE66*(1+$AK$4)^4))</f>
        <v>0</v>
      </c>
      <c r="X66" s="307">
        <v>0</v>
      </c>
      <c r="Z66" s="291">
        <f t="shared" ref="Z66" si="183">IF($AK$13="No", BJ66*(1+$AK$4)^4, BJ66*(1+$AK$4)^5)</f>
        <v>0</v>
      </c>
      <c r="AB66" s="307">
        <v>0</v>
      </c>
      <c r="AD66" s="291">
        <f>J66+N66+R66+V66+Z66</f>
        <v>0</v>
      </c>
      <c r="AE66" s="170"/>
      <c r="AF66" s="186">
        <f>L66+P66+T66+X66+AB66</f>
        <v>0</v>
      </c>
      <c r="AI66" s="202"/>
      <c r="AJ66" s="148">
        <v>0.01</v>
      </c>
      <c r="AK66" s="118"/>
      <c r="AL66" s="119" t="s">
        <v>81</v>
      </c>
      <c r="AM66" s="163"/>
      <c r="AN66" s="149">
        <v>0</v>
      </c>
      <c r="AO66" s="121"/>
      <c r="AP66" s="41">
        <f t="shared" ref="AP66:AP70" si="184">AJ66*AN66</f>
        <v>0</v>
      </c>
      <c r="AR66" s="164"/>
      <c r="AS66" s="149">
        <f>IF($AK$10=1,0,AN66)</f>
        <v>0</v>
      </c>
      <c r="AT66" s="121"/>
      <c r="AU66" s="41">
        <f t="shared" ref="AU66:AU70" si="185">AJ66*AS66</f>
        <v>0</v>
      </c>
      <c r="AX66" s="149">
        <f>IF($AK$10=2,0,AS66)</f>
        <v>0</v>
      </c>
      <c r="AY66" s="121"/>
      <c r="AZ66" s="41">
        <f t="shared" ref="AZ66:AZ70" si="186">AJ66*AX66</f>
        <v>0</v>
      </c>
      <c r="BC66" s="149">
        <f>IF($AK$10=3,0,AX66)</f>
        <v>0</v>
      </c>
      <c r="BD66" s="121"/>
      <c r="BE66" s="41">
        <f t="shared" ref="BE66:BE70" si="187">AJ66*BC66</f>
        <v>0</v>
      </c>
      <c r="BH66" s="149">
        <f>IF($AK$10=4,0,BC66)</f>
        <v>0</v>
      </c>
      <c r="BI66" s="121"/>
      <c r="BJ66" s="41">
        <f t="shared" ref="BJ66:BJ70" si="188">AJ66*BH66</f>
        <v>0</v>
      </c>
      <c r="BL66" s="45">
        <f>BJ66+BE66+AZ66+AU66+AP66</f>
        <v>0</v>
      </c>
    </row>
    <row r="67" spans="1:64" ht="17.25" customHeight="1" x14ac:dyDescent="0.25">
      <c r="A67" s="168" t="s">
        <v>164</v>
      </c>
      <c r="B67" s="184"/>
      <c r="D67" s="189" t="str">
        <f>("$"&amp;(AJ67)&amp;"/"&amp;"hour, "&amp;AN67&amp;" hours, " &amp;AL67)</f>
        <v>$0.01/hour, 0 hours, Summer</v>
      </c>
      <c r="E67" s="189"/>
      <c r="H67" s="188"/>
      <c r="I67" s="185"/>
      <c r="J67" s="291">
        <f>IF($AK$13="No", AP67, (AP67)*(1+$AK$4))</f>
        <v>0</v>
      </c>
      <c r="L67" s="307">
        <v>0</v>
      </c>
      <c r="N67" s="291">
        <f>IF($AK$13="No",AU67*(1+$AK$4), AU67*(1+$AK$4)^2)</f>
        <v>0</v>
      </c>
      <c r="P67" s="307">
        <v>0</v>
      </c>
      <c r="R67" s="291">
        <f t="shared" ref="R67" si="189">IF($AK$13="No",AZ67*(1+$AK$4)^2,AZ67*(1+$AK$4)^3)</f>
        <v>0</v>
      </c>
      <c r="T67" s="307">
        <v>0</v>
      </c>
      <c r="V67" s="291">
        <f t="shared" ref="V67" si="190">IF($AK$13="No",BE67*(1+$AK$4)^3,(BE67*(1+$AK$4)^4))</f>
        <v>0</v>
      </c>
      <c r="X67" s="307">
        <v>0</v>
      </c>
      <c r="Z67" s="291">
        <f t="shared" ref="Z67" si="191">IF($AK$13="No", BJ67*(1+$AK$4)^4, BJ67*(1+$AK$4)^5)</f>
        <v>0</v>
      </c>
      <c r="AB67" s="307">
        <v>0</v>
      </c>
      <c r="AD67" s="291">
        <f>J67+N67+R67+V67+Z67</f>
        <v>0</v>
      </c>
      <c r="AE67" s="170"/>
      <c r="AF67" s="186">
        <f>L67+P67+T67+X67+AB67</f>
        <v>0</v>
      </c>
      <c r="AI67" s="202"/>
      <c r="AJ67" s="148">
        <v>0.01</v>
      </c>
      <c r="AK67" s="118"/>
      <c r="AL67" s="119" t="s">
        <v>82</v>
      </c>
      <c r="AM67" s="163"/>
      <c r="AN67" s="149">
        <v>0</v>
      </c>
      <c r="AO67" s="121"/>
      <c r="AP67" s="41">
        <f t="shared" si="184"/>
        <v>0</v>
      </c>
      <c r="AR67" s="164"/>
      <c r="AS67" s="149">
        <f>IF($AK$10=1,0,AN67)</f>
        <v>0</v>
      </c>
      <c r="AT67" s="121"/>
      <c r="AU67" s="41">
        <f t="shared" si="185"/>
        <v>0</v>
      </c>
      <c r="AX67" s="149">
        <f>IF($AK$10=2,0,AS67)</f>
        <v>0</v>
      </c>
      <c r="AY67" s="121"/>
      <c r="AZ67" s="41">
        <f t="shared" si="186"/>
        <v>0</v>
      </c>
      <c r="BC67" s="149">
        <f>IF($AK$10=3,0,AX67)</f>
        <v>0</v>
      </c>
      <c r="BD67" s="121"/>
      <c r="BE67" s="41">
        <f t="shared" si="187"/>
        <v>0</v>
      </c>
      <c r="BH67" s="149">
        <f>IF($AK$10=4,0,BC67)</f>
        <v>0</v>
      </c>
      <c r="BI67" s="121"/>
      <c r="BJ67" s="41">
        <f t="shared" si="188"/>
        <v>0</v>
      </c>
      <c r="BL67" s="45">
        <f>BJ67+BE67+AZ67+AU67+AP67</f>
        <v>0</v>
      </c>
    </row>
    <row r="68" spans="1:64" ht="17.25" customHeight="1" x14ac:dyDescent="0.25">
      <c r="A68" s="168"/>
      <c r="B68" s="184"/>
      <c r="C68" s="167" t="s">
        <v>50</v>
      </c>
      <c r="H68" s="188"/>
      <c r="I68" s="185"/>
      <c r="L68" s="307"/>
      <c r="P68" s="307"/>
      <c r="R68" s="291"/>
      <c r="T68" s="307"/>
      <c r="V68" s="291"/>
      <c r="X68" s="307"/>
      <c r="Z68" s="291"/>
      <c r="AB68" s="307"/>
      <c r="AE68" s="170"/>
      <c r="AF68" s="186"/>
      <c r="AI68" s="202"/>
      <c r="AJ68" s="148"/>
      <c r="AK68" s="118"/>
      <c r="AL68" s="119"/>
      <c r="AM68" s="163"/>
      <c r="AN68" s="149"/>
      <c r="AO68" s="121"/>
      <c r="AR68" s="164"/>
      <c r="AS68" s="149"/>
      <c r="AT68" s="121"/>
      <c r="AX68" s="149"/>
      <c r="AY68" s="121"/>
      <c r="BC68" s="149"/>
      <c r="BD68" s="121"/>
      <c r="BH68" s="149"/>
      <c r="BI68" s="121"/>
    </row>
    <row r="69" spans="1:64" ht="17.25" customHeight="1" x14ac:dyDescent="0.25">
      <c r="A69" s="168" t="s">
        <v>165</v>
      </c>
      <c r="B69" s="184"/>
      <c r="D69" s="189" t="str">
        <f>("$"&amp;(AJ69)&amp;"/"&amp;"hour, "&amp;AN69&amp;" hours, " &amp;AL69)</f>
        <v>$0.01/hour, 0 hours, AY</v>
      </c>
      <c r="E69" s="189"/>
      <c r="H69" s="188"/>
      <c r="I69" s="185"/>
      <c r="J69" s="291">
        <f>IF($AK$13="No", AP69, (AP69)*(1+$AK$4))</f>
        <v>0</v>
      </c>
      <c r="L69" s="307">
        <v>0</v>
      </c>
      <c r="N69" s="291">
        <f>IF($AK$13="No",AU69*(1+$AK$4), AU69*(1+$AK$4)^2)</f>
        <v>0</v>
      </c>
      <c r="P69" s="307">
        <v>0</v>
      </c>
      <c r="R69" s="291">
        <f t="shared" si="181"/>
        <v>0</v>
      </c>
      <c r="T69" s="307">
        <v>0</v>
      </c>
      <c r="V69" s="291">
        <f t="shared" si="182"/>
        <v>0</v>
      </c>
      <c r="X69" s="307">
        <v>0</v>
      </c>
      <c r="Z69" s="291">
        <f>IF($AK$13="No", BJ69*(1+$AK$4)^4, BJ69*(1+$AK$4)^5)</f>
        <v>0</v>
      </c>
      <c r="AB69" s="307">
        <v>0</v>
      </c>
      <c r="AD69" s="291">
        <f>J69+N69+R69+V69+Z69</f>
        <v>0</v>
      </c>
      <c r="AE69" s="170"/>
      <c r="AF69" s="186">
        <f>L69+P69+T69+X69+AB69</f>
        <v>0</v>
      </c>
      <c r="AI69" s="202"/>
      <c r="AJ69" s="148">
        <v>0.01</v>
      </c>
      <c r="AK69" s="118"/>
      <c r="AL69" s="119" t="s">
        <v>81</v>
      </c>
      <c r="AM69" s="163"/>
      <c r="AN69" s="149">
        <v>0</v>
      </c>
      <c r="AO69" s="121"/>
      <c r="AP69" s="41">
        <f t="shared" si="184"/>
        <v>0</v>
      </c>
      <c r="AR69" s="164"/>
      <c r="AS69" s="149">
        <f>IF($AK$10=1,0,AN69)</f>
        <v>0</v>
      </c>
      <c r="AT69" s="121"/>
      <c r="AU69" s="41">
        <f t="shared" si="185"/>
        <v>0</v>
      </c>
      <c r="AX69" s="149">
        <f>IF($AK$10=2,0,AS69)</f>
        <v>0</v>
      </c>
      <c r="AY69" s="121"/>
      <c r="AZ69" s="41">
        <f t="shared" si="186"/>
        <v>0</v>
      </c>
      <c r="BC69" s="149">
        <f>IF($AK$10=3,0,AX69)</f>
        <v>0</v>
      </c>
      <c r="BD69" s="121"/>
      <c r="BE69" s="41">
        <f t="shared" si="187"/>
        <v>0</v>
      </c>
      <c r="BH69" s="149">
        <f>IF($AK$10=4,0,BC69)</f>
        <v>0</v>
      </c>
      <c r="BI69" s="121"/>
      <c r="BJ69" s="41">
        <f t="shared" si="188"/>
        <v>0</v>
      </c>
      <c r="BL69" s="45">
        <f>BJ69+BE69+AZ69+AU69+AP69</f>
        <v>0</v>
      </c>
    </row>
    <row r="70" spans="1:64" ht="17.25" customHeight="1" x14ac:dyDescent="0.25">
      <c r="A70" s="168" t="s">
        <v>164</v>
      </c>
      <c r="B70" s="184"/>
      <c r="D70" s="189" t="str">
        <f>("$"&amp;(AJ70)&amp;"/"&amp;"hour, "&amp;AN70&amp;" hours, " &amp;AL70)</f>
        <v>$0.01/hour, 0 hours, Summer</v>
      </c>
      <c r="E70" s="189"/>
      <c r="H70" s="188"/>
      <c r="I70" s="185"/>
      <c r="J70" s="291">
        <f>IF($AK$13="No", AP70, (AP70)*(1+$AK$4))</f>
        <v>0</v>
      </c>
      <c r="L70" s="307">
        <v>0</v>
      </c>
      <c r="N70" s="291">
        <f>IF($AK$13="No",AU70*(1+$AK$4), AU70*(1+$AK$4)^2)</f>
        <v>0</v>
      </c>
      <c r="P70" s="307">
        <v>0</v>
      </c>
      <c r="R70" s="291">
        <f t="shared" ref="R70" si="192">IF($AK$13="No",AZ70*(1+$AK$4)^2,AZ70*(1+$AK$4)^3)</f>
        <v>0</v>
      </c>
      <c r="T70" s="307">
        <v>0</v>
      </c>
      <c r="V70" s="291">
        <f t="shared" ref="V70" si="193">IF($AK$13="No",BE70*(1+$AK$4)^3,(BE70*(1+$AK$4)^4))</f>
        <v>0</v>
      </c>
      <c r="X70" s="307">
        <v>0</v>
      </c>
      <c r="Z70" s="291">
        <f>IF($AK$13="No", BJ70*(1+$AK$4)^4, BJ70*(1+$AK$4)^5)</f>
        <v>0</v>
      </c>
      <c r="AB70" s="307">
        <v>0</v>
      </c>
      <c r="AD70" s="291">
        <f>J70+N70+R70+V70+Z70</f>
        <v>0</v>
      </c>
      <c r="AE70" s="170"/>
      <c r="AF70" s="186">
        <f>L70+P70+T70+X70+AB70</f>
        <v>0</v>
      </c>
      <c r="AJ70" s="148">
        <v>0.01</v>
      </c>
      <c r="AK70" s="118"/>
      <c r="AL70" s="119" t="s">
        <v>82</v>
      </c>
      <c r="AM70" s="163"/>
      <c r="AN70" s="149">
        <v>0</v>
      </c>
      <c r="AO70" s="121"/>
      <c r="AP70" s="41">
        <f t="shared" si="184"/>
        <v>0</v>
      </c>
      <c r="AR70" s="164"/>
      <c r="AS70" s="149">
        <f>IF($AK$10=1,0,AN70)</f>
        <v>0</v>
      </c>
      <c r="AT70" s="121"/>
      <c r="AU70" s="41">
        <f t="shared" si="185"/>
        <v>0</v>
      </c>
      <c r="AX70" s="149">
        <f>IF($AK$10=2,0,AS70)</f>
        <v>0</v>
      </c>
      <c r="AY70" s="121"/>
      <c r="AZ70" s="41">
        <f t="shared" si="186"/>
        <v>0</v>
      </c>
      <c r="BC70" s="149">
        <f>IF($AK$10=3,0,AX70)</f>
        <v>0</v>
      </c>
      <c r="BD70" s="121"/>
      <c r="BE70" s="41">
        <f t="shared" si="187"/>
        <v>0</v>
      </c>
      <c r="BH70" s="149">
        <f>IF($AK$10=4,0,BC70)</f>
        <v>0</v>
      </c>
      <c r="BI70" s="121"/>
      <c r="BJ70" s="41">
        <f t="shared" si="188"/>
        <v>0</v>
      </c>
      <c r="BL70" s="45">
        <f>BJ70+BE70+AZ70+AU70+AP70</f>
        <v>0</v>
      </c>
    </row>
    <row r="71" spans="1:64" x14ac:dyDescent="0.25">
      <c r="A71" s="168"/>
      <c r="I71" s="185"/>
      <c r="J71" s="311"/>
      <c r="L71" s="312"/>
      <c r="N71" s="311"/>
      <c r="P71" s="312"/>
      <c r="R71" s="313"/>
      <c r="T71" s="314"/>
      <c r="V71" s="313"/>
      <c r="X71" s="314"/>
      <c r="Z71" s="313"/>
      <c r="AB71" s="314"/>
      <c r="AD71" s="311"/>
      <c r="AF71" s="204"/>
      <c r="AN71" s="205"/>
      <c r="AS71" s="205"/>
      <c r="AX71" s="205"/>
      <c r="BC71" s="205"/>
      <c r="BH71" s="205"/>
    </row>
    <row r="72" spans="1:64" x14ac:dyDescent="0.25">
      <c r="A72" s="168"/>
      <c r="C72" s="167" t="s">
        <v>4</v>
      </c>
      <c r="I72" s="185"/>
      <c r="J72" s="291">
        <f>SUM(J18:J71)</f>
        <v>0</v>
      </c>
      <c r="L72" s="307">
        <f>SUM(L18:L70)</f>
        <v>0</v>
      </c>
      <c r="N72" s="291">
        <f>SUM(N18:N70)</f>
        <v>0</v>
      </c>
      <c r="P72" s="307">
        <f>SUM(P18:P70)</f>
        <v>0</v>
      </c>
      <c r="R72" s="291">
        <f>SUM(R18:R70)</f>
        <v>0</v>
      </c>
      <c r="T72" s="307">
        <f>SUM(T18:T70)</f>
        <v>0</v>
      </c>
      <c r="V72" s="291">
        <f>SUM(V18:V70)</f>
        <v>0</v>
      </c>
      <c r="X72" s="307">
        <f>SUM(X18:X70)</f>
        <v>0</v>
      </c>
      <c r="Z72" s="291">
        <f>SUM(Z18:Z70)</f>
        <v>0</v>
      </c>
      <c r="AB72" s="307">
        <f>SUM(AB18:AB70)</f>
        <v>0</v>
      </c>
      <c r="AD72" s="291">
        <f>J72+N72+R72+V72+Z72</f>
        <v>0</v>
      </c>
      <c r="AE72" s="170"/>
      <c r="AF72" s="186">
        <f>L72+P72+T72+X72+AB72</f>
        <v>0</v>
      </c>
      <c r="AJ72" s="206" t="s">
        <v>124</v>
      </c>
      <c r="AK72" s="206">
        <f>AD290</f>
        <v>0</v>
      </c>
      <c r="AN72" s="205"/>
      <c r="AS72" s="205"/>
      <c r="AX72" s="205"/>
      <c r="BC72" s="205"/>
      <c r="BH72" s="205"/>
    </row>
    <row r="73" spans="1:64" x14ac:dyDescent="0.25">
      <c r="H73" s="183"/>
      <c r="I73" s="185"/>
      <c r="L73" s="307"/>
      <c r="P73" s="307"/>
      <c r="T73" s="315"/>
      <c r="X73" s="315"/>
      <c r="AB73" s="315"/>
      <c r="AF73" s="187"/>
      <c r="AJ73" s="206" t="s">
        <v>194</v>
      </c>
      <c r="AK73" s="206">
        <f>AD278</f>
        <v>0</v>
      </c>
      <c r="AN73" s="205"/>
      <c r="AS73" s="205"/>
      <c r="AX73" s="205"/>
      <c r="BC73" s="205"/>
      <c r="BH73" s="205"/>
    </row>
    <row r="74" spans="1:64" x14ac:dyDescent="0.25">
      <c r="B74" s="184" t="s">
        <v>5</v>
      </c>
      <c r="C74" s="184" t="s">
        <v>6</v>
      </c>
      <c r="H74" s="207" t="s">
        <v>31</v>
      </c>
      <c r="I74" s="185"/>
      <c r="L74" s="307"/>
      <c r="P74" s="307"/>
      <c r="T74" s="315"/>
      <c r="X74" s="315"/>
      <c r="AB74" s="315"/>
      <c r="AF74" s="187"/>
      <c r="AN74" s="205"/>
      <c r="AS74" s="205"/>
      <c r="AX74" s="205"/>
      <c r="BC74" s="205"/>
      <c r="BH74" s="205"/>
    </row>
    <row r="75" spans="1:64" x14ac:dyDescent="0.25">
      <c r="A75" s="168" t="str">
        <f>A18</f>
        <v>Faculty, Academic Year</v>
      </c>
      <c r="B75" s="184"/>
      <c r="C75" s="167" t="str">
        <f>C17</f>
        <v xml:space="preserve">PI: </v>
      </c>
      <c r="H75" s="208">
        <f t="shared" ref="H75:H100" si="194">VLOOKUP(A75,$D$323:$F$337,3, FALSE)</f>
        <v>0.25</v>
      </c>
      <c r="I75" s="185"/>
      <c r="J75" s="291">
        <f>IF($AK$12="Yes",$H75*J18*(1+$AK$5),$H75*J18)</f>
        <v>0</v>
      </c>
      <c r="K75" s="292"/>
      <c r="L75" s="307">
        <v>0</v>
      </c>
      <c r="M75" s="292"/>
      <c r="N75" s="291">
        <f>IF($AK$12="Yes",$H75*N18*(1+$AK$5)^2,$H75*N18*(1+$AK$5))</f>
        <v>0</v>
      </c>
      <c r="P75" s="307">
        <v>0</v>
      </c>
      <c r="R75" s="291">
        <f>IF($AK$12="Yes",$H75*R18*(1+$AK$5)^3,$H75*R18*(1+$AK$5)^2)</f>
        <v>0</v>
      </c>
      <c r="T75" s="307">
        <v>0</v>
      </c>
      <c r="V75" s="291">
        <f>IF($AK$12="Yes",$H75*V18*(1+$AK$5)^4,$H75*V18*(1+$AK$5)^3)</f>
        <v>0</v>
      </c>
      <c r="X75" s="307">
        <v>0</v>
      </c>
      <c r="Z75" s="291">
        <f>IF($AK$12="Yes",$H75*Z18*(1+$AK$5)^5,$H75*Z18*(1+$AK$5)^4)</f>
        <v>0</v>
      </c>
      <c r="AB75" s="307">
        <v>0</v>
      </c>
      <c r="AD75" s="291">
        <f t="shared" ref="AD75:AD107" si="195">J75+N75+R75+V75+Z75</f>
        <v>0</v>
      </c>
      <c r="AE75" s="170"/>
      <c r="AF75" s="186">
        <f t="shared" ref="AF75:AF107" si="196">L75+P75+T75+X75+AB75</f>
        <v>0</v>
      </c>
      <c r="AN75" s="205"/>
      <c r="AS75" s="205"/>
      <c r="AX75" s="205"/>
      <c r="BC75" s="205"/>
      <c r="BH75" s="205"/>
    </row>
    <row r="76" spans="1:64" x14ac:dyDescent="0.25">
      <c r="A76" s="168" t="str">
        <f>A19</f>
        <v>Faculty, Academic Year</v>
      </c>
      <c r="B76" s="184"/>
      <c r="D76" s="167" t="s">
        <v>82</v>
      </c>
      <c r="H76" s="208">
        <f t="shared" si="194"/>
        <v>0.25</v>
      </c>
      <c r="I76" s="185"/>
      <c r="J76" s="291">
        <f>IF($AK$12="Yes",$H76*J19*(1+$AK$5),$H76*J19)</f>
        <v>0</v>
      </c>
      <c r="K76" s="292"/>
      <c r="L76" s="307">
        <v>0</v>
      </c>
      <c r="M76" s="292"/>
      <c r="N76" s="291">
        <f>IF($AK$12="Yes",$H76*N19*(1+$AK$5)^2,$H76*N19*(1+$AK$5))</f>
        <v>0</v>
      </c>
      <c r="P76" s="307">
        <v>0</v>
      </c>
      <c r="R76" s="291">
        <f>IF($AK$12="Yes",$H76*R19*(1+$AK$5)^3,$H76*R19*(1+$AK$5)^2)</f>
        <v>0</v>
      </c>
      <c r="T76" s="307">
        <v>0</v>
      </c>
      <c r="V76" s="291">
        <f>IF($AK$12="Yes",$H76*V19*(1+$AK$5)^4,$H76*V19*(1+$AK$5)^3)</f>
        <v>0</v>
      </c>
      <c r="X76" s="307">
        <v>0</v>
      </c>
      <c r="Z76" s="291">
        <f>IF($AK$12="Yes",$H76*Z19*(1+$AK$5)^5,$H76*Z19*(1+$AK$5)^4)</f>
        <v>0</v>
      </c>
      <c r="AB76" s="307">
        <v>0</v>
      </c>
      <c r="AD76" s="291">
        <f t="shared" si="195"/>
        <v>0</v>
      </c>
      <c r="AE76" s="170"/>
      <c r="AF76" s="186">
        <f t="shared" si="196"/>
        <v>0</v>
      </c>
      <c r="AN76" s="205"/>
      <c r="AS76" s="205"/>
      <c r="AX76" s="205"/>
      <c r="BC76" s="205"/>
      <c r="BH76" s="205"/>
    </row>
    <row r="77" spans="1:64" x14ac:dyDescent="0.25">
      <c r="A77" s="168" t="str">
        <f>A21</f>
        <v>Faculty, Academic Year</v>
      </c>
      <c r="B77" s="184"/>
      <c r="C77" s="167" t="str">
        <f>C20</f>
        <v xml:space="preserve">Co-PI: </v>
      </c>
      <c r="H77" s="208">
        <f t="shared" si="194"/>
        <v>0.25</v>
      </c>
      <c r="I77" s="185"/>
      <c r="J77" s="291">
        <f>IF($AK$12="Yes",$H77*J21*(1+$AK$5),$H77*J21)</f>
        <v>0</v>
      </c>
      <c r="K77" s="292"/>
      <c r="L77" s="307">
        <v>0</v>
      </c>
      <c r="M77" s="292"/>
      <c r="N77" s="291">
        <f>IF($AK$12="Yes",$H77*N21*(1+$AK$5)^2,$H77*N21*(1+$AK$5))</f>
        <v>0</v>
      </c>
      <c r="O77" s="291"/>
      <c r="P77" s="307">
        <v>0</v>
      </c>
      <c r="Q77" s="291"/>
      <c r="R77" s="291">
        <f>IF($AK$12="Yes",$H77*R21*(1+$AK$5)^3,$H77*R21*(1+$AK$5)^2)</f>
        <v>0</v>
      </c>
      <c r="S77" s="291"/>
      <c r="T77" s="307">
        <v>0</v>
      </c>
      <c r="U77" s="291"/>
      <c r="V77" s="291">
        <f>IF($AK$12="Yes",$H77*V21*(1+$AK$5)^4,$H77*V21*(1+$AK$5)^3)</f>
        <v>0</v>
      </c>
      <c r="W77" s="291"/>
      <c r="X77" s="307">
        <v>0</v>
      </c>
      <c r="Y77" s="291"/>
      <c r="Z77" s="291">
        <f>IF($AK$12="Yes",$H77*Z21*(1+$AK$5)^5,$H77*Z21*(1+$AK$5)^4)</f>
        <v>0</v>
      </c>
      <c r="AB77" s="307">
        <v>0</v>
      </c>
      <c r="AD77" s="291">
        <f t="shared" si="195"/>
        <v>0</v>
      </c>
      <c r="AE77" s="170"/>
      <c r="AF77" s="186">
        <f t="shared" si="196"/>
        <v>0</v>
      </c>
      <c r="AN77" s="205"/>
      <c r="AS77" s="205"/>
      <c r="AX77" s="205"/>
      <c r="BC77" s="205"/>
      <c r="BH77" s="205"/>
    </row>
    <row r="78" spans="1:64" x14ac:dyDescent="0.25">
      <c r="A78" s="168" t="str">
        <f>A22</f>
        <v>Faculty, Academic Year</v>
      </c>
      <c r="B78" s="184"/>
      <c r="D78" s="167" t="s">
        <v>82</v>
      </c>
      <c r="H78" s="208">
        <f t="shared" si="194"/>
        <v>0.25</v>
      </c>
      <c r="I78" s="185"/>
      <c r="J78" s="291">
        <f>IF($AK$12="Yes",$H78*J22*(1+$AK$5),$H78*J22)</f>
        <v>0</v>
      </c>
      <c r="L78" s="307">
        <v>0</v>
      </c>
      <c r="N78" s="291">
        <f>IF($AK$12="Yes",$H78*N22*(1+$AK$5)^2,$H78*N22*(1+$AK$5))</f>
        <v>0</v>
      </c>
      <c r="O78" s="291"/>
      <c r="P78" s="307">
        <v>0</v>
      </c>
      <c r="Q78" s="291"/>
      <c r="R78" s="291">
        <f>IF($AK$12="Yes",$H78*R22*(1+$AK$5)^3,$H78*R22*(1+$AK$5)^2)</f>
        <v>0</v>
      </c>
      <c r="S78" s="291"/>
      <c r="T78" s="307">
        <v>0</v>
      </c>
      <c r="U78" s="291"/>
      <c r="V78" s="291">
        <f>IF($AK$12="Yes",$H78*V22*(1+$AK$5)^4,$H78*V22*(1+$AK$5)^3)</f>
        <v>0</v>
      </c>
      <c r="W78" s="291"/>
      <c r="X78" s="307">
        <v>0</v>
      </c>
      <c r="Y78" s="291"/>
      <c r="Z78" s="291">
        <f>IF($AK$12="Yes",$H78*Z22*(1+$AK$5)^5,$H78*Z22*(1+$AK$5)^4)</f>
        <v>0</v>
      </c>
      <c r="AB78" s="307">
        <v>0</v>
      </c>
      <c r="AD78" s="291">
        <f t="shared" si="195"/>
        <v>0</v>
      </c>
      <c r="AE78" s="170"/>
      <c r="AF78" s="186">
        <f t="shared" si="196"/>
        <v>0</v>
      </c>
      <c r="AN78" s="205"/>
      <c r="AS78" s="205"/>
      <c r="AX78" s="205"/>
      <c r="BC78" s="205"/>
      <c r="BH78" s="205"/>
    </row>
    <row r="79" spans="1:64" x14ac:dyDescent="0.25">
      <c r="A79" s="168" t="str">
        <f>A24</f>
        <v>Faculty, Academic Year</v>
      </c>
      <c r="B79" s="184"/>
      <c r="C79" s="167" t="str">
        <f>C23</f>
        <v xml:space="preserve">Co-PI: </v>
      </c>
      <c r="H79" s="208">
        <f t="shared" si="194"/>
        <v>0.25</v>
      </c>
      <c r="I79" s="185"/>
      <c r="J79" s="291">
        <f>IF($AK$12="Yes",$H79*J24*(1+$AK$5),$H79*J24)</f>
        <v>0</v>
      </c>
      <c r="L79" s="307">
        <v>0</v>
      </c>
      <c r="N79" s="291">
        <f>IF($AK$12="Yes",$H79*N24*(1+$AK$5)^2,$H79*N24*(1+$AK$5))</f>
        <v>0</v>
      </c>
      <c r="O79" s="291"/>
      <c r="P79" s="307">
        <v>0</v>
      </c>
      <c r="Q79" s="291"/>
      <c r="R79" s="291">
        <f>IF($AK$12="Yes",$H79*R24*(1+$AK$5)^3,$H79*R24*(1+$AK$5)^2)</f>
        <v>0</v>
      </c>
      <c r="S79" s="291"/>
      <c r="T79" s="307">
        <v>0</v>
      </c>
      <c r="U79" s="291"/>
      <c r="V79" s="291">
        <f>IF($AK$12="Yes",$H79*V24*(1+$AK$5)^4,$H79*V24*(1+$AK$5)^3)</f>
        <v>0</v>
      </c>
      <c r="W79" s="291"/>
      <c r="X79" s="307">
        <v>0</v>
      </c>
      <c r="Y79" s="291"/>
      <c r="Z79" s="291">
        <f>IF($AK$12="Yes",$H79*Z24*(1+$AK$5)^5,$H79*Z24*(1+$AK$5)^4)</f>
        <v>0</v>
      </c>
      <c r="AB79" s="307">
        <v>0</v>
      </c>
      <c r="AD79" s="291">
        <f t="shared" si="195"/>
        <v>0</v>
      </c>
      <c r="AE79" s="170"/>
      <c r="AF79" s="186">
        <f t="shared" si="196"/>
        <v>0</v>
      </c>
      <c r="AN79" s="205"/>
      <c r="AS79" s="205"/>
      <c r="AX79" s="205"/>
      <c r="BC79" s="205"/>
      <c r="BH79" s="205"/>
    </row>
    <row r="80" spans="1:64" x14ac:dyDescent="0.25">
      <c r="A80" s="168" t="str">
        <f>A25</f>
        <v>Faculty, Academic Year</v>
      </c>
      <c r="B80" s="184"/>
      <c r="D80" s="167" t="s">
        <v>82</v>
      </c>
      <c r="H80" s="208">
        <f t="shared" si="194"/>
        <v>0.25</v>
      </c>
      <c r="I80" s="185"/>
      <c r="J80" s="291">
        <f>IF($AK$12="Yes",$H80*J25*(1+$AK$5),$H80*J25)</f>
        <v>0</v>
      </c>
      <c r="L80" s="307">
        <v>0</v>
      </c>
      <c r="N80" s="291">
        <f>IF($AK$12="Yes",$H80*N25*(1+$AK$5)^2,$H80*N25*(1+$AK$5))</f>
        <v>0</v>
      </c>
      <c r="O80" s="291"/>
      <c r="P80" s="307">
        <v>0</v>
      </c>
      <c r="Q80" s="291"/>
      <c r="R80" s="291">
        <f>IF($AK$12="Yes",$H80*R25*(1+$AK$5)^3,$H80*R25*(1+$AK$5)^2)</f>
        <v>0</v>
      </c>
      <c r="S80" s="291"/>
      <c r="T80" s="307">
        <v>0</v>
      </c>
      <c r="U80" s="291"/>
      <c r="V80" s="291">
        <f>IF($AK$12="Yes",$H80*V25*(1+$AK$5)^4,$H80*V25*(1+$AK$5)^3)</f>
        <v>0</v>
      </c>
      <c r="W80" s="291"/>
      <c r="X80" s="307">
        <v>0</v>
      </c>
      <c r="Y80" s="291"/>
      <c r="Z80" s="291">
        <f>IF($AK$12="Yes",$H80*Z25*(1+$AK$5)^5,$H80*Z25*(1+$AK$5)^4)</f>
        <v>0</v>
      </c>
      <c r="AB80" s="307">
        <v>0</v>
      </c>
      <c r="AD80" s="291">
        <f t="shared" si="195"/>
        <v>0</v>
      </c>
      <c r="AE80" s="170"/>
      <c r="AF80" s="186">
        <f t="shared" si="196"/>
        <v>0</v>
      </c>
      <c r="AN80" s="205"/>
      <c r="AS80" s="205"/>
      <c r="AX80" s="205"/>
      <c r="BC80" s="205"/>
      <c r="BH80" s="205"/>
    </row>
    <row r="81" spans="1:60" x14ac:dyDescent="0.25">
      <c r="A81" s="168" t="str">
        <f>A27</f>
        <v>Faculty, Academic Year</v>
      </c>
      <c r="B81" s="184"/>
      <c r="C81" s="167" t="str">
        <f>C26</f>
        <v xml:space="preserve">Co-PI: </v>
      </c>
      <c r="H81" s="208">
        <f t="shared" si="194"/>
        <v>0.25</v>
      </c>
      <c r="I81" s="185"/>
      <c r="J81" s="291">
        <f>IF($AK$12="Yes",$H81*J27*(1+$AK$5),$H81*J27)</f>
        <v>0</v>
      </c>
      <c r="L81" s="307">
        <v>0</v>
      </c>
      <c r="N81" s="291">
        <f>IF($AK$12="Yes",$H81*N27*(1+$AK$5)^2,$H81*N27*(1+$AK$5))</f>
        <v>0</v>
      </c>
      <c r="O81" s="291"/>
      <c r="P81" s="307">
        <v>0</v>
      </c>
      <c r="Q81" s="291"/>
      <c r="R81" s="291">
        <f>IF($AK$12="Yes",$H81*R27*(1+$AK$5)^3,$H81*R27*(1+$AK$5)^2)</f>
        <v>0</v>
      </c>
      <c r="S81" s="291"/>
      <c r="T81" s="307">
        <v>0</v>
      </c>
      <c r="U81" s="291"/>
      <c r="V81" s="291">
        <f>IF($AK$12="Yes",$H81*V27*(1+$AK$5)^4,$H81*V27*(1+$AK$5)^3)</f>
        <v>0</v>
      </c>
      <c r="W81" s="291"/>
      <c r="X81" s="307">
        <v>0</v>
      </c>
      <c r="Y81" s="291"/>
      <c r="Z81" s="291">
        <f>IF($AK$12="Yes",$H81*Z27*(1+$AK$5)^5,$H81*Z27*(1+$AK$5)^4)</f>
        <v>0</v>
      </c>
      <c r="AB81" s="307">
        <v>0</v>
      </c>
      <c r="AD81" s="291">
        <f t="shared" si="195"/>
        <v>0</v>
      </c>
      <c r="AE81" s="170"/>
      <c r="AF81" s="186">
        <f t="shared" si="196"/>
        <v>0</v>
      </c>
      <c r="AN81" s="205"/>
      <c r="AS81" s="205"/>
      <c r="AX81" s="205"/>
      <c r="BC81" s="205"/>
      <c r="BH81" s="205"/>
    </row>
    <row r="82" spans="1:60" x14ac:dyDescent="0.25">
      <c r="A82" s="168" t="str">
        <f>A28</f>
        <v>Faculty, Academic Year</v>
      </c>
      <c r="B82" s="184"/>
      <c r="D82" s="167" t="s">
        <v>82</v>
      </c>
      <c r="H82" s="208">
        <f t="shared" si="194"/>
        <v>0.25</v>
      </c>
      <c r="I82" s="185"/>
      <c r="J82" s="291">
        <f>IF($AK$12="Yes",$H82*J28*(1+$AK$5),$H82*J28)</f>
        <v>0</v>
      </c>
      <c r="L82" s="307">
        <v>0</v>
      </c>
      <c r="N82" s="291">
        <f>IF($AK$12="Yes",$H82*N28*(1+$AK$5)^2,$H82*N28*(1+$AK$5))</f>
        <v>0</v>
      </c>
      <c r="O82" s="291"/>
      <c r="P82" s="307">
        <v>0</v>
      </c>
      <c r="Q82" s="291"/>
      <c r="R82" s="291">
        <f>IF($AK$12="Yes",$H82*R28*(1+$AK$5)^3,$H82*R28*(1+$AK$5)^2)</f>
        <v>0</v>
      </c>
      <c r="S82" s="291"/>
      <c r="T82" s="307">
        <v>0</v>
      </c>
      <c r="U82" s="291"/>
      <c r="V82" s="291">
        <f>IF($AK$12="Yes",$H82*V28*(1+$AK$5)^4,$H82*V28*(1+$AK$5)^3)</f>
        <v>0</v>
      </c>
      <c r="W82" s="291"/>
      <c r="X82" s="307">
        <v>0</v>
      </c>
      <c r="Y82" s="291"/>
      <c r="Z82" s="291">
        <f>IF($AK$12="Yes",$H82*Z28*(1+$AK$5)^5,$H82*Z28*(1+$AK$5)^4)</f>
        <v>0</v>
      </c>
      <c r="AB82" s="307">
        <v>0</v>
      </c>
      <c r="AD82" s="291">
        <f t="shared" si="195"/>
        <v>0</v>
      </c>
      <c r="AE82" s="170"/>
      <c r="AF82" s="186">
        <f t="shared" si="196"/>
        <v>0</v>
      </c>
      <c r="AN82" s="205"/>
      <c r="AS82" s="205"/>
      <c r="AX82" s="205"/>
      <c r="BC82" s="205"/>
      <c r="BH82" s="205"/>
    </row>
    <row r="83" spans="1:60" x14ac:dyDescent="0.25">
      <c r="A83" s="168" t="str">
        <f>A30</f>
        <v>Faculty, Academic Year</v>
      </c>
      <c r="B83" s="184"/>
      <c r="C83" s="167" t="str">
        <f>C29</f>
        <v xml:space="preserve">Co-PI: </v>
      </c>
      <c r="H83" s="208">
        <f t="shared" si="194"/>
        <v>0.25</v>
      </c>
      <c r="I83" s="185"/>
      <c r="J83" s="291">
        <f>IF($AK$12="Yes",$H83*J30*(1+$AK$5),$H83*J30)</f>
        <v>0</v>
      </c>
      <c r="L83" s="307">
        <v>0</v>
      </c>
      <c r="N83" s="291">
        <f>IF($AK$12="Yes",$H83*N30*(1+$AK$5)^2,$H83*N30*(1+$AK$5))</f>
        <v>0</v>
      </c>
      <c r="O83" s="291"/>
      <c r="P83" s="307">
        <v>0</v>
      </c>
      <c r="Q83" s="291"/>
      <c r="R83" s="291">
        <f>IF($AK$12="Yes",$H83*R30*(1+$AK$5)^3,$H83*R30*(1+$AK$5)^2)</f>
        <v>0</v>
      </c>
      <c r="S83" s="291"/>
      <c r="T83" s="307">
        <v>0</v>
      </c>
      <c r="U83" s="291"/>
      <c r="V83" s="291">
        <f>IF($AK$12="Yes",$H83*V30*(1+$AK$5)^4,$H83*V30*(1+$AK$5)^3)</f>
        <v>0</v>
      </c>
      <c r="W83" s="291"/>
      <c r="X83" s="307">
        <v>0</v>
      </c>
      <c r="Y83" s="291"/>
      <c r="Z83" s="291">
        <f>IF($AK$12="Yes",$H83*Z30*(1+$AK$5)^5,$H83*Z30*(1+$AK$5)^4)</f>
        <v>0</v>
      </c>
      <c r="AB83" s="307">
        <v>0</v>
      </c>
      <c r="AD83" s="291">
        <f t="shared" si="195"/>
        <v>0</v>
      </c>
      <c r="AE83" s="170"/>
      <c r="AF83" s="186">
        <f t="shared" si="196"/>
        <v>0</v>
      </c>
      <c r="AN83" s="205"/>
      <c r="AS83" s="205"/>
      <c r="AX83" s="205"/>
      <c r="BC83" s="205"/>
      <c r="BH83" s="205"/>
    </row>
    <row r="84" spans="1:60" x14ac:dyDescent="0.25">
      <c r="A84" s="168" t="str">
        <f>A31</f>
        <v>Faculty, Academic Year</v>
      </c>
      <c r="B84" s="184"/>
      <c r="D84" s="167" t="s">
        <v>82</v>
      </c>
      <c r="H84" s="208">
        <f t="shared" si="194"/>
        <v>0.25</v>
      </c>
      <c r="I84" s="185"/>
      <c r="J84" s="291">
        <f>IF($AK$12="Yes",$H84*J31*(1+$AK$5),$H84*J378)</f>
        <v>0</v>
      </c>
      <c r="L84" s="307">
        <v>0</v>
      </c>
      <c r="N84" s="291">
        <f>IF($AK$12="Yes",$H84*N31*(1+$AK$5)^2,$H84*N31*(1+$AK$5))</f>
        <v>0</v>
      </c>
      <c r="O84" s="291"/>
      <c r="P84" s="307">
        <v>0</v>
      </c>
      <c r="Q84" s="291"/>
      <c r="R84" s="291">
        <f>IF($AK$12="Yes",$H84*R31*(1+$AK$5)^3,$H84*R31*(1+$AK$5)^2)</f>
        <v>0</v>
      </c>
      <c r="S84" s="291"/>
      <c r="T84" s="307">
        <v>0</v>
      </c>
      <c r="U84" s="291"/>
      <c r="V84" s="291">
        <f>IF($AK$12="Yes",$H84*V31*(1+$AK$5)^4,$H84*V31*(1+$AK$5)^3)</f>
        <v>0</v>
      </c>
      <c r="W84" s="291"/>
      <c r="X84" s="307">
        <v>0</v>
      </c>
      <c r="Y84" s="291"/>
      <c r="Z84" s="291">
        <f>IF($AK$12="Yes",$H84*Z31*(1+$AK$5)^5,$H84*Z31*(1+$AK$5)^4)</f>
        <v>0</v>
      </c>
      <c r="AB84" s="307">
        <v>0</v>
      </c>
      <c r="AD84" s="291">
        <f t="shared" si="195"/>
        <v>0</v>
      </c>
      <c r="AE84" s="170"/>
      <c r="AF84" s="186">
        <f t="shared" si="196"/>
        <v>0</v>
      </c>
      <c r="AN84" s="205"/>
      <c r="AS84" s="205"/>
      <c r="AX84" s="205"/>
      <c r="BC84" s="205"/>
      <c r="BH84" s="205"/>
    </row>
    <row r="85" spans="1:60" x14ac:dyDescent="0.25">
      <c r="A85" s="168" t="str">
        <f>A33</f>
        <v>Research Associate LOA</v>
      </c>
      <c r="B85" s="184"/>
      <c r="C85" s="167" t="str">
        <f>C32</f>
        <v>Research Associate</v>
      </c>
      <c r="H85" s="208">
        <f t="shared" si="194"/>
        <v>0.315</v>
      </c>
      <c r="I85" s="185"/>
      <c r="J85" s="291">
        <f>IF($AK$12="Yes",$H85*J33*(1+$AK$5),$H85*J33)</f>
        <v>0</v>
      </c>
      <c r="K85" s="292"/>
      <c r="L85" s="307">
        <v>0</v>
      </c>
      <c r="M85" s="292"/>
      <c r="N85" s="291">
        <f>IF($AK$12="Yes",$H85*N33*(1+$AK$5)^2,$H85*N33*(1+$AK$5))</f>
        <v>0</v>
      </c>
      <c r="P85" s="307">
        <v>0</v>
      </c>
      <c r="R85" s="291">
        <f>IF($AK$12="Yes",$H85*R33*(1+$AK$5)^3,$H85*R33*(1+$AK$5)^2)</f>
        <v>0</v>
      </c>
      <c r="T85" s="307">
        <v>0</v>
      </c>
      <c r="V85" s="291">
        <f>IF($AK$12="Yes",$H85*V33*(1+$AK$5)^4,$H85*V33*(1+$AK$5)^3)</f>
        <v>0</v>
      </c>
      <c r="X85" s="307">
        <v>0</v>
      </c>
      <c r="Z85" s="291">
        <f>IF($AK$12="Yes",$H85*Z33*(1+$AK$5)^5,$H85*Z33*(1+$AK$5)^4)</f>
        <v>0</v>
      </c>
      <c r="AB85" s="307">
        <v>0</v>
      </c>
      <c r="AD85" s="291">
        <f t="shared" si="195"/>
        <v>0</v>
      </c>
      <c r="AE85" s="170"/>
      <c r="AF85" s="186">
        <f t="shared" si="196"/>
        <v>0</v>
      </c>
      <c r="AN85" s="205"/>
      <c r="AS85" s="205"/>
      <c r="AX85" s="205"/>
      <c r="BC85" s="205"/>
      <c r="BH85" s="205"/>
    </row>
    <row r="86" spans="1:60" x14ac:dyDescent="0.25">
      <c r="A86" s="168" t="str">
        <f>A35</f>
        <v>Research Associate LOA</v>
      </c>
      <c r="B86" s="184"/>
      <c r="C86" s="167" t="str">
        <f>C34</f>
        <v>Research Associate:</v>
      </c>
      <c r="H86" s="208">
        <f t="shared" si="194"/>
        <v>0.315</v>
      </c>
      <c r="I86" s="185"/>
      <c r="J86" s="291">
        <f>IF($AK$12="Yes",$H86*J35*(1+$AK$5),$H86*J35)</f>
        <v>0</v>
      </c>
      <c r="K86" s="292"/>
      <c r="L86" s="307">
        <v>0</v>
      </c>
      <c r="M86" s="292"/>
      <c r="N86" s="291">
        <f>IF($AK$12="Yes",$H86*N35*(1+$AK$5)^2,$H86*N35*(1+$AK$5))</f>
        <v>0</v>
      </c>
      <c r="P86" s="307">
        <v>0</v>
      </c>
      <c r="R86" s="291">
        <f>IF($AK$12="Yes",$H86*R35*(1+$AK$5)^3,$H86*R35*(1+$AK$5)^2)</f>
        <v>0</v>
      </c>
      <c r="T86" s="307">
        <v>0</v>
      </c>
      <c r="V86" s="291">
        <f>IF($AK$12="Yes",$H86*V35*(1+$AK$5)^4,$H86*V35*(1+$AK$5)^3)</f>
        <v>0</v>
      </c>
      <c r="X86" s="307">
        <v>0</v>
      </c>
      <c r="Z86" s="291">
        <f>IF($AK$12="Yes",$H86*Z35*(1+$AK$5)^5,$H86*Z35*(1+$AK$5)^4)</f>
        <v>0</v>
      </c>
      <c r="AB86" s="307">
        <v>0</v>
      </c>
      <c r="AD86" s="291">
        <f t="shared" si="195"/>
        <v>0</v>
      </c>
      <c r="AE86" s="170"/>
      <c r="AF86" s="186">
        <f t="shared" si="196"/>
        <v>0</v>
      </c>
      <c r="AN86" s="205"/>
      <c r="AS86" s="205"/>
      <c r="AX86" s="205"/>
      <c r="BC86" s="205"/>
      <c r="BH86" s="205"/>
    </row>
    <row r="87" spans="1:60" x14ac:dyDescent="0.25">
      <c r="A87" s="168" t="str">
        <f>A37</f>
        <v>Research Associate LOA</v>
      </c>
      <c r="B87" s="184"/>
      <c r="C87" s="167" t="str">
        <f>C36</f>
        <v>Research Associate:</v>
      </c>
      <c r="H87" s="208">
        <f t="shared" si="194"/>
        <v>0.315</v>
      </c>
      <c r="I87" s="185"/>
      <c r="J87" s="291">
        <f>IF($AK$12="Yes",$H87*J37*(1+$AK$5),$H87*J37)</f>
        <v>0</v>
      </c>
      <c r="K87" s="292"/>
      <c r="L87" s="307">
        <v>0</v>
      </c>
      <c r="M87" s="292"/>
      <c r="N87" s="291">
        <f>IF($AK$12="Yes",$H87*N37*(1+$AK$5)^2,$H87*N37*(1+$AK$5))</f>
        <v>0</v>
      </c>
      <c r="P87" s="307">
        <v>0</v>
      </c>
      <c r="R87" s="291">
        <f>IF($AK$12="Yes",$H87*R37*(1+$AK$5)^3,$H87*R37*(1+$AK$5)^2)</f>
        <v>0</v>
      </c>
      <c r="T87" s="307">
        <v>0</v>
      </c>
      <c r="V87" s="291">
        <f>IF($AK$12="Yes",$H87*V37*(1+$AK$5)^4,$H87*V37*(1+$AK$5)^3)</f>
        <v>0</v>
      </c>
      <c r="X87" s="307">
        <v>0</v>
      </c>
      <c r="Z87" s="291">
        <f>IF($AK$12="Yes",$H87*Z37*(1+$AK$5)^5,$H87*Z37*(1+$AK$5)^4)</f>
        <v>0</v>
      </c>
      <c r="AB87" s="307">
        <v>0</v>
      </c>
      <c r="AD87" s="291">
        <f t="shared" si="195"/>
        <v>0</v>
      </c>
      <c r="AE87" s="170"/>
      <c r="AF87" s="186">
        <f t="shared" si="196"/>
        <v>0</v>
      </c>
      <c r="AN87" s="205"/>
      <c r="AS87" s="205"/>
      <c r="AX87" s="205"/>
      <c r="BC87" s="205"/>
      <c r="BH87" s="205"/>
    </row>
    <row r="88" spans="1:60" x14ac:dyDescent="0.25">
      <c r="A88" s="168" t="str">
        <f>A39</f>
        <v>Senior Personnel LOA</v>
      </c>
      <c r="B88" s="184"/>
      <c r="C88" s="167" t="str">
        <f>C38</f>
        <v>Senior Personnel:</v>
      </c>
      <c r="H88" s="208">
        <f t="shared" si="194"/>
        <v>0.315</v>
      </c>
      <c r="I88" s="185"/>
      <c r="J88" s="291">
        <f>IF($AK$12="Yes",$H88*J39*(1+$AK$5),$H88*J39)</f>
        <v>0</v>
      </c>
      <c r="K88" s="292"/>
      <c r="L88" s="307">
        <v>0</v>
      </c>
      <c r="M88" s="292"/>
      <c r="N88" s="291">
        <f>IF($AK$12="Yes",$H88*N39*(1+$AK$5)^2,$H88*N39*(1+$AK$5))</f>
        <v>0</v>
      </c>
      <c r="P88" s="307">
        <v>0</v>
      </c>
      <c r="R88" s="291">
        <f>IF($AK$12="Yes",$H88*R39*(1+$AK$5)^3,$H88*R39*(1+$AK$5)^2)</f>
        <v>0</v>
      </c>
      <c r="T88" s="307">
        <v>0</v>
      </c>
      <c r="V88" s="291">
        <f>IF($AK$12="Yes",$H88*V39*(1+$AK$5)^4,$H88*V39*(1+$AK$5)^3)</f>
        <v>0</v>
      </c>
      <c r="X88" s="307">
        <v>0</v>
      </c>
      <c r="Z88" s="291">
        <f>IF($AK$12="Yes",$H88*Z39*(1+$AK$5)^5,$H88*Z39*(1+$AK$5)^4)</f>
        <v>0</v>
      </c>
      <c r="AB88" s="307">
        <v>0</v>
      </c>
      <c r="AD88" s="291">
        <f t="shared" si="195"/>
        <v>0</v>
      </c>
      <c r="AE88" s="170"/>
      <c r="AF88" s="186">
        <f t="shared" si="196"/>
        <v>0</v>
      </c>
      <c r="AN88" s="205"/>
      <c r="AS88" s="205"/>
      <c r="AX88" s="205"/>
      <c r="BC88" s="205"/>
      <c r="BH88" s="205"/>
    </row>
    <row r="89" spans="1:60" x14ac:dyDescent="0.25">
      <c r="A89" s="168" t="str">
        <f>A41</f>
        <v>Senior Personnel LOA</v>
      </c>
      <c r="B89" s="184"/>
      <c r="C89" s="167" t="str">
        <f>C40</f>
        <v>Senior Personnel:</v>
      </c>
      <c r="H89" s="208">
        <f t="shared" si="194"/>
        <v>0.315</v>
      </c>
      <c r="I89" s="185"/>
      <c r="J89" s="291">
        <f>IF($AK$12="Yes",$H89*J41*(1+$AK$5),$H89*J41)</f>
        <v>0</v>
      </c>
      <c r="K89" s="292"/>
      <c r="L89" s="307">
        <v>0</v>
      </c>
      <c r="M89" s="292"/>
      <c r="N89" s="291">
        <f>IF($AK$12="Yes",$H89*N41*(1+$AK$5)^2,$H89*N41*(1+$AK$5))</f>
        <v>0</v>
      </c>
      <c r="P89" s="307">
        <v>0</v>
      </c>
      <c r="R89" s="291">
        <f>IF($AK$12="Yes",$H89*R41*(1+$AK$5)^3,$H89*R41*(1+$AK$5)^2)</f>
        <v>0</v>
      </c>
      <c r="T89" s="307">
        <v>0</v>
      </c>
      <c r="V89" s="291">
        <f>IF($AK$12="Yes",$H89*V41*(1+$AK$5)^4,$H89*V41*(1+$AK$5)^3)</f>
        <v>0</v>
      </c>
      <c r="X89" s="307">
        <v>0</v>
      </c>
      <c r="Z89" s="291">
        <f>IF($AK$12="Yes",$H89*Z41*(1+$AK$5)^5,$H89*Z41*(1+$AK$5)^4)</f>
        <v>0</v>
      </c>
      <c r="AB89" s="307">
        <v>0</v>
      </c>
      <c r="AD89" s="291">
        <f t="shared" si="195"/>
        <v>0</v>
      </c>
      <c r="AE89" s="170"/>
      <c r="AF89" s="186">
        <f t="shared" si="196"/>
        <v>0</v>
      </c>
      <c r="AN89" s="205"/>
      <c r="AS89" s="205"/>
      <c r="AX89" s="205"/>
      <c r="BC89" s="205"/>
      <c r="BH89" s="205"/>
    </row>
    <row r="90" spans="1:60" x14ac:dyDescent="0.25">
      <c r="A90" s="168" t="str">
        <f>A43</f>
        <v>Senior Personnel LOA</v>
      </c>
      <c r="C90" s="167" t="str">
        <f>C42</f>
        <v>Senior Personnel:</v>
      </c>
      <c r="H90" s="208">
        <f t="shared" si="194"/>
        <v>0.315</v>
      </c>
      <c r="I90" s="185"/>
      <c r="J90" s="291">
        <f>IF($AK$12="Yes",$H90*J43*(1+$AK$5),$H90*J43)</f>
        <v>0</v>
      </c>
      <c r="K90" s="292"/>
      <c r="L90" s="307">
        <v>0</v>
      </c>
      <c r="M90" s="292"/>
      <c r="N90" s="291">
        <f>IF($AK$12="Yes",$H90*N43*(1+$AK$5)^2,$H90*N43*(1+$AK$5))</f>
        <v>0</v>
      </c>
      <c r="P90" s="307">
        <v>0</v>
      </c>
      <c r="R90" s="291">
        <f>IF($AK$12="Yes",$H90*R43*(1+$AK$5)^3,$H90*R43*(1+$AK$5)^2)</f>
        <v>0</v>
      </c>
      <c r="T90" s="307">
        <v>0</v>
      </c>
      <c r="V90" s="291">
        <f>IF($AK$12="Yes",$H90*V43*(1+$AK$5)^4,$H90*V43*(1+$AK$5)^3)</f>
        <v>0</v>
      </c>
      <c r="X90" s="307">
        <v>0</v>
      </c>
      <c r="Z90" s="291">
        <f>IF($AK$12="Yes",$H90*Z43*(1+$AK$5)^5,$H90*Z43*(1+$AK$5)^4)</f>
        <v>0</v>
      </c>
      <c r="AB90" s="307">
        <v>0</v>
      </c>
      <c r="AD90" s="291">
        <f t="shared" si="195"/>
        <v>0</v>
      </c>
      <c r="AE90" s="170"/>
      <c r="AF90" s="186">
        <f t="shared" si="196"/>
        <v>0</v>
      </c>
      <c r="AN90" s="205"/>
      <c r="AS90" s="205"/>
      <c r="AX90" s="205"/>
      <c r="BC90" s="205"/>
      <c r="BH90" s="205"/>
    </row>
    <row r="91" spans="1:60" x14ac:dyDescent="0.25">
      <c r="A91" s="168" t="str">
        <f>A45</f>
        <v>Classified Staff</v>
      </c>
      <c r="B91" s="184"/>
      <c r="C91" s="167" t="str">
        <f>C44</f>
        <v>Administrative Assistant:</v>
      </c>
      <c r="H91" s="208">
        <f t="shared" si="194"/>
        <v>0.28899999999999998</v>
      </c>
      <c r="I91" s="185"/>
      <c r="J91" s="291">
        <f>IF($AK$12="Yes",$H91*J45*(1+$AK$5),$H91*J45)</f>
        <v>0</v>
      </c>
      <c r="K91" s="292"/>
      <c r="L91" s="307">
        <v>0</v>
      </c>
      <c r="M91" s="292"/>
      <c r="N91" s="291">
        <f>IF($AK$12="Yes",$H91*N45*(1+$AK$5)^2,$H91*N45*(1+$AK$5))</f>
        <v>0</v>
      </c>
      <c r="P91" s="307">
        <v>0</v>
      </c>
      <c r="R91" s="291">
        <f>IF($AK$12="Yes",$H91*R45*(1+$AK$5)^3,$H91*R45*(1+$AK$5)^2)</f>
        <v>0</v>
      </c>
      <c r="T91" s="307">
        <v>0</v>
      </c>
      <c r="V91" s="291">
        <f>IF($AK$12="Yes",$H91*V45*(1+$AK$5)^4,$H91*V45*(1+$AK$5)^3)</f>
        <v>0</v>
      </c>
      <c r="X91" s="307">
        <v>0</v>
      </c>
      <c r="Z91" s="291">
        <f>IF($AK$12="Yes",$H91*Z45*(1+$AK$5)^5,$H91*Z45*(1+$AK$5)^4)</f>
        <v>0</v>
      </c>
      <c r="AB91" s="307">
        <v>0</v>
      </c>
      <c r="AD91" s="291">
        <f t="shared" si="195"/>
        <v>0</v>
      </c>
      <c r="AE91" s="170"/>
      <c r="AF91" s="186">
        <f t="shared" si="196"/>
        <v>0</v>
      </c>
      <c r="AN91" s="205"/>
      <c r="AS91" s="205"/>
      <c r="AX91" s="205"/>
      <c r="BC91" s="205"/>
      <c r="BH91" s="205"/>
    </row>
    <row r="92" spans="1:60" x14ac:dyDescent="0.25">
      <c r="A92" s="168" t="str">
        <f>A47</f>
        <v>Classified Staff</v>
      </c>
      <c r="B92" s="184"/>
      <c r="C92" s="167" t="str">
        <f>C46</f>
        <v>Administrative Assistant:</v>
      </c>
      <c r="H92" s="208">
        <f t="shared" si="194"/>
        <v>0.28899999999999998</v>
      </c>
      <c r="I92" s="185"/>
      <c r="J92" s="291">
        <f>IF($AK$12="Yes",$H92*J47*(1+$AK$5),$H92*J47)</f>
        <v>0</v>
      </c>
      <c r="K92" s="292"/>
      <c r="L92" s="307">
        <v>0</v>
      </c>
      <c r="M92" s="292"/>
      <c r="N92" s="291">
        <f>IF($AK$12="Yes",$H92*N47*(1+$AK$5)^2,$H92*N47*(1+$AK$5))</f>
        <v>0</v>
      </c>
      <c r="P92" s="307">
        <v>0</v>
      </c>
      <c r="R92" s="291">
        <f>IF($AK$12="Yes",$H92*R47*(1+$AK$5)^3,$H92*R47*(1+$AK$5)^2)</f>
        <v>0</v>
      </c>
      <c r="T92" s="307">
        <v>0</v>
      </c>
      <c r="V92" s="291">
        <f>IF($AK$12="Yes",$H92*V47*(1+$AK$5)^4,$H92*V47*(1+$AK$5)^3)</f>
        <v>0</v>
      </c>
      <c r="X92" s="307">
        <v>0</v>
      </c>
      <c r="Z92" s="291">
        <f>IF($AK$12="Yes",$H92*Z47*(1+$AK$5)^5,$H92*Z47*(1+$AK$5)^4)</f>
        <v>0</v>
      </c>
      <c r="AB92" s="307">
        <v>0</v>
      </c>
      <c r="AD92" s="291">
        <f t="shared" si="195"/>
        <v>0</v>
      </c>
      <c r="AE92" s="170"/>
      <c r="AF92" s="186">
        <f t="shared" si="196"/>
        <v>0</v>
      </c>
      <c r="AN92" s="205"/>
      <c r="AS92" s="205"/>
      <c r="AX92" s="205"/>
      <c r="BC92" s="205"/>
      <c r="BH92" s="205"/>
    </row>
    <row r="93" spans="1:60" x14ac:dyDescent="0.25">
      <c r="A93" s="168" t="str">
        <f>A49</f>
        <v>GRA AY</v>
      </c>
      <c r="C93" s="167" t="str">
        <f>C48</f>
        <v>Graduate Research Assistant</v>
      </c>
      <c r="H93" s="208">
        <f t="shared" si="194"/>
        <v>2.9000000000000001E-2</v>
      </c>
      <c r="I93" s="185"/>
      <c r="J93" s="291">
        <f>IF($AK$12="Yes",$H93*SUM(J49)*(1+$AK$5), $H93*SUM(J49))</f>
        <v>0</v>
      </c>
      <c r="L93" s="307">
        <v>0</v>
      </c>
      <c r="N93" s="291">
        <f>IF($AK$12="Yes",$H93*N49*(1+$AK$5)^2,$H93*N49*(1+$AK$5))</f>
        <v>0</v>
      </c>
      <c r="O93" s="291"/>
      <c r="P93" s="307">
        <v>0</v>
      </c>
      <c r="Q93" s="291"/>
      <c r="R93" s="291">
        <f>IF($AK$12="Yes",$H93*SUM(R49)*(1+$AK$5), $H93*SUM(R49))</f>
        <v>0</v>
      </c>
      <c r="S93" s="291"/>
      <c r="T93" s="307">
        <v>0</v>
      </c>
      <c r="U93" s="291"/>
      <c r="V93" s="291">
        <f>IF($AK$12="Yes",$H93*SUM(V49)*(1+$AK$5), $H93*SUM(V49))</f>
        <v>0</v>
      </c>
      <c r="W93" s="291"/>
      <c r="X93" s="307">
        <v>0</v>
      </c>
      <c r="Y93" s="291"/>
      <c r="Z93" s="291">
        <f>IF($AK$12="Yes",$H93*SUM(Z49)*(1+$AK$5), $H93*SUM(Z49))</f>
        <v>0</v>
      </c>
      <c r="AA93" s="291"/>
      <c r="AB93" s="307">
        <v>0</v>
      </c>
      <c r="AC93" s="291"/>
      <c r="AD93" s="291">
        <f t="shared" si="195"/>
        <v>0</v>
      </c>
      <c r="AE93" s="170"/>
      <c r="AF93" s="186">
        <f t="shared" si="196"/>
        <v>0</v>
      </c>
      <c r="AN93" s="205"/>
      <c r="AS93" s="205"/>
      <c r="AX93" s="205"/>
      <c r="BC93" s="205"/>
      <c r="BH93" s="205"/>
    </row>
    <row r="94" spans="1:60" x14ac:dyDescent="0.25">
      <c r="A94" s="168" t="str">
        <f>A50</f>
        <v>GRA Summer</v>
      </c>
      <c r="D94" s="167" t="s">
        <v>82</v>
      </c>
      <c r="H94" s="208">
        <f t="shared" si="194"/>
        <v>0.109</v>
      </c>
      <c r="I94" s="185"/>
      <c r="J94" s="291">
        <f>IF($AK$12="Yes",$H94*SUM(J50)*(1+$AK$5), $H94*SUM(J50))</f>
        <v>0</v>
      </c>
      <c r="L94" s="307">
        <v>0</v>
      </c>
      <c r="N94" s="291">
        <f>IF($AK$12="Yes",$H94*N50*(1+$AK$5)^2,$H94*N50*(1+$AK$5))</f>
        <v>0</v>
      </c>
      <c r="O94" s="291"/>
      <c r="P94" s="307">
        <v>0</v>
      </c>
      <c r="Q94" s="291"/>
      <c r="R94" s="291">
        <f>IF($AK$12="Yes",$H94*SUM(R50)*(1+$AK$5), $H94*SUM(R50))</f>
        <v>0</v>
      </c>
      <c r="S94" s="291"/>
      <c r="T94" s="307">
        <v>0</v>
      </c>
      <c r="U94" s="291"/>
      <c r="V94" s="291">
        <f>IF($AK$12="Yes",$H94*SUM(V50)*(1+$AK$5), $H94*SUM(V50))</f>
        <v>0</v>
      </c>
      <c r="W94" s="291"/>
      <c r="X94" s="307">
        <v>0</v>
      </c>
      <c r="Y94" s="291"/>
      <c r="Z94" s="291">
        <f>IF($AK$12="Yes",$H94*SUM(Z50)*(1+$AK$5), $H94*SUM(Z50))</f>
        <v>0</v>
      </c>
      <c r="AA94" s="291"/>
      <c r="AB94" s="307">
        <v>0</v>
      </c>
      <c r="AC94" s="291"/>
      <c r="AD94" s="291">
        <f t="shared" si="195"/>
        <v>0</v>
      </c>
      <c r="AE94" s="170"/>
      <c r="AF94" s="186">
        <f t="shared" si="196"/>
        <v>0</v>
      </c>
      <c r="AN94" s="205"/>
      <c r="AS94" s="205"/>
      <c r="AX94" s="205"/>
      <c r="BC94" s="205"/>
      <c r="BH94" s="205"/>
    </row>
    <row r="95" spans="1:60" x14ac:dyDescent="0.25">
      <c r="A95" s="168" t="str">
        <f>A52</f>
        <v>GRA AY</v>
      </c>
      <c r="C95" s="167" t="str">
        <f>C51</f>
        <v>Graduate Research Assistant</v>
      </c>
      <c r="H95" s="208">
        <f t="shared" si="194"/>
        <v>2.9000000000000001E-2</v>
      </c>
      <c r="I95" s="185"/>
      <c r="J95" s="291">
        <f>IF($AK$12="Yes",$H95*SUM(J52)*(1+$AK$5), $H95*SUM(J52))</f>
        <v>0</v>
      </c>
      <c r="L95" s="307">
        <v>0</v>
      </c>
      <c r="N95" s="291">
        <f>IF($AK$12="Yes",$H95*N52*(1+$AK$5)^2,$H95*N52*(1+$AK$5))</f>
        <v>0</v>
      </c>
      <c r="O95" s="291"/>
      <c r="P95" s="307">
        <v>0</v>
      </c>
      <c r="Q95" s="291"/>
      <c r="R95" s="291">
        <f>IF($AK$12="Yes",$H95*SUM(R52)*(1+$AK$5), $H95*SUM(R52))</f>
        <v>0</v>
      </c>
      <c r="S95" s="291"/>
      <c r="T95" s="307">
        <v>0</v>
      </c>
      <c r="U95" s="291"/>
      <c r="V95" s="291">
        <f>IF($AK$12="Yes",$H95*SUM(V52)*(1+$AK$5), $H95*SUM(V52))</f>
        <v>0</v>
      </c>
      <c r="W95" s="291"/>
      <c r="X95" s="307">
        <v>0</v>
      </c>
      <c r="Y95" s="291"/>
      <c r="Z95" s="291">
        <f>IF($AK$12="Yes",$H95*SUM(Z52)*(1+$AK$5), $H95*SUM(Z52))</f>
        <v>0</v>
      </c>
      <c r="AA95" s="291"/>
      <c r="AB95" s="307">
        <v>0</v>
      </c>
      <c r="AC95" s="291"/>
      <c r="AD95" s="291">
        <f t="shared" si="195"/>
        <v>0</v>
      </c>
      <c r="AE95" s="170"/>
      <c r="AF95" s="186">
        <f t="shared" si="196"/>
        <v>0</v>
      </c>
      <c r="AN95" s="205"/>
      <c r="AS95" s="205"/>
      <c r="AX95" s="205"/>
      <c r="BC95" s="205"/>
      <c r="BH95" s="205"/>
    </row>
    <row r="96" spans="1:60" x14ac:dyDescent="0.25">
      <c r="A96" s="168" t="str">
        <f>A53</f>
        <v>GRA Summer</v>
      </c>
      <c r="D96" s="167" t="s">
        <v>82</v>
      </c>
      <c r="H96" s="208">
        <f t="shared" si="194"/>
        <v>0.109</v>
      </c>
      <c r="I96" s="185"/>
      <c r="J96" s="291">
        <f>IF($AK$12="Yes",$H96*SUM(J53)*(1+$AK$5), $H96*SUM(J53))</f>
        <v>0</v>
      </c>
      <c r="L96" s="307">
        <v>0</v>
      </c>
      <c r="N96" s="291">
        <f>IF($AK$12="Yes",$H96*N53*(1+$AK$5)^2,$H96*N53*(1+$AK$5))</f>
        <v>0</v>
      </c>
      <c r="O96" s="291"/>
      <c r="P96" s="307">
        <v>0</v>
      </c>
      <c r="Q96" s="291"/>
      <c r="R96" s="291">
        <f>IF($AK$12="Yes",$H96*SUM(R53)*(1+$AK$5), $H96*SUM(R53))</f>
        <v>0</v>
      </c>
      <c r="S96" s="291"/>
      <c r="T96" s="307">
        <v>0</v>
      </c>
      <c r="U96" s="291"/>
      <c r="V96" s="291">
        <f>IF($AK$12="Yes",$H96*SUM(V53)*(1+$AK$5), $H96*SUM(V53))</f>
        <v>0</v>
      </c>
      <c r="W96" s="291"/>
      <c r="X96" s="307">
        <v>0</v>
      </c>
      <c r="Y96" s="291"/>
      <c r="Z96" s="291">
        <f>IF($AK$12="Yes",$H96*SUM(Z53)*(1+$AK$5), $H96*SUM(Z53))</f>
        <v>0</v>
      </c>
      <c r="AA96" s="291"/>
      <c r="AB96" s="307">
        <v>0</v>
      </c>
      <c r="AC96" s="291"/>
      <c r="AD96" s="291">
        <f t="shared" si="195"/>
        <v>0</v>
      </c>
      <c r="AE96" s="170"/>
      <c r="AF96" s="186">
        <f t="shared" si="196"/>
        <v>0</v>
      </c>
      <c r="AN96" s="205"/>
      <c r="AS96" s="205"/>
      <c r="AX96" s="205"/>
      <c r="BC96" s="205"/>
      <c r="BH96" s="205"/>
    </row>
    <row r="97" spans="1:60" x14ac:dyDescent="0.25">
      <c r="A97" s="168" t="str">
        <f>A55</f>
        <v>GRA AY</v>
      </c>
      <c r="C97" s="167" t="str">
        <f>C54</f>
        <v>Graduate Research Assistant</v>
      </c>
      <c r="H97" s="208">
        <f t="shared" si="194"/>
        <v>2.9000000000000001E-2</v>
      </c>
      <c r="I97" s="185"/>
      <c r="J97" s="291">
        <f>IF($AK$12="Yes",$H97*SUM(J55)*(1+$AK$5), $H97*SUM(J55))</f>
        <v>0</v>
      </c>
      <c r="L97" s="307">
        <v>0</v>
      </c>
      <c r="N97" s="291">
        <f>IF($AK$12="Yes",$H97*N55*(1+$AK$5)^2,$H97*N55*(1+$AK$5))</f>
        <v>0</v>
      </c>
      <c r="O97" s="291"/>
      <c r="P97" s="307">
        <v>0</v>
      </c>
      <c r="Q97" s="291"/>
      <c r="R97" s="291">
        <f>IF($AK$12="Yes",$H97*SUM(R55)*(1+$AK$5), $H97*SUM(R55))</f>
        <v>0</v>
      </c>
      <c r="S97" s="291"/>
      <c r="T97" s="307">
        <v>0</v>
      </c>
      <c r="U97" s="291"/>
      <c r="V97" s="291">
        <f>IF($AK$12="Yes",$H97*SUM(V55)*(1+$AK$5), $H97*SUM(V55))</f>
        <v>0</v>
      </c>
      <c r="W97" s="291"/>
      <c r="X97" s="307">
        <v>0</v>
      </c>
      <c r="Y97" s="291"/>
      <c r="Z97" s="291">
        <f>IF($AK$12="Yes",$H97*SUM(Z55)*(1+$AK$5), $H97*SUM(Z55))</f>
        <v>0</v>
      </c>
      <c r="AA97" s="291"/>
      <c r="AB97" s="307">
        <v>0</v>
      </c>
      <c r="AC97" s="291"/>
      <c r="AD97" s="291">
        <f t="shared" si="195"/>
        <v>0</v>
      </c>
      <c r="AE97" s="170"/>
      <c r="AF97" s="186">
        <f t="shared" si="196"/>
        <v>0</v>
      </c>
      <c r="AN97" s="205"/>
      <c r="AS97" s="205"/>
      <c r="AX97" s="205"/>
      <c r="BC97" s="205"/>
      <c r="BH97" s="205"/>
    </row>
    <row r="98" spans="1:60" x14ac:dyDescent="0.25">
      <c r="A98" s="168" t="str">
        <f>A56</f>
        <v>GRA Summer</v>
      </c>
      <c r="D98" s="167" t="s">
        <v>82</v>
      </c>
      <c r="H98" s="208">
        <f t="shared" si="194"/>
        <v>0.109</v>
      </c>
      <c r="I98" s="185"/>
      <c r="J98" s="291">
        <f>IF($AK$12="Yes",$H98*SUM(J56)*(1+$AK$5), $H98*SUM(J56))</f>
        <v>0</v>
      </c>
      <c r="L98" s="307">
        <v>0</v>
      </c>
      <c r="N98" s="291">
        <f>IF($AK$12="Yes",$H98*N56*(1+$AK$5)^2,$H98*N56*(1+$AK$5))</f>
        <v>0</v>
      </c>
      <c r="O98" s="291"/>
      <c r="P98" s="307">
        <v>0</v>
      </c>
      <c r="Q98" s="291"/>
      <c r="R98" s="291">
        <f>IF($AK$12="Yes",$H98*SUM(R56)*(1+$AK$5), $H98*SUM(R56))</f>
        <v>0</v>
      </c>
      <c r="S98" s="291"/>
      <c r="T98" s="307">
        <v>0</v>
      </c>
      <c r="U98" s="291"/>
      <c r="V98" s="291">
        <f>IF($AK$12="Yes",$H98*SUM(V56)*(1+$AK$5), $H98*SUM(V56))</f>
        <v>0</v>
      </c>
      <c r="W98" s="291"/>
      <c r="X98" s="307">
        <v>0</v>
      </c>
      <c r="Y98" s="291"/>
      <c r="Z98" s="291">
        <f>IF($AK$12="Yes",$H98*SUM(Z56)*(1+$AK$5), $H98*SUM(Z56))</f>
        <v>0</v>
      </c>
      <c r="AA98" s="291"/>
      <c r="AB98" s="307">
        <v>0</v>
      </c>
      <c r="AC98" s="291"/>
      <c r="AD98" s="291">
        <f t="shared" si="195"/>
        <v>0</v>
      </c>
      <c r="AE98" s="170"/>
      <c r="AF98" s="186">
        <f t="shared" si="196"/>
        <v>0</v>
      </c>
      <c r="AN98" s="205"/>
      <c r="AS98" s="205"/>
      <c r="AX98" s="205"/>
      <c r="BC98" s="205"/>
      <c r="BH98" s="205"/>
    </row>
    <row r="99" spans="1:60" x14ac:dyDescent="0.25">
      <c r="A99" s="168" t="str">
        <f>A58</f>
        <v>GRA AY</v>
      </c>
      <c r="C99" s="167" t="str">
        <f>C57</f>
        <v>Graduate Research Assistant</v>
      </c>
      <c r="H99" s="208">
        <f t="shared" si="194"/>
        <v>2.9000000000000001E-2</v>
      </c>
      <c r="I99" s="185"/>
      <c r="J99" s="291">
        <f>IF($AK$12="Yes",$H99*SUM(J58)*(1+$AK$5), $H99*SUM(J58))</f>
        <v>0</v>
      </c>
      <c r="L99" s="307">
        <v>0</v>
      </c>
      <c r="N99" s="291">
        <f>IF($AK$12="Yes",$H99*N58*(1+$AK$5)^2,$H99*N58*(1+$AK$5))</f>
        <v>0</v>
      </c>
      <c r="O99" s="291"/>
      <c r="P99" s="307">
        <v>0</v>
      </c>
      <c r="Q99" s="291"/>
      <c r="R99" s="291">
        <f>IF($AK$12="Yes",$H99*SUM(R58)*(1+$AK$5), $H99*SUM(R58))</f>
        <v>0</v>
      </c>
      <c r="S99" s="291"/>
      <c r="T99" s="307">
        <v>0</v>
      </c>
      <c r="U99" s="291"/>
      <c r="V99" s="291">
        <f>IF($AK$12="Yes",$H99*SUM(V58)*(1+$AK$5), $H99*SUM(V58))</f>
        <v>0</v>
      </c>
      <c r="W99" s="291"/>
      <c r="X99" s="307">
        <v>0</v>
      </c>
      <c r="Y99" s="291"/>
      <c r="Z99" s="291">
        <f>IF($AK$12="Yes",$H99*SUM(Z58)*(1+$AK$5), $H99*SUM(Z58))</f>
        <v>0</v>
      </c>
      <c r="AA99" s="291"/>
      <c r="AB99" s="307">
        <v>0</v>
      </c>
      <c r="AC99" s="291"/>
      <c r="AD99" s="291">
        <f t="shared" si="195"/>
        <v>0</v>
      </c>
      <c r="AE99" s="170"/>
      <c r="AF99" s="186">
        <f t="shared" si="196"/>
        <v>0</v>
      </c>
      <c r="AN99" s="205"/>
      <c r="AS99" s="205"/>
      <c r="AX99" s="205"/>
      <c r="BC99" s="205"/>
      <c r="BH99" s="205"/>
    </row>
    <row r="100" spans="1:60" x14ac:dyDescent="0.25">
      <c r="A100" s="168" t="str">
        <f>A59</f>
        <v>GRA Summer</v>
      </c>
      <c r="D100" s="167" t="s">
        <v>82</v>
      </c>
      <c r="H100" s="208">
        <f t="shared" si="194"/>
        <v>0.109</v>
      </c>
      <c r="I100" s="185"/>
      <c r="J100" s="291">
        <f>IF($AK$12="Yes",$H100*SUM(J59)*(1+$AK$5), $H100*SUM(J59))</f>
        <v>0</v>
      </c>
      <c r="L100" s="307">
        <v>0</v>
      </c>
      <c r="N100" s="291">
        <f>IF($AK$12="Yes",$H100*N59*(1+$AK$5)^2,$H100*N59*(1+$AK$5))</f>
        <v>0</v>
      </c>
      <c r="O100" s="291"/>
      <c r="P100" s="307">
        <v>0</v>
      </c>
      <c r="Q100" s="291"/>
      <c r="R100" s="291">
        <f>IF($AK$12="Yes",$H100*SUM(R59)*(1+$AK$5), $H100*SUM(R59))</f>
        <v>0</v>
      </c>
      <c r="S100" s="291"/>
      <c r="T100" s="307">
        <v>0</v>
      </c>
      <c r="U100" s="291"/>
      <c r="V100" s="291">
        <f>IF($AK$12="Yes",$H100*SUM(V59)*(1+$AK$5), $H100*SUM(V59))</f>
        <v>0</v>
      </c>
      <c r="W100" s="291"/>
      <c r="X100" s="307">
        <v>0</v>
      </c>
      <c r="Y100" s="291"/>
      <c r="Z100" s="291">
        <f>IF($AK$12="Yes",$H100*SUM(Z59)*(1+$AK$5), $H100*SUM(Z59))</f>
        <v>0</v>
      </c>
      <c r="AA100" s="291"/>
      <c r="AB100" s="307">
        <v>0</v>
      </c>
      <c r="AC100" s="291"/>
      <c r="AD100" s="291">
        <f t="shared" si="195"/>
        <v>0</v>
      </c>
      <c r="AE100" s="170"/>
      <c r="AF100" s="186">
        <f t="shared" si="196"/>
        <v>0</v>
      </c>
      <c r="AN100" s="205"/>
      <c r="AS100" s="205"/>
      <c r="AX100" s="205"/>
      <c r="BC100" s="205"/>
      <c r="BH100" s="205"/>
    </row>
    <row r="101" spans="1:60" x14ac:dyDescent="0.25">
      <c r="A101" s="383" t="str">
        <f>A61</f>
        <v>GRA AY</v>
      </c>
      <c r="C101" s="357" t="s">
        <v>371</v>
      </c>
      <c r="D101" s="357"/>
      <c r="E101" s="357"/>
      <c r="F101" s="358"/>
      <c r="G101" s="358"/>
      <c r="H101" s="417">
        <v>2.9000000000000001E-2</v>
      </c>
      <c r="I101" s="418"/>
      <c r="J101" s="368">
        <f>$H$101*J61</f>
        <v>0</v>
      </c>
      <c r="K101" s="368"/>
      <c r="L101" s="368"/>
      <c r="M101" s="368"/>
      <c r="N101" s="368">
        <f>$H$101*N61</f>
        <v>0</v>
      </c>
      <c r="O101" s="368"/>
      <c r="P101" s="368"/>
      <c r="Q101" s="368"/>
      <c r="R101" s="368">
        <f>$H$101*R61</f>
        <v>0</v>
      </c>
      <c r="S101" s="368"/>
      <c r="T101" s="368"/>
      <c r="U101" s="368"/>
      <c r="V101" s="368">
        <f>$H$101*V61</f>
        <v>0</v>
      </c>
      <c r="W101" s="368"/>
      <c r="X101" s="368"/>
      <c r="Y101" s="368"/>
      <c r="Z101" s="368">
        <f>$H$101*Z61</f>
        <v>0</v>
      </c>
      <c r="AA101" s="368"/>
      <c r="AB101" s="368"/>
      <c r="AC101" s="368"/>
      <c r="AD101" s="368">
        <f t="shared" si="195"/>
        <v>0</v>
      </c>
      <c r="AE101" s="170"/>
      <c r="AF101" s="186"/>
      <c r="AN101" s="205"/>
      <c r="AS101" s="205"/>
      <c r="AX101" s="205"/>
      <c r="BC101" s="205"/>
      <c r="BH101" s="205"/>
    </row>
    <row r="102" spans="1:60" x14ac:dyDescent="0.25">
      <c r="A102" s="168" t="str">
        <f>A63</f>
        <v>Hourly Student AY</v>
      </c>
      <c r="C102" s="167" t="str">
        <f>C62</f>
        <v>Undergraduate Research Assistant</v>
      </c>
      <c r="H102" s="208">
        <f t="shared" ref="H102:H107" si="197">VLOOKUP(A102,$D$323:$F$337,3, FALSE)</f>
        <v>2.9000000000000001E-2</v>
      </c>
      <c r="I102" s="185"/>
      <c r="J102" s="291">
        <f>IF($AK$12="Yes",$H102*SUM(J63)*(1+$AK$5), $H102*SUM(J63))</f>
        <v>0</v>
      </c>
      <c r="L102" s="307">
        <v>0</v>
      </c>
      <c r="N102" s="291">
        <f>IF($AK$12="Yes",$H102*N63*(1+$AK$5)^2,$H102*N63*(1+$AK$5))</f>
        <v>0</v>
      </c>
      <c r="O102" s="291"/>
      <c r="P102" s="307">
        <v>0</v>
      </c>
      <c r="Q102" s="291"/>
      <c r="R102" s="291">
        <f>IF($AK$12="Yes",$H102*SUM(R63)*(1+$AK$5), $H102*SUM(R63))</f>
        <v>0</v>
      </c>
      <c r="S102" s="291"/>
      <c r="T102" s="307">
        <v>0</v>
      </c>
      <c r="U102" s="291"/>
      <c r="V102" s="291">
        <f>IF($AK$12="Yes",$H102*SUM(V63)*(1+$AK$5), $H102*SUM(V63))</f>
        <v>0</v>
      </c>
      <c r="W102" s="291"/>
      <c r="X102" s="307">
        <v>0</v>
      </c>
      <c r="Y102" s="291"/>
      <c r="Z102" s="291">
        <f>IF($AK$12="Yes",$H102*SUM(Z63)*(1+$AK$5), $H102*SUM(Z63))</f>
        <v>0</v>
      </c>
      <c r="AA102" s="291"/>
      <c r="AB102" s="307">
        <v>0</v>
      </c>
      <c r="AC102" s="291"/>
      <c r="AD102" s="291">
        <f t="shared" si="195"/>
        <v>0</v>
      </c>
      <c r="AE102" s="170"/>
      <c r="AF102" s="186">
        <f t="shared" si="196"/>
        <v>0</v>
      </c>
      <c r="AN102" s="205"/>
      <c r="AS102" s="205"/>
      <c r="AX102" s="205"/>
      <c r="BC102" s="205"/>
      <c r="BH102" s="205"/>
    </row>
    <row r="103" spans="1:60" x14ac:dyDescent="0.25">
      <c r="A103" s="168" t="str">
        <f>A64</f>
        <v>Hourly Student Summer</v>
      </c>
      <c r="D103" s="167" t="s">
        <v>82</v>
      </c>
      <c r="H103" s="208">
        <f t="shared" si="197"/>
        <v>0.109</v>
      </c>
      <c r="I103" s="185"/>
      <c r="J103" s="291">
        <f>IF($AK$12="Yes",$H103*SUM(J64)*(1+$AK$5), $H103*SUM(J64))</f>
        <v>0</v>
      </c>
      <c r="L103" s="307">
        <v>0</v>
      </c>
      <c r="N103" s="291">
        <f>IF($AK$12="Yes",$H103*N64*(1+$AK$5)^2,$H103*N64*(1+$AK$5))</f>
        <v>0</v>
      </c>
      <c r="O103" s="291"/>
      <c r="P103" s="307">
        <v>0</v>
      </c>
      <c r="Q103" s="291"/>
      <c r="R103" s="291">
        <f>IF($AK$12="Yes",$H103*SUM(R64)*(1+$AK$5), $H103*SUM(R64))</f>
        <v>0</v>
      </c>
      <c r="S103" s="291"/>
      <c r="T103" s="307">
        <v>0</v>
      </c>
      <c r="U103" s="291"/>
      <c r="V103" s="291">
        <f>IF($AK$12="Yes",$H103*SUM(V64)*(1+$AK$5), $H103*SUM(V64))</f>
        <v>0</v>
      </c>
      <c r="W103" s="291"/>
      <c r="X103" s="307">
        <v>0</v>
      </c>
      <c r="Y103" s="291"/>
      <c r="Z103" s="291">
        <f>IF($AK$12="Yes",$H103*SUM(Z64)*(1+$AK$5), $H103*SUM(Z64))</f>
        <v>0</v>
      </c>
      <c r="AA103" s="291"/>
      <c r="AB103" s="307">
        <v>0</v>
      </c>
      <c r="AC103" s="291"/>
      <c r="AD103" s="291">
        <f t="shared" si="195"/>
        <v>0</v>
      </c>
      <c r="AE103" s="170"/>
      <c r="AF103" s="186">
        <f t="shared" si="196"/>
        <v>0</v>
      </c>
      <c r="AN103" s="205"/>
      <c r="AS103" s="205"/>
      <c r="AX103" s="205"/>
      <c r="BC103" s="205"/>
      <c r="BH103" s="205"/>
    </row>
    <row r="104" spans="1:60" x14ac:dyDescent="0.25">
      <c r="A104" s="168" t="str">
        <f>A66</f>
        <v>Hourly Student AY</v>
      </c>
      <c r="C104" s="167" t="str">
        <f>C65</f>
        <v>Undergraduate Research Assistant</v>
      </c>
      <c r="H104" s="208">
        <f t="shared" si="197"/>
        <v>2.9000000000000001E-2</v>
      </c>
      <c r="I104" s="185"/>
      <c r="J104" s="291">
        <f>IF($AK$12="Yes",$H104*SUM(J66)*(1+$AK$5), $H104*SUM(J66))</f>
        <v>0</v>
      </c>
      <c r="L104" s="307">
        <v>0</v>
      </c>
      <c r="N104" s="291">
        <f>IF($AK$12="Yes",$H104*N66*(1+$AK$5)^2,$H104*N66*(1+$AK$5))</f>
        <v>0</v>
      </c>
      <c r="O104" s="291"/>
      <c r="P104" s="307">
        <v>0</v>
      </c>
      <c r="Q104" s="291"/>
      <c r="R104" s="291">
        <f>IF($AK$12="Yes",$H104*SUM(R66)*(1+$AK$5), $H104*SUM(R66))</f>
        <v>0</v>
      </c>
      <c r="S104" s="291"/>
      <c r="T104" s="307">
        <v>0</v>
      </c>
      <c r="U104" s="291"/>
      <c r="V104" s="291">
        <f>IF($AK$12="Yes",$H104*SUM(V66)*(1+$AK$5), $H104*SUM(V66))</f>
        <v>0</v>
      </c>
      <c r="W104" s="291"/>
      <c r="X104" s="307">
        <v>0</v>
      </c>
      <c r="Y104" s="291"/>
      <c r="Z104" s="291">
        <f>IF($AK$12="Yes",$H104*SUM(Z66)*(1+$AK$5), $H104*SUM(Z66))</f>
        <v>0</v>
      </c>
      <c r="AA104" s="291"/>
      <c r="AB104" s="307">
        <v>0</v>
      </c>
      <c r="AC104" s="291"/>
      <c r="AD104" s="291">
        <f t="shared" si="195"/>
        <v>0</v>
      </c>
      <c r="AE104" s="170"/>
      <c r="AF104" s="186">
        <f t="shared" si="196"/>
        <v>0</v>
      </c>
      <c r="AN104" s="205"/>
      <c r="AS104" s="205"/>
      <c r="AX104" s="205"/>
      <c r="BC104" s="205"/>
      <c r="BH104" s="205"/>
    </row>
    <row r="105" spans="1:60" x14ac:dyDescent="0.25">
      <c r="A105" s="168" t="str">
        <f>A67</f>
        <v>Hourly Student Summer</v>
      </c>
      <c r="D105" s="167" t="s">
        <v>82</v>
      </c>
      <c r="H105" s="208">
        <f t="shared" si="197"/>
        <v>0.109</v>
      </c>
      <c r="I105" s="185"/>
      <c r="J105" s="291">
        <f>IF($AK$12="Yes",$H105*SUM(J67)*(1+$AK$5), $H105*SUM(J67))</f>
        <v>0</v>
      </c>
      <c r="L105" s="307">
        <v>0</v>
      </c>
      <c r="N105" s="291">
        <f>IF($AK$12="Yes",$H105*N67*(1+$AK$5)^2,$H105*N67*(1+$AK$5))</f>
        <v>0</v>
      </c>
      <c r="O105" s="291"/>
      <c r="P105" s="307">
        <v>0</v>
      </c>
      <c r="Q105" s="291"/>
      <c r="R105" s="291">
        <f>IF($AK$12="Yes",$H105*SUM(R67)*(1+$AK$5), $H105*SUM(R67))</f>
        <v>0</v>
      </c>
      <c r="S105" s="291"/>
      <c r="T105" s="307">
        <v>0</v>
      </c>
      <c r="U105" s="291"/>
      <c r="V105" s="291">
        <f>IF($AK$12="Yes",$H105*SUM(V67)*(1+$AK$5), $H105*SUM(V67))</f>
        <v>0</v>
      </c>
      <c r="W105" s="291"/>
      <c r="X105" s="307">
        <v>0</v>
      </c>
      <c r="Y105" s="291"/>
      <c r="Z105" s="291">
        <f>IF($AK$12="Yes",$H105*SUM(Z67)*(1+$AK$5), $H105*SUM(Z67))</f>
        <v>0</v>
      </c>
      <c r="AA105" s="291"/>
      <c r="AB105" s="307">
        <v>0</v>
      </c>
      <c r="AC105" s="291"/>
      <c r="AD105" s="291">
        <f t="shared" si="195"/>
        <v>0</v>
      </c>
      <c r="AE105" s="170"/>
      <c r="AF105" s="186">
        <f t="shared" si="196"/>
        <v>0</v>
      </c>
      <c r="AN105" s="205"/>
      <c r="AS105" s="205"/>
      <c r="AX105" s="205"/>
      <c r="BC105" s="205"/>
      <c r="BH105" s="205"/>
    </row>
    <row r="106" spans="1:60" x14ac:dyDescent="0.25">
      <c r="A106" s="168" t="str">
        <f>A69</f>
        <v>Hourly Student AY</v>
      </c>
      <c r="B106" s="184"/>
      <c r="C106" s="167" t="str">
        <f>C68</f>
        <v>Undergraduate Research Assistant</v>
      </c>
      <c r="H106" s="208">
        <f t="shared" si="197"/>
        <v>2.9000000000000001E-2</v>
      </c>
      <c r="I106" s="185"/>
      <c r="J106" s="291">
        <f>IF($AK$12="Yes",$H106*SUM(J69)*(1+$AK$5), $H106*SUM(J69))</f>
        <v>0</v>
      </c>
      <c r="K106" s="292"/>
      <c r="L106" s="307">
        <v>0</v>
      </c>
      <c r="M106" s="292"/>
      <c r="N106" s="291">
        <f>IF($AK$12="Yes",$H106*N69*(1+$AK$5)^2,$H106*N69*(1+$AK$5))</f>
        <v>0</v>
      </c>
      <c r="P106" s="307">
        <v>0</v>
      </c>
      <c r="R106" s="291">
        <f>IF($AK$12="Yes",$H106*SUM(R69)*(1+$AK$5)^3, $H106*SUM(R69)*(1+$AK$5)^2)</f>
        <v>0</v>
      </c>
      <c r="T106" s="307">
        <v>0</v>
      </c>
      <c r="V106" s="291">
        <f>IF($AK$12="Yes",$H$106*SUM(V69)*(1+$AK$5)^4, $H106*SUM(V69)*(1+$AK$5)^3)</f>
        <v>0</v>
      </c>
      <c r="X106" s="307">
        <v>0</v>
      </c>
      <c r="Z106" s="291">
        <f>IF($AK$12="Yes",$H106*SUM(Z69)*(1+$AK$5)^5, $H106*SUM(Z69)*(1+$AK$5)^4)</f>
        <v>0</v>
      </c>
      <c r="AB106" s="307">
        <v>0</v>
      </c>
      <c r="AD106" s="291">
        <f t="shared" si="195"/>
        <v>0</v>
      </c>
      <c r="AE106" s="170"/>
      <c r="AF106" s="186">
        <f t="shared" si="196"/>
        <v>0</v>
      </c>
      <c r="AN106" s="205"/>
      <c r="AS106" s="205"/>
      <c r="AX106" s="205"/>
      <c r="BC106" s="205"/>
      <c r="BH106" s="205"/>
    </row>
    <row r="107" spans="1:60" x14ac:dyDescent="0.25">
      <c r="A107" s="168" t="str">
        <f>A70</f>
        <v>Hourly Student Summer</v>
      </c>
      <c r="B107" s="184"/>
      <c r="D107" s="167" t="s">
        <v>82</v>
      </c>
      <c r="H107" s="208">
        <f t="shared" si="197"/>
        <v>0.109</v>
      </c>
      <c r="I107" s="185"/>
      <c r="J107" s="291">
        <f>IF($AK$12="Yes",$H107*SUM(J70)*(1+$AK$5), $H107*SUM(J70))</f>
        <v>0</v>
      </c>
      <c r="K107" s="292"/>
      <c r="L107" s="307">
        <v>0</v>
      </c>
      <c r="M107" s="292"/>
      <c r="N107" s="291">
        <f>IF($AK$12="Yes",$H107*N70*(1+$AK$5)^2,$H107*N70*(1+$AK$5))</f>
        <v>0</v>
      </c>
      <c r="P107" s="307">
        <v>0</v>
      </c>
      <c r="R107" s="291">
        <f>IF($AK$12="Yes",$H107*SUM(R70)*(1+$AK$5)^3, $H107*SUM(R70)*(1+$AK$5)^2)</f>
        <v>0</v>
      </c>
      <c r="T107" s="307">
        <v>0</v>
      </c>
      <c r="V107" s="291">
        <f>IF($AK$12="Yes",$H$107*SUM(V70)*(1+$AK$5)^4, $H107*SUM(V70)*(1+$AK$5)^3)</f>
        <v>0</v>
      </c>
      <c r="X107" s="307">
        <v>0</v>
      </c>
      <c r="Z107" s="291">
        <f>IF($AK$12="Yes",$H107*SUM(Z70)*(1+$AK$5)^5, $H107*SUM(Z70)*(1+$AK$5)^4)</f>
        <v>0</v>
      </c>
      <c r="AB107" s="307">
        <v>0</v>
      </c>
      <c r="AD107" s="291">
        <f t="shared" si="195"/>
        <v>0</v>
      </c>
      <c r="AE107" s="170"/>
      <c r="AF107" s="186">
        <f t="shared" si="196"/>
        <v>0</v>
      </c>
      <c r="AN107" s="205"/>
      <c r="AS107" s="205"/>
      <c r="AX107" s="205"/>
      <c r="BC107" s="205"/>
      <c r="BH107" s="205"/>
    </row>
    <row r="108" spans="1:60" ht="9" customHeight="1" x14ac:dyDescent="0.25">
      <c r="I108" s="185"/>
      <c r="J108" s="311"/>
      <c r="L108" s="312"/>
      <c r="N108" s="311"/>
      <c r="P108" s="312"/>
      <c r="R108" s="313"/>
      <c r="T108" s="314"/>
      <c r="V108" s="313"/>
      <c r="X108" s="314"/>
      <c r="Z108" s="313"/>
      <c r="AB108" s="314"/>
      <c r="AD108" s="311"/>
      <c r="AF108" s="204"/>
      <c r="AN108" s="205"/>
      <c r="AS108" s="205"/>
      <c r="AX108" s="205"/>
      <c r="BC108" s="205"/>
      <c r="BH108" s="205"/>
    </row>
    <row r="109" spans="1:60" x14ac:dyDescent="0.25">
      <c r="C109" s="167" t="s">
        <v>7</v>
      </c>
      <c r="J109" s="291">
        <f>SUM(J75:J107)</f>
        <v>0</v>
      </c>
      <c r="L109" s="307">
        <f>SUM(L75:L107)</f>
        <v>0</v>
      </c>
      <c r="N109" s="291">
        <f>SUM(N75:N107)</f>
        <v>0</v>
      </c>
      <c r="P109" s="307">
        <f>SUM(P75:P107)</f>
        <v>0</v>
      </c>
      <c r="R109" s="291">
        <f>SUM(R75:R107)</f>
        <v>0</v>
      </c>
      <c r="T109" s="307">
        <f>SUM(T75:T107)</f>
        <v>0</v>
      </c>
      <c r="V109" s="291">
        <f>SUM(V75:V107)</f>
        <v>0</v>
      </c>
      <c r="X109" s="307">
        <f>SUM(X75:X107)</f>
        <v>0</v>
      </c>
      <c r="Z109" s="291">
        <f>SUM(Z75:Z107)</f>
        <v>0</v>
      </c>
      <c r="AB109" s="307">
        <f>SUM(AB75:AB107)</f>
        <v>0</v>
      </c>
      <c r="AD109" s="291">
        <f>J109+N109+R109+V109+Z109</f>
        <v>0</v>
      </c>
      <c r="AE109" s="170"/>
      <c r="AF109" s="186">
        <f>L109+P109+T109+X109+AB109</f>
        <v>0</v>
      </c>
      <c r="AN109" s="205"/>
      <c r="AS109" s="205"/>
      <c r="AX109" s="205"/>
      <c r="BC109" s="205"/>
      <c r="BH109" s="205"/>
    </row>
    <row r="110" spans="1:60" x14ac:dyDescent="0.25">
      <c r="L110" s="307"/>
      <c r="P110" s="307"/>
      <c r="R110" s="291"/>
      <c r="T110" s="307"/>
      <c r="V110" s="291"/>
      <c r="X110" s="307"/>
      <c r="Z110" s="291"/>
      <c r="AB110" s="307"/>
      <c r="AE110" s="170"/>
      <c r="AF110" s="186"/>
      <c r="AN110" s="205"/>
      <c r="AS110" s="205"/>
      <c r="AX110" s="205"/>
      <c r="BC110" s="205"/>
      <c r="BH110" s="205"/>
    </row>
    <row r="111" spans="1:60" x14ac:dyDescent="0.25">
      <c r="B111" s="184" t="s">
        <v>19</v>
      </c>
      <c r="C111" s="184" t="s">
        <v>144</v>
      </c>
      <c r="H111" s="207" t="s">
        <v>31</v>
      </c>
      <c r="I111" s="185"/>
      <c r="L111" s="307"/>
      <c r="P111" s="307"/>
      <c r="T111" s="315"/>
      <c r="X111" s="315"/>
      <c r="AB111" s="315"/>
      <c r="AE111" s="170"/>
      <c r="AF111" s="186"/>
      <c r="AN111" s="205"/>
      <c r="AS111" s="205"/>
      <c r="AX111" s="205"/>
      <c r="BC111" s="205"/>
      <c r="BH111" s="205"/>
    </row>
    <row r="112" spans="1:60" x14ac:dyDescent="0.25">
      <c r="A112" s="168" t="str">
        <f>A18</f>
        <v>Faculty, Academic Year</v>
      </c>
      <c r="B112" s="184"/>
      <c r="C112" s="167" t="str">
        <f>C17</f>
        <v xml:space="preserve">PI: </v>
      </c>
      <c r="F112" s="416"/>
      <c r="H112" s="374">
        <f t="shared" ref="H112:H136" si="198">VLOOKUP(A112, $D$323:$H$337, 4, FALSE)</f>
        <v>1262</v>
      </c>
      <c r="I112" s="185"/>
      <c r="J112" s="291">
        <f>IF($AI18=$D$394, "Manual", IF($AK$11="Yes", IF($A112="Faculty, Academic Year",IF($AL$18="AY",$H112*AP18*(1+$AK$8),0),($H112*AP18*(1+$AK$8))), IF($A112="Faculty, Academic Year",IF($AL$18="AY",$H112*AP18,0),($H112*AP18))))</f>
        <v>0</v>
      </c>
      <c r="L112" s="307">
        <v>0</v>
      </c>
      <c r="M112" s="292"/>
      <c r="N112" s="291">
        <f>IF(AI18="Yes", "Manual", IF($AK$11="Yes", IF($A112="Faculty, Academic Year",IF($AL$18="AY",$H112*AU18*(1+$AK$8)^2,0),($H112*AU18*(1+$AK$8)^2)), IF($A112="Faculty, Academic Year",IF($AL$18="AY",$H112*AU18*(1+$AK$8),0),($H112*AU18*(1+$AK$8)))))</f>
        <v>0</v>
      </c>
      <c r="O112" s="291"/>
      <c r="P112" s="307">
        <v>0</v>
      </c>
      <c r="R112" s="291">
        <f>IF(AI18="Yes", "Manual", IF($AK$11="Yes", IF($A112="Faculty, Academic Year",IF($AL$18="AY",$H112*AZ18*(1+$AK$8)^3,0),($H112*AZ18*(1+$AK$8)^3)), IF($A112="Faculty, Academic Year",IF($AL$18="AY",$H112*AZ18*(1+$AK$8)^2,0),($H112*AZ18*(1+$AK$8)^2))))</f>
        <v>0</v>
      </c>
      <c r="S112" s="291"/>
      <c r="T112" s="307">
        <v>0</v>
      </c>
      <c r="V112" s="291">
        <f>IF(AI18="Yes", "Manual", IF($AK$11="Yes", IF($A112="Faculty, Academic Year",IF($AL$18="AY",$H112*BE18*(1+$AK$8)^4,0),($H112*BE18*(1+$AK$8)^4)), IF($A112="Faculty, Academic Year",IF($AL$18="AY",$H112*BE18*(1+$AK$8)^3,0),($H112*BE18*(1+$AK$8)^3))))</f>
        <v>0</v>
      </c>
      <c r="W112" s="291"/>
      <c r="X112" s="307">
        <v>0</v>
      </c>
      <c r="Y112" s="291"/>
      <c r="Z112" s="291">
        <f>IF(AI18="Yes", "Manual", IF($AK$11="Yes", IF($A112="Faculty, Academic Year",IF($AL$18="AY",$H112*BJ18*(1+$AK$8)^5,0),($H112*BJ18*(1+$AK$8)^5)), IF($A112="Faculty, Academic Year",IF($AL$18="AY",$H112*BJ18*(1+$AK$8)^4,0),($H112*BJ18*(1+$AK$8)^4))))</f>
        <v>0</v>
      </c>
      <c r="AA112" s="291"/>
      <c r="AB112" s="307">
        <v>0</v>
      </c>
      <c r="AD112" s="291">
        <f t="shared" ref="AD112:AD136" si="199">J112+N112+R112+V112+Z112</f>
        <v>0</v>
      </c>
      <c r="AE112" s="170"/>
      <c r="AF112" s="186">
        <f t="shared" ref="AF112:AF136" si="200">L112+P112+T112+X112+AB112</f>
        <v>0</v>
      </c>
      <c r="AN112" s="205"/>
      <c r="AS112" s="205"/>
      <c r="AX112" s="205"/>
      <c r="BC112" s="205"/>
      <c r="BH112" s="205"/>
    </row>
    <row r="113" spans="1:60" x14ac:dyDescent="0.25">
      <c r="A113" s="168" t="str">
        <f>A19</f>
        <v>Faculty, Academic Year</v>
      </c>
      <c r="B113" s="184"/>
      <c r="D113" s="167" t="s">
        <v>82</v>
      </c>
      <c r="H113" s="374">
        <f t="shared" si="198"/>
        <v>1262</v>
      </c>
      <c r="I113" s="185"/>
      <c r="J113" s="291">
        <f>IF($AI19=$D$394, "Manual", IF($AK$11="Yes", IF($A113="Faculty, Academic Year",IF($AL$19="AY",$H113*AP19*(1+$AK$8),0),($H113*AP19*(1+$AK$8))), IF($A113="Faculty, Academic Year",IF($AL$19="AY",$H113*AP19,0),($H113*AP19))))</f>
        <v>0</v>
      </c>
      <c r="L113" s="307">
        <v>0</v>
      </c>
      <c r="M113" s="292"/>
      <c r="N113" s="291">
        <f>IF(AI19="Yes", "Manual", IF($AK$11="Yes", IF($A113="Faculty, Academic Year",IF($AL$19="AY",$H113*AU19*(1+$AK$8)^2,0),($H113*AU19*(1+$AK$8)^2)), IF($A113="Faculty, Academic Year",IF($AL$19="AY",$H113*AU19*(1+$AK$8),0),($H113*AU19*(1+$AK$8)))))</f>
        <v>0</v>
      </c>
      <c r="O113" s="291"/>
      <c r="P113" s="307">
        <v>0</v>
      </c>
      <c r="R113" s="291">
        <f>IF(AI19="Yes", "Manual", IF($AK$11="Yes", IF($A113="Faculty, Academic Year",IF($AL$19="AY",$H113*AZ19*(1+$AK$8)^3,0),($H113*AZ19*(1+$AK$8)^3)), IF($A113="Faculty, Academic Year",IF($AL$19="AY",$H113*AZ19*(1+$AK$8)^2,0),($H113*AZ19*(1+$AK$8)^2))))</f>
        <v>0</v>
      </c>
      <c r="S113" s="291"/>
      <c r="T113" s="307">
        <v>0</v>
      </c>
      <c r="V113" s="291">
        <f>IF(AI19="Yes", "Manual", IF($AK$11="Yes", IF($A113="Faculty, Academic Year",IF($AL$19="AY",$H113*BE19*(1+$AK$8)^4,0),($H113*BE19*(1+$AK$8)^4)), IF($A113="Faculty, Academic Year",IF($AL$19="AY",$H113*BE19*(1+$AK$8)^3,0),($H113*BE19*(1+$AK$8)^3))))</f>
        <v>0</v>
      </c>
      <c r="W113" s="291"/>
      <c r="X113" s="307">
        <v>0</v>
      </c>
      <c r="Y113" s="291"/>
      <c r="Z113" s="291">
        <f>IF(AI19="Yes", "Manual", IF($AK$11="Yes", IF($A113="Faculty, Academic Year",IF($AL$19="AY",$H113*BJ19*(1+$AK$8)^5,0),($H113*BJ19*(1+$AK$8)^5)), IF($A113="Faculty, Academic Year",IF($AL$19="AY",$H113*BJ19*(1+$AK$8)^4,0),($H113*BJ19*(1+$AK$8)^4))))</f>
        <v>0</v>
      </c>
      <c r="AA113" s="291"/>
      <c r="AB113" s="307">
        <v>0</v>
      </c>
      <c r="AD113" s="291">
        <f t="shared" si="199"/>
        <v>0</v>
      </c>
      <c r="AE113" s="170"/>
      <c r="AF113" s="186">
        <f t="shared" si="200"/>
        <v>0</v>
      </c>
      <c r="AN113" s="205"/>
      <c r="AS113" s="205"/>
      <c r="AX113" s="205"/>
      <c r="BC113" s="205"/>
      <c r="BH113" s="205"/>
    </row>
    <row r="114" spans="1:60" x14ac:dyDescent="0.25">
      <c r="A114" s="168" t="str">
        <f>A21</f>
        <v>Faculty, Academic Year</v>
      </c>
      <c r="B114" s="184"/>
      <c r="C114" s="167" t="str">
        <f>C20</f>
        <v xml:space="preserve">Co-PI: </v>
      </c>
      <c r="H114" s="374">
        <f t="shared" si="198"/>
        <v>1262</v>
      </c>
      <c r="I114" s="185"/>
      <c r="J114" s="291">
        <f>IF($AI21=$D$394, "Manual", IF($AK$11="Yes", IF($A114="Faculty, Academic Year",IF($AL$21="AY",$H114*AP21*(1+$AK$8),0),($H114*AP21*(1+$AK$8))), IF($A114="Faculty, Academic Year",IF($AL$21="AY",$H114*AP21,0),($H114*AP21))))</f>
        <v>0</v>
      </c>
      <c r="L114" s="307">
        <v>0</v>
      </c>
      <c r="M114" s="292"/>
      <c r="N114" s="291">
        <f>IF(AI21="Yes", "Manual", IF($AK$11="Yes", IF($A114="Faculty, Academic Year",IF($AL$21="AY",$H114*AU21*(1+$AK$8)^2,0),($H114*AU21*(1+$AK$8)^2)), IF($A114="Faculty, Academic Year",IF($AL$21="AY",$H114*AU21*(1+$AK$8),0),($H114*AU21*(1+$AK$8)))))</f>
        <v>0</v>
      </c>
      <c r="O114" s="291"/>
      <c r="P114" s="307">
        <v>0</v>
      </c>
      <c r="R114" s="291">
        <f>IF(AI21="Yes", "Manual", IF($AK$11="Yes", IF($A114="Faculty, Academic Year",IF($AL$21="AY",$H114*AZ21*(1+$AK$8)^3,0),($H114*AZ21*(1+$AK$8)^3)), IF($A114="Faculty, Academic Year",IF($AL$21="AY",$H114*AZ21*(1+$AK$8)^2,0),($H114*AZ21*(1+$AK$8)^2))))</f>
        <v>0</v>
      </c>
      <c r="S114" s="291"/>
      <c r="T114" s="307">
        <v>0</v>
      </c>
      <c r="V114" s="291">
        <f>IF(AI21="Yes", "Manual", IF($AK$11="Yes", IF($A114="Faculty, Academic Year",IF($AL$21="AY",$H114*BE21*(1+$AK$8)^4,0),($H114*BE21*(1+$AK$8)^4)), IF($A114="Faculty, Academic Year",IF($AL$21="AY",$H114*BE21*(1+$AK$8)^3,0),($H114*BE21*(1+$AK$8)^3))))</f>
        <v>0</v>
      </c>
      <c r="W114" s="291"/>
      <c r="X114" s="307">
        <v>0</v>
      </c>
      <c r="Y114" s="291"/>
      <c r="Z114" s="291">
        <f>IF(AI21="Yes", "Manual", IF($AK$11="Yes", IF($A114="Faculty, Academic Year",IF($AL$21="AY",$H114*BJ21*(1+$AK$8)^5,0),($H114*BJ21*(1+$AK$8)^5)), IF($A114="Faculty, Academic Year",IF($AL$21="AY",$H114*BJ21*(1+$AK$8)^4,0),($H114*BJ21*(1+$AK$8)^4))))</f>
        <v>0</v>
      </c>
      <c r="AA114" s="291"/>
      <c r="AB114" s="307">
        <v>0</v>
      </c>
      <c r="AD114" s="291">
        <f t="shared" si="199"/>
        <v>0</v>
      </c>
      <c r="AE114" s="170"/>
      <c r="AF114" s="186">
        <f t="shared" si="200"/>
        <v>0</v>
      </c>
      <c r="AN114" s="205"/>
      <c r="AS114" s="205"/>
      <c r="AX114" s="205"/>
      <c r="BC114" s="205"/>
      <c r="BH114" s="205"/>
    </row>
    <row r="115" spans="1:60" x14ac:dyDescent="0.25">
      <c r="A115" s="168" t="str">
        <f>A22</f>
        <v>Faculty, Academic Year</v>
      </c>
      <c r="B115" s="184"/>
      <c r="D115" s="167" t="s">
        <v>82</v>
      </c>
      <c r="H115" s="374">
        <f t="shared" si="198"/>
        <v>1262</v>
      </c>
      <c r="I115" s="185"/>
      <c r="J115" s="291">
        <f>IF($AI22=$D$394, "Manual", IF($AK$11="Yes", IF($A115="Faculty, Academic Year",IF($AL$22="AY",$H115*AP22*(1+$AK$8),0),($H115*AP22*(1+$AK$8))), IF($A115="Faculty, Academic Year",IF($AL$22="AY",$H115*AP22,0),($H115*AP22))))</f>
        <v>0</v>
      </c>
      <c r="L115" s="307">
        <v>0</v>
      </c>
      <c r="N115" s="291">
        <f>IF(AI22="Yes", "Manual", IF($AK$11="Yes", IF($A115="Faculty, Academic Year",IF($AL$22="AY",$H115*AU22*(1+$AK$8)^2,0),($H115*AU22*(1+$AK$8)^2)), IF($A115="Faculty, Academic Year",IF($AL$22="AY",$H115*AU22*(1+$AK$8),0),($H115*AU22*(1+$AK$8)))))</f>
        <v>0</v>
      </c>
      <c r="O115" s="291"/>
      <c r="P115" s="307">
        <v>0</v>
      </c>
      <c r="Q115" s="291"/>
      <c r="R115" s="291">
        <f>IF(AI22="Yes", "Manual", IF($AK$11="Yes", IF($A115="Faculty, Academic Year",IF($AL$22="AY",$H115*AZ21*(1+$AK$8)^3,0),($H115*AZ22*(1+$AK$8)^3)), IF($A115="Faculty, Academic Year",IF($AL$22="AY",$H115*AZ22*(1+$AK$8)^2,0),($H115*AZ22*(1+$AK$8)^2))))</f>
        <v>0</v>
      </c>
      <c r="S115" s="291"/>
      <c r="T115" s="307">
        <v>0</v>
      </c>
      <c r="U115" s="291"/>
      <c r="V115" s="291">
        <f>IF(AI22="Yes", "Manual", IF($AK$11="Yes", IF($A115="Faculty, Academic Year",IF($AL$22="AY",$H115*BE22*(1+$AK$8)^4,0),($H115*BE22*(1+$AK$8)^4)), IF($A115="Faculty, Academic Year",IF($AL$22="AY",$H115*BE22*(1+$AK$8)^3,0),($H115*BE22*(1+$AK$8)^3))))</f>
        <v>0</v>
      </c>
      <c r="W115" s="291"/>
      <c r="X115" s="307">
        <v>0</v>
      </c>
      <c r="Y115" s="291"/>
      <c r="Z115" s="291">
        <f>IF(AI22="Yes", "Manual", IF($AK$11="Yes", IF($A115="Faculty, Academic Year",IF($AL$22="AY",$H115*BJ22*(1+$AK$8)^5,0),($H115*BJ22*(1+$AK$8)^5)), IF($A115="Faculty, Academic Year",IF($AL$22="AY",$H115*BJ22*(1+$AK$8)^4,0),($H115*BJ22*(1+$AK$8)^4))))</f>
        <v>0</v>
      </c>
      <c r="AA115" s="291"/>
      <c r="AB115" s="307">
        <v>0</v>
      </c>
      <c r="AD115" s="291">
        <f t="shared" si="199"/>
        <v>0</v>
      </c>
      <c r="AE115" s="170"/>
      <c r="AF115" s="186">
        <f t="shared" si="200"/>
        <v>0</v>
      </c>
      <c r="AN115" s="205"/>
      <c r="AS115" s="205"/>
      <c r="AX115" s="205"/>
      <c r="BC115" s="205"/>
      <c r="BH115" s="205"/>
    </row>
    <row r="116" spans="1:60" x14ac:dyDescent="0.25">
      <c r="A116" s="168" t="str">
        <f>A24</f>
        <v>Faculty, Academic Year</v>
      </c>
      <c r="B116" s="184"/>
      <c r="C116" s="167" t="str">
        <f>C23</f>
        <v xml:space="preserve">Co-PI: </v>
      </c>
      <c r="H116" s="374">
        <f t="shared" si="198"/>
        <v>1262</v>
      </c>
      <c r="I116" s="185"/>
      <c r="J116" s="291">
        <f>IF($AI24=$D$394, "Manual", IF($AK$11="Yes", IF($A116="Faculty, Academic Year",IF($AL$24="AY",$H116*AP24*(1+$AK$8),0),($H116*AP24*(1+$AK$8))), IF($A116="Faculty, Academic Year",IF($AL$24="AY",$H116*AP24,0),($H116*AP24))))</f>
        <v>0</v>
      </c>
      <c r="L116" s="307">
        <v>0</v>
      </c>
      <c r="N116" s="291">
        <f>IF(AI24="Yes", "Manual", IF($AK$11="Yes", IF($A116="Faculty, Academic Year",IF($AL$24="AY",$H116*AU24*(1+$AK$8)^2,0),($H116*AU24*(1+$AK$8)^2)), IF($A116="Faculty, Academic Year",IF($AL$24="AY",$H116*AU24*(1+$AK$8),0),($H116*AU24*(1+$AK$8)))))</f>
        <v>0</v>
      </c>
      <c r="O116" s="291"/>
      <c r="P116" s="307">
        <v>0</v>
      </c>
      <c r="Q116" s="291"/>
      <c r="R116" s="291">
        <f>IF(AI24="Yes", "Manual", IF($AK$11="Yes", IF($A116="Faculty, Academic Year",IF($AL$24="AY",$H116*AZ24*(1+$AK$8)^3,0),($H116*AZ24*(1+$AK$8)^3)), IF($A116="Faculty, Academic Year",IF($AL$24="AY",$H116*AZ24*(1+$AK$8)^2,0),($H116*AZ24*(1+$AK$8)^2))))</f>
        <v>0</v>
      </c>
      <c r="S116" s="291"/>
      <c r="T116" s="307">
        <v>0</v>
      </c>
      <c r="U116" s="291"/>
      <c r="V116" s="291">
        <f>IF(AI24="Yes", "Manual", IF($AK$11="Yes", IF($A116="Faculty, Academic Year",IF($AL$24="AY",$H116*BE24*(1+$AK$8)^4,0),($H116*BE24*(1+$AK$8)^4)), IF($A116="Faculty, Academic Year",IF($AL$24="AY",$H116*BE24*(1+$AK$8)^3,0),($H116*BE24*(1+$AK$8)^3))))</f>
        <v>0</v>
      </c>
      <c r="W116" s="291"/>
      <c r="X116" s="307">
        <v>0</v>
      </c>
      <c r="Y116" s="291"/>
      <c r="Z116" s="291">
        <f>IF(AI24="Yes", "Manual", IF($AK$11="Yes", IF($A116="Faculty, Academic Year",IF($AL$24="AY",$H116*BJ24*(1+$AK$8)^5,0),($H116*BJ24*(1+$AK$8)^5)), IF($A116="Faculty, Academic Year",IF($AL$24="AY",$H116*BJ24*(1+$AK$8)^4,0),($H116*BJ24*(1+$AK$8)^4))))</f>
        <v>0</v>
      </c>
      <c r="AA116" s="291"/>
      <c r="AB116" s="307">
        <v>0</v>
      </c>
      <c r="AD116" s="291">
        <f t="shared" si="199"/>
        <v>0</v>
      </c>
      <c r="AE116" s="170"/>
      <c r="AF116" s="186">
        <f t="shared" si="200"/>
        <v>0</v>
      </c>
      <c r="AN116" s="205"/>
      <c r="AS116" s="205"/>
      <c r="AX116" s="205"/>
      <c r="BC116" s="205"/>
      <c r="BH116" s="205"/>
    </row>
    <row r="117" spans="1:60" x14ac:dyDescent="0.25">
      <c r="A117" s="168" t="str">
        <f>A25</f>
        <v>Faculty, Academic Year</v>
      </c>
      <c r="B117" s="184"/>
      <c r="D117" s="167" t="s">
        <v>82</v>
      </c>
      <c r="H117" s="374">
        <f t="shared" si="198"/>
        <v>1262</v>
      </c>
      <c r="I117" s="185"/>
      <c r="J117" s="291">
        <f>IF($AI25=$D$394, "Manual", IF($AK$11="Yes", IF($A117="Faculty, Academic Year",IF($AL$25="AY",$H117*AP25*(1+$AK$8),0),($H117*AP25*(1+$AK$8))), IF($A117="Faculty, Academic Year",IF($AL$25="AY",$H117*AP25,0),($H117*AP25))))</f>
        <v>0</v>
      </c>
      <c r="L117" s="307">
        <v>0</v>
      </c>
      <c r="N117" s="291">
        <f>IF(AI25="Yes", "Manual", IF($AK$11="Yes", IF($A117="Faculty, Academic Year",IF($AL$25="AY",$H117*AU25*(1+$AK$8)^2,0),($H117*AU25*(1+$AK$8)^2)), IF($A117="Faculty, Academic Year",IF($AL$25="AY",$H117*AU25*(1+$AK$8),0),($H117*AU25*(1+$AK$8)))))</f>
        <v>0</v>
      </c>
      <c r="O117" s="291"/>
      <c r="P117" s="307">
        <v>0</v>
      </c>
      <c r="Q117" s="291"/>
      <c r="R117" s="291">
        <f>IF(AI25="Yes", "Manual", IF($AK$11="Yes", IF($A117="Faculty, Academic Year",IF($AL$25="AY",$H117*AZ25*(1+$AK$8)^3,0),($H117*AZ25*(1+$AK$8)^3)), IF($A117="Faculty, Academic Year",IF($AL$25="AY",$H117*AZ25*(1+$AK$8)^2,0),($H117*AZ25*(1+$AK$8)^2))))</f>
        <v>0</v>
      </c>
      <c r="S117" s="291"/>
      <c r="T117" s="307">
        <v>0</v>
      </c>
      <c r="U117" s="291"/>
      <c r="V117" s="291">
        <f>IF(AI25="Yes", "Manual", IF($AK$11="Yes", IF($A117="Faculty, Academic Year",IF($AL$25="AY",$H117*BE25*(1+$AK$8)^4,0),($H117*BE25*(1+$AK$8)^4)), IF($A117="Faculty, Academic Year",IF($AL$25="AY",$H117*BE25*(1+$AK$8)^3,0),($H117*BE25*(1+$AK$8)^3))))</f>
        <v>0</v>
      </c>
      <c r="W117" s="291"/>
      <c r="X117" s="307">
        <v>0</v>
      </c>
      <c r="Y117" s="291"/>
      <c r="Z117" s="291">
        <f>IF(AI25="Yes", "Manual", IF($AK$11="Yes", IF($A117="Faculty, Academic Year",IF($AL$25="AY",$H117*BJ25*(1+$AK$8)^5,0),($H117*BJ25*(1+$AK$8)^5)), IF($A117="Faculty, Academic Year",IF($AL$25="AY",$H117*BJ25*(1+$AK$8)^4,0),($H117*BJ25*(1+$AK$8)^4))))</f>
        <v>0</v>
      </c>
      <c r="AA117" s="291"/>
      <c r="AB117" s="307">
        <v>0</v>
      </c>
      <c r="AD117" s="291">
        <f t="shared" si="199"/>
        <v>0</v>
      </c>
      <c r="AE117" s="170"/>
      <c r="AF117" s="186">
        <f t="shared" si="200"/>
        <v>0</v>
      </c>
      <c r="AN117" s="205"/>
      <c r="AS117" s="205"/>
      <c r="AX117" s="205"/>
      <c r="BC117" s="205"/>
      <c r="BH117" s="205"/>
    </row>
    <row r="118" spans="1:60" x14ac:dyDescent="0.25">
      <c r="A118" s="168" t="str">
        <f>A27</f>
        <v>Faculty, Academic Year</v>
      </c>
      <c r="B118" s="184"/>
      <c r="C118" s="167" t="str">
        <f>C26</f>
        <v xml:space="preserve">Co-PI: </v>
      </c>
      <c r="H118" s="374">
        <f t="shared" si="198"/>
        <v>1262</v>
      </c>
      <c r="I118" s="185"/>
      <c r="J118" s="291">
        <f>IF($AI27=$D$394, "Manual", IF($AK$11="Yes", IF($A118="Faculty, Academic Year",IF($AL$27="AY",$H118*AP27*(1+$AK$8),0),($H118*AP27*(1+$AK$8))), IF($A118="Faculty, Academic Year",IF($AL$27="AY",$H118*AP27,0),($H118*AP27))))</f>
        <v>0</v>
      </c>
      <c r="L118" s="307">
        <v>0</v>
      </c>
      <c r="N118" s="291">
        <f>IF(AI27="Yes", "Manual", IF($AK$11="Yes", IF($A118="Faculty, Academic Year",IF($AL$27="AY",$H118*AU27*(1+$AK$8)^2,0),($H118*AU27*(1+$AK$8)^2)), IF($A118="Faculty, Academic Year",IF($AL$27="AY",$H118*AU27*(1+$AK$8),0),($H118*AU27*(1+$AK$8)))))</f>
        <v>0</v>
      </c>
      <c r="O118" s="291"/>
      <c r="P118" s="307">
        <v>0</v>
      </c>
      <c r="Q118" s="291"/>
      <c r="R118" s="291">
        <f>IF(AI27="Yes", "Manual", IF($AK$11="Yes", IF($A118="Faculty, Academic Year",IF($AL$27="AY",$H118*AZ27*(1+$AK$8)^3,0),($H118*AZ27*(1+$AK$8)^3)), IF($A118="Faculty, Academic Year",IF($AL$27="AY",$H118*AZ27*(1+$AK$8)^2,0),($H118*AZ27*(1+$AK$8)^2))))</f>
        <v>0</v>
      </c>
      <c r="S118" s="291"/>
      <c r="T118" s="307">
        <v>0</v>
      </c>
      <c r="U118" s="291"/>
      <c r="V118" s="291">
        <f>IF(AI27="Yes", "Manual", IF($AK$11="Yes", IF($A118="Faculty, Academic Year",IF($AL$27="AY",$H118*BE27*(1+$AK$8)^4,0),($H118*BE27*(1+$AK$8)^4)), IF($A118="Faculty, Academic Year",IF($AL$27="AY",$H118*BE27*(1+$AK$8)^3,0),($H118*BE27*(1+$AK$8)^3))))</f>
        <v>0</v>
      </c>
      <c r="W118" s="291"/>
      <c r="X118" s="307">
        <v>0</v>
      </c>
      <c r="Y118" s="291"/>
      <c r="Z118" s="291">
        <f>IF(AI27="Yes", "Manual", IF($AK$11="Yes", IF($A118="Faculty, Academic Year",IF($AL$27="AY",$H118*BJ27*(1+$AK$8)^5,0),($H118*BJ27*(1+$AK$8)^5)), IF($A118="Faculty, Academic Year",IF($AL$27="AY",$H118*BJ27*(1+$AK$8)^4,0),($H118*BJ27*(1+$AK$8)^4))))</f>
        <v>0</v>
      </c>
      <c r="AA118" s="291"/>
      <c r="AB118" s="307">
        <v>0</v>
      </c>
      <c r="AD118" s="291">
        <f t="shared" si="199"/>
        <v>0</v>
      </c>
      <c r="AE118" s="170"/>
      <c r="AF118" s="186">
        <f t="shared" si="200"/>
        <v>0</v>
      </c>
      <c r="AN118" s="205"/>
      <c r="AS118" s="205"/>
      <c r="AX118" s="205"/>
      <c r="BC118" s="205"/>
      <c r="BH118" s="205"/>
    </row>
    <row r="119" spans="1:60" x14ac:dyDescent="0.25">
      <c r="A119" s="168" t="str">
        <f>A28</f>
        <v>Faculty, Academic Year</v>
      </c>
      <c r="B119" s="184"/>
      <c r="D119" s="167" t="s">
        <v>82</v>
      </c>
      <c r="H119" s="374">
        <f t="shared" si="198"/>
        <v>1262</v>
      </c>
      <c r="I119" s="185"/>
      <c r="J119" s="291">
        <f>IF($AI28=$D$394, "Manual", IF($AK$11="Yes", IF($A119="Faculty, Academic Year",IF($AL$28="AY",$H119*AP28*(1+$AK$8),0),($H119*AP28*(1+$AK$8))), IF($A119="Faculty, Academic Year",IF($AL$28="AY",$H119*AP28,0),($H119*AP28))))</f>
        <v>0</v>
      </c>
      <c r="L119" s="307">
        <v>0</v>
      </c>
      <c r="N119" s="291">
        <f>IF(AI28="Yes", "Manual", IF($AK$11="Yes", IF($A119="Faculty, Academic Year",IF($AL$28="AY",$H119*AU28*(1+$AK$8)^2,0),($H119*AU28*(1+$AK$8)^2)), IF($A119="Faculty, Academic Year",IF($AL$28="AY",$H119*AU28*(1+$AK$8),0),($H119*AU28*(1+$AK$8)))))</f>
        <v>0</v>
      </c>
      <c r="O119" s="291"/>
      <c r="P119" s="307">
        <v>0</v>
      </c>
      <c r="Q119" s="291"/>
      <c r="R119" s="291">
        <f>IF(AI28="Yes", "Manual", IF($AK$11="Yes", IF($A119="Faculty, Academic Year",IF($AL$28="AY",$H119*AZ28*(1+$AK$8)^3,0),($H119*AZ28*(1+$AK$8)^3)), IF($A119="Faculty, Academic Year",IF($AL$28="AY",$H119*AZ28*(1+$AK$8)^2,0),($H119*AZ28*(1+$AK$8)^2))))</f>
        <v>0</v>
      </c>
      <c r="S119" s="291"/>
      <c r="T119" s="307">
        <v>0</v>
      </c>
      <c r="U119" s="291"/>
      <c r="V119" s="291">
        <f>IF(AI28="Yes", "Manual", IF($AK$11="Yes", IF($A119="Faculty, Academic Year",IF($AL$28="AY",$H119*BE28*(1+$AK$8)^4,0),($H119*BE25*(1+$AK$8)^4)), IF($A119="Faculty, Academic Year",IF($AL$28="AY",$H119*BE28*(1+$AK$8)^3,0),($H119*BE28*(1+$AK$8)^3))))</f>
        <v>0</v>
      </c>
      <c r="W119" s="291"/>
      <c r="X119" s="307">
        <v>0</v>
      </c>
      <c r="Y119" s="291"/>
      <c r="Z119" s="291">
        <f>IF(AI28="Yes", "Manual", IF($AK$11="Yes", IF($A119="Faculty, Academic Year",IF($AL$28="AY",$H119*BJ28*(1+$AK$8)^5,0),($H119*BJ28*(1+$AK$8)^5)), IF($A119="Faculty, Academic Year",IF($AL$28="AY",$H119*BJ28*(1+$AK$8)^4,0),($H119*BJ28*(1+$AK$8)^4))))</f>
        <v>0</v>
      </c>
      <c r="AA119" s="291"/>
      <c r="AB119" s="307">
        <v>0</v>
      </c>
      <c r="AD119" s="291">
        <f t="shared" si="199"/>
        <v>0</v>
      </c>
      <c r="AE119" s="170"/>
      <c r="AF119" s="186">
        <f t="shared" si="200"/>
        <v>0</v>
      </c>
      <c r="AN119" s="205"/>
      <c r="AS119" s="205"/>
      <c r="AX119" s="205"/>
      <c r="BC119" s="205"/>
      <c r="BH119" s="205"/>
    </row>
    <row r="120" spans="1:60" x14ac:dyDescent="0.25">
      <c r="A120" s="168" t="str">
        <f>A30</f>
        <v>Faculty, Academic Year</v>
      </c>
      <c r="B120" s="184"/>
      <c r="C120" s="167" t="str">
        <f>C29</f>
        <v xml:space="preserve">Co-PI: </v>
      </c>
      <c r="H120" s="374">
        <f t="shared" si="198"/>
        <v>1262</v>
      </c>
      <c r="I120" s="185"/>
      <c r="J120" s="291">
        <f>IF($AI30=$D$394, "Manual", IF($AK$11="Yes", IF($A120="Faculty, Academic Year",IF($AL$30="AY",$H120*AP30*(1+$AK$8),0),($H120*AP30*(1+$AK$8))), IF($A120="Faculty, Academic Year",IF($AL$30="AY",$H120*AP30,0),($H120*AP30))))</f>
        <v>0</v>
      </c>
      <c r="L120" s="307">
        <v>0</v>
      </c>
      <c r="N120" s="291">
        <f>IF(AI30="Yes", "Manual", IF($AK$11="Yes", IF($A120="Faculty, Academic Year",IF($AL$30="AY",$H120*AU30*(1+$AK$8)^2,0),($H120*AU30*(1+$AK$8)^2)), IF($A120="Faculty, Academic Year",IF($AL$30="AY",$H120*AU30*(1+$AK$8),0),($H120*AU30*(1+$AK$8)))))</f>
        <v>0</v>
      </c>
      <c r="O120" s="291"/>
      <c r="P120" s="307">
        <v>0</v>
      </c>
      <c r="Q120" s="291"/>
      <c r="R120" s="291">
        <f>IF(AI30="Yes", "Manual", IF($AK$11="Yes", IF($A120="Faculty, Academic Year",IF($AL$30="AY",$H120*AZ30*(1+$AK$8)^3,0),($H120*AZ30*(1+$AK$8)^3)), IF($A120="Faculty, Academic Year",IF($AL$30="AY",$H120*AZ30*(1+$AK$8)^2,0),($H120*AZ30*(1+$AK$8)^2))))</f>
        <v>0</v>
      </c>
      <c r="S120" s="291"/>
      <c r="T120" s="307">
        <v>0</v>
      </c>
      <c r="U120" s="291"/>
      <c r="V120" s="291">
        <f>IF(AI30="Yes", "Manual", IF($AK$11="Yes", IF($A120="Faculty, Academic Year",IF($AL$30="AY",$H120*BE30*(1+$AK$8)^4,0),($H120*BE30*(1+$AK$8)^4)), IF($A120="Faculty, Academic Year",IF($AL$30="AY",$H120*BE30*(1+$AK$8)^3,0),($H120*BE30*(1+$AK$8)^3))))</f>
        <v>0</v>
      </c>
      <c r="W120" s="291"/>
      <c r="X120" s="307">
        <v>0</v>
      </c>
      <c r="Y120" s="291"/>
      <c r="Z120" s="291">
        <f>IF(AI30="Yes", "Manual", IF($AK$11="Yes", IF($A120="Faculty, Academic Year",IF($AL$30="AY",$H120*BJ30*(1+$AK$8)^5,0),($H120*BJ30*(1+$AK$8)^5)), IF($A120="Faculty, Academic Year",IF($AL$30="AY",$H120*BJ30*(1+$AK$8)^4,0),($H120*BJ30*(1+$AK$8)^4))))</f>
        <v>0</v>
      </c>
      <c r="AA120" s="291"/>
      <c r="AB120" s="307">
        <v>0</v>
      </c>
      <c r="AD120" s="291">
        <f t="shared" si="199"/>
        <v>0</v>
      </c>
      <c r="AE120" s="170"/>
      <c r="AF120" s="186">
        <f t="shared" si="200"/>
        <v>0</v>
      </c>
      <c r="AN120" s="205"/>
      <c r="AS120" s="205"/>
      <c r="AX120" s="205"/>
      <c r="BC120" s="205"/>
      <c r="BH120" s="205"/>
    </row>
    <row r="121" spans="1:60" x14ac:dyDescent="0.25">
      <c r="A121" s="168" t="str">
        <f>A31</f>
        <v>Faculty, Academic Year</v>
      </c>
      <c r="B121" s="184"/>
      <c r="D121" s="167" t="s">
        <v>82</v>
      </c>
      <c r="H121" s="374">
        <f t="shared" si="198"/>
        <v>1262</v>
      </c>
      <c r="I121" s="185"/>
      <c r="J121" s="291">
        <f>IF($AI31=$D$394, "Manual", IF($AK$11="Yes", IF($A121="Faculty, Academic Year",IF($AL$31="AY",$H121*AP31*(1+$AK$8),0),($H121*AP31*(1+$AK$8))), IF($A121="Faculty, Academic Year",IF($AL$31="AY",$H121*AP31,0),($H121*AP31))))</f>
        <v>0</v>
      </c>
      <c r="L121" s="307">
        <v>0</v>
      </c>
      <c r="N121" s="291">
        <f>IF(AI31="Yes", "Manual", IF($AK$11="Yes", IF($A121="Faculty, Academic Year",IF($AL$31="AY",$H121*AU31*(1+$AK$8)^2,0),($H121*AU31*(1+$AK$8)^2)), IF($A121="Faculty, Academic Year",IF($AL$31="AY",$H121*AU31*(1+$AK$8),0),($H121*AU31*(1+$AK$8)))))</f>
        <v>0</v>
      </c>
      <c r="O121" s="291"/>
      <c r="P121" s="307">
        <v>0</v>
      </c>
      <c r="Q121" s="291"/>
      <c r="R121" s="291">
        <f>IF(AI31="Yes", "Manual", IF($AK$11="Yes", IF($A121="Faculty, Academic Year",IF($AL$31="AY",$H121*AZ31*(1+$AK$8)^3,0),($H121*AZ31*(1+$AK$8)^3)), IF($A121="Faculty, Academic Year",IF($AL$31="AY",$H121*AZ31*(1+$AK$8)^2,0),($H121*AZ31*(1+$AK$8)^2))))</f>
        <v>0</v>
      </c>
      <c r="S121" s="291"/>
      <c r="T121" s="307">
        <v>0</v>
      </c>
      <c r="U121" s="291"/>
      <c r="V121" s="291">
        <f>IF(AI31="Yes", "Manual", IF($AK$11="Yes", IF($A121="Faculty, Academic Year",IF($AL$31="AY",$H121*BE31*(1+$AK$8)^4,0),($H121*BE31*(1+$AK$8)^4)), IF($A121="Faculty, Academic Year",IF($AL$31="AY",$H121*BE31*(1+$AK$8)^3,0),($H121*BE31*(1+$AK$8)^3))))</f>
        <v>0</v>
      </c>
      <c r="W121" s="291"/>
      <c r="X121" s="307">
        <v>0</v>
      </c>
      <c r="Y121" s="291"/>
      <c r="Z121" s="291">
        <f>IF(AI31="Yes", "Manual", IF($AK$11="Yes", IF($A121="Faculty, Academic Year",IF($AL$31="AY",$H121*BJ31*(1+$AK$8)^5,0),($H121*BJ31*(1+$AK$8)^5)), IF($A121="Faculty, Academic Year",IF($AL$31="AY",$H121*BJ31*(1+$AK$8)^4,0),($H121*BJ31*(1+$AK$8)^4))))</f>
        <v>0</v>
      </c>
      <c r="AA121" s="291"/>
      <c r="AB121" s="307">
        <v>0</v>
      </c>
      <c r="AD121" s="291">
        <f t="shared" si="199"/>
        <v>0</v>
      </c>
      <c r="AE121" s="170"/>
      <c r="AF121" s="186">
        <f t="shared" si="200"/>
        <v>0</v>
      </c>
      <c r="AN121" s="205"/>
      <c r="AS121" s="205"/>
      <c r="AX121" s="205"/>
      <c r="BC121" s="205"/>
      <c r="BH121" s="205"/>
    </row>
    <row r="122" spans="1:60" x14ac:dyDescent="0.25">
      <c r="A122" s="168" t="str">
        <f>A33</f>
        <v>Research Associate LOA</v>
      </c>
      <c r="B122" s="184"/>
      <c r="C122" s="357" t="str">
        <f>C32</f>
        <v>Research Associate</v>
      </c>
      <c r="D122" s="357"/>
      <c r="H122" s="374">
        <f t="shared" si="198"/>
        <v>1107</v>
      </c>
      <c r="I122" s="185"/>
      <c r="J122" s="291">
        <f>IF($AI33=$D$394, "Manual", IF($AK$11="Yes", IF($A122="Faculty, Academic Year",IF($AL$33="AY",$H122*AP33*(1+$AK$8),0),($H122*AP33*(1+$AK$8))), IF($A122="Faculty, Academic Year",IF($AL$33="AY",$H122*AP33,0),($H122*AP33))))</f>
        <v>0</v>
      </c>
      <c r="L122" s="307">
        <v>0</v>
      </c>
      <c r="M122" s="292"/>
      <c r="N122" s="291">
        <f>IF(AI33="Yes", "Manual", IF($AK$11="Yes", IF($A122="Faculty, Academic Year",IF($AL$33="AY",$H122*AU33*(1+$AK$8)^2,0),($H122*AU33*(1+$AK$8)^2)), IF($A122="Faculty, Academic Year",IF($AL$33="AY",$H122*AU33*(1+$AK$8),0),($H122*AU33*(1+$AK$8)))))</f>
        <v>0</v>
      </c>
      <c r="O122" s="291"/>
      <c r="P122" s="307">
        <v>0</v>
      </c>
      <c r="R122" s="291">
        <f>IF(AI33="Yes", "Manual", IF($AK$11="Yes", IF($A122="Faculty, Academic Year",IF($AL$33="AY",$H122*AZ33*(1+$AK$8)^3,0),($H122*AZ33*(1+$AK$8)^3)), IF($A122="Faculty, Academic Year",IF($AL$33="AY",$H122*AZ33*(1+$AK$8)^2,0),($H122*AZ33*(1+$AK$8)^2))))</f>
        <v>0</v>
      </c>
      <c r="S122" s="291"/>
      <c r="T122" s="307">
        <v>0</v>
      </c>
      <c r="V122" s="291">
        <f>IF(AI33="Yes", "Manual", IF($AK$11="Yes", IF($A122="Faculty, Academic Year",IF($AL$33="AY",$H122*BE33*(1+$AK$8)^4,0),($H122*BE33*(1+$AK$8)^4)), IF($A122="Faculty, Academic Year",IF($AL$33="AY",$H122*BE33*(1+$AK$8)^3,0),($H122*BE33*(1+$AK$8)^3))))</f>
        <v>0</v>
      </c>
      <c r="W122" s="291"/>
      <c r="X122" s="307">
        <v>0</v>
      </c>
      <c r="Y122" s="291"/>
      <c r="Z122" s="291">
        <f>IF(AI33="Yes", "Manual", IF($AK$11="Yes", IF($A122="Faculty, Academic Year",IF($AL$33="AY",$H122*BJ33*(1+$AK$8)^5,0),($H122*BJ33*(1+$AK$8)^5)), IF($A122="Faculty, Academic Year",IF($AL$33="AY",$H122*BJ33*(1+$AK$8)^4,0),($H122*BJ33*(1+$AK$8)^4))))</f>
        <v>0</v>
      </c>
      <c r="AA122" s="291"/>
      <c r="AB122" s="307">
        <v>0</v>
      </c>
      <c r="AD122" s="291">
        <f t="shared" si="199"/>
        <v>0</v>
      </c>
      <c r="AE122" s="170"/>
      <c r="AF122" s="186">
        <f t="shared" si="200"/>
        <v>0</v>
      </c>
      <c r="AN122" s="205"/>
      <c r="AS122" s="205"/>
      <c r="AX122" s="205"/>
      <c r="BC122" s="205"/>
      <c r="BH122" s="205"/>
    </row>
    <row r="123" spans="1:60" x14ac:dyDescent="0.25">
      <c r="A123" s="168" t="str">
        <f>A35</f>
        <v>Research Associate LOA</v>
      </c>
      <c r="B123" s="184"/>
      <c r="C123" s="167" t="str">
        <f>C34</f>
        <v>Research Associate:</v>
      </c>
      <c r="H123" s="374">
        <f t="shared" si="198"/>
        <v>1107</v>
      </c>
      <c r="I123" s="185"/>
      <c r="J123" s="291">
        <f>IF($AI35=$D$394, "Manual", IF($AK$11="Yes", IF($A123="Faculty, Academic Year",IF($AL$35="AY",$H123*AP35*(1+$AK$8),0),($H123*AP35*(1+$AK$8))), IF($A123="Faculty, Academic Year",IF($AL$35="AY",$H123*AP35,0),($H123*AP35))))</f>
        <v>0</v>
      </c>
      <c r="L123" s="307">
        <v>0</v>
      </c>
      <c r="M123" s="292"/>
      <c r="N123" s="291">
        <f>IF(AI35="Yes", "Manual", IF($AK$11="Yes", IF($A123="Faculty, Academic Year",IF($AL$35="AY",$H123*AU35*(1+$AK$8)^2,0),($H123*AU35*(1+$AK$8)^2)), IF($A123="Faculty, Academic Year",IF($AL$35="AY",$H123*AU35*(1+$AK$8),0),($H123*AU35*(1+$AK$8)))))</f>
        <v>0</v>
      </c>
      <c r="O123" s="291"/>
      <c r="P123" s="307">
        <v>0</v>
      </c>
      <c r="R123" s="291">
        <f>IF(AI35="Yes", "Manual", IF($AK$11="Yes", IF($A123="Faculty, Academic Year",IF($AL$35="AY",$H123*AZ35*(1+$AK$8)^3,0),($H123*AZ35*(1+$AK$8)^3)), IF($A123="Faculty, Academic Year",IF($AL$35="AY",$H123*AZ35*(1+$AK$8)^2,0),($H123*AZ35*(1+$AK$8)^2))))</f>
        <v>0</v>
      </c>
      <c r="S123" s="291"/>
      <c r="T123" s="307">
        <v>0</v>
      </c>
      <c r="V123" s="291">
        <f>IF(AI35="Yes", "Manual", IF($AK$11="Yes", IF($A123="Faculty, Academic Year",IF($AL$35="AY",$H123*BE35*(1+$AK$8)^4,0),($H123*BE35*(1+$AK$8)^4)), IF($A123="Faculty, Academic Year",IF($AL$35="AY",$H123*BE35*(1+$AK$8)^3,0),($H123*BE35*(1+$AK$8)^3))))</f>
        <v>0</v>
      </c>
      <c r="W123" s="291"/>
      <c r="X123" s="307">
        <f>IF(AI29="Yes", 0, IF($AK$11="Yes", IF($A123="Faculty, Academic Year",IF($AL$18="AY",$H123*(X29/$AJ29*$AK29)*(1+$AK$8)^4,0),($H123*(X29/$AJ29*$AK29)*(1+$AK$8)^4)), IF($A123="Faculty, Academic Year",IF($AL$18="AY",$H123*(X29/$AJ29*$AK29)*(1+$AK$8)^3,0),($H123*(X29/$AJ29*$AK29)*(1+$AK$8)^3))))</f>
        <v>0</v>
      </c>
      <c r="Y123" s="291"/>
      <c r="Z123" s="291">
        <f>IF(AI35="Yes", "Manual", IF($AK$11="Yes", IF($A123="Faculty, Academic Year",IF($AL$35="AY",$H123*BJ35*(1+$AK$8)^5,0),($H123*BJ35*(1+$AK$8)^5)), IF($A123="Faculty, Academic Year",IF($AL$35="AY",$H123*BJ35*(1+$AK$8)^4,0),($H123*BJ35*(1+$AK$8)^4))))</f>
        <v>0</v>
      </c>
      <c r="AA123" s="291"/>
      <c r="AB123" s="307">
        <v>0</v>
      </c>
      <c r="AD123" s="291">
        <f t="shared" si="199"/>
        <v>0</v>
      </c>
      <c r="AE123" s="170"/>
      <c r="AF123" s="186">
        <f t="shared" si="200"/>
        <v>0</v>
      </c>
      <c r="AN123" s="205"/>
      <c r="AS123" s="205"/>
      <c r="AX123" s="205"/>
      <c r="BC123" s="205"/>
      <c r="BH123" s="205"/>
    </row>
    <row r="124" spans="1:60" x14ac:dyDescent="0.25">
      <c r="A124" s="168" t="str">
        <f>A37</f>
        <v>Research Associate LOA</v>
      </c>
      <c r="B124" s="184"/>
      <c r="C124" s="167" t="str">
        <f>C36</f>
        <v>Research Associate:</v>
      </c>
      <c r="H124" s="374">
        <f t="shared" si="198"/>
        <v>1107</v>
      </c>
      <c r="I124" s="185"/>
      <c r="J124" s="291">
        <f>IF($AI37=$D$394, "Manual", IF($AK$11="Yes", IF($A124="Faculty, Academic Year",IF($AL$37="AY",$H124*AP37*(1+$AK$8),0),($H124*AP37*(1+$AK$8))), IF($A124="Faculty, Academic Year",IF($AL$37="AY",$H124*AP37,0),($H124*AP37))))</f>
        <v>0</v>
      </c>
      <c r="L124" s="307">
        <v>0</v>
      </c>
      <c r="M124" s="292"/>
      <c r="N124" s="291">
        <f>IF(AI37="Yes", "Manual", IF($AK$11="Yes", IF($A124="Faculty, Academic Year",IF($AL$37="AY",$H124*AU37*(1+$AK$8)^2,0),($H124*AU37*(1+$AK$8)^2)), IF($A124="Faculty, Academic Year",IF($AL$37="AY",$H124*AU37*(1+$AK$8),0),($H124*AU37*(1+$AK$8)))))</f>
        <v>0</v>
      </c>
      <c r="O124" s="291"/>
      <c r="P124" s="307">
        <v>0</v>
      </c>
      <c r="R124" s="291">
        <f>IF(AI37="Yes", "Manual", IF($AK$11="Yes", IF($A124="Faculty, Academic Year",IF($AL$37="AY",$H124*AZ37*(1+$AK$8)^3,0),($H124*AZ37*(1+$AK$8)^3)), IF($A124="Faculty, Academic Year",IF($AL$37="AY",$H124*AZ37*(1+$AK$8)^2,0),($H124*AZ37*(1+$AK$8)^2))))</f>
        <v>0</v>
      </c>
      <c r="S124" s="291"/>
      <c r="T124" s="307">
        <v>0</v>
      </c>
      <c r="V124" s="291">
        <f>IF(AI37="Yes", "Manual", IF($AK$11="Yes", IF($A124="Faculty, Academic Year",IF($AL$37="AY",$H124*BE37*(1+$AK$8)^4,0),($H124*BE37*(1+$AK$8)^4)), IF($A124="Faculty, Academic Year",IF($AL$37="AY",$H124*BE37*(1+$AK$8)^3,0),($H124*BE37*(1+$AK$8)^3))))</f>
        <v>0</v>
      </c>
      <c r="W124" s="291"/>
      <c r="X124" s="307">
        <v>0</v>
      </c>
      <c r="Y124" s="291"/>
      <c r="Z124" s="291">
        <f>IF(AI37="Yes", "Manual", IF($AK$11="Yes", IF($A124="Faculty, Academic Year",IF($AL$37="AY",$H124*BJ37*(1+$AK$8)^5,0),($H124*BJ37*(1+$AK$8)^5)), IF($A124="Faculty, Academic Year",IF($AL$37="AY",$H124*BJ37*(1+$AK$8)^4,0),($H124*BJ37*(1+$AK$8)^4))))</f>
        <v>0</v>
      </c>
      <c r="AA124" s="291"/>
      <c r="AB124" s="307">
        <v>0</v>
      </c>
      <c r="AD124" s="291">
        <f t="shared" si="199"/>
        <v>0</v>
      </c>
      <c r="AE124" s="170"/>
      <c r="AF124" s="186">
        <f t="shared" si="200"/>
        <v>0</v>
      </c>
      <c r="AN124" s="205"/>
      <c r="AS124" s="205"/>
      <c r="AX124" s="205"/>
      <c r="BC124" s="205"/>
      <c r="BH124" s="205"/>
    </row>
    <row r="125" spans="1:60" x14ac:dyDescent="0.25">
      <c r="A125" s="168" t="str">
        <f>A39</f>
        <v>Senior Personnel LOA</v>
      </c>
      <c r="B125" s="184"/>
      <c r="C125" s="167" t="str">
        <f>C38</f>
        <v>Senior Personnel:</v>
      </c>
      <c r="H125" s="374">
        <f t="shared" si="198"/>
        <v>1107</v>
      </c>
      <c r="I125" s="185"/>
      <c r="J125" s="291">
        <f>IF($AI39=$D$394, "Manual", IF($AK$11="Yes", IF($A125="Faculty, Academic Year",IF($AL$39="AY",$H125*AP39*(1+$AK$8),0),($H125*AP39*(1+$AK$8))), IF($A125="Faculty, Academic Year",IF($AL$39="AY",$H125*AP39,0),($H125*AP39))))</f>
        <v>0</v>
      </c>
      <c r="L125" s="307">
        <v>0</v>
      </c>
      <c r="M125" s="292"/>
      <c r="N125" s="291">
        <f>IF(AI39="Yes", "Manual", IF($AK$11="Yes", IF($A125="Faculty, Academic Year",IF($AL$39="AY",$H125*AU39*(1+$AK$8)^2,0),($H125*AU39*(1+$AK$8)^2)), IF($A125="Faculty, Academic Year",IF($AL$39="AY",$H125*AU39*(1+$AK$8),0),($H125*AU39*(1+$AK$8)))))</f>
        <v>0</v>
      </c>
      <c r="O125" s="291"/>
      <c r="P125" s="307">
        <v>0</v>
      </c>
      <c r="R125" s="291">
        <f>IF(AI39="Yes", "Manual", IF($AK$11="Yes", IF($A125="Faculty, Academic Year",IF($AL$39="AY",$H125*AZ39*(1+$AK$8)^3,0),($H125*AZ39*(1+$AK$8)^3)), IF($A125="Faculty, Academic Year",IF($AL$39="AY",$H125*AZ39*(1+$AK$8)^2,0),($H125*AZ39*(1+$AK$8)^2))))</f>
        <v>0</v>
      </c>
      <c r="S125" s="291"/>
      <c r="T125" s="307">
        <v>0</v>
      </c>
      <c r="V125" s="291">
        <f>IF(AI39="Yes", "Manual", IF($AK$11="Yes", IF($A125="Faculty, Academic Year",IF($AL$39="AY",$H125*BE39*(1+$AK$8)^4,0),($H125*BE39*(1+$AK$8)^4)), IF($A125="Faculty, Academic Year",IF($AL$39="AY",$H125*BE39*(1+$AK$8)^3,0),($H125*BE39*(1+$AK$8)^3))))</f>
        <v>0</v>
      </c>
      <c r="W125" s="291"/>
      <c r="X125" s="307">
        <v>0</v>
      </c>
      <c r="Y125" s="291"/>
      <c r="Z125" s="291">
        <f>IF(AI39="Yes", "Manual", IF($AK$11="Yes", IF($A125="Faculty, Academic Year",IF($AL$39="AY",$H125*BJ39*(1+$AK$8)^5,0),($H125*BJ39*(1+$AK$8)^5)), IF($A125="Faculty, Academic Year",IF($AL$39="AY",$H125*BJ39*(1+$AK$8)^4,0),($H125*BJ39*(1+$AK$8)^4))))</f>
        <v>0</v>
      </c>
      <c r="AA125" s="291"/>
      <c r="AB125" s="307">
        <v>0</v>
      </c>
      <c r="AD125" s="291">
        <f t="shared" si="199"/>
        <v>0</v>
      </c>
      <c r="AE125" s="170"/>
      <c r="AF125" s="186">
        <f t="shared" si="200"/>
        <v>0</v>
      </c>
      <c r="AN125" s="205"/>
      <c r="AS125" s="205"/>
      <c r="AX125" s="205"/>
      <c r="BC125" s="205"/>
      <c r="BH125" s="205"/>
    </row>
    <row r="126" spans="1:60" x14ac:dyDescent="0.25">
      <c r="A126" s="168" t="str">
        <f>A41</f>
        <v>Senior Personnel LOA</v>
      </c>
      <c r="B126" s="184"/>
      <c r="C126" s="167" t="str">
        <f>C40</f>
        <v>Senior Personnel:</v>
      </c>
      <c r="H126" s="374">
        <f t="shared" si="198"/>
        <v>1107</v>
      </c>
      <c r="I126" s="185"/>
      <c r="J126" s="291">
        <f>IF($AI41=$D$394, "Manual", IF($AK$11="Yes", IF($A126="Faculty, Academic Year",IF($AL$41="AY",$H126*AP41*(1+$AK$8),0),($H126*AP41*(1+$AK$8))), IF($A126="Faculty, Academic Year",IF($AL$41="AY",$H126*AP41,0),($H126*AP41))))</f>
        <v>0</v>
      </c>
      <c r="L126" s="307">
        <v>0</v>
      </c>
      <c r="M126" s="292"/>
      <c r="N126" s="291">
        <f>IF(AI41="Yes", "Manual", IF($AK$11="Yes", IF($A126="Faculty, Academic Year",IF($AL$41="AY",$H126*AU41*(1+$AK$8)^2,0),($H126*AU41*(1+$AK$8)^2)), IF($A126="Faculty, Academic Year",IF($AL$41="AY",$H126*AU41*(1+$AK$8),0),($H126*AU41*(1+$AK$8)))))</f>
        <v>0</v>
      </c>
      <c r="O126" s="291"/>
      <c r="P126" s="307">
        <v>0</v>
      </c>
      <c r="R126" s="291">
        <f>IF(AI41="Yes", "Manual", IF($AK$11="Yes", IF($A126="Faculty, Academic Year",IF($AL$41="AY",$H126*AZ41*(1+$AK$8)^3,0),($H126*AZ41*(1+$AK$8)^3)), IF($A126="Faculty, Academic Year",IF($AL$41="AY",$H126*AZ41*(1+$AK$8)^2,0),($H126*AZ41*(1+$AK$8)^2))))</f>
        <v>0</v>
      </c>
      <c r="S126" s="291"/>
      <c r="T126" s="307">
        <v>0</v>
      </c>
      <c r="V126" s="291">
        <f>IF(AI41="Yes", "Manual", IF($AK$11="Yes", IF($A126="Faculty, Academic Year",IF($AL$41="AY",$H126*BE41*(1+$AK$8)^4,0),($H126*BE41*(1+$AK$8)^4)), IF($A126="Faculty, Academic Year",IF($AL$41="AY",$H126*BE41*(1+$AK$8)^3,0),($H126*BE41*(1+$AK$8)^3))))</f>
        <v>0</v>
      </c>
      <c r="W126" s="291"/>
      <c r="X126" s="307">
        <v>0</v>
      </c>
      <c r="Y126" s="291"/>
      <c r="Z126" s="291">
        <f>IF(AI41="Yes", "Manual", IF($AK$11="Yes", IF($A126="Faculty, Academic Year",IF($AL$41="AY",$H126*BJ41*(1+$AK$8)^5,0),($H126*BJ41*(1+$AK$8)^5)), IF($A126="Faculty, Academic Year",IF($AL$41="AY",$H126*BJ41*(1+$AK$8)^4,0),($H126*BJ41*(1+$AK$8)^4))))</f>
        <v>0</v>
      </c>
      <c r="AA126" s="291"/>
      <c r="AB126" s="307">
        <v>0</v>
      </c>
      <c r="AD126" s="291">
        <f t="shared" si="199"/>
        <v>0</v>
      </c>
      <c r="AE126" s="170"/>
      <c r="AF126" s="186">
        <f t="shared" si="200"/>
        <v>0</v>
      </c>
      <c r="AN126" s="205"/>
      <c r="AS126" s="205"/>
      <c r="AX126" s="205"/>
      <c r="BC126" s="205"/>
      <c r="BH126" s="205"/>
    </row>
    <row r="127" spans="1:60" x14ac:dyDescent="0.25">
      <c r="A127" s="168" t="str">
        <f>A43</f>
        <v>Senior Personnel LOA</v>
      </c>
      <c r="C127" s="167" t="str">
        <f>C42</f>
        <v>Senior Personnel:</v>
      </c>
      <c r="H127" s="374">
        <f t="shared" si="198"/>
        <v>1107</v>
      </c>
      <c r="I127" s="185"/>
      <c r="J127" s="291">
        <f>IF($AI43=$D$394, "Manual", IF($AK$11="Yes", IF($A127="Faculty, Academic Year",IF($AL$43="AY",$H127*AP43*(1+$AK$8),0),($H127*AP43*(1+$AK$8))), IF($A127="Faculty, Academic Year",IF($AL$43="AY",$H127*AP43,0),($H127*AP43))))</f>
        <v>0</v>
      </c>
      <c r="L127" s="307">
        <v>0</v>
      </c>
      <c r="M127" s="292"/>
      <c r="N127" s="291">
        <f>IF(AI43="Yes", "Manual", IF($AK$11="Yes", IF($A127="Faculty, Academic Year",IF($AL$43="AY",$H127*AU43*(1+$AK$8)^2,0),($H127*AU43*(1+$AK$8)^2)), IF($A127="Faculty, Academic Year",IF($AL$43="AY",$H127*AU43*(1+$AK$8),0),($H127*AU43*(1+$AK$8)))))</f>
        <v>0</v>
      </c>
      <c r="O127" s="291"/>
      <c r="P127" s="307">
        <v>0</v>
      </c>
      <c r="R127" s="291">
        <f>IF(AI43="Yes", "Manual", IF($AK$11="Yes", IF($A127="Faculty, Academic Year",IF($AL$43="AY",$H127*AZ43*(1+$AK$8)^3,0),($H127*AZ43*(1+$AK$8)^3)), IF($A127="Faculty, Academic Year",IF($AL$43="AY",$H127*AZ43*(1+$AK$8)^2,0),($H127*AZ43*(1+$AK$8)^2))))</f>
        <v>0</v>
      </c>
      <c r="S127" s="291"/>
      <c r="T127" s="307">
        <v>0</v>
      </c>
      <c r="V127" s="291">
        <f>IF(AI43="Yes", "Manual", IF($AK$11="Yes", IF($A127="Faculty, Academic Year",IF($AL$43="AY",$H127*BE43*(1+$AK$8)^4,0),($H127*BE43*(1+$AK$8)^4)), IF($A127="Faculty, Academic Year",IF($AL$43="AY",$H127*BE43*(1+$AK$8)^3,0),($H127*BE43*(1+$AK$8)^3))))</f>
        <v>0</v>
      </c>
      <c r="W127" s="291"/>
      <c r="X127" s="307">
        <v>0</v>
      </c>
      <c r="Y127" s="291"/>
      <c r="Z127" s="291">
        <f>IF(AI43="Yes", "Manual", IF($AK$11="Yes", IF($A127="Faculty, Academic Year",IF($AL$43="AY",$H127*BJ43*(1+$AK$8)^5,0),($H127*BJ43*(1+$AK$8)^5)), IF($A127="Faculty, Academic Year",IF($AL$43="AY",$H127*BJ43*(1+$AK$8)^4,0),($H127*BJ43*(1+$AK$8)^4))))</f>
        <v>0</v>
      </c>
      <c r="AA127" s="291"/>
      <c r="AB127" s="307">
        <v>0</v>
      </c>
      <c r="AD127" s="291">
        <f t="shared" si="199"/>
        <v>0</v>
      </c>
      <c r="AE127" s="170"/>
      <c r="AF127" s="186">
        <f t="shared" si="200"/>
        <v>0</v>
      </c>
      <c r="AN127" s="205"/>
      <c r="AS127" s="205"/>
      <c r="AX127" s="205"/>
      <c r="BC127" s="205"/>
      <c r="BH127" s="205"/>
    </row>
    <row r="128" spans="1:60" x14ac:dyDescent="0.25">
      <c r="A128" s="168" t="str">
        <f>A45</f>
        <v>Classified Staff</v>
      </c>
      <c r="B128" s="184"/>
      <c r="C128" s="167" t="str">
        <f>C44</f>
        <v>Administrative Assistant:</v>
      </c>
      <c r="H128" s="374">
        <f t="shared" si="198"/>
        <v>1107</v>
      </c>
      <c r="I128" s="185"/>
      <c r="J128" s="291">
        <f>IF($AI45=$D$394, "Manual", IF($AK$11="Yes", IF($A128="Faculty, Academic Year",IF($AL$45="AY",$H128*AP45*(1+$AK$8),0),($H128*AP45*(1+$AK$8))), IF($A128="Faculty, Academic Year",IF($AL$45="AY",$H128*AP45,0),($H128*AP45))))</f>
        <v>0</v>
      </c>
      <c r="L128" s="307">
        <v>0</v>
      </c>
      <c r="M128" s="292"/>
      <c r="N128" s="291">
        <f>IF(AI45="Yes", "Manual", IF($AK$11="Yes", IF($A128="Faculty, Academic Year",IF($AL$45="AY",$H128*AU45*(1+$AK$8)^2,0),($H128*AU45*(1+$AK$8)^2)), IF($A128="Faculty, Academic Year",IF($AL$45="AY",$H128*AU45*(1+$AK$8),0),($H128*AU45*(1+$AK$8)))))</f>
        <v>0</v>
      </c>
      <c r="O128" s="291"/>
      <c r="P128" s="307">
        <v>0</v>
      </c>
      <c r="R128" s="291">
        <f>IF(AI45="Yes", "Manual", IF($AK$11="Yes", IF($A128="Faculty, Academic Year",IF($AL$45="AY",$H128*AZ45*(1+$AK$8)^3,0),($H128*AZ45*(1+$AK$8)^3)), IF($A128="Faculty, Academic Year",IF($AL$45="AY",$H128*AZ45*(1+$AK$8)^2,0),($H128*AZ45*(1+$AK$8)^2))))</f>
        <v>0</v>
      </c>
      <c r="S128" s="291"/>
      <c r="T128" s="307">
        <v>0</v>
      </c>
      <c r="V128" s="291">
        <f>IF(AI45="Yes", "Manual", IF($AK$11="Yes", IF($A128="Faculty, Academic Year",IF($AL$45="AY",$H128*BE45*(1+$AK$8)^4,0),($H128*BE45*(1+$AK$8)^4)), IF($A128="Faculty, Academic Year",IF($AL$45="AY",$H128*BE45*(1+$AK$8)^3,0),($H128*BE45*(1+$AK$8)^3))))</f>
        <v>0</v>
      </c>
      <c r="W128" s="291"/>
      <c r="X128" s="307">
        <v>0</v>
      </c>
      <c r="Y128" s="291"/>
      <c r="Z128" s="291">
        <f>IF(AI45="Yes", "Manual", IF($AK$11="Yes", IF($A128="Faculty, Academic Year",IF($AL$45="AY",$H128*BJ45*(1+$AK$8)^5,0),($H128*BJ45*(1+$AK$8)^5)), IF($A128="Faculty, Academic Year",IF($AL$45="AY",$H128*BJ45*(1+$AK$8)^4,0),($H128*BJ45*(1+$AK$8)^4))))</f>
        <v>0</v>
      </c>
      <c r="AA128" s="291"/>
      <c r="AB128" s="307">
        <v>0</v>
      </c>
      <c r="AD128" s="291">
        <f t="shared" si="199"/>
        <v>0</v>
      </c>
      <c r="AE128" s="170"/>
      <c r="AF128" s="186">
        <f t="shared" si="200"/>
        <v>0</v>
      </c>
      <c r="AN128" s="205"/>
      <c r="AS128" s="205"/>
      <c r="AX128" s="205"/>
      <c r="BC128" s="205"/>
      <c r="BH128" s="205"/>
    </row>
    <row r="129" spans="1:60" x14ac:dyDescent="0.25">
      <c r="A129" s="168" t="str">
        <f>A47</f>
        <v>Classified Staff</v>
      </c>
      <c r="B129" s="184"/>
      <c r="C129" s="167" t="str">
        <f>C46</f>
        <v>Administrative Assistant:</v>
      </c>
      <c r="H129" s="374">
        <f t="shared" si="198"/>
        <v>1107</v>
      </c>
      <c r="I129" s="185"/>
      <c r="J129" s="291">
        <f>IF($AI47=$D$394, "Manual", IF($AK$11="Yes", IF($A129="Faculty, Academic Year",IF($AL$47="AY",$H129*AP47*(1+$AK$8),0),($H129*AP47*(1+$AK$8))), IF($A129="Faculty, Academic Year",IF($AL$47="AY",$H129*AP47,0),($H129*AP47))))</f>
        <v>0</v>
      </c>
      <c r="L129" s="307">
        <v>0</v>
      </c>
      <c r="M129" s="292"/>
      <c r="N129" s="291">
        <f>IF(AI47="Yes", "Manual", IF($AK$11="Yes", IF($A129="Faculty, Academic Year",IF($AL$47="AY",$H129*AU47*(1+$AK$8)^2,0),($H129*AU47*(1+$AK$8)^2)), IF($A129="Faculty, Academic Year",IF($AL$47="AY",$H129*AU47*(1+$AK$8),0),($H129*AU47*(1+$AK$8)))))</f>
        <v>0</v>
      </c>
      <c r="O129" s="291"/>
      <c r="P129" s="307">
        <v>0</v>
      </c>
      <c r="R129" s="291">
        <f>IF(AI47="Yes", "Manual", IF($AK$11="Yes", IF($A129="Faculty, Academic Year",IF($AL$47="AY",$H129*AZ47*(1+$AK$8)^3,0),($H129*AZ47*(1+$AK$8)^3)), IF($A129="Faculty, Academic Year",IF($AL$47="AY",$H129*AZ47*(1+$AK$8)^2,0),($H129*AZ47*(1+$AK$8)^2))))</f>
        <v>0</v>
      </c>
      <c r="S129" s="291"/>
      <c r="T129" s="307">
        <v>0</v>
      </c>
      <c r="V129" s="291">
        <f>IF(AI47="Yes", "Manual", IF($AK$11="Yes", IF($A129="Faculty, Academic Year",IF($AL$47="AY",$H129*BE47*(1+$AK$8)^4,0),($H129*BE47*(1+$AK$8)^4)), IF($A129="Faculty, Academic Year",IF($AL$47="AY",$H129*BE47*(1+$AK$8)^3,0),($H129*BE47*(1+$AK$8)^3))))</f>
        <v>0</v>
      </c>
      <c r="W129" s="291"/>
      <c r="X129" s="307">
        <f>IF(AI35="Yes", 0, IF($AK$11="Yes", IF($A129="Faculty, Academic Year",IF($AL$18="AY",$H129*(X35/$AJ35*$AK35)*(1+$AK$8)^4,0),($H129*(X35/$AJ35*$AK35)*(1+$AK$8)^4)), IF($A129="Faculty, Academic Year",IF($AL$18="AY",$H129*(X35/$AJ35*$AK35)*(1+$AK$8)^3,0),($H129*(X35/$AJ35*$AK35)*(1+$AK$8)^3))))</f>
        <v>0</v>
      </c>
      <c r="Y129" s="291"/>
      <c r="Z129" s="291">
        <f>IF(AI47="Yes", "Manual", IF($AK$11="Yes", IF($A129="Faculty, Academic Year",IF($AL$47="AY",$H129*BJ47*(1+$AK$8)^5,0),($H129*BJ47*(1+$AK$8)^5)), IF($A129="Faculty, Academic Year",IF($AL$47="AY",$H129*BJ47*(1+$AK$8)^4,0),($H129*BJ47*(1+$AK$8)^4))))</f>
        <v>0</v>
      </c>
      <c r="AA129" s="291"/>
      <c r="AB129" s="307">
        <v>0</v>
      </c>
      <c r="AD129" s="291">
        <f t="shared" si="199"/>
        <v>0</v>
      </c>
      <c r="AE129" s="170"/>
      <c r="AF129" s="186">
        <f t="shared" si="200"/>
        <v>0</v>
      </c>
      <c r="AN129" s="205"/>
      <c r="AS129" s="205"/>
      <c r="AX129" s="205"/>
      <c r="BC129" s="205"/>
      <c r="BH129" s="205"/>
    </row>
    <row r="130" spans="1:60" x14ac:dyDescent="0.25">
      <c r="A130" s="168" t="str">
        <f>A49</f>
        <v>GRA AY</v>
      </c>
      <c r="C130" s="167" t="str">
        <f>C48</f>
        <v>Graduate Research Assistant</v>
      </c>
      <c r="H130" s="209">
        <f t="shared" si="198"/>
        <v>0</v>
      </c>
      <c r="I130" s="185"/>
      <c r="J130" s="291">
        <v>0</v>
      </c>
      <c r="L130" s="307">
        <v>0</v>
      </c>
      <c r="M130" s="292"/>
      <c r="N130" s="291">
        <v>0</v>
      </c>
      <c r="P130" s="307">
        <v>0</v>
      </c>
      <c r="R130" s="291">
        <v>0</v>
      </c>
      <c r="T130" s="307">
        <v>0</v>
      </c>
      <c r="V130" s="291">
        <v>0</v>
      </c>
      <c r="X130" s="307">
        <v>0</v>
      </c>
      <c r="Z130" s="291">
        <v>0</v>
      </c>
      <c r="AB130" s="307">
        <v>0</v>
      </c>
      <c r="AD130" s="291">
        <f t="shared" si="199"/>
        <v>0</v>
      </c>
      <c r="AE130" s="170"/>
      <c r="AF130" s="186">
        <f t="shared" si="200"/>
        <v>0</v>
      </c>
      <c r="AN130" s="205"/>
      <c r="AS130" s="205"/>
      <c r="AX130" s="205"/>
      <c r="BC130" s="205"/>
      <c r="BH130" s="205"/>
    </row>
    <row r="131" spans="1:60" x14ac:dyDescent="0.25">
      <c r="A131" s="168" t="str">
        <f>A52</f>
        <v>GRA AY</v>
      </c>
      <c r="C131" s="167" t="str">
        <f>C51</f>
        <v>Graduate Research Assistant</v>
      </c>
      <c r="H131" s="209">
        <f t="shared" si="198"/>
        <v>0</v>
      </c>
      <c r="I131" s="185"/>
      <c r="J131" s="291">
        <v>0</v>
      </c>
      <c r="L131" s="307">
        <v>0</v>
      </c>
      <c r="M131" s="292"/>
      <c r="N131" s="291">
        <v>0</v>
      </c>
      <c r="P131" s="307">
        <v>0</v>
      </c>
      <c r="R131" s="291">
        <v>0</v>
      </c>
      <c r="T131" s="307">
        <v>0</v>
      </c>
      <c r="V131" s="291">
        <v>0</v>
      </c>
      <c r="X131" s="307">
        <v>0</v>
      </c>
      <c r="Z131" s="291">
        <v>0</v>
      </c>
      <c r="AB131" s="307">
        <v>0</v>
      </c>
      <c r="AD131" s="291">
        <f t="shared" si="199"/>
        <v>0</v>
      </c>
      <c r="AE131" s="170"/>
      <c r="AF131" s="186">
        <f t="shared" si="200"/>
        <v>0</v>
      </c>
      <c r="AN131" s="205"/>
      <c r="AS131" s="205"/>
      <c r="AX131" s="205"/>
      <c r="BC131" s="205"/>
      <c r="BH131" s="205"/>
    </row>
    <row r="132" spans="1:60" x14ac:dyDescent="0.25">
      <c r="A132" s="168" t="str">
        <f>A55</f>
        <v>GRA AY</v>
      </c>
      <c r="C132" s="167" t="str">
        <f>C54</f>
        <v>Graduate Research Assistant</v>
      </c>
      <c r="H132" s="209">
        <f t="shared" si="198"/>
        <v>0</v>
      </c>
      <c r="I132" s="185"/>
      <c r="J132" s="291">
        <v>0</v>
      </c>
      <c r="L132" s="307">
        <v>0</v>
      </c>
      <c r="M132" s="292"/>
      <c r="N132" s="291">
        <v>0</v>
      </c>
      <c r="P132" s="307">
        <v>0</v>
      </c>
      <c r="R132" s="291">
        <v>0</v>
      </c>
      <c r="T132" s="307">
        <v>0</v>
      </c>
      <c r="V132" s="291">
        <v>0</v>
      </c>
      <c r="X132" s="307">
        <v>0</v>
      </c>
      <c r="Z132" s="291">
        <v>0</v>
      </c>
      <c r="AB132" s="307">
        <v>0</v>
      </c>
      <c r="AD132" s="291">
        <f t="shared" si="199"/>
        <v>0</v>
      </c>
      <c r="AE132" s="170"/>
      <c r="AF132" s="186">
        <f t="shared" si="200"/>
        <v>0</v>
      </c>
      <c r="AN132" s="205"/>
      <c r="AS132" s="205"/>
      <c r="AX132" s="205"/>
      <c r="BC132" s="205"/>
      <c r="BH132" s="205"/>
    </row>
    <row r="133" spans="1:60" x14ac:dyDescent="0.25">
      <c r="A133" s="168" t="str">
        <f>A58</f>
        <v>GRA AY</v>
      </c>
      <c r="C133" s="167" t="str">
        <f>C57</f>
        <v>Graduate Research Assistant</v>
      </c>
      <c r="H133" s="209">
        <f t="shared" si="198"/>
        <v>0</v>
      </c>
      <c r="I133" s="185"/>
      <c r="J133" s="291">
        <v>0</v>
      </c>
      <c r="L133" s="307">
        <v>0</v>
      </c>
      <c r="M133" s="292"/>
      <c r="N133" s="291">
        <v>0</v>
      </c>
      <c r="P133" s="307">
        <v>0</v>
      </c>
      <c r="R133" s="291">
        <v>0</v>
      </c>
      <c r="T133" s="307">
        <v>0</v>
      </c>
      <c r="V133" s="291">
        <v>0</v>
      </c>
      <c r="X133" s="307">
        <v>0</v>
      </c>
      <c r="Z133" s="291">
        <v>0</v>
      </c>
      <c r="AB133" s="307">
        <v>0</v>
      </c>
      <c r="AD133" s="291">
        <f t="shared" si="199"/>
        <v>0</v>
      </c>
      <c r="AE133" s="170"/>
      <c r="AF133" s="186">
        <f t="shared" si="200"/>
        <v>0</v>
      </c>
      <c r="AN133" s="205"/>
      <c r="AS133" s="205"/>
      <c r="AX133" s="205"/>
      <c r="BC133" s="205"/>
      <c r="BH133" s="205"/>
    </row>
    <row r="134" spans="1:60" x14ac:dyDescent="0.25">
      <c r="A134" s="168" t="str">
        <f>A63</f>
        <v>Hourly Student AY</v>
      </c>
      <c r="C134" s="167" t="str">
        <f>C62</f>
        <v>Undergraduate Research Assistant</v>
      </c>
      <c r="H134" s="209">
        <f t="shared" si="198"/>
        <v>0</v>
      </c>
      <c r="I134" s="185"/>
      <c r="J134" s="291">
        <v>0</v>
      </c>
      <c r="L134" s="307">
        <v>0</v>
      </c>
      <c r="N134" s="291">
        <v>0</v>
      </c>
      <c r="O134" s="291"/>
      <c r="P134" s="307">
        <v>0</v>
      </c>
      <c r="Q134" s="291"/>
      <c r="R134" s="291">
        <v>0</v>
      </c>
      <c r="S134" s="291"/>
      <c r="T134" s="307">
        <v>0</v>
      </c>
      <c r="U134" s="291"/>
      <c r="V134" s="291">
        <v>0</v>
      </c>
      <c r="W134" s="291"/>
      <c r="X134" s="307">
        <v>0</v>
      </c>
      <c r="Y134" s="291"/>
      <c r="Z134" s="291">
        <v>0</v>
      </c>
      <c r="AA134" s="291"/>
      <c r="AB134" s="307">
        <v>0</v>
      </c>
      <c r="AC134" s="291"/>
      <c r="AD134" s="291">
        <f t="shared" si="199"/>
        <v>0</v>
      </c>
      <c r="AE134" s="170"/>
      <c r="AF134" s="186">
        <f t="shared" si="200"/>
        <v>0</v>
      </c>
      <c r="AN134" s="205"/>
      <c r="AS134" s="205"/>
      <c r="AX134" s="205"/>
      <c r="BC134" s="205"/>
      <c r="BH134" s="205"/>
    </row>
    <row r="135" spans="1:60" x14ac:dyDescent="0.25">
      <c r="A135" s="168" t="str">
        <f>A66</f>
        <v>Hourly Student AY</v>
      </c>
      <c r="C135" s="167" t="str">
        <f>C65</f>
        <v>Undergraduate Research Assistant</v>
      </c>
      <c r="H135" s="209">
        <f t="shared" si="198"/>
        <v>0</v>
      </c>
      <c r="I135" s="185"/>
      <c r="J135" s="291">
        <v>0</v>
      </c>
      <c r="L135" s="307">
        <v>0</v>
      </c>
      <c r="M135" s="292"/>
      <c r="N135" s="291">
        <v>0</v>
      </c>
      <c r="P135" s="307">
        <v>0</v>
      </c>
      <c r="R135" s="291">
        <v>0</v>
      </c>
      <c r="T135" s="307">
        <v>0</v>
      </c>
      <c r="V135" s="291">
        <v>0</v>
      </c>
      <c r="X135" s="307">
        <f>IF(AI41="Yes", 0, IF($AK$11="Yes", IF($A135="Faculty, Academic Year",IF($AL$18="AY",$H135*(X41/$AJ41*$AK41)*(1+$AK$8)^4,0),($H135*(X41/$AJ41*$AK41)*(1+$AK$8)^4)), IF($A135="Faculty, Academic Year",IF($AL$18="AY",$H135*(X41/$AJ41*$AK41)*(1+$AK$8)^3,0),($H135*(X41/$AJ41*$AK41)*(1+$AK$8)^3))))</f>
        <v>0</v>
      </c>
      <c r="Z135" s="291">
        <v>0</v>
      </c>
      <c r="AB135" s="307">
        <v>0</v>
      </c>
      <c r="AD135" s="291">
        <f t="shared" si="199"/>
        <v>0</v>
      </c>
      <c r="AE135" s="170"/>
      <c r="AF135" s="186">
        <f t="shared" si="200"/>
        <v>0</v>
      </c>
      <c r="AN135" s="205"/>
      <c r="AS135" s="205"/>
      <c r="AX135" s="205"/>
      <c r="BC135" s="205"/>
      <c r="BH135" s="205"/>
    </row>
    <row r="136" spans="1:60" x14ac:dyDescent="0.25">
      <c r="A136" s="168" t="str">
        <f>A69</f>
        <v>Hourly Student AY</v>
      </c>
      <c r="B136" s="184"/>
      <c r="C136" s="167" t="str">
        <f>C68</f>
        <v>Undergraduate Research Assistant</v>
      </c>
      <c r="H136" s="209">
        <f t="shared" si="198"/>
        <v>0</v>
      </c>
      <c r="I136" s="185"/>
      <c r="J136" s="316">
        <v>0</v>
      </c>
      <c r="L136" s="317">
        <v>0</v>
      </c>
      <c r="M136" s="292"/>
      <c r="N136" s="316">
        <v>0</v>
      </c>
      <c r="P136" s="317">
        <v>0</v>
      </c>
      <c r="R136" s="316">
        <v>0</v>
      </c>
      <c r="T136" s="317">
        <v>0</v>
      </c>
      <c r="V136" s="316">
        <v>0</v>
      </c>
      <c r="X136" s="317">
        <v>0</v>
      </c>
      <c r="Z136" s="316">
        <v>0</v>
      </c>
      <c r="AB136" s="317">
        <v>0</v>
      </c>
      <c r="AD136" s="368">
        <f t="shared" si="199"/>
        <v>0</v>
      </c>
      <c r="AE136" s="170"/>
      <c r="AF136" s="210">
        <f t="shared" si="200"/>
        <v>0</v>
      </c>
      <c r="AN136" s="205"/>
      <c r="AS136" s="205"/>
      <c r="AX136" s="205"/>
      <c r="BC136" s="205"/>
      <c r="BH136" s="205"/>
    </row>
    <row r="137" spans="1:60" ht="9" customHeight="1" x14ac:dyDescent="0.25">
      <c r="L137" s="307"/>
      <c r="P137" s="307"/>
      <c r="R137" s="291"/>
      <c r="T137" s="307"/>
      <c r="V137" s="291"/>
      <c r="X137" s="307"/>
      <c r="Z137" s="291"/>
      <c r="AB137" s="307"/>
      <c r="AE137" s="170"/>
      <c r="AF137" s="204"/>
      <c r="AN137" s="205"/>
      <c r="AS137" s="205"/>
      <c r="AX137" s="205"/>
      <c r="BC137" s="205"/>
      <c r="BH137" s="205"/>
    </row>
    <row r="138" spans="1:60" x14ac:dyDescent="0.25">
      <c r="C138" s="167" t="s">
        <v>143</v>
      </c>
      <c r="E138" s="81"/>
      <c r="G138" s="170"/>
      <c r="I138" s="28"/>
      <c r="J138" s="291">
        <f>SUM(J112:J136)</f>
        <v>0</v>
      </c>
      <c r="L138" s="307">
        <f>SUM(L112:L136)</f>
        <v>0</v>
      </c>
      <c r="N138" s="291">
        <f>SUM(N112:N136)</f>
        <v>0</v>
      </c>
      <c r="P138" s="307">
        <f>SUM(P112:P136)</f>
        <v>0</v>
      </c>
      <c r="R138" s="291">
        <f>SUM(R112:R136)</f>
        <v>0</v>
      </c>
      <c r="T138" s="307">
        <f>SUM(T112:T136)</f>
        <v>0</v>
      </c>
      <c r="V138" s="291">
        <f>SUM(V112:V136)</f>
        <v>0</v>
      </c>
      <c r="X138" s="307">
        <f>SUM(X112:X136)</f>
        <v>0</v>
      </c>
      <c r="Z138" s="291">
        <f>SUM(Z112:Z136)</f>
        <v>0</v>
      </c>
      <c r="AB138" s="307">
        <f>SUM(AB112:AB136)</f>
        <v>0</v>
      </c>
      <c r="AD138" s="291">
        <f>J138+N138+R138+V138+Z138</f>
        <v>0</v>
      </c>
      <c r="AE138" s="170"/>
      <c r="AF138" s="186">
        <f>L138+P138+T138+X138+AB138</f>
        <v>0</v>
      </c>
      <c r="AN138" s="205"/>
      <c r="AS138" s="205"/>
      <c r="AX138" s="205"/>
      <c r="BC138" s="205"/>
      <c r="BH138" s="205"/>
    </row>
    <row r="139" spans="1:60" x14ac:dyDescent="0.25">
      <c r="E139" s="81"/>
      <c r="G139" s="170"/>
      <c r="I139" s="28"/>
      <c r="L139" s="307"/>
      <c r="P139" s="307"/>
      <c r="R139" s="291"/>
      <c r="T139" s="307"/>
      <c r="V139" s="291"/>
      <c r="X139" s="307"/>
      <c r="Z139" s="291"/>
      <c r="AB139" s="307"/>
      <c r="AE139" s="170"/>
      <c r="AF139" s="186"/>
      <c r="AN139" s="205"/>
      <c r="AS139" s="205"/>
      <c r="AX139" s="205"/>
      <c r="BC139" s="205"/>
      <c r="BH139" s="205"/>
    </row>
    <row r="140" spans="1:60" x14ac:dyDescent="0.25">
      <c r="C140" s="167" t="s">
        <v>227</v>
      </c>
      <c r="E140" s="81"/>
      <c r="G140" s="170"/>
      <c r="I140" s="28"/>
      <c r="J140" s="291">
        <f>J138+J109</f>
        <v>0</v>
      </c>
      <c r="L140" s="307">
        <f t="shared" ref="L140:AB140" si="201">L138+L109</f>
        <v>0</v>
      </c>
      <c r="N140" s="291">
        <f t="shared" si="201"/>
        <v>0</v>
      </c>
      <c r="O140" s="291"/>
      <c r="P140" s="307">
        <f t="shared" si="201"/>
        <v>0</v>
      </c>
      <c r="Q140" s="291"/>
      <c r="R140" s="291">
        <f t="shared" si="201"/>
        <v>0</v>
      </c>
      <c r="S140" s="291"/>
      <c r="T140" s="307">
        <f t="shared" si="201"/>
        <v>0</v>
      </c>
      <c r="U140" s="291"/>
      <c r="V140" s="291">
        <f t="shared" si="201"/>
        <v>0</v>
      </c>
      <c r="W140" s="291"/>
      <c r="X140" s="307">
        <f t="shared" si="201"/>
        <v>0</v>
      </c>
      <c r="Y140" s="291"/>
      <c r="Z140" s="291">
        <f t="shared" si="201"/>
        <v>0</v>
      </c>
      <c r="AA140" s="291"/>
      <c r="AB140" s="307">
        <f t="shared" si="201"/>
        <v>0</v>
      </c>
      <c r="AC140" s="291"/>
      <c r="AD140" s="291">
        <f>J140+N140+R140+V140+Z140</f>
        <v>0</v>
      </c>
      <c r="AE140" s="170"/>
      <c r="AF140" s="186">
        <f>L140+P140+T140+X140+AB140</f>
        <v>0</v>
      </c>
      <c r="AN140" s="205"/>
      <c r="AS140" s="205"/>
      <c r="AX140" s="205"/>
      <c r="BC140" s="205"/>
      <c r="BH140" s="205"/>
    </row>
    <row r="141" spans="1:60" x14ac:dyDescent="0.25">
      <c r="L141" s="307"/>
      <c r="P141" s="307"/>
      <c r="R141" s="291"/>
      <c r="T141" s="307"/>
      <c r="V141" s="291"/>
      <c r="X141" s="307"/>
      <c r="Z141" s="291"/>
      <c r="AB141" s="307"/>
      <c r="AE141" s="170"/>
      <c r="AF141" s="186"/>
      <c r="AN141" s="205"/>
      <c r="AS141" s="205"/>
      <c r="AX141" s="205"/>
      <c r="BC141" s="205"/>
      <c r="BH141" s="205"/>
    </row>
    <row r="142" spans="1:60" x14ac:dyDescent="0.25">
      <c r="C142" s="167" t="s">
        <v>145</v>
      </c>
      <c r="J142" s="291">
        <f>J109+J72+J138</f>
        <v>0</v>
      </c>
      <c r="L142" s="307">
        <f t="shared" ref="L142:AF142" si="202">L109+L72+L138</f>
        <v>0</v>
      </c>
      <c r="N142" s="291">
        <f t="shared" si="202"/>
        <v>0</v>
      </c>
      <c r="O142" s="291"/>
      <c r="P142" s="307">
        <f t="shared" si="202"/>
        <v>0</v>
      </c>
      <c r="Q142" s="291"/>
      <c r="R142" s="291">
        <f t="shared" si="202"/>
        <v>0</v>
      </c>
      <c r="S142" s="291"/>
      <c r="T142" s="307">
        <f t="shared" si="202"/>
        <v>0</v>
      </c>
      <c r="U142" s="291"/>
      <c r="V142" s="291">
        <f t="shared" si="202"/>
        <v>0</v>
      </c>
      <c r="W142" s="291"/>
      <c r="X142" s="307">
        <f t="shared" si="202"/>
        <v>0</v>
      </c>
      <c r="Y142" s="291"/>
      <c r="Z142" s="291">
        <f t="shared" si="202"/>
        <v>0</v>
      </c>
      <c r="AA142" s="291"/>
      <c r="AB142" s="307">
        <f t="shared" si="202"/>
        <v>0</v>
      </c>
      <c r="AC142" s="291"/>
      <c r="AD142" s="291">
        <f t="shared" si="202"/>
        <v>0</v>
      </c>
      <c r="AE142" s="170"/>
      <c r="AF142" s="186">
        <f t="shared" si="202"/>
        <v>0</v>
      </c>
      <c r="AN142" s="205"/>
      <c r="AS142" s="205"/>
      <c r="AX142" s="205"/>
      <c r="BC142" s="205"/>
      <c r="BH142" s="205"/>
    </row>
    <row r="143" spans="1:60" x14ac:dyDescent="0.25">
      <c r="L143" s="307"/>
      <c r="P143" s="307"/>
      <c r="R143" s="291"/>
      <c r="T143" s="315"/>
      <c r="V143" s="291"/>
      <c r="X143" s="315"/>
      <c r="Z143" s="291"/>
      <c r="AB143" s="315"/>
      <c r="AF143" s="187"/>
      <c r="AN143" s="205"/>
      <c r="AS143" s="205"/>
      <c r="AX143" s="205"/>
      <c r="BC143" s="205"/>
      <c r="BH143" s="205"/>
    </row>
    <row r="144" spans="1:60" ht="16.5" customHeight="1" x14ac:dyDescent="0.25">
      <c r="B144" s="184" t="s">
        <v>8</v>
      </c>
      <c r="C144" s="184" t="s">
        <v>63</v>
      </c>
      <c r="L144" s="307"/>
      <c r="P144" s="307"/>
      <c r="T144" s="315"/>
      <c r="X144" s="315"/>
      <c r="AB144" s="315"/>
      <c r="AF144" s="187"/>
      <c r="AN144" s="205"/>
      <c r="AS144" s="205"/>
      <c r="AX144" s="205"/>
      <c r="BC144" s="205"/>
      <c r="BH144" s="205"/>
    </row>
    <row r="145" spans="1:60" ht="16.5" customHeight="1" outlineLevel="1" x14ac:dyDescent="0.25">
      <c r="A145" s="363" t="s">
        <v>179</v>
      </c>
      <c r="B145" s="184"/>
      <c r="C145" s="167" t="s">
        <v>35</v>
      </c>
      <c r="J145" s="291">
        <v>0</v>
      </c>
      <c r="L145" s="307">
        <v>0</v>
      </c>
      <c r="N145" s="291">
        <v>0</v>
      </c>
      <c r="P145" s="307">
        <v>0</v>
      </c>
      <c r="R145" s="291">
        <v>0</v>
      </c>
      <c r="T145" s="307">
        <v>0</v>
      </c>
      <c r="V145" s="291">
        <v>0</v>
      </c>
      <c r="X145" s="307">
        <v>0</v>
      </c>
      <c r="Z145" s="291">
        <v>0</v>
      </c>
      <c r="AB145" s="307">
        <v>0</v>
      </c>
      <c r="AD145" s="291">
        <f>J145+N145+R145+V145+Z145</f>
        <v>0</v>
      </c>
      <c r="AE145" s="170"/>
      <c r="AF145" s="186">
        <f>L145+P145+T145+X145+AB145</f>
        <v>0</v>
      </c>
      <c r="AN145" s="205"/>
      <c r="AS145" s="205"/>
      <c r="AX145" s="205"/>
      <c r="BC145" s="205"/>
      <c r="BH145" s="205"/>
    </row>
    <row r="146" spans="1:60" ht="16.5" customHeight="1" outlineLevel="1" x14ac:dyDescent="0.25">
      <c r="A146" s="363" t="s">
        <v>179</v>
      </c>
      <c r="B146" s="184"/>
      <c r="C146" s="167" t="s">
        <v>36</v>
      </c>
      <c r="J146" s="291">
        <v>0</v>
      </c>
      <c r="L146" s="307">
        <v>0</v>
      </c>
      <c r="N146" s="291">
        <v>0</v>
      </c>
      <c r="P146" s="307">
        <v>0</v>
      </c>
      <c r="R146" s="291">
        <v>0</v>
      </c>
      <c r="T146" s="307">
        <v>0</v>
      </c>
      <c r="V146" s="291">
        <v>0</v>
      </c>
      <c r="X146" s="307">
        <v>0</v>
      </c>
      <c r="Z146" s="291">
        <v>0</v>
      </c>
      <c r="AB146" s="307">
        <v>0</v>
      </c>
      <c r="AD146" s="291">
        <f>J146+N146+R146+V146+Z146</f>
        <v>0</v>
      </c>
      <c r="AE146" s="170"/>
      <c r="AF146" s="186">
        <f>L146+P146+T146+X146+AB146</f>
        <v>0</v>
      </c>
      <c r="AN146" s="205"/>
      <c r="AS146" s="205"/>
      <c r="AX146" s="205"/>
      <c r="BC146" s="205"/>
      <c r="BH146" s="205"/>
    </row>
    <row r="147" spans="1:60" ht="16.5" customHeight="1" outlineLevel="1" x14ac:dyDescent="0.25">
      <c r="A147" s="363" t="s">
        <v>179</v>
      </c>
      <c r="B147" s="184"/>
      <c r="C147" s="167" t="s">
        <v>37</v>
      </c>
      <c r="J147" s="291">
        <v>0</v>
      </c>
      <c r="L147" s="307">
        <v>0</v>
      </c>
      <c r="N147" s="291">
        <v>0</v>
      </c>
      <c r="P147" s="307">
        <v>0</v>
      </c>
      <c r="R147" s="291">
        <v>0</v>
      </c>
      <c r="T147" s="307">
        <v>0</v>
      </c>
      <c r="V147" s="291">
        <v>0</v>
      </c>
      <c r="X147" s="307">
        <v>0</v>
      </c>
      <c r="Z147" s="291">
        <v>0</v>
      </c>
      <c r="AB147" s="307">
        <v>0</v>
      </c>
      <c r="AD147" s="291">
        <f>J147+N147+R147+V147+Z147</f>
        <v>0</v>
      </c>
      <c r="AE147" s="170"/>
      <c r="AF147" s="186">
        <f>L147+P147+T147+X147+AB147</f>
        <v>0</v>
      </c>
      <c r="AN147" s="205"/>
      <c r="AS147" s="205"/>
      <c r="AX147" s="205"/>
      <c r="BC147" s="205"/>
      <c r="BH147" s="205"/>
    </row>
    <row r="148" spans="1:60" ht="16.5" customHeight="1" outlineLevel="1" x14ac:dyDescent="0.25">
      <c r="A148" s="363" t="s">
        <v>179</v>
      </c>
      <c r="B148" s="184"/>
      <c r="C148" s="167" t="s">
        <v>46</v>
      </c>
      <c r="J148" s="291">
        <v>0</v>
      </c>
      <c r="L148" s="307">
        <v>0</v>
      </c>
      <c r="N148" s="291">
        <v>0</v>
      </c>
      <c r="P148" s="307">
        <v>0</v>
      </c>
      <c r="R148" s="291">
        <v>0</v>
      </c>
      <c r="T148" s="307">
        <v>0</v>
      </c>
      <c r="V148" s="291">
        <v>0</v>
      </c>
      <c r="X148" s="307">
        <v>0</v>
      </c>
      <c r="Z148" s="291">
        <v>0</v>
      </c>
      <c r="AB148" s="307">
        <v>0</v>
      </c>
      <c r="AD148" s="291">
        <f>J148+N148+R148+V148+Z148</f>
        <v>0</v>
      </c>
      <c r="AE148" s="170"/>
      <c r="AF148" s="186">
        <f>L148+P148+T148+X148+AB148</f>
        <v>0</v>
      </c>
      <c r="AN148" s="205"/>
      <c r="AS148" s="205"/>
      <c r="AX148" s="205"/>
      <c r="BC148" s="205"/>
      <c r="BH148" s="205"/>
    </row>
    <row r="149" spans="1:60" ht="9.6" customHeight="1" x14ac:dyDescent="0.25">
      <c r="J149" s="311"/>
      <c r="L149" s="312"/>
      <c r="N149" s="311"/>
      <c r="P149" s="312"/>
      <c r="R149" s="311"/>
      <c r="T149" s="312"/>
      <c r="V149" s="311"/>
      <c r="X149" s="312"/>
      <c r="Z149" s="311"/>
      <c r="AB149" s="312"/>
      <c r="AD149" s="311"/>
      <c r="AE149" s="170"/>
      <c r="AF149" s="203"/>
      <c r="AN149" s="205"/>
      <c r="AS149" s="205"/>
      <c r="AX149" s="205"/>
      <c r="BC149" s="205"/>
      <c r="BH149" s="205"/>
    </row>
    <row r="150" spans="1:60" x14ac:dyDescent="0.25">
      <c r="C150" s="167" t="s">
        <v>93</v>
      </c>
      <c r="J150" s="291">
        <f>SUM(J144:J148)</f>
        <v>0</v>
      </c>
      <c r="L150" s="307">
        <f>SUM(L144:L148)</f>
        <v>0</v>
      </c>
      <c r="N150" s="291">
        <f>SUM(N144:N148)</f>
        <v>0</v>
      </c>
      <c r="P150" s="307">
        <f>SUM(P144:P148)</f>
        <v>0</v>
      </c>
      <c r="R150" s="291">
        <f>SUM(R144:R148)</f>
        <v>0</v>
      </c>
      <c r="T150" s="307">
        <f>SUM(T144:T148)</f>
        <v>0</v>
      </c>
      <c r="V150" s="291">
        <f>SUM(V144:V148)</f>
        <v>0</v>
      </c>
      <c r="X150" s="307">
        <f>SUM(X144:X148)</f>
        <v>0</v>
      </c>
      <c r="Z150" s="291">
        <f>SUM(Z144:Z148)</f>
        <v>0</v>
      </c>
      <c r="AB150" s="307">
        <f>SUM(AB144:AB148)</f>
        <v>0</v>
      </c>
      <c r="AD150" s="291">
        <f>J150+N150+R150+V150+Z150</f>
        <v>0</v>
      </c>
      <c r="AE150" s="170"/>
      <c r="AF150" s="186">
        <f>L150+P150+T150+X150+AB150</f>
        <v>0</v>
      </c>
      <c r="AN150" s="205"/>
      <c r="AS150" s="205"/>
      <c r="AX150" s="205"/>
      <c r="BC150" s="205"/>
      <c r="BH150" s="205"/>
    </row>
    <row r="151" spans="1:60" x14ac:dyDescent="0.25">
      <c r="L151" s="307"/>
      <c r="P151" s="307"/>
      <c r="T151" s="315"/>
      <c r="X151" s="315"/>
      <c r="AB151" s="315"/>
      <c r="AF151" s="187"/>
      <c r="AN151" s="205"/>
      <c r="AS151" s="205"/>
      <c r="AX151" s="205"/>
      <c r="BC151" s="205"/>
      <c r="BH151" s="205"/>
    </row>
    <row r="152" spans="1:60" x14ac:dyDescent="0.25">
      <c r="B152" s="184" t="s">
        <v>9</v>
      </c>
      <c r="C152" s="184" t="s">
        <v>10</v>
      </c>
      <c r="L152" s="307"/>
      <c r="P152" s="307"/>
      <c r="T152" s="315"/>
      <c r="X152" s="315"/>
      <c r="AB152" s="315"/>
      <c r="AF152" s="187"/>
      <c r="AN152" s="205"/>
      <c r="AS152" s="205"/>
      <c r="AX152" s="205"/>
      <c r="BC152" s="205"/>
      <c r="BH152" s="205"/>
    </row>
    <row r="153" spans="1:60" outlineLevel="1" x14ac:dyDescent="0.25">
      <c r="A153" s="168"/>
      <c r="B153" s="184"/>
      <c r="C153" s="211"/>
      <c r="E153" s="212" t="s">
        <v>67</v>
      </c>
      <c r="F153" s="213" t="s">
        <v>65</v>
      </c>
      <c r="G153" s="213" t="s">
        <v>78</v>
      </c>
      <c r="H153" s="213" t="s">
        <v>66</v>
      </c>
      <c r="L153" s="307"/>
      <c r="P153" s="307"/>
      <c r="T153" s="315"/>
      <c r="X153" s="315"/>
      <c r="AB153" s="315"/>
      <c r="AE153" s="170"/>
      <c r="AF153" s="186"/>
      <c r="AN153" s="205"/>
      <c r="AS153" s="205"/>
      <c r="AX153" s="205"/>
      <c r="BC153" s="205"/>
      <c r="BH153" s="205"/>
    </row>
    <row r="154" spans="1:60" outlineLevel="1" x14ac:dyDescent="0.25">
      <c r="A154" s="168"/>
      <c r="B154" s="184"/>
      <c r="C154" s="214" t="s">
        <v>68</v>
      </c>
      <c r="E154" s="173"/>
      <c r="F154" s="175"/>
      <c r="G154" s="175"/>
      <c r="H154" s="175"/>
      <c r="L154" s="307"/>
      <c r="P154" s="307"/>
      <c r="T154" s="315"/>
      <c r="X154" s="315"/>
      <c r="AB154" s="315"/>
      <c r="AF154" s="187"/>
      <c r="AN154" s="205"/>
      <c r="AS154" s="205"/>
      <c r="AX154" s="205"/>
      <c r="BC154" s="205"/>
      <c r="BH154" s="205"/>
    </row>
    <row r="155" spans="1:60" outlineLevel="1" x14ac:dyDescent="0.25">
      <c r="A155" s="168" t="s">
        <v>211</v>
      </c>
      <c r="B155" s="184"/>
      <c r="C155" s="28"/>
      <c r="D155" s="167" t="s">
        <v>69</v>
      </c>
      <c r="E155" s="215"/>
      <c r="F155" s="213"/>
      <c r="G155" s="216">
        <v>0</v>
      </c>
      <c r="H155" s="216">
        <v>0</v>
      </c>
      <c r="J155" s="291">
        <f>E155*G155*H155</f>
        <v>0</v>
      </c>
      <c r="L155" s="307">
        <v>0</v>
      </c>
      <c r="N155" s="291">
        <v>0</v>
      </c>
      <c r="P155" s="307">
        <v>0</v>
      </c>
      <c r="R155" s="291">
        <v>0</v>
      </c>
      <c r="T155" s="307">
        <v>0</v>
      </c>
      <c r="V155" s="291">
        <v>0</v>
      </c>
      <c r="X155" s="307">
        <v>0</v>
      </c>
      <c r="Z155" s="291">
        <v>0</v>
      </c>
      <c r="AB155" s="307">
        <v>0</v>
      </c>
      <c r="AD155" s="291">
        <f>J155+N155+R155+V155+Z155</f>
        <v>0</v>
      </c>
      <c r="AF155" s="186">
        <f t="shared" ref="AF155:AF160" si="203">L155+P155+T155+X155+AB155</f>
        <v>0</v>
      </c>
      <c r="AN155" s="205"/>
      <c r="AS155" s="205"/>
      <c r="AX155" s="205"/>
      <c r="BC155" s="205"/>
      <c r="BH155" s="205"/>
    </row>
    <row r="156" spans="1:60" outlineLevel="1" x14ac:dyDescent="0.25">
      <c r="A156" s="168" t="s">
        <v>211</v>
      </c>
      <c r="B156" s="184"/>
      <c r="C156" s="28"/>
      <c r="D156" s="217" t="s">
        <v>236</v>
      </c>
      <c r="E156" s="215"/>
      <c r="F156" s="216">
        <v>0</v>
      </c>
      <c r="G156" s="216">
        <f>G155</f>
        <v>0</v>
      </c>
      <c r="H156" s="216">
        <f>H155</f>
        <v>0</v>
      </c>
      <c r="J156" s="291">
        <f>E156*F156*G156*H156</f>
        <v>0</v>
      </c>
      <c r="L156" s="307">
        <v>0</v>
      </c>
      <c r="N156" s="291">
        <v>0</v>
      </c>
      <c r="P156" s="307">
        <v>0</v>
      </c>
      <c r="R156" s="291">
        <v>0</v>
      </c>
      <c r="T156" s="307">
        <v>0</v>
      </c>
      <c r="V156" s="291">
        <v>0</v>
      </c>
      <c r="X156" s="307">
        <v>0</v>
      </c>
      <c r="Z156" s="291">
        <v>0</v>
      </c>
      <c r="AB156" s="307">
        <v>0</v>
      </c>
      <c r="AD156" s="291">
        <f t="shared" ref="AD156:AD160" si="204">J156+N156+R156+V156+Z156</f>
        <v>0</v>
      </c>
      <c r="AE156" s="170"/>
      <c r="AF156" s="186">
        <f t="shared" si="203"/>
        <v>0</v>
      </c>
      <c r="AH156" s="81"/>
      <c r="AN156" s="205"/>
      <c r="AS156" s="205"/>
      <c r="AX156" s="205"/>
      <c r="BC156" s="205"/>
      <c r="BH156" s="205"/>
    </row>
    <row r="157" spans="1:60" outlineLevel="1" x14ac:dyDescent="0.25">
      <c r="A157" s="168" t="s">
        <v>211</v>
      </c>
      <c r="B157" s="184"/>
      <c r="C157" s="28"/>
      <c r="D157" s="419" t="s">
        <v>387</v>
      </c>
      <c r="E157" s="218"/>
      <c r="F157" s="216">
        <f>F156</f>
        <v>0</v>
      </c>
      <c r="G157" s="216">
        <f t="shared" ref="G157:H157" si="205">G156</f>
        <v>0</v>
      </c>
      <c r="H157" s="216">
        <f t="shared" si="205"/>
        <v>0</v>
      </c>
      <c r="J157" s="291">
        <f t="shared" ref="J157:J158" si="206">E157*F157*G157*H157</f>
        <v>0</v>
      </c>
      <c r="L157" s="307">
        <v>0</v>
      </c>
      <c r="N157" s="291">
        <v>0</v>
      </c>
      <c r="P157" s="307">
        <v>0</v>
      </c>
      <c r="R157" s="291">
        <v>0</v>
      </c>
      <c r="T157" s="307">
        <v>0</v>
      </c>
      <c r="V157" s="291">
        <v>0</v>
      </c>
      <c r="X157" s="307">
        <v>0</v>
      </c>
      <c r="Z157" s="291">
        <v>0</v>
      </c>
      <c r="AB157" s="307">
        <v>0</v>
      </c>
      <c r="AD157" s="291">
        <f t="shared" si="204"/>
        <v>0</v>
      </c>
      <c r="AE157" s="170"/>
      <c r="AF157" s="186">
        <f t="shared" si="203"/>
        <v>0</v>
      </c>
      <c r="AH157" s="81"/>
      <c r="AN157" s="205"/>
      <c r="AS157" s="205"/>
      <c r="AX157" s="205"/>
      <c r="BC157" s="205"/>
      <c r="BH157" s="205"/>
    </row>
    <row r="158" spans="1:60" outlineLevel="1" x14ac:dyDescent="0.25">
      <c r="A158" s="168" t="s">
        <v>211</v>
      </c>
      <c r="B158" s="184"/>
      <c r="C158" s="28"/>
      <c r="D158" s="167" t="s">
        <v>178</v>
      </c>
      <c r="E158" s="215"/>
      <c r="F158" s="216">
        <v>0</v>
      </c>
      <c r="G158" s="216">
        <f t="shared" ref="G158:H160" si="207">G157</f>
        <v>0</v>
      </c>
      <c r="H158" s="216">
        <f t="shared" si="207"/>
        <v>0</v>
      </c>
      <c r="J158" s="291">
        <f t="shared" si="206"/>
        <v>0</v>
      </c>
      <c r="L158" s="307">
        <v>0</v>
      </c>
      <c r="N158" s="291">
        <v>0</v>
      </c>
      <c r="P158" s="307">
        <v>0</v>
      </c>
      <c r="R158" s="291">
        <v>0</v>
      </c>
      <c r="T158" s="307">
        <v>0</v>
      </c>
      <c r="V158" s="291">
        <v>0</v>
      </c>
      <c r="X158" s="307">
        <v>0</v>
      </c>
      <c r="Z158" s="291">
        <v>0</v>
      </c>
      <c r="AB158" s="307">
        <v>0</v>
      </c>
      <c r="AD158" s="291">
        <f t="shared" si="204"/>
        <v>0</v>
      </c>
      <c r="AE158" s="170"/>
      <c r="AF158" s="186">
        <f t="shared" si="203"/>
        <v>0</v>
      </c>
      <c r="AN158" s="205"/>
      <c r="AS158" s="205"/>
      <c r="AX158" s="205"/>
      <c r="BC158" s="205"/>
      <c r="BH158" s="205"/>
    </row>
    <row r="159" spans="1:60" outlineLevel="1" x14ac:dyDescent="0.25">
      <c r="A159" s="168" t="s">
        <v>211</v>
      </c>
      <c r="B159" s="184"/>
      <c r="C159" s="28"/>
      <c r="D159" s="167" t="s">
        <v>259</v>
      </c>
      <c r="E159" s="215"/>
      <c r="F159" s="213"/>
      <c r="G159" s="216">
        <f t="shared" si="207"/>
        <v>0</v>
      </c>
      <c r="H159" s="216">
        <f t="shared" si="207"/>
        <v>0</v>
      </c>
      <c r="J159" s="291">
        <f>E159*G159*H159</f>
        <v>0</v>
      </c>
      <c r="L159" s="307">
        <v>0</v>
      </c>
      <c r="N159" s="291">
        <v>0</v>
      </c>
      <c r="P159" s="307">
        <v>0</v>
      </c>
      <c r="R159" s="291">
        <v>0</v>
      </c>
      <c r="T159" s="307">
        <v>0</v>
      </c>
      <c r="V159" s="291">
        <v>0</v>
      </c>
      <c r="X159" s="307">
        <v>0</v>
      </c>
      <c r="Z159" s="291">
        <v>0</v>
      </c>
      <c r="AB159" s="307">
        <v>0</v>
      </c>
      <c r="AD159" s="291">
        <f t="shared" si="204"/>
        <v>0</v>
      </c>
      <c r="AE159" s="170"/>
      <c r="AF159" s="186">
        <f t="shared" si="203"/>
        <v>0</v>
      </c>
      <c r="AN159" s="205"/>
      <c r="AS159" s="205"/>
      <c r="AX159" s="205"/>
      <c r="BC159" s="205"/>
      <c r="BH159" s="205"/>
    </row>
    <row r="160" spans="1:60" outlineLevel="1" x14ac:dyDescent="0.25">
      <c r="A160" s="168" t="s">
        <v>211</v>
      </c>
      <c r="B160" s="184"/>
      <c r="C160" s="28"/>
      <c r="D160" s="167" t="s">
        <v>79</v>
      </c>
      <c r="E160" s="215"/>
      <c r="F160" s="213"/>
      <c r="G160" s="216">
        <f t="shared" si="207"/>
        <v>0</v>
      </c>
      <c r="H160" s="216">
        <f t="shared" si="207"/>
        <v>0</v>
      </c>
      <c r="J160" s="291">
        <f>E160*G160*H160</f>
        <v>0</v>
      </c>
      <c r="L160" s="307">
        <v>0</v>
      </c>
      <c r="N160" s="291">
        <v>0</v>
      </c>
      <c r="P160" s="307">
        <v>0</v>
      </c>
      <c r="R160" s="291">
        <v>0</v>
      </c>
      <c r="T160" s="307">
        <v>0</v>
      </c>
      <c r="V160" s="291">
        <v>0</v>
      </c>
      <c r="X160" s="307">
        <v>0</v>
      </c>
      <c r="Z160" s="291">
        <v>0</v>
      </c>
      <c r="AB160" s="307">
        <v>0</v>
      </c>
      <c r="AD160" s="291">
        <f t="shared" si="204"/>
        <v>0</v>
      </c>
      <c r="AE160" s="170"/>
      <c r="AF160" s="186">
        <f t="shared" si="203"/>
        <v>0</v>
      </c>
      <c r="AG160" s="292"/>
      <c r="AH160" s="292"/>
      <c r="AN160" s="205"/>
      <c r="AS160" s="205"/>
      <c r="AX160" s="205"/>
      <c r="BC160" s="205"/>
      <c r="BH160" s="205"/>
    </row>
    <row r="161" spans="1:60" outlineLevel="1" x14ac:dyDescent="0.25">
      <c r="A161" s="168"/>
      <c r="B161" s="184"/>
      <c r="C161" s="28"/>
      <c r="E161" s="212"/>
      <c r="F161" s="213"/>
      <c r="G161" s="213"/>
      <c r="H161" s="213"/>
      <c r="L161" s="307"/>
      <c r="P161" s="307"/>
      <c r="R161" s="291"/>
      <c r="T161" s="307"/>
      <c r="V161" s="291"/>
      <c r="X161" s="307"/>
      <c r="Z161" s="291"/>
      <c r="AB161" s="307"/>
      <c r="AE161" s="170"/>
      <c r="AF161" s="186"/>
      <c r="AG161" s="292"/>
      <c r="AN161" s="205"/>
      <c r="AS161" s="205"/>
      <c r="AX161" s="205"/>
      <c r="BC161" s="205"/>
      <c r="BH161" s="205"/>
    </row>
    <row r="162" spans="1:60" outlineLevel="1" x14ac:dyDescent="0.25">
      <c r="A162" s="168"/>
      <c r="B162" s="184"/>
      <c r="C162" s="214" t="s">
        <v>68</v>
      </c>
      <c r="E162" s="212"/>
      <c r="F162" s="213"/>
      <c r="G162" s="213"/>
      <c r="H162" s="213"/>
      <c r="L162" s="307"/>
      <c r="P162" s="307"/>
      <c r="R162" s="291"/>
      <c r="T162" s="315"/>
      <c r="V162" s="291"/>
      <c r="X162" s="307"/>
      <c r="Z162" s="291"/>
      <c r="AB162" s="307"/>
      <c r="AF162" s="187"/>
      <c r="AN162" s="205"/>
      <c r="AS162" s="205"/>
      <c r="AX162" s="205"/>
      <c r="BC162" s="205"/>
      <c r="BH162" s="205"/>
    </row>
    <row r="163" spans="1:60" outlineLevel="1" x14ac:dyDescent="0.25">
      <c r="A163" s="168" t="s">
        <v>211</v>
      </c>
      <c r="B163" s="184"/>
      <c r="C163" s="28"/>
      <c r="D163" s="167" t="s">
        <v>69</v>
      </c>
      <c r="E163" s="215"/>
      <c r="F163" s="213"/>
      <c r="G163" s="216">
        <v>0</v>
      </c>
      <c r="H163" s="216">
        <v>0</v>
      </c>
      <c r="J163" s="291">
        <f>E163*G163*H163</f>
        <v>0</v>
      </c>
      <c r="L163" s="307">
        <v>0</v>
      </c>
      <c r="N163" s="291">
        <v>0</v>
      </c>
      <c r="P163" s="307">
        <v>0</v>
      </c>
      <c r="R163" s="291">
        <v>0</v>
      </c>
      <c r="T163" s="307">
        <v>0</v>
      </c>
      <c r="V163" s="291">
        <v>0</v>
      </c>
      <c r="X163" s="307">
        <v>0</v>
      </c>
      <c r="Z163" s="291">
        <v>0</v>
      </c>
      <c r="AB163" s="307">
        <v>0</v>
      </c>
      <c r="AD163" s="291">
        <f t="shared" ref="AD163:AD168" si="208">J163+N163+R163+V163+Z163</f>
        <v>0</v>
      </c>
      <c r="AF163" s="186">
        <f t="shared" ref="AF163:AF168" si="209">L163+P163+T163+X163+AB163</f>
        <v>0</v>
      </c>
      <c r="AN163" s="205"/>
      <c r="AS163" s="205"/>
      <c r="AX163" s="205"/>
      <c r="BC163" s="205"/>
      <c r="BH163" s="205"/>
    </row>
    <row r="164" spans="1:60" outlineLevel="1" x14ac:dyDescent="0.25">
      <c r="A164" s="168" t="s">
        <v>211</v>
      </c>
      <c r="B164" s="184"/>
      <c r="C164" s="28"/>
      <c r="D164" s="217" t="s">
        <v>236</v>
      </c>
      <c r="E164" s="215"/>
      <c r="F164" s="216">
        <v>0</v>
      </c>
      <c r="G164" s="216">
        <f t="shared" ref="G164:H168" si="210">G163</f>
        <v>0</v>
      </c>
      <c r="H164" s="216">
        <f t="shared" si="210"/>
        <v>0</v>
      </c>
      <c r="J164" s="291">
        <f>E164*F164*G164*H164</f>
        <v>0</v>
      </c>
      <c r="L164" s="307">
        <v>0</v>
      </c>
      <c r="N164" s="291">
        <v>0</v>
      </c>
      <c r="P164" s="307">
        <v>0</v>
      </c>
      <c r="R164" s="291">
        <v>0</v>
      </c>
      <c r="T164" s="307">
        <v>0</v>
      </c>
      <c r="V164" s="291">
        <v>0</v>
      </c>
      <c r="X164" s="307">
        <v>0</v>
      </c>
      <c r="Z164" s="291">
        <v>0</v>
      </c>
      <c r="AB164" s="307">
        <v>0</v>
      </c>
      <c r="AD164" s="291">
        <f t="shared" si="208"/>
        <v>0</v>
      </c>
      <c r="AE164" s="170"/>
      <c r="AF164" s="186">
        <f t="shared" si="209"/>
        <v>0</v>
      </c>
      <c r="AH164" s="81"/>
      <c r="AN164" s="205"/>
      <c r="AS164" s="205"/>
      <c r="AX164" s="205"/>
      <c r="BC164" s="205"/>
      <c r="BH164" s="205"/>
    </row>
    <row r="165" spans="1:60" outlineLevel="1" x14ac:dyDescent="0.25">
      <c r="A165" s="168" t="s">
        <v>211</v>
      </c>
      <c r="B165" s="184"/>
      <c r="C165" s="28"/>
      <c r="D165" s="419" t="s">
        <v>387</v>
      </c>
      <c r="E165" s="218"/>
      <c r="F165" s="216">
        <f>F164</f>
        <v>0</v>
      </c>
      <c r="G165" s="216">
        <f t="shared" si="210"/>
        <v>0</v>
      </c>
      <c r="H165" s="216">
        <f t="shared" si="210"/>
        <v>0</v>
      </c>
      <c r="J165" s="291">
        <f>E165*F165*G165*H165</f>
        <v>0</v>
      </c>
      <c r="L165" s="307">
        <v>0</v>
      </c>
      <c r="N165" s="291">
        <v>0</v>
      </c>
      <c r="P165" s="307">
        <v>0</v>
      </c>
      <c r="R165" s="291">
        <v>0</v>
      </c>
      <c r="T165" s="307">
        <v>0</v>
      </c>
      <c r="V165" s="291">
        <v>0</v>
      </c>
      <c r="X165" s="307">
        <v>0</v>
      </c>
      <c r="Z165" s="291">
        <v>0</v>
      </c>
      <c r="AB165" s="307">
        <v>0</v>
      </c>
      <c r="AD165" s="291">
        <f t="shared" si="208"/>
        <v>0</v>
      </c>
      <c r="AE165" s="170"/>
      <c r="AF165" s="186">
        <f t="shared" si="209"/>
        <v>0</v>
      </c>
      <c r="AH165" s="81"/>
      <c r="AN165" s="205"/>
      <c r="AS165" s="205"/>
      <c r="AX165" s="205"/>
      <c r="BC165" s="205"/>
      <c r="BH165" s="205"/>
    </row>
    <row r="166" spans="1:60" outlineLevel="1" x14ac:dyDescent="0.25">
      <c r="A166" s="168" t="s">
        <v>211</v>
      </c>
      <c r="B166" s="184"/>
      <c r="C166" s="28"/>
      <c r="D166" s="167" t="s">
        <v>178</v>
      </c>
      <c r="E166" s="215"/>
      <c r="F166" s="216">
        <f>F165</f>
        <v>0</v>
      </c>
      <c r="G166" s="216">
        <f t="shared" si="210"/>
        <v>0</v>
      </c>
      <c r="H166" s="216">
        <f t="shared" si="210"/>
        <v>0</v>
      </c>
      <c r="J166" s="291">
        <f>E166*F166*G166*H166</f>
        <v>0</v>
      </c>
      <c r="L166" s="307">
        <v>0</v>
      </c>
      <c r="N166" s="291">
        <v>0</v>
      </c>
      <c r="P166" s="307">
        <v>0</v>
      </c>
      <c r="R166" s="291">
        <v>0</v>
      </c>
      <c r="T166" s="307">
        <v>0</v>
      </c>
      <c r="V166" s="291">
        <v>0</v>
      </c>
      <c r="X166" s="307">
        <v>0</v>
      </c>
      <c r="Z166" s="291">
        <v>0</v>
      </c>
      <c r="AB166" s="307">
        <v>0</v>
      </c>
      <c r="AD166" s="291">
        <f t="shared" si="208"/>
        <v>0</v>
      </c>
      <c r="AE166" s="170"/>
      <c r="AF166" s="186">
        <f t="shared" si="209"/>
        <v>0</v>
      </c>
      <c r="AN166" s="205"/>
      <c r="AS166" s="205"/>
      <c r="AX166" s="205"/>
      <c r="BC166" s="205"/>
      <c r="BH166" s="205"/>
    </row>
    <row r="167" spans="1:60" outlineLevel="1" x14ac:dyDescent="0.25">
      <c r="A167" s="168" t="s">
        <v>211</v>
      </c>
      <c r="B167" s="184"/>
      <c r="C167" s="28"/>
      <c r="D167" s="167" t="s">
        <v>160</v>
      </c>
      <c r="E167" s="215"/>
      <c r="F167" s="213"/>
      <c r="G167" s="216">
        <f t="shared" si="210"/>
        <v>0</v>
      </c>
      <c r="H167" s="216">
        <f t="shared" si="210"/>
        <v>0</v>
      </c>
      <c r="J167" s="291">
        <f>E167*G167*H167</f>
        <v>0</v>
      </c>
      <c r="L167" s="307">
        <v>0</v>
      </c>
      <c r="N167" s="291">
        <v>0</v>
      </c>
      <c r="P167" s="307">
        <v>0</v>
      </c>
      <c r="R167" s="291">
        <v>0</v>
      </c>
      <c r="T167" s="307">
        <v>0</v>
      </c>
      <c r="V167" s="291">
        <v>0</v>
      </c>
      <c r="X167" s="307">
        <v>0</v>
      </c>
      <c r="Z167" s="291">
        <v>0</v>
      </c>
      <c r="AB167" s="307">
        <v>0</v>
      </c>
      <c r="AD167" s="291">
        <f t="shared" si="208"/>
        <v>0</v>
      </c>
      <c r="AE167" s="170"/>
      <c r="AF167" s="186">
        <f t="shared" si="209"/>
        <v>0</v>
      </c>
      <c r="AN167" s="205"/>
      <c r="AS167" s="205"/>
      <c r="AX167" s="205"/>
      <c r="BC167" s="205"/>
      <c r="BH167" s="205"/>
    </row>
    <row r="168" spans="1:60" outlineLevel="1" x14ac:dyDescent="0.25">
      <c r="A168" s="168" t="s">
        <v>211</v>
      </c>
      <c r="B168" s="184"/>
      <c r="C168" s="28"/>
      <c r="D168" s="167" t="s">
        <v>79</v>
      </c>
      <c r="E168" s="215"/>
      <c r="F168" s="213"/>
      <c r="G168" s="216">
        <f t="shared" si="210"/>
        <v>0</v>
      </c>
      <c r="H168" s="216">
        <f>H167</f>
        <v>0</v>
      </c>
      <c r="J168" s="291">
        <f>E168*G168*H168</f>
        <v>0</v>
      </c>
      <c r="L168" s="307">
        <v>0</v>
      </c>
      <c r="N168" s="291">
        <v>0</v>
      </c>
      <c r="P168" s="307">
        <v>0</v>
      </c>
      <c r="R168" s="291">
        <v>0</v>
      </c>
      <c r="T168" s="307">
        <v>0</v>
      </c>
      <c r="V168" s="291">
        <v>0</v>
      </c>
      <c r="X168" s="307">
        <v>0</v>
      </c>
      <c r="Z168" s="291">
        <v>0</v>
      </c>
      <c r="AB168" s="307">
        <v>0</v>
      </c>
      <c r="AD168" s="291">
        <f t="shared" si="208"/>
        <v>0</v>
      </c>
      <c r="AE168" s="170"/>
      <c r="AF168" s="186">
        <f t="shared" si="209"/>
        <v>0</v>
      </c>
      <c r="AN168" s="205"/>
      <c r="AS168" s="205"/>
      <c r="AX168" s="205"/>
      <c r="BC168" s="205"/>
      <c r="BH168" s="205"/>
    </row>
    <row r="169" spans="1:60" outlineLevel="1" x14ac:dyDescent="0.25">
      <c r="A169" s="168"/>
      <c r="B169" s="184"/>
      <c r="C169" s="28"/>
      <c r="E169" s="212"/>
      <c r="F169" s="213"/>
      <c r="G169" s="213"/>
      <c r="H169" s="213"/>
      <c r="L169" s="307"/>
      <c r="P169" s="307"/>
      <c r="R169" s="291"/>
      <c r="T169" s="307"/>
      <c r="V169" s="291"/>
      <c r="X169" s="307"/>
      <c r="Z169" s="291"/>
      <c r="AB169" s="307"/>
      <c r="AE169" s="170"/>
      <c r="AF169" s="186"/>
      <c r="AN169" s="205"/>
      <c r="AS169" s="205"/>
      <c r="AX169" s="205"/>
      <c r="BC169" s="205"/>
      <c r="BH169" s="205"/>
    </row>
    <row r="170" spans="1:60" outlineLevel="1" x14ac:dyDescent="0.25">
      <c r="A170" s="168"/>
      <c r="B170" s="184"/>
      <c r="C170" s="214" t="s">
        <v>68</v>
      </c>
      <c r="E170" s="212"/>
      <c r="F170" s="213"/>
      <c r="G170" s="213"/>
      <c r="H170" s="213"/>
      <c r="L170" s="307"/>
      <c r="P170" s="307"/>
      <c r="R170" s="291"/>
      <c r="T170" s="315"/>
      <c r="V170" s="291"/>
      <c r="X170" s="307"/>
      <c r="Z170" s="291"/>
      <c r="AB170" s="307"/>
      <c r="AF170" s="187"/>
      <c r="AN170" s="205"/>
      <c r="AS170" s="205"/>
      <c r="AX170" s="205"/>
      <c r="BC170" s="205"/>
      <c r="BH170" s="205"/>
    </row>
    <row r="171" spans="1:60" outlineLevel="1" x14ac:dyDescent="0.25">
      <c r="A171" s="168" t="s">
        <v>211</v>
      </c>
      <c r="B171" s="184"/>
      <c r="C171" s="28"/>
      <c r="D171" s="167" t="s">
        <v>69</v>
      </c>
      <c r="E171" s="215"/>
      <c r="F171" s="213"/>
      <c r="G171" s="216">
        <v>0</v>
      </c>
      <c r="H171" s="216">
        <v>0</v>
      </c>
      <c r="J171" s="291">
        <f>E171*G171*H171</f>
        <v>0</v>
      </c>
      <c r="L171" s="307">
        <v>0</v>
      </c>
      <c r="N171" s="291">
        <v>0</v>
      </c>
      <c r="P171" s="307">
        <v>0</v>
      </c>
      <c r="R171" s="291">
        <v>0</v>
      </c>
      <c r="T171" s="307">
        <v>0</v>
      </c>
      <c r="V171" s="291">
        <v>0</v>
      </c>
      <c r="X171" s="307">
        <v>0</v>
      </c>
      <c r="Z171" s="291">
        <v>0</v>
      </c>
      <c r="AB171" s="307">
        <v>0</v>
      </c>
      <c r="AD171" s="291">
        <f t="shared" ref="AD171:AD176" si="211">J171+N171+R171+V171+Z171</f>
        <v>0</v>
      </c>
      <c r="AF171" s="186">
        <f t="shared" ref="AF171:AF176" si="212">L171+P171+T171+X171+AB171</f>
        <v>0</v>
      </c>
      <c r="AN171" s="205"/>
      <c r="AS171" s="205"/>
      <c r="AX171" s="205"/>
      <c r="BC171" s="205"/>
      <c r="BH171" s="205"/>
    </row>
    <row r="172" spans="1:60" outlineLevel="1" x14ac:dyDescent="0.25">
      <c r="A172" s="168" t="s">
        <v>211</v>
      </c>
      <c r="B172" s="184"/>
      <c r="C172" s="28"/>
      <c r="D172" s="217" t="s">
        <v>236</v>
      </c>
      <c r="E172" s="215"/>
      <c r="F172" s="216">
        <v>0</v>
      </c>
      <c r="G172" s="216">
        <f t="shared" ref="G172:H176" si="213">G171</f>
        <v>0</v>
      </c>
      <c r="H172" s="216">
        <f t="shared" si="213"/>
        <v>0</v>
      </c>
      <c r="J172" s="291">
        <f>E172*F172*G172*H172</f>
        <v>0</v>
      </c>
      <c r="L172" s="307">
        <v>0</v>
      </c>
      <c r="N172" s="291">
        <v>0</v>
      </c>
      <c r="P172" s="307">
        <v>0</v>
      </c>
      <c r="R172" s="291">
        <v>0</v>
      </c>
      <c r="T172" s="307">
        <v>0</v>
      </c>
      <c r="V172" s="291">
        <v>0</v>
      </c>
      <c r="X172" s="307">
        <v>0</v>
      </c>
      <c r="Z172" s="291">
        <v>0</v>
      </c>
      <c r="AB172" s="307">
        <v>0</v>
      </c>
      <c r="AD172" s="291">
        <f t="shared" si="211"/>
        <v>0</v>
      </c>
      <c r="AE172" s="170"/>
      <c r="AF172" s="186">
        <f t="shared" si="212"/>
        <v>0</v>
      </c>
      <c r="AH172" s="81"/>
      <c r="AN172" s="205"/>
      <c r="AS172" s="205"/>
      <c r="AX172" s="205"/>
      <c r="BC172" s="205"/>
      <c r="BH172" s="205"/>
    </row>
    <row r="173" spans="1:60" outlineLevel="1" x14ac:dyDescent="0.25">
      <c r="A173" s="168" t="s">
        <v>211</v>
      </c>
      <c r="B173" s="184"/>
      <c r="C173" s="28"/>
      <c r="D173" s="419" t="s">
        <v>387</v>
      </c>
      <c r="E173" s="218"/>
      <c r="F173" s="216">
        <f>F172</f>
        <v>0</v>
      </c>
      <c r="G173" s="216">
        <f t="shared" si="213"/>
        <v>0</v>
      </c>
      <c r="H173" s="216">
        <f t="shared" si="213"/>
        <v>0</v>
      </c>
      <c r="J173" s="291">
        <f>E173*F173*G173*H173</f>
        <v>0</v>
      </c>
      <c r="L173" s="307">
        <v>0</v>
      </c>
      <c r="N173" s="291">
        <v>0</v>
      </c>
      <c r="P173" s="307">
        <v>0</v>
      </c>
      <c r="R173" s="291">
        <v>0</v>
      </c>
      <c r="T173" s="307">
        <v>0</v>
      </c>
      <c r="V173" s="291">
        <v>0</v>
      </c>
      <c r="X173" s="307">
        <v>0</v>
      </c>
      <c r="Z173" s="291">
        <v>0</v>
      </c>
      <c r="AB173" s="307">
        <v>0</v>
      </c>
      <c r="AD173" s="291">
        <f t="shared" si="211"/>
        <v>0</v>
      </c>
      <c r="AE173" s="170"/>
      <c r="AF173" s="186">
        <f t="shared" si="212"/>
        <v>0</v>
      </c>
      <c r="AH173" s="81"/>
      <c r="AN173" s="205"/>
      <c r="AS173" s="205"/>
      <c r="AX173" s="205"/>
      <c r="BC173" s="205"/>
      <c r="BH173" s="205"/>
    </row>
    <row r="174" spans="1:60" outlineLevel="1" x14ac:dyDescent="0.25">
      <c r="A174" s="168" t="s">
        <v>211</v>
      </c>
      <c r="B174" s="184"/>
      <c r="C174" s="28"/>
      <c r="D174" s="167" t="s">
        <v>178</v>
      </c>
      <c r="E174" s="215"/>
      <c r="F174" s="216">
        <f>F173</f>
        <v>0</v>
      </c>
      <c r="G174" s="216">
        <f t="shared" si="213"/>
        <v>0</v>
      </c>
      <c r="H174" s="216">
        <f t="shared" si="213"/>
        <v>0</v>
      </c>
      <c r="J174" s="291">
        <f>E174*F174*G174*H174</f>
        <v>0</v>
      </c>
      <c r="L174" s="307">
        <v>0</v>
      </c>
      <c r="N174" s="291">
        <v>0</v>
      </c>
      <c r="P174" s="307">
        <v>0</v>
      </c>
      <c r="R174" s="291">
        <v>0</v>
      </c>
      <c r="T174" s="307">
        <v>0</v>
      </c>
      <c r="V174" s="291">
        <v>0</v>
      </c>
      <c r="X174" s="307">
        <v>0</v>
      </c>
      <c r="Z174" s="291">
        <v>0</v>
      </c>
      <c r="AB174" s="307">
        <v>0</v>
      </c>
      <c r="AD174" s="291">
        <f t="shared" si="211"/>
        <v>0</v>
      </c>
      <c r="AE174" s="170"/>
      <c r="AF174" s="186">
        <f t="shared" si="212"/>
        <v>0</v>
      </c>
      <c r="AN174" s="205"/>
      <c r="AS174" s="205"/>
      <c r="AX174" s="205"/>
      <c r="BC174" s="205"/>
      <c r="BH174" s="205"/>
    </row>
    <row r="175" spans="1:60" outlineLevel="1" x14ac:dyDescent="0.25">
      <c r="A175" s="168" t="s">
        <v>211</v>
      </c>
      <c r="B175" s="184"/>
      <c r="C175" s="28"/>
      <c r="D175" s="167" t="s">
        <v>160</v>
      </c>
      <c r="E175" s="215"/>
      <c r="F175" s="213"/>
      <c r="G175" s="216">
        <f t="shared" si="213"/>
        <v>0</v>
      </c>
      <c r="H175" s="216">
        <f t="shared" si="213"/>
        <v>0</v>
      </c>
      <c r="J175" s="291">
        <f>E175*G175*H175</f>
        <v>0</v>
      </c>
      <c r="L175" s="307">
        <v>0</v>
      </c>
      <c r="N175" s="291">
        <v>0</v>
      </c>
      <c r="P175" s="307">
        <v>0</v>
      </c>
      <c r="R175" s="291">
        <v>0</v>
      </c>
      <c r="T175" s="307">
        <v>0</v>
      </c>
      <c r="V175" s="291">
        <v>0</v>
      </c>
      <c r="X175" s="307">
        <v>0</v>
      </c>
      <c r="Z175" s="291">
        <v>0</v>
      </c>
      <c r="AB175" s="307">
        <v>0</v>
      </c>
      <c r="AD175" s="291">
        <f t="shared" si="211"/>
        <v>0</v>
      </c>
      <c r="AE175" s="170"/>
      <c r="AF175" s="186">
        <f t="shared" si="212"/>
        <v>0</v>
      </c>
      <c r="AN175" s="205"/>
      <c r="AS175" s="205"/>
      <c r="AX175" s="205"/>
      <c r="BC175" s="205"/>
      <c r="BH175" s="205"/>
    </row>
    <row r="176" spans="1:60" outlineLevel="1" x14ac:dyDescent="0.25">
      <c r="A176" s="168" t="s">
        <v>211</v>
      </c>
      <c r="B176" s="184"/>
      <c r="C176" s="28"/>
      <c r="D176" s="167" t="s">
        <v>79</v>
      </c>
      <c r="E176" s="215"/>
      <c r="F176" s="213"/>
      <c r="G176" s="216">
        <f t="shared" si="213"/>
        <v>0</v>
      </c>
      <c r="H176" s="216">
        <f>H175</f>
        <v>0</v>
      </c>
      <c r="J176" s="291">
        <f>E176*G176*H176</f>
        <v>0</v>
      </c>
      <c r="L176" s="307">
        <v>0</v>
      </c>
      <c r="N176" s="291">
        <v>0</v>
      </c>
      <c r="P176" s="307">
        <v>0</v>
      </c>
      <c r="R176" s="291">
        <v>0</v>
      </c>
      <c r="T176" s="307">
        <v>0</v>
      </c>
      <c r="V176" s="291">
        <v>0</v>
      </c>
      <c r="X176" s="307">
        <v>0</v>
      </c>
      <c r="Z176" s="291">
        <v>0</v>
      </c>
      <c r="AB176" s="307">
        <v>0</v>
      </c>
      <c r="AD176" s="291">
        <f t="shared" si="211"/>
        <v>0</v>
      </c>
      <c r="AE176" s="170"/>
      <c r="AF176" s="186">
        <f t="shared" si="212"/>
        <v>0</v>
      </c>
      <c r="AN176" s="205"/>
      <c r="AS176" s="205"/>
      <c r="AX176" s="205"/>
      <c r="BC176" s="205"/>
      <c r="BH176" s="205"/>
    </row>
    <row r="177" spans="1:60" outlineLevel="1" x14ac:dyDescent="0.25">
      <c r="A177" s="168"/>
      <c r="B177" s="184"/>
      <c r="C177" s="28"/>
      <c r="E177" s="212"/>
      <c r="F177" s="213"/>
      <c r="G177" s="213"/>
      <c r="H177" s="213"/>
      <c r="L177" s="307"/>
      <c r="P177" s="307"/>
      <c r="R177" s="291"/>
      <c r="T177" s="307"/>
      <c r="V177" s="291"/>
      <c r="X177" s="307"/>
      <c r="Z177" s="291"/>
      <c r="AB177" s="307"/>
      <c r="AE177" s="170"/>
      <c r="AF177" s="186"/>
      <c r="AN177" s="205"/>
      <c r="AS177" s="205"/>
      <c r="AX177" s="205"/>
      <c r="BC177" s="205"/>
      <c r="BH177" s="205"/>
    </row>
    <row r="178" spans="1:60" outlineLevel="1" x14ac:dyDescent="0.25">
      <c r="A178" s="168"/>
      <c r="B178" s="184"/>
      <c r="C178" s="214" t="s">
        <v>68</v>
      </c>
      <c r="E178" s="212"/>
      <c r="F178" s="213"/>
      <c r="G178" s="213"/>
      <c r="H178" s="213"/>
      <c r="L178" s="307"/>
      <c r="P178" s="307"/>
      <c r="R178" s="291"/>
      <c r="T178" s="315"/>
      <c r="V178" s="291"/>
      <c r="X178" s="307"/>
      <c r="Z178" s="291"/>
      <c r="AB178" s="307"/>
      <c r="AF178" s="187"/>
      <c r="AN178" s="205"/>
      <c r="AS178" s="205"/>
      <c r="AX178" s="205"/>
      <c r="BC178" s="205"/>
      <c r="BH178" s="205"/>
    </row>
    <row r="179" spans="1:60" outlineLevel="1" x14ac:dyDescent="0.25">
      <c r="A179" s="168" t="s">
        <v>211</v>
      </c>
      <c r="B179" s="184"/>
      <c r="C179" s="28"/>
      <c r="D179" s="167" t="s">
        <v>69</v>
      </c>
      <c r="E179" s="215"/>
      <c r="F179" s="213"/>
      <c r="G179" s="216">
        <v>0</v>
      </c>
      <c r="H179" s="216">
        <v>0</v>
      </c>
      <c r="J179" s="291">
        <f>E179*G179*H179</f>
        <v>0</v>
      </c>
      <c r="L179" s="307">
        <v>0</v>
      </c>
      <c r="N179" s="291">
        <v>0</v>
      </c>
      <c r="P179" s="307">
        <v>0</v>
      </c>
      <c r="R179" s="291">
        <v>0</v>
      </c>
      <c r="T179" s="307">
        <v>0</v>
      </c>
      <c r="V179" s="291">
        <v>0</v>
      </c>
      <c r="X179" s="307">
        <v>0</v>
      </c>
      <c r="Z179" s="291">
        <v>0</v>
      </c>
      <c r="AB179" s="307">
        <v>0</v>
      </c>
      <c r="AD179" s="291">
        <f t="shared" ref="AD179:AD184" si="214">J179+N179+R179+V179+Z179</f>
        <v>0</v>
      </c>
      <c r="AF179" s="186">
        <f t="shared" ref="AF179:AF184" si="215">L179+P179+T179+X179+AB179</f>
        <v>0</v>
      </c>
      <c r="AN179" s="205"/>
      <c r="AS179" s="205"/>
      <c r="AX179" s="205"/>
      <c r="BC179" s="205"/>
      <c r="BH179" s="205"/>
    </row>
    <row r="180" spans="1:60" outlineLevel="1" x14ac:dyDescent="0.25">
      <c r="A180" s="168" t="s">
        <v>211</v>
      </c>
      <c r="B180" s="184"/>
      <c r="C180" s="28"/>
      <c r="D180" s="217" t="s">
        <v>236</v>
      </c>
      <c r="E180" s="215"/>
      <c r="F180" s="216">
        <v>0</v>
      </c>
      <c r="G180" s="216">
        <f>G179</f>
        <v>0</v>
      </c>
      <c r="H180" s="216">
        <f>H179</f>
        <v>0</v>
      </c>
      <c r="J180" s="291">
        <f>E180*F180*G180*H180</f>
        <v>0</v>
      </c>
      <c r="L180" s="307">
        <v>0</v>
      </c>
      <c r="N180" s="291">
        <v>0</v>
      </c>
      <c r="P180" s="307">
        <v>0</v>
      </c>
      <c r="R180" s="291">
        <v>0</v>
      </c>
      <c r="T180" s="307">
        <v>0</v>
      </c>
      <c r="V180" s="291">
        <v>0</v>
      </c>
      <c r="X180" s="307">
        <v>0</v>
      </c>
      <c r="Z180" s="291">
        <v>0</v>
      </c>
      <c r="AB180" s="307">
        <v>0</v>
      </c>
      <c r="AD180" s="291">
        <f t="shared" si="214"/>
        <v>0</v>
      </c>
      <c r="AE180" s="170"/>
      <c r="AF180" s="186">
        <f t="shared" si="215"/>
        <v>0</v>
      </c>
      <c r="AH180" s="81"/>
      <c r="AN180" s="205"/>
      <c r="AS180" s="205"/>
      <c r="AX180" s="205"/>
      <c r="BC180" s="205"/>
      <c r="BH180" s="205"/>
    </row>
    <row r="181" spans="1:60" outlineLevel="1" x14ac:dyDescent="0.25">
      <c r="A181" s="168" t="s">
        <v>211</v>
      </c>
      <c r="B181" s="184"/>
      <c r="C181" s="28"/>
      <c r="D181" s="419" t="s">
        <v>387</v>
      </c>
      <c r="E181" s="218"/>
      <c r="F181" s="216">
        <f>F180</f>
        <v>0</v>
      </c>
      <c r="G181" s="216">
        <f t="shared" ref="G181:G184" si="216">G180</f>
        <v>0</v>
      </c>
      <c r="H181" s="216">
        <f t="shared" ref="H181:H184" si="217">H180</f>
        <v>0</v>
      </c>
      <c r="J181" s="291">
        <f>E181*F181*G181*H181</f>
        <v>0</v>
      </c>
      <c r="L181" s="307">
        <v>0</v>
      </c>
      <c r="N181" s="291">
        <v>0</v>
      </c>
      <c r="P181" s="307">
        <v>0</v>
      </c>
      <c r="R181" s="291">
        <v>0</v>
      </c>
      <c r="T181" s="307">
        <v>0</v>
      </c>
      <c r="V181" s="291">
        <v>0</v>
      </c>
      <c r="X181" s="307">
        <v>0</v>
      </c>
      <c r="Z181" s="291">
        <v>0</v>
      </c>
      <c r="AB181" s="307">
        <v>0</v>
      </c>
      <c r="AD181" s="291">
        <f t="shared" si="214"/>
        <v>0</v>
      </c>
      <c r="AE181" s="170"/>
      <c r="AF181" s="186">
        <f t="shared" si="215"/>
        <v>0</v>
      </c>
      <c r="AH181" s="81"/>
      <c r="AN181" s="205"/>
      <c r="AS181" s="205"/>
      <c r="AX181" s="205"/>
      <c r="BC181" s="205"/>
      <c r="BH181" s="205"/>
    </row>
    <row r="182" spans="1:60" outlineLevel="1" x14ac:dyDescent="0.25">
      <c r="A182" s="168" t="s">
        <v>211</v>
      </c>
      <c r="B182" s="184"/>
      <c r="C182" s="28"/>
      <c r="D182" s="167" t="s">
        <v>178</v>
      </c>
      <c r="E182" s="215"/>
      <c r="F182" s="216">
        <f>F181</f>
        <v>0</v>
      </c>
      <c r="G182" s="216">
        <f t="shared" si="216"/>
        <v>0</v>
      </c>
      <c r="H182" s="216">
        <f t="shared" si="217"/>
        <v>0</v>
      </c>
      <c r="J182" s="291">
        <f>E182*F182*G182*H182</f>
        <v>0</v>
      </c>
      <c r="L182" s="307">
        <v>0</v>
      </c>
      <c r="N182" s="291">
        <v>0</v>
      </c>
      <c r="P182" s="307">
        <v>0</v>
      </c>
      <c r="R182" s="291">
        <v>0</v>
      </c>
      <c r="T182" s="307">
        <v>0</v>
      </c>
      <c r="V182" s="291">
        <v>0</v>
      </c>
      <c r="X182" s="307">
        <v>0</v>
      </c>
      <c r="Z182" s="291">
        <v>0</v>
      </c>
      <c r="AB182" s="307">
        <v>0</v>
      </c>
      <c r="AD182" s="291">
        <f t="shared" si="214"/>
        <v>0</v>
      </c>
      <c r="AE182" s="170"/>
      <c r="AF182" s="186">
        <f t="shared" si="215"/>
        <v>0</v>
      </c>
      <c r="AN182" s="205"/>
      <c r="AS182" s="205"/>
      <c r="AX182" s="205"/>
      <c r="BC182" s="205"/>
      <c r="BH182" s="205"/>
    </row>
    <row r="183" spans="1:60" outlineLevel="1" x14ac:dyDescent="0.25">
      <c r="A183" s="168" t="s">
        <v>211</v>
      </c>
      <c r="B183" s="184"/>
      <c r="C183" s="28"/>
      <c r="D183" s="167" t="s">
        <v>160</v>
      </c>
      <c r="E183" s="215"/>
      <c r="F183" s="213"/>
      <c r="G183" s="216">
        <f t="shared" si="216"/>
        <v>0</v>
      </c>
      <c r="H183" s="216">
        <f t="shared" si="217"/>
        <v>0</v>
      </c>
      <c r="J183" s="291">
        <f>E183*G183*H183</f>
        <v>0</v>
      </c>
      <c r="L183" s="307">
        <v>0</v>
      </c>
      <c r="N183" s="291">
        <v>0</v>
      </c>
      <c r="P183" s="307">
        <v>0</v>
      </c>
      <c r="R183" s="291">
        <v>0</v>
      </c>
      <c r="T183" s="307">
        <v>0</v>
      </c>
      <c r="V183" s="291">
        <v>0</v>
      </c>
      <c r="X183" s="307">
        <v>0</v>
      </c>
      <c r="Z183" s="291">
        <v>0</v>
      </c>
      <c r="AB183" s="307">
        <v>0</v>
      </c>
      <c r="AD183" s="291">
        <f t="shared" si="214"/>
        <v>0</v>
      </c>
      <c r="AE183" s="170"/>
      <c r="AF183" s="186">
        <f t="shared" si="215"/>
        <v>0</v>
      </c>
      <c r="AN183" s="205"/>
      <c r="AS183" s="205"/>
      <c r="AX183" s="205"/>
      <c r="BC183" s="205"/>
      <c r="BH183" s="205"/>
    </row>
    <row r="184" spans="1:60" outlineLevel="1" x14ac:dyDescent="0.25">
      <c r="A184" s="168" t="s">
        <v>211</v>
      </c>
      <c r="B184" s="184"/>
      <c r="C184" s="28"/>
      <c r="D184" s="167" t="s">
        <v>79</v>
      </c>
      <c r="E184" s="215"/>
      <c r="F184" s="213"/>
      <c r="G184" s="216">
        <f t="shared" si="216"/>
        <v>0</v>
      </c>
      <c r="H184" s="216">
        <f t="shared" si="217"/>
        <v>0</v>
      </c>
      <c r="J184" s="291">
        <f>E184*G184*H184</f>
        <v>0</v>
      </c>
      <c r="L184" s="307">
        <v>0</v>
      </c>
      <c r="N184" s="291">
        <v>0</v>
      </c>
      <c r="P184" s="307">
        <v>0</v>
      </c>
      <c r="R184" s="291">
        <v>0</v>
      </c>
      <c r="T184" s="307">
        <v>0</v>
      </c>
      <c r="V184" s="291">
        <v>0</v>
      </c>
      <c r="X184" s="307">
        <v>0</v>
      </c>
      <c r="Z184" s="291">
        <v>0</v>
      </c>
      <c r="AB184" s="307">
        <v>0</v>
      </c>
      <c r="AD184" s="291">
        <f t="shared" si="214"/>
        <v>0</v>
      </c>
      <c r="AE184" s="170"/>
      <c r="AF184" s="186">
        <f t="shared" si="215"/>
        <v>0</v>
      </c>
      <c r="AN184" s="205"/>
      <c r="AS184" s="205"/>
      <c r="AX184" s="205"/>
      <c r="BC184" s="205"/>
      <c r="BH184" s="205"/>
    </row>
    <row r="185" spans="1:60" outlineLevel="1" x14ac:dyDescent="0.25">
      <c r="A185" s="168"/>
      <c r="B185" s="184"/>
      <c r="E185" s="212"/>
      <c r="F185" s="213"/>
      <c r="G185" s="213"/>
      <c r="H185" s="213"/>
      <c r="L185" s="307"/>
      <c r="P185" s="307"/>
      <c r="R185" s="291"/>
      <c r="T185" s="307"/>
      <c r="V185" s="291"/>
      <c r="X185" s="307"/>
      <c r="Z185" s="291"/>
      <c r="AB185" s="307"/>
      <c r="AE185" s="170"/>
      <c r="AF185" s="186"/>
      <c r="AN185" s="205"/>
      <c r="AS185" s="205"/>
      <c r="AX185" s="205"/>
      <c r="BC185" s="205"/>
      <c r="BH185" s="205"/>
    </row>
    <row r="186" spans="1:60" outlineLevel="1" x14ac:dyDescent="0.25">
      <c r="A186" s="168"/>
      <c r="B186" s="184"/>
      <c r="C186" s="382" t="s">
        <v>384</v>
      </c>
      <c r="D186" s="366"/>
      <c r="E186" s="212" t="s">
        <v>67</v>
      </c>
      <c r="F186" s="213" t="s">
        <v>91</v>
      </c>
      <c r="G186" s="213" t="s">
        <v>168</v>
      </c>
      <c r="H186" s="213" t="s">
        <v>66</v>
      </c>
      <c r="I186" s="219"/>
      <c r="L186" s="307"/>
      <c r="P186" s="307"/>
      <c r="R186" s="291"/>
      <c r="T186" s="307"/>
      <c r="V186" s="291"/>
      <c r="X186" s="307"/>
      <c r="Z186" s="291"/>
      <c r="AB186" s="307"/>
      <c r="AE186" s="170"/>
      <c r="AF186" s="220"/>
      <c r="AN186" s="205"/>
      <c r="AS186" s="205"/>
      <c r="AX186" s="205"/>
      <c r="BC186" s="205"/>
      <c r="BH186" s="205"/>
    </row>
    <row r="187" spans="1:60" outlineLevel="1" x14ac:dyDescent="0.25">
      <c r="A187" s="168" t="s">
        <v>211</v>
      </c>
      <c r="B187" s="184"/>
      <c r="C187" s="28"/>
      <c r="D187" s="348" t="s">
        <v>265</v>
      </c>
      <c r="E187" s="218"/>
      <c r="F187" s="213"/>
      <c r="G187" s="213"/>
      <c r="H187" s="213"/>
      <c r="I187" s="219"/>
      <c r="J187" s="291">
        <f>E187*F187*G187*H187</f>
        <v>0</v>
      </c>
      <c r="L187" s="307">
        <v>0</v>
      </c>
      <c r="N187" s="291">
        <v>0</v>
      </c>
      <c r="P187" s="307">
        <v>0</v>
      </c>
      <c r="R187" s="291">
        <v>0</v>
      </c>
      <c r="T187" s="307">
        <v>0</v>
      </c>
      <c r="V187" s="291">
        <v>0</v>
      </c>
      <c r="X187" s="307">
        <v>0</v>
      </c>
      <c r="Z187" s="291">
        <v>0</v>
      </c>
      <c r="AB187" s="307">
        <v>0</v>
      </c>
      <c r="AD187" s="291">
        <f>J187+N187+R187+V187+Z187</f>
        <v>0</v>
      </c>
      <c r="AE187" s="170"/>
      <c r="AF187" s="186">
        <f>L187+P187+T187+X187+AB187</f>
        <v>0</v>
      </c>
      <c r="AN187" s="205"/>
      <c r="AS187" s="205"/>
      <c r="AX187" s="205"/>
      <c r="BC187" s="205"/>
      <c r="BH187" s="205"/>
    </row>
    <row r="188" spans="1:60" outlineLevel="1" x14ac:dyDescent="0.25">
      <c r="A188" s="168"/>
      <c r="B188" s="184"/>
      <c r="C188" s="28"/>
      <c r="D188" s="348"/>
      <c r="E188" s="221"/>
      <c r="F188" s="213"/>
      <c r="G188" s="213"/>
      <c r="H188" s="213"/>
      <c r="I188" s="219"/>
      <c r="L188" s="307"/>
      <c r="P188" s="307"/>
      <c r="R188" s="291"/>
      <c r="T188" s="307"/>
      <c r="V188" s="291"/>
      <c r="X188" s="307"/>
      <c r="Z188" s="291"/>
      <c r="AB188" s="307"/>
      <c r="AE188" s="170"/>
      <c r="AF188" s="186"/>
      <c r="AN188" s="205"/>
      <c r="AS188" s="205"/>
      <c r="AX188" s="205"/>
      <c r="BC188" s="205"/>
      <c r="BH188" s="205"/>
    </row>
    <row r="189" spans="1:60" x14ac:dyDescent="0.25">
      <c r="A189" s="168"/>
      <c r="B189" s="184"/>
      <c r="C189" s="28"/>
      <c r="E189" s="222"/>
      <c r="G189" s="206"/>
      <c r="H189" s="223" t="s">
        <v>44</v>
      </c>
      <c r="I189" s="219"/>
      <c r="J189" s="318">
        <f>SUM(J153:J188)</f>
        <v>0</v>
      </c>
      <c r="K189" s="318"/>
      <c r="L189" s="319">
        <f>SUM(L154:L188)</f>
        <v>0</v>
      </c>
      <c r="M189" s="318"/>
      <c r="N189" s="318">
        <f>SUM(N153:N188)</f>
        <v>0</v>
      </c>
      <c r="O189" s="320"/>
      <c r="P189" s="319">
        <f>SUM(P154:P188)</f>
        <v>0</v>
      </c>
      <c r="Q189" s="320"/>
      <c r="R189" s="318">
        <f>SUM(R153:R188)</f>
        <v>0</v>
      </c>
      <c r="S189" s="320"/>
      <c r="T189" s="319">
        <f>SUM(T154:T188)</f>
        <v>0</v>
      </c>
      <c r="U189" s="320"/>
      <c r="V189" s="318">
        <f>SUM(V153:V188)</f>
        <v>0</v>
      </c>
      <c r="W189" s="320"/>
      <c r="X189" s="319">
        <f>SUM(X154:X188)</f>
        <v>0</v>
      </c>
      <c r="Y189" s="320"/>
      <c r="Z189" s="318">
        <f>SUM(Z153:Z188)</f>
        <v>0</v>
      </c>
      <c r="AA189" s="320"/>
      <c r="AB189" s="319">
        <f>SUM(AB154:AB188)</f>
        <v>0</v>
      </c>
      <c r="AC189" s="320"/>
      <c r="AD189" s="318">
        <f>J189+N189+R189+V189+Z189</f>
        <v>0</v>
      </c>
      <c r="AE189" s="219"/>
      <c r="AF189" s="220">
        <f>L189+P189+T189+X189+AB189</f>
        <v>0</v>
      </c>
      <c r="AN189" s="205"/>
      <c r="AS189" s="205"/>
      <c r="AX189" s="205"/>
      <c r="BC189" s="205"/>
      <c r="BH189" s="205"/>
    </row>
    <row r="190" spans="1:60" x14ac:dyDescent="0.25">
      <c r="A190" s="168"/>
      <c r="B190" s="184"/>
      <c r="C190" s="28"/>
      <c r="E190" s="222"/>
      <c r="G190" s="206"/>
      <c r="H190" s="223"/>
      <c r="I190" s="219"/>
      <c r="J190" s="318"/>
      <c r="K190" s="318"/>
      <c r="L190" s="319"/>
      <c r="M190" s="318"/>
      <c r="N190" s="318"/>
      <c r="O190" s="320"/>
      <c r="P190" s="319"/>
      <c r="Q190" s="320"/>
      <c r="R190" s="318"/>
      <c r="S190" s="320"/>
      <c r="T190" s="319"/>
      <c r="U190" s="320"/>
      <c r="V190" s="318"/>
      <c r="W190" s="320"/>
      <c r="X190" s="319"/>
      <c r="Y190" s="320"/>
      <c r="Z190" s="318"/>
      <c r="AA190" s="320"/>
      <c r="AB190" s="319"/>
      <c r="AC190" s="320"/>
      <c r="AD190" s="318"/>
      <c r="AE190" s="219"/>
      <c r="AF190" s="220"/>
      <c r="AN190" s="205"/>
      <c r="AS190" s="205"/>
      <c r="AX190" s="205"/>
      <c r="BC190" s="205"/>
      <c r="BH190" s="205"/>
    </row>
    <row r="191" spans="1:60" outlineLevel="1" x14ac:dyDescent="0.25">
      <c r="A191" s="168"/>
      <c r="B191" s="184"/>
      <c r="C191" s="211" t="s">
        <v>28</v>
      </c>
      <c r="E191" s="212" t="s">
        <v>67</v>
      </c>
      <c r="F191" s="213" t="s">
        <v>65</v>
      </c>
      <c r="G191" s="213" t="s">
        <v>78</v>
      </c>
      <c r="H191" s="213" t="s">
        <v>66</v>
      </c>
      <c r="L191" s="307"/>
      <c r="P191" s="307"/>
      <c r="R191" s="291"/>
      <c r="T191" s="307"/>
      <c r="V191" s="291"/>
      <c r="X191" s="307"/>
      <c r="Z191" s="291"/>
      <c r="AB191" s="307"/>
      <c r="AE191" s="219"/>
      <c r="AF191" s="220"/>
      <c r="AN191" s="205"/>
      <c r="AS191" s="205"/>
      <c r="AX191" s="205"/>
      <c r="BC191" s="205"/>
      <c r="BH191" s="205"/>
    </row>
    <row r="192" spans="1:60" outlineLevel="1" x14ac:dyDescent="0.25">
      <c r="A192" s="168"/>
      <c r="B192" s="184"/>
      <c r="C192" s="214" t="s">
        <v>68</v>
      </c>
      <c r="E192" s="212"/>
      <c r="F192" s="213"/>
      <c r="G192" s="213"/>
      <c r="H192" s="213"/>
      <c r="L192" s="307"/>
      <c r="P192" s="307"/>
      <c r="R192" s="291"/>
      <c r="T192" s="307"/>
      <c r="V192" s="291"/>
      <c r="X192" s="315"/>
      <c r="AB192" s="315"/>
      <c r="AE192" s="170"/>
      <c r="AF192" s="186"/>
      <c r="AN192" s="205"/>
      <c r="AS192" s="205"/>
      <c r="AX192" s="205"/>
      <c r="BC192" s="205"/>
      <c r="BH192" s="205"/>
    </row>
    <row r="193" spans="1:60" outlineLevel="1" x14ac:dyDescent="0.25">
      <c r="A193" s="168" t="s">
        <v>212</v>
      </c>
      <c r="B193" s="184"/>
      <c r="C193" s="28"/>
      <c r="D193" s="167" t="s">
        <v>69</v>
      </c>
      <c r="E193" s="215"/>
      <c r="F193" s="213"/>
      <c r="G193" s="216">
        <v>0</v>
      </c>
      <c r="H193" s="216">
        <v>0</v>
      </c>
      <c r="J193" s="291">
        <f>E193*G193*H193</f>
        <v>0</v>
      </c>
      <c r="L193" s="307">
        <v>0</v>
      </c>
      <c r="N193" s="291">
        <v>0</v>
      </c>
      <c r="P193" s="307">
        <v>0</v>
      </c>
      <c r="R193" s="291">
        <v>0</v>
      </c>
      <c r="T193" s="307">
        <v>0</v>
      </c>
      <c r="V193" s="291">
        <v>0</v>
      </c>
      <c r="X193" s="307">
        <v>0</v>
      </c>
      <c r="Z193" s="291">
        <v>0</v>
      </c>
      <c r="AB193" s="307">
        <v>0</v>
      </c>
      <c r="AD193" s="291">
        <f>J193+N193+R193+V193+Z193</f>
        <v>0</v>
      </c>
      <c r="AF193" s="186">
        <f>L193+P193+T193+X193+AB193</f>
        <v>0</v>
      </c>
      <c r="AN193" s="205"/>
      <c r="AS193" s="205"/>
      <c r="AX193" s="205"/>
      <c r="BC193" s="205"/>
      <c r="BH193" s="205"/>
    </row>
    <row r="194" spans="1:60" outlineLevel="1" x14ac:dyDescent="0.25">
      <c r="A194" s="168" t="s">
        <v>212</v>
      </c>
      <c r="B194" s="184"/>
      <c r="C194" s="28"/>
      <c r="D194" s="217" t="s">
        <v>159</v>
      </c>
      <c r="E194" s="215"/>
      <c r="F194" s="216">
        <v>0</v>
      </c>
      <c r="G194" s="216">
        <f>G193</f>
        <v>0</v>
      </c>
      <c r="H194" s="216">
        <f t="shared" ref="H194:H195" si="218">H193</f>
        <v>0</v>
      </c>
      <c r="J194" s="291">
        <f>E194*F194*G194*H194</f>
        <v>0</v>
      </c>
      <c r="L194" s="307">
        <v>0</v>
      </c>
      <c r="N194" s="291">
        <v>0</v>
      </c>
      <c r="P194" s="307">
        <v>0</v>
      </c>
      <c r="R194" s="291">
        <v>0</v>
      </c>
      <c r="T194" s="307">
        <v>0</v>
      </c>
      <c r="V194" s="291">
        <v>0</v>
      </c>
      <c r="X194" s="307">
        <v>0</v>
      </c>
      <c r="Z194" s="291">
        <v>0</v>
      </c>
      <c r="AB194" s="307">
        <v>0</v>
      </c>
      <c r="AD194" s="291">
        <f>J194+N194+R194+V194+Z194</f>
        <v>0</v>
      </c>
      <c r="AF194" s="186">
        <f t="shared" ref="AF194" si="219">L194+P194+T194+X194+AB194</f>
        <v>0</v>
      </c>
      <c r="AI194" s="167"/>
      <c r="AN194" s="205"/>
      <c r="AS194" s="205"/>
      <c r="AX194" s="205"/>
      <c r="BC194" s="205"/>
      <c r="BH194" s="205"/>
    </row>
    <row r="195" spans="1:60" outlineLevel="1" x14ac:dyDescent="0.25">
      <c r="A195" s="168" t="s">
        <v>212</v>
      </c>
      <c r="B195" s="184"/>
      <c r="C195" s="28"/>
      <c r="D195" s="167" t="s">
        <v>177</v>
      </c>
      <c r="E195" s="215"/>
      <c r="F195" s="216">
        <f>F194</f>
        <v>0</v>
      </c>
      <c r="G195" s="216">
        <f>G194</f>
        <v>0</v>
      </c>
      <c r="H195" s="216">
        <f t="shared" si="218"/>
        <v>0</v>
      </c>
      <c r="J195" s="291">
        <f>E195*F195*G195*H195</f>
        <v>0</v>
      </c>
      <c r="L195" s="307">
        <v>0</v>
      </c>
      <c r="N195" s="291">
        <v>0</v>
      </c>
      <c r="P195" s="307">
        <v>0</v>
      </c>
      <c r="R195" s="291">
        <v>0</v>
      </c>
      <c r="T195" s="307">
        <v>0</v>
      </c>
      <c r="V195" s="291">
        <v>0</v>
      </c>
      <c r="X195" s="307">
        <v>0</v>
      </c>
      <c r="Z195" s="291">
        <v>0</v>
      </c>
      <c r="AB195" s="307">
        <v>0</v>
      </c>
      <c r="AD195" s="291">
        <f>J195+N195+R195+V195+Z195</f>
        <v>0</v>
      </c>
      <c r="AE195" s="170"/>
      <c r="AF195" s="186">
        <f>L195+P195+T195+X195+AB195</f>
        <v>0</v>
      </c>
      <c r="AH195" s="81"/>
      <c r="AN195" s="205"/>
      <c r="AS195" s="205"/>
      <c r="AX195" s="205"/>
      <c r="BC195" s="205"/>
      <c r="BH195" s="205"/>
    </row>
    <row r="196" spans="1:60" outlineLevel="1" x14ac:dyDescent="0.25">
      <c r="A196" s="168" t="s">
        <v>212</v>
      </c>
      <c r="B196" s="184"/>
      <c r="C196" s="28"/>
      <c r="D196" s="167" t="s">
        <v>160</v>
      </c>
      <c r="E196" s="215"/>
      <c r="F196" s="213"/>
      <c r="G196" s="216">
        <f>G195</f>
        <v>0</v>
      </c>
      <c r="H196" s="216">
        <f>H195</f>
        <v>0</v>
      </c>
      <c r="J196" s="291">
        <f>E196*G196*H196</f>
        <v>0</v>
      </c>
      <c r="L196" s="307"/>
      <c r="N196" s="291">
        <v>0</v>
      </c>
      <c r="P196" s="307"/>
      <c r="R196" s="291">
        <v>0</v>
      </c>
      <c r="T196" s="307"/>
      <c r="V196" s="291">
        <v>0</v>
      </c>
      <c r="X196" s="307"/>
      <c r="Z196" s="291">
        <v>0</v>
      </c>
      <c r="AB196" s="307"/>
      <c r="AD196" s="291">
        <f t="shared" ref="AD196:AD197" si="220">J196+N196+R196+V196+Z196</f>
        <v>0</v>
      </c>
      <c r="AE196" s="170"/>
      <c r="AF196" s="186"/>
      <c r="AH196" s="81"/>
      <c r="AN196" s="205"/>
      <c r="AS196" s="205"/>
      <c r="AX196" s="205"/>
      <c r="BC196" s="205"/>
      <c r="BH196" s="205"/>
    </row>
    <row r="197" spans="1:60" outlineLevel="1" x14ac:dyDescent="0.25">
      <c r="A197" s="168" t="s">
        <v>212</v>
      </c>
      <c r="B197" s="184"/>
      <c r="C197" s="28"/>
      <c r="D197" s="375" t="s">
        <v>264</v>
      </c>
      <c r="E197" s="218"/>
      <c r="F197" s="213"/>
      <c r="G197" s="216">
        <f>G196</f>
        <v>0</v>
      </c>
      <c r="H197" s="216">
        <f>H196</f>
        <v>0</v>
      </c>
      <c r="J197" s="291">
        <f>E197*G197*H197</f>
        <v>0</v>
      </c>
      <c r="L197" s="307"/>
      <c r="N197" s="291">
        <v>0</v>
      </c>
      <c r="P197" s="307"/>
      <c r="R197" s="291">
        <v>0</v>
      </c>
      <c r="T197" s="307"/>
      <c r="V197" s="291">
        <v>0</v>
      </c>
      <c r="X197" s="307"/>
      <c r="Z197" s="291">
        <v>0</v>
      </c>
      <c r="AB197" s="307"/>
      <c r="AD197" s="291">
        <f t="shared" si="220"/>
        <v>0</v>
      </c>
      <c r="AE197" s="170"/>
      <c r="AF197" s="186"/>
      <c r="AH197" s="81"/>
      <c r="AN197" s="205"/>
      <c r="AS197" s="205"/>
      <c r="AX197" s="205"/>
      <c r="BC197" s="205"/>
      <c r="BH197" s="205"/>
    </row>
    <row r="198" spans="1:60" outlineLevel="1" x14ac:dyDescent="0.25">
      <c r="A198" s="168" t="s">
        <v>212</v>
      </c>
      <c r="B198" s="184"/>
      <c r="C198" s="28"/>
      <c r="D198" s="167" t="s">
        <v>79</v>
      </c>
      <c r="E198" s="215"/>
      <c r="F198" s="213"/>
      <c r="G198" s="216">
        <f>G196</f>
        <v>0</v>
      </c>
      <c r="H198" s="216">
        <f>H196</f>
        <v>0</v>
      </c>
      <c r="J198" s="291">
        <f>E198*G198*H198</f>
        <v>0</v>
      </c>
      <c r="L198" s="307">
        <v>0</v>
      </c>
      <c r="N198" s="291">
        <v>0</v>
      </c>
      <c r="P198" s="307">
        <v>0</v>
      </c>
      <c r="R198" s="291">
        <v>0</v>
      </c>
      <c r="T198" s="307">
        <v>0</v>
      </c>
      <c r="V198" s="291">
        <v>0</v>
      </c>
      <c r="X198" s="307">
        <v>0</v>
      </c>
      <c r="Z198" s="291">
        <v>0</v>
      </c>
      <c r="AB198" s="307">
        <v>0</v>
      </c>
      <c r="AD198" s="291">
        <f>J198+N198+R198+V198+Z198</f>
        <v>0</v>
      </c>
      <c r="AE198" s="170"/>
      <c r="AF198" s="186">
        <f>L198+P198+T198+X198+AB198</f>
        <v>0</v>
      </c>
      <c r="AI198" s="355"/>
      <c r="AN198" s="205"/>
      <c r="AS198" s="205"/>
      <c r="AX198" s="205"/>
      <c r="BC198" s="205"/>
      <c r="BH198" s="205"/>
    </row>
    <row r="199" spans="1:60" outlineLevel="1" x14ac:dyDescent="0.25">
      <c r="A199" s="168"/>
      <c r="B199" s="184"/>
      <c r="C199" s="28"/>
      <c r="E199" s="212"/>
      <c r="F199" s="213"/>
      <c r="G199" s="213"/>
      <c r="H199" s="213"/>
      <c r="L199" s="307"/>
      <c r="P199" s="307"/>
      <c r="R199" s="291"/>
      <c r="T199" s="307"/>
      <c r="V199" s="291"/>
      <c r="X199" s="307"/>
      <c r="Z199" s="291"/>
      <c r="AB199" s="307"/>
      <c r="AE199" s="170"/>
      <c r="AF199" s="186"/>
      <c r="AN199" s="205"/>
      <c r="AS199" s="205"/>
      <c r="AX199" s="205"/>
      <c r="BC199" s="205"/>
      <c r="BH199" s="205"/>
    </row>
    <row r="200" spans="1:60" outlineLevel="1" x14ac:dyDescent="0.25">
      <c r="A200" s="168"/>
      <c r="B200" s="184"/>
      <c r="C200" s="211" t="s">
        <v>68</v>
      </c>
      <c r="E200" s="212"/>
      <c r="F200" s="213"/>
      <c r="G200" s="213"/>
      <c r="H200" s="213"/>
      <c r="L200" s="307"/>
      <c r="P200" s="307"/>
      <c r="T200" s="315"/>
      <c r="X200" s="315"/>
      <c r="AB200" s="315"/>
      <c r="AE200" s="170"/>
      <c r="AF200" s="186"/>
      <c r="AN200" s="205"/>
      <c r="AS200" s="205"/>
      <c r="AX200" s="205"/>
      <c r="BC200" s="205"/>
      <c r="BH200" s="205"/>
    </row>
    <row r="201" spans="1:60" outlineLevel="1" x14ac:dyDescent="0.25">
      <c r="A201" s="168" t="s">
        <v>212</v>
      </c>
      <c r="B201" s="184"/>
      <c r="C201" s="28"/>
      <c r="D201" s="167" t="s">
        <v>69</v>
      </c>
      <c r="E201" s="215"/>
      <c r="F201" s="213"/>
      <c r="G201" s="216"/>
      <c r="H201" s="216"/>
      <c r="J201" s="291">
        <f>E201*G201*H201</f>
        <v>0</v>
      </c>
      <c r="L201" s="307">
        <v>0</v>
      </c>
      <c r="N201" s="291">
        <v>0</v>
      </c>
      <c r="P201" s="307">
        <v>0</v>
      </c>
      <c r="R201" s="291">
        <v>0</v>
      </c>
      <c r="T201" s="307">
        <v>0</v>
      </c>
      <c r="V201" s="291">
        <v>0</v>
      </c>
      <c r="X201" s="307">
        <v>0</v>
      </c>
      <c r="Z201" s="291">
        <v>0</v>
      </c>
      <c r="AB201" s="307">
        <v>0</v>
      </c>
      <c r="AD201" s="291">
        <f>J201+N201+R201+V201+Z201</f>
        <v>0</v>
      </c>
      <c r="AF201" s="186">
        <f t="shared" ref="AF201:AF202" si="221">L201+P201+T201+X201+AB201</f>
        <v>0</v>
      </c>
      <c r="AN201" s="205"/>
      <c r="AS201" s="205"/>
      <c r="AX201" s="205"/>
      <c r="BC201" s="205"/>
      <c r="BH201" s="205"/>
    </row>
    <row r="202" spans="1:60" outlineLevel="1" x14ac:dyDescent="0.25">
      <c r="A202" s="168" t="s">
        <v>212</v>
      </c>
      <c r="B202" s="184"/>
      <c r="C202" s="28"/>
      <c r="D202" s="217" t="s">
        <v>159</v>
      </c>
      <c r="E202" s="215"/>
      <c r="F202" s="216">
        <v>0</v>
      </c>
      <c r="G202" s="216">
        <f>G201</f>
        <v>0</v>
      </c>
      <c r="H202" s="216">
        <f t="shared" ref="H202:H203" si="222">H201</f>
        <v>0</v>
      </c>
      <c r="J202" s="291">
        <f>E202*F202*G202*H202</f>
        <v>0</v>
      </c>
      <c r="L202" s="307">
        <v>0</v>
      </c>
      <c r="N202" s="291">
        <v>0</v>
      </c>
      <c r="P202" s="307">
        <v>0</v>
      </c>
      <c r="R202" s="291">
        <v>0</v>
      </c>
      <c r="T202" s="307">
        <v>0</v>
      </c>
      <c r="V202" s="291">
        <v>0</v>
      </c>
      <c r="X202" s="307">
        <v>0</v>
      </c>
      <c r="Z202" s="291">
        <v>0</v>
      </c>
      <c r="AB202" s="307">
        <v>0</v>
      </c>
      <c r="AD202" s="291">
        <f>J202+N202+R202+V202+Z202</f>
        <v>0</v>
      </c>
      <c r="AF202" s="186">
        <f t="shared" si="221"/>
        <v>0</v>
      </c>
      <c r="AN202" s="205"/>
      <c r="AS202" s="205"/>
      <c r="AX202" s="205"/>
      <c r="BC202" s="205"/>
      <c r="BH202" s="205"/>
    </row>
    <row r="203" spans="1:60" outlineLevel="1" x14ac:dyDescent="0.25">
      <c r="A203" s="168" t="s">
        <v>212</v>
      </c>
      <c r="B203" s="184"/>
      <c r="C203" s="28"/>
      <c r="D203" s="167" t="s">
        <v>177</v>
      </c>
      <c r="E203" s="215"/>
      <c r="F203" s="216">
        <f>F202</f>
        <v>0</v>
      </c>
      <c r="G203" s="216">
        <f t="shared" ref="G203" si="223">G202</f>
        <v>0</v>
      </c>
      <c r="H203" s="216">
        <f t="shared" si="222"/>
        <v>0</v>
      </c>
      <c r="J203" s="291">
        <f>E203*F203*G203*H203</f>
        <v>0</v>
      </c>
      <c r="L203" s="307">
        <v>0</v>
      </c>
      <c r="N203" s="291">
        <v>0</v>
      </c>
      <c r="P203" s="307">
        <v>0</v>
      </c>
      <c r="R203" s="291">
        <v>0</v>
      </c>
      <c r="T203" s="307">
        <v>0</v>
      </c>
      <c r="V203" s="291">
        <v>0</v>
      </c>
      <c r="X203" s="307">
        <v>0</v>
      </c>
      <c r="Z203" s="291">
        <v>0</v>
      </c>
      <c r="AB203" s="307">
        <v>0</v>
      </c>
      <c r="AD203" s="291">
        <f>J203+N203+R203+V203+Z203</f>
        <v>0</v>
      </c>
      <c r="AE203" s="170"/>
      <c r="AF203" s="186">
        <f>L203+P203+T203+X203+AB203</f>
        <v>0</v>
      </c>
      <c r="AH203" s="81"/>
      <c r="AN203" s="205"/>
      <c r="AS203" s="205"/>
      <c r="AX203" s="205"/>
      <c r="BC203" s="205"/>
      <c r="BH203" s="205"/>
    </row>
    <row r="204" spans="1:60" outlineLevel="1" x14ac:dyDescent="0.25">
      <c r="A204" s="168" t="s">
        <v>212</v>
      </c>
      <c r="B204" s="184"/>
      <c r="C204" s="28"/>
      <c r="D204" s="167" t="s">
        <v>160</v>
      </c>
      <c r="E204" s="215"/>
      <c r="F204" s="213"/>
      <c r="G204" s="216">
        <f>G203</f>
        <v>0</v>
      </c>
      <c r="H204" s="216">
        <f>H203</f>
        <v>0</v>
      </c>
      <c r="J204" s="291">
        <f>E204*G204*H204</f>
        <v>0</v>
      </c>
      <c r="L204" s="307"/>
      <c r="N204" s="291">
        <v>0</v>
      </c>
      <c r="P204" s="307"/>
      <c r="R204" s="291">
        <v>0</v>
      </c>
      <c r="T204" s="307"/>
      <c r="V204" s="291">
        <v>0</v>
      </c>
      <c r="X204" s="307"/>
      <c r="Z204" s="291">
        <v>0</v>
      </c>
      <c r="AB204" s="307"/>
      <c r="AD204" s="291">
        <f t="shared" ref="AD204:AD205" si="224">J204+N204+R204+V204+Z204</f>
        <v>0</v>
      </c>
      <c r="AE204" s="170"/>
      <c r="AF204" s="186"/>
      <c r="AH204" s="81"/>
      <c r="AN204" s="205"/>
      <c r="AS204" s="205"/>
      <c r="AX204" s="205"/>
      <c r="BC204" s="205"/>
      <c r="BH204" s="205"/>
    </row>
    <row r="205" spans="1:60" outlineLevel="1" x14ac:dyDescent="0.25">
      <c r="A205" s="168" t="s">
        <v>212</v>
      </c>
      <c r="B205" s="184"/>
      <c r="C205" s="28"/>
      <c r="D205" s="375" t="s">
        <v>264</v>
      </c>
      <c r="E205" s="218"/>
      <c r="F205" s="213"/>
      <c r="G205" s="216">
        <f>G204</f>
        <v>0</v>
      </c>
      <c r="H205" s="216">
        <f>H204</f>
        <v>0</v>
      </c>
      <c r="J205" s="291">
        <f>E205*G205*H205</f>
        <v>0</v>
      </c>
      <c r="L205" s="307"/>
      <c r="N205" s="291">
        <v>0</v>
      </c>
      <c r="P205" s="307"/>
      <c r="R205" s="291">
        <v>0</v>
      </c>
      <c r="T205" s="307"/>
      <c r="V205" s="291">
        <v>0</v>
      </c>
      <c r="X205" s="307"/>
      <c r="Z205" s="291">
        <v>0</v>
      </c>
      <c r="AB205" s="307"/>
      <c r="AD205" s="291">
        <f t="shared" si="224"/>
        <v>0</v>
      </c>
      <c r="AE205" s="170"/>
      <c r="AF205" s="186"/>
      <c r="AH205" s="81"/>
      <c r="AN205" s="205"/>
      <c r="AS205" s="205"/>
      <c r="AX205" s="205"/>
      <c r="BC205" s="205"/>
      <c r="BH205" s="205"/>
    </row>
    <row r="206" spans="1:60" outlineLevel="1" x14ac:dyDescent="0.25">
      <c r="A206" s="168" t="s">
        <v>212</v>
      </c>
      <c r="B206" s="184"/>
      <c r="C206" s="28"/>
      <c r="D206" s="167" t="s">
        <v>79</v>
      </c>
      <c r="E206" s="215"/>
      <c r="F206" s="213"/>
      <c r="G206" s="216">
        <f>G204</f>
        <v>0</v>
      </c>
      <c r="H206" s="216">
        <f>H204</f>
        <v>0</v>
      </c>
      <c r="J206" s="291">
        <f>E206*G206*H206</f>
        <v>0</v>
      </c>
      <c r="L206" s="307">
        <v>0</v>
      </c>
      <c r="N206" s="291">
        <v>0</v>
      </c>
      <c r="P206" s="307">
        <v>0</v>
      </c>
      <c r="R206" s="291">
        <v>0</v>
      </c>
      <c r="T206" s="307">
        <v>0</v>
      </c>
      <c r="V206" s="291">
        <v>0</v>
      </c>
      <c r="X206" s="307">
        <v>0</v>
      </c>
      <c r="Z206" s="291">
        <v>0</v>
      </c>
      <c r="AB206" s="307">
        <v>0</v>
      </c>
      <c r="AD206" s="291">
        <f>J206+N206+R206+V206+Z206</f>
        <v>0</v>
      </c>
      <c r="AE206" s="170"/>
      <c r="AF206" s="186">
        <f>L206+P206+T206+X206+AB206</f>
        <v>0</v>
      </c>
      <c r="AN206" s="205"/>
      <c r="AS206" s="205"/>
      <c r="AX206" s="205"/>
      <c r="BC206" s="205"/>
      <c r="BH206" s="205"/>
    </row>
    <row r="207" spans="1:60" outlineLevel="1" x14ac:dyDescent="0.25">
      <c r="A207" s="168"/>
      <c r="B207" s="184"/>
      <c r="E207" s="212"/>
      <c r="F207" s="213"/>
      <c r="G207" s="213"/>
      <c r="H207" s="213"/>
      <c r="L207" s="307"/>
      <c r="P207" s="307"/>
      <c r="R207" s="291"/>
      <c r="T207" s="307"/>
      <c r="V207" s="291"/>
      <c r="X207" s="307"/>
      <c r="Z207" s="291"/>
      <c r="AB207" s="307"/>
      <c r="AE207" s="170"/>
      <c r="AF207" s="186"/>
      <c r="AN207" s="205"/>
      <c r="AS207" s="205"/>
      <c r="AX207" s="205"/>
      <c r="BC207" s="205"/>
      <c r="BH207" s="205"/>
    </row>
    <row r="208" spans="1:60" outlineLevel="1" x14ac:dyDescent="0.25">
      <c r="A208" s="168"/>
      <c r="B208" s="184"/>
      <c r="C208" s="211" t="s">
        <v>68</v>
      </c>
      <c r="E208" s="212"/>
      <c r="F208" s="213"/>
      <c r="G208" s="213"/>
      <c r="H208" s="213"/>
      <c r="L208" s="307"/>
      <c r="P208" s="307"/>
      <c r="T208" s="315"/>
      <c r="X208" s="315"/>
      <c r="AB208" s="315"/>
      <c r="AE208" s="170"/>
      <c r="AF208" s="186"/>
      <c r="AN208" s="205"/>
      <c r="AS208" s="205"/>
      <c r="AX208" s="205"/>
      <c r="BC208" s="205"/>
      <c r="BH208" s="205"/>
    </row>
    <row r="209" spans="1:60" outlineLevel="1" x14ac:dyDescent="0.25">
      <c r="A209" s="168" t="s">
        <v>212</v>
      </c>
      <c r="B209" s="184"/>
      <c r="C209" s="28"/>
      <c r="D209" s="167" t="s">
        <v>69</v>
      </c>
      <c r="E209" s="215"/>
      <c r="F209" s="213"/>
      <c r="G209" s="216"/>
      <c r="H209" s="216"/>
      <c r="J209" s="291">
        <f>E209*G209*H209</f>
        <v>0</v>
      </c>
      <c r="L209" s="307">
        <v>0</v>
      </c>
      <c r="N209" s="291">
        <v>0</v>
      </c>
      <c r="P209" s="307">
        <v>0</v>
      </c>
      <c r="R209" s="291">
        <v>0</v>
      </c>
      <c r="T209" s="307">
        <v>0</v>
      </c>
      <c r="V209" s="291">
        <v>0</v>
      </c>
      <c r="X209" s="307">
        <v>0</v>
      </c>
      <c r="Z209" s="291">
        <v>0</v>
      </c>
      <c r="AB209" s="307">
        <v>0</v>
      </c>
      <c r="AD209" s="291">
        <f>J209+N209+R209+V209+Z209</f>
        <v>0</v>
      </c>
      <c r="AF209" s="186">
        <f t="shared" ref="AF209:AF210" si="225">L209+P209+T209+X209+AB209</f>
        <v>0</v>
      </c>
      <c r="AN209" s="205"/>
      <c r="AS209" s="205"/>
      <c r="AX209" s="205"/>
      <c r="BC209" s="205"/>
      <c r="BH209" s="205"/>
    </row>
    <row r="210" spans="1:60" outlineLevel="1" x14ac:dyDescent="0.25">
      <c r="A210" s="168" t="s">
        <v>212</v>
      </c>
      <c r="B210" s="184"/>
      <c r="C210" s="28"/>
      <c r="D210" s="217" t="s">
        <v>159</v>
      </c>
      <c r="E210" s="215"/>
      <c r="F210" s="216">
        <v>0</v>
      </c>
      <c r="G210" s="216">
        <f>G209</f>
        <v>0</v>
      </c>
      <c r="H210" s="216">
        <f t="shared" ref="H210:H211" si="226">H209</f>
        <v>0</v>
      </c>
      <c r="J210" s="291">
        <f>E210*F210*G210*H210</f>
        <v>0</v>
      </c>
      <c r="L210" s="307">
        <v>0</v>
      </c>
      <c r="N210" s="291">
        <v>0</v>
      </c>
      <c r="P210" s="307">
        <v>0</v>
      </c>
      <c r="R210" s="291">
        <v>0</v>
      </c>
      <c r="T210" s="307">
        <v>0</v>
      </c>
      <c r="V210" s="291">
        <v>0</v>
      </c>
      <c r="X210" s="307">
        <v>0</v>
      </c>
      <c r="Z210" s="291">
        <v>0</v>
      </c>
      <c r="AB210" s="307">
        <v>0</v>
      </c>
      <c r="AD210" s="291">
        <f>J210+N210+R210+V210+Z210</f>
        <v>0</v>
      </c>
      <c r="AF210" s="186">
        <f t="shared" si="225"/>
        <v>0</v>
      </c>
      <c r="AN210" s="205"/>
      <c r="AS210" s="205"/>
      <c r="AX210" s="205"/>
      <c r="BC210" s="205"/>
      <c r="BH210" s="205"/>
    </row>
    <row r="211" spans="1:60" outlineLevel="1" x14ac:dyDescent="0.25">
      <c r="A211" s="168" t="s">
        <v>212</v>
      </c>
      <c r="B211" s="184"/>
      <c r="C211" s="28"/>
      <c r="D211" s="167" t="s">
        <v>177</v>
      </c>
      <c r="E211" s="215"/>
      <c r="F211" s="216">
        <f>F210</f>
        <v>0</v>
      </c>
      <c r="G211" s="216">
        <f t="shared" ref="G211" si="227">G210</f>
        <v>0</v>
      </c>
      <c r="H211" s="216">
        <f t="shared" si="226"/>
        <v>0</v>
      </c>
      <c r="L211" s="307">
        <v>0</v>
      </c>
      <c r="P211" s="307">
        <v>0</v>
      </c>
      <c r="R211" s="291">
        <v>0</v>
      </c>
      <c r="T211" s="307">
        <v>0</v>
      </c>
      <c r="V211" s="291">
        <v>0</v>
      </c>
      <c r="X211" s="307">
        <v>0</v>
      </c>
      <c r="Z211" s="291">
        <v>0</v>
      </c>
      <c r="AB211" s="307">
        <v>0</v>
      </c>
      <c r="AD211" s="291">
        <f>J211+N211+R211+V211+Z211</f>
        <v>0</v>
      </c>
      <c r="AE211" s="170"/>
      <c r="AF211" s="186">
        <f>L211+P211+T211+X211+AB211</f>
        <v>0</v>
      </c>
      <c r="AH211" s="81"/>
      <c r="AN211" s="205"/>
      <c r="AS211" s="205"/>
      <c r="AX211" s="205"/>
      <c r="BC211" s="205"/>
      <c r="BH211" s="205"/>
    </row>
    <row r="212" spans="1:60" outlineLevel="1" x14ac:dyDescent="0.25">
      <c r="A212" s="168" t="s">
        <v>212</v>
      </c>
      <c r="B212" s="184"/>
      <c r="C212" s="28"/>
      <c r="D212" s="167" t="s">
        <v>160</v>
      </c>
      <c r="E212" s="215"/>
      <c r="F212" s="213"/>
      <c r="G212" s="216">
        <f>G211</f>
        <v>0</v>
      </c>
      <c r="H212" s="216">
        <f>H211</f>
        <v>0</v>
      </c>
      <c r="J212" s="291">
        <f>E212*G212*H212</f>
        <v>0</v>
      </c>
      <c r="L212" s="307"/>
      <c r="N212" s="291">
        <v>0</v>
      </c>
      <c r="P212" s="307"/>
      <c r="R212" s="291">
        <v>0</v>
      </c>
      <c r="T212" s="307"/>
      <c r="V212" s="291">
        <v>0</v>
      </c>
      <c r="X212" s="307"/>
      <c r="Z212" s="291">
        <v>0</v>
      </c>
      <c r="AB212" s="307"/>
      <c r="AD212" s="291">
        <f t="shared" ref="AD212:AD213" si="228">J212+N212+R212+V212+Z212</f>
        <v>0</v>
      </c>
      <c r="AE212" s="170"/>
      <c r="AF212" s="186"/>
      <c r="AH212" s="81"/>
      <c r="AN212" s="205"/>
      <c r="AS212" s="205"/>
      <c r="AX212" s="205"/>
      <c r="BC212" s="205"/>
      <c r="BH212" s="205"/>
    </row>
    <row r="213" spans="1:60" outlineLevel="1" x14ac:dyDescent="0.25">
      <c r="A213" s="168" t="s">
        <v>212</v>
      </c>
      <c r="B213" s="184"/>
      <c r="C213" s="28"/>
      <c r="D213" s="375" t="s">
        <v>264</v>
      </c>
      <c r="E213" s="218"/>
      <c r="F213" s="213"/>
      <c r="G213" s="216">
        <f>G212</f>
        <v>0</v>
      </c>
      <c r="H213" s="216">
        <f>H212</f>
        <v>0</v>
      </c>
      <c r="L213" s="307"/>
      <c r="P213" s="307"/>
      <c r="R213" s="291"/>
      <c r="T213" s="307"/>
      <c r="V213" s="291">
        <v>0</v>
      </c>
      <c r="X213" s="307"/>
      <c r="Z213" s="291">
        <v>0</v>
      </c>
      <c r="AB213" s="307"/>
      <c r="AD213" s="291">
        <f t="shared" si="228"/>
        <v>0</v>
      </c>
      <c r="AE213" s="170"/>
      <c r="AF213" s="186"/>
      <c r="AH213" s="81"/>
      <c r="AN213" s="205"/>
      <c r="AS213" s="205"/>
      <c r="AX213" s="205"/>
      <c r="BC213" s="205"/>
      <c r="BH213" s="205"/>
    </row>
    <row r="214" spans="1:60" outlineLevel="1" x14ac:dyDescent="0.25">
      <c r="A214" s="168" t="s">
        <v>212</v>
      </c>
      <c r="B214" s="184"/>
      <c r="C214" s="28"/>
      <c r="D214" s="167" t="s">
        <v>79</v>
      </c>
      <c r="E214" s="215"/>
      <c r="F214" s="213"/>
      <c r="G214" s="216">
        <f>G212</f>
        <v>0</v>
      </c>
      <c r="H214" s="216">
        <f>H212</f>
        <v>0</v>
      </c>
      <c r="J214" s="291">
        <f>E214*G214*H214</f>
        <v>0</v>
      </c>
      <c r="L214" s="307">
        <v>0</v>
      </c>
      <c r="N214" s="291">
        <v>0</v>
      </c>
      <c r="P214" s="307">
        <v>0</v>
      </c>
      <c r="R214" s="291">
        <v>0</v>
      </c>
      <c r="T214" s="307">
        <v>0</v>
      </c>
      <c r="V214" s="291">
        <v>0</v>
      </c>
      <c r="X214" s="307">
        <v>0</v>
      </c>
      <c r="Z214" s="291">
        <v>0</v>
      </c>
      <c r="AB214" s="307">
        <v>0</v>
      </c>
      <c r="AD214" s="291">
        <f>J214+N214+R214+V214+Z214</f>
        <v>0</v>
      </c>
      <c r="AE214" s="170"/>
      <c r="AF214" s="186">
        <f>L214+P214+T214+X214+AB214</f>
        <v>0</v>
      </c>
      <c r="AN214" s="205"/>
      <c r="AS214" s="205"/>
      <c r="AX214" s="205"/>
      <c r="BC214" s="205"/>
      <c r="BH214" s="205"/>
    </row>
    <row r="215" spans="1:60" x14ac:dyDescent="0.25">
      <c r="A215" s="168"/>
      <c r="B215" s="184"/>
      <c r="E215" s="224"/>
      <c r="G215" s="206"/>
      <c r="H215" s="223" t="s">
        <v>45</v>
      </c>
      <c r="J215" s="321">
        <f>SUM(J192:J214)</f>
        <v>0</v>
      </c>
      <c r="K215" s="321"/>
      <c r="L215" s="322">
        <f>SUM(L192:L214)</f>
        <v>0</v>
      </c>
      <c r="M215" s="321"/>
      <c r="N215" s="321">
        <f>SUM(N192:N214)</f>
        <v>0</v>
      </c>
      <c r="O215" s="323"/>
      <c r="P215" s="322">
        <f>SUM(P192:P214)</f>
        <v>0</v>
      </c>
      <c r="Q215" s="323"/>
      <c r="R215" s="321">
        <f>SUM(R192:R214)</f>
        <v>0</v>
      </c>
      <c r="S215" s="323"/>
      <c r="T215" s="322">
        <f>SUM(T192:T214)</f>
        <v>0</v>
      </c>
      <c r="U215" s="323"/>
      <c r="V215" s="321">
        <f>SUM(V192:V214)</f>
        <v>0</v>
      </c>
      <c r="W215" s="323"/>
      <c r="X215" s="322">
        <f>SUM(X192:X214)</f>
        <v>0</v>
      </c>
      <c r="Y215" s="323"/>
      <c r="Z215" s="321">
        <f>SUM(Z192:Z214)</f>
        <v>0</v>
      </c>
      <c r="AA215" s="323"/>
      <c r="AB215" s="322">
        <f>SUM(AB192:AB214)</f>
        <v>0</v>
      </c>
      <c r="AC215" s="323"/>
      <c r="AD215" s="321">
        <f>SUM(AD193:AD214)</f>
        <v>0</v>
      </c>
      <c r="AE215" s="170"/>
      <c r="AF215" s="225">
        <f>SUM(AF193:AF214)</f>
        <v>0</v>
      </c>
      <c r="AN215" s="205"/>
      <c r="AS215" s="205"/>
      <c r="AX215" s="205"/>
      <c r="BC215" s="205"/>
      <c r="BH215" s="205"/>
    </row>
    <row r="216" spans="1:60" ht="9" customHeight="1" x14ac:dyDescent="0.25">
      <c r="B216" s="184"/>
      <c r="J216" s="311"/>
      <c r="L216" s="312"/>
      <c r="N216" s="311"/>
      <c r="P216" s="312"/>
      <c r="R216" s="311"/>
      <c r="T216" s="312"/>
      <c r="V216" s="311"/>
      <c r="X216" s="312"/>
      <c r="Z216" s="311"/>
      <c r="AB216" s="312"/>
      <c r="AD216" s="311"/>
      <c r="AF216" s="204"/>
      <c r="AN216" s="205"/>
      <c r="AS216" s="205"/>
      <c r="AX216" s="205"/>
      <c r="BC216" s="205"/>
      <c r="BH216" s="205"/>
    </row>
    <row r="217" spans="1:60" x14ac:dyDescent="0.25">
      <c r="B217" s="184"/>
      <c r="C217" s="167" t="s">
        <v>21</v>
      </c>
      <c r="J217" s="291">
        <f>+J215+J189</f>
        <v>0</v>
      </c>
      <c r="L217" s="307">
        <f>L215+L189</f>
        <v>0</v>
      </c>
      <c r="N217" s="291">
        <f>N215+N189</f>
        <v>0</v>
      </c>
      <c r="P217" s="307">
        <f>P215+P189</f>
        <v>0</v>
      </c>
      <c r="R217" s="291">
        <f>R215+R189</f>
        <v>0</v>
      </c>
      <c r="T217" s="307">
        <f>T215+T189</f>
        <v>0</v>
      </c>
      <c r="V217" s="291">
        <f>V215+V189</f>
        <v>0</v>
      </c>
      <c r="X217" s="307">
        <f>X215+X189</f>
        <v>0</v>
      </c>
      <c r="Z217" s="291">
        <f>Z215+Z189</f>
        <v>0</v>
      </c>
      <c r="AB217" s="307">
        <f>AB215+AB189</f>
        <v>0</v>
      </c>
      <c r="AD217" s="291">
        <f>J217+N217+R217+V217+Z217</f>
        <v>0</v>
      </c>
      <c r="AE217" s="170"/>
      <c r="AF217" s="186">
        <f>L217+P217+T217+X217+AB217</f>
        <v>0</v>
      </c>
      <c r="AN217" s="205"/>
      <c r="AS217" s="205"/>
      <c r="AX217" s="205"/>
      <c r="BC217" s="205"/>
      <c r="BH217" s="205"/>
    </row>
    <row r="218" spans="1:60" x14ac:dyDescent="0.25">
      <c r="L218" s="307"/>
      <c r="P218" s="307"/>
      <c r="R218" s="291"/>
      <c r="T218" s="315"/>
      <c r="X218" s="315"/>
      <c r="AB218" s="315"/>
      <c r="AF218" s="187"/>
      <c r="AN218" s="205"/>
      <c r="AS218" s="205"/>
      <c r="AX218" s="205"/>
      <c r="BC218" s="205"/>
      <c r="BH218" s="205"/>
    </row>
    <row r="219" spans="1:60" x14ac:dyDescent="0.25">
      <c r="B219" s="184" t="s">
        <v>11</v>
      </c>
      <c r="C219" s="184" t="s">
        <v>29</v>
      </c>
      <c r="L219" s="307"/>
      <c r="P219" s="307"/>
      <c r="T219" s="315"/>
      <c r="X219" s="315"/>
      <c r="AB219" s="315"/>
      <c r="AF219" s="187"/>
      <c r="AN219" s="205"/>
      <c r="AS219" s="205"/>
      <c r="AX219" s="205"/>
      <c r="BC219" s="205"/>
      <c r="BH219" s="205"/>
    </row>
    <row r="220" spans="1:60" outlineLevel="1" x14ac:dyDescent="0.25">
      <c r="B220" s="184"/>
      <c r="C220" s="211"/>
      <c r="E220" s="212" t="s">
        <v>67</v>
      </c>
      <c r="F220" s="206" t="s">
        <v>70</v>
      </c>
      <c r="G220" s="206"/>
      <c r="L220" s="307"/>
      <c r="P220" s="307"/>
      <c r="T220" s="315"/>
      <c r="X220" s="315"/>
      <c r="AB220" s="315"/>
      <c r="AF220" s="187"/>
      <c r="AN220" s="205"/>
      <c r="AS220" s="205"/>
      <c r="AX220" s="205"/>
      <c r="BC220" s="205"/>
      <c r="BH220" s="205"/>
    </row>
    <row r="221" spans="1:60" outlineLevel="1" x14ac:dyDescent="0.25">
      <c r="A221" s="168" t="s">
        <v>214</v>
      </c>
      <c r="B221" s="184"/>
      <c r="C221" s="167" t="s">
        <v>32</v>
      </c>
      <c r="E221" s="215"/>
      <c r="F221" s="216"/>
      <c r="J221" s="291">
        <f>E221*F221</f>
        <v>0</v>
      </c>
      <c r="L221" s="307">
        <v>0</v>
      </c>
      <c r="N221" s="291">
        <v>0</v>
      </c>
      <c r="P221" s="307">
        <v>0</v>
      </c>
      <c r="R221" s="291">
        <v>0</v>
      </c>
      <c r="T221" s="307">
        <v>0</v>
      </c>
      <c r="V221" s="291">
        <v>0</v>
      </c>
      <c r="X221" s="307">
        <v>0</v>
      </c>
      <c r="Z221" s="291">
        <v>0</v>
      </c>
      <c r="AA221" s="291"/>
      <c r="AB221" s="307">
        <v>0</v>
      </c>
      <c r="AD221" s="291">
        <f>J221+N221+R221+V221+Z221</f>
        <v>0</v>
      </c>
      <c r="AE221" s="170"/>
      <c r="AF221" s="186">
        <f>L221+P221+T221+X221+AB221</f>
        <v>0</v>
      </c>
      <c r="AN221" s="205"/>
      <c r="AS221" s="205"/>
      <c r="AX221" s="205"/>
      <c r="BC221" s="205"/>
      <c r="BH221" s="205"/>
    </row>
    <row r="222" spans="1:60" outlineLevel="1" x14ac:dyDescent="0.25">
      <c r="A222" s="168" t="s">
        <v>218</v>
      </c>
      <c r="B222" s="184"/>
      <c r="C222" s="167" t="s">
        <v>10</v>
      </c>
      <c r="E222" s="215"/>
      <c r="F222" s="216"/>
      <c r="J222" s="291">
        <f>E222*F222</f>
        <v>0</v>
      </c>
      <c r="L222" s="307">
        <v>0</v>
      </c>
      <c r="N222" s="291">
        <v>0</v>
      </c>
      <c r="P222" s="307">
        <v>0</v>
      </c>
      <c r="R222" s="291">
        <v>0</v>
      </c>
      <c r="T222" s="307">
        <v>0</v>
      </c>
      <c r="V222" s="291">
        <v>0</v>
      </c>
      <c r="X222" s="307">
        <v>0</v>
      </c>
      <c r="Z222" s="291">
        <v>0</v>
      </c>
      <c r="AA222" s="291"/>
      <c r="AB222" s="307">
        <v>0</v>
      </c>
      <c r="AD222" s="291">
        <f>J222+N222+R222+V222+Z222</f>
        <v>0</v>
      </c>
      <c r="AE222" s="170"/>
      <c r="AF222" s="186">
        <f>L222+P222+T222+X222+AB222</f>
        <v>0</v>
      </c>
      <c r="AN222" s="205"/>
      <c r="AS222" s="205"/>
      <c r="AX222" s="205"/>
      <c r="BC222" s="205"/>
      <c r="BH222" s="205"/>
    </row>
    <row r="223" spans="1:60" outlineLevel="1" x14ac:dyDescent="0.25">
      <c r="A223" s="168" t="s">
        <v>216</v>
      </c>
      <c r="B223" s="184"/>
      <c r="C223" s="28" t="s">
        <v>33</v>
      </c>
      <c r="E223" s="215"/>
      <c r="F223" s="216"/>
      <c r="J223" s="291">
        <f>E223*F223</f>
        <v>0</v>
      </c>
      <c r="L223" s="307">
        <v>0</v>
      </c>
      <c r="N223" s="291">
        <v>0</v>
      </c>
      <c r="P223" s="307">
        <v>0</v>
      </c>
      <c r="R223" s="291">
        <v>0</v>
      </c>
      <c r="T223" s="307">
        <v>0</v>
      </c>
      <c r="V223" s="291">
        <v>0</v>
      </c>
      <c r="X223" s="307">
        <v>0</v>
      </c>
      <c r="Z223" s="291">
        <v>0</v>
      </c>
      <c r="AA223" s="291"/>
      <c r="AB223" s="307">
        <v>0</v>
      </c>
      <c r="AD223" s="291">
        <f>J223+N223+R223+V223+Z223</f>
        <v>0</v>
      </c>
      <c r="AE223" s="170"/>
      <c r="AF223" s="186">
        <f>L223+P223+T223+X223+AB223</f>
        <v>0</v>
      </c>
      <c r="AN223" s="205"/>
      <c r="AS223" s="205"/>
      <c r="AX223" s="205"/>
      <c r="BC223" s="205"/>
      <c r="BH223" s="205"/>
    </row>
    <row r="224" spans="1:60" outlineLevel="1" x14ac:dyDescent="0.25">
      <c r="A224" s="168" t="s">
        <v>215</v>
      </c>
      <c r="B224" s="184"/>
      <c r="C224" s="28" t="s">
        <v>34</v>
      </c>
      <c r="E224" s="215"/>
      <c r="F224" s="216"/>
      <c r="J224" s="291">
        <f>E224*F224</f>
        <v>0</v>
      </c>
      <c r="L224" s="307">
        <v>0</v>
      </c>
      <c r="N224" s="291">
        <v>0</v>
      </c>
      <c r="P224" s="307">
        <v>0</v>
      </c>
      <c r="R224" s="291">
        <v>0</v>
      </c>
      <c r="T224" s="307">
        <v>0</v>
      </c>
      <c r="V224" s="291">
        <v>0</v>
      </c>
      <c r="X224" s="307">
        <v>0</v>
      </c>
      <c r="Z224" s="291">
        <v>0</v>
      </c>
      <c r="AA224" s="291"/>
      <c r="AB224" s="307">
        <v>0</v>
      </c>
      <c r="AD224" s="291">
        <f>J224+N224+R224+V224+Z224</f>
        <v>0</v>
      </c>
      <c r="AE224" s="170"/>
      <c r="AF224" s="186">
        <f>L224+P224+T224+X224+AB224</f>
        <v>0</v>
      </c>
      <c r="AN224" s="205"/>
      <c r="AS224" s="205"/>
      <c r="AX224" s="205"/>
      <c r="BC224" s="205"/>
      <c r="BH224" s="205"/>
    </row>
    <row r="225" spans="1:60" outlineLevel="1" x14ac:dyDescent="0.25">
      <c r="B225" s="184"/>
      <c r="C225" s="28"/>
      <c r="E225" s="212"/>
      <c r="F225" s="213"/>
      <c r="L225" s="307"/>
      <c r="P225" s="307"/>
      <c r="R225" s="291"/>
      <c r="T225" s="307"/>
      <c r="V225" s="291"/>
      <c r="X225" s="307"/>
      <c r="Z225" s="291"/>
      <c r="AB225" s="307"/>
      <c r="AE225" s="170"/>
      <c r="AF225" s="186"/>
      <c r="AN225" s="205"/>
      <c r="AS225" s="205"/>
      <c r="AX225" s="205"/>
      <c r="BC225" s="205"/>
      <c r="BH225" s="205"/>
    </row>
    <row r="226" spans="1:60" outlineLevel="1" x14ac:dyDescent="0.25">
      <c r="A226" s="364" t="s">
        <v>213</v>
      </c>
      <c r="B226" s="184"/>
      <c r="C226" s="167" t="s">
        <v>32</v>
      </c>
      <c r="E226" s="215"/>
      <c r="F226" s="216"/>
      <c r="J226" s="291">
        <f>E226*F226</f>
        <v>0</v>
      </c>
      <c r="L226" s="307">
        <v>0</v>
      </c>
      <c r="N226" s="291">
        <v>0</v>
      </c>
      <c r="P226" s="307">
        <v>0</v>
      </c>
      <c r="R226" s="291">
        <v>0</v>
      </c>
      <c r="T226" s="307">
        <v>0</v>
      </c>
      <c r="V226" s="291">
        <v>0</v>
      </c>
      <c r="X226" s="307">
        <v>0</v>
      </c>
      <c r="Z226" s="291">
        <v>0</v>
      </c>
      <c r="AA226" s="291"/>
      <c r="AB226" s="307">
        <v>0</v>
      </c>
      <c r="AD226" s="291">
        <f>J226+N226+R226+V226+Z226</f>
        <v>0</v>
      </c>
      <c r="AE226" s="170"/>
      <c r="AF226" s="186">
        <f>L226+P226+T226+X226+AB226</f>
        <v>0</v>
      </c>
      <c r="AN226" s="205"/>
      <c r="AS226" s="205"/>
      <c r="AX226" s="205"/>
      <c r="BC226" s="205"/>
      <c r="BH226" s="205"/>
    </row>
    <row r="227" spans="1:60" outlineLevel="1" x14ac:dyDescent="0.25">
      <c r="A227" s="364" t="s">
        <v>256</v>
      </c>
      <c r="B227" s="184"/>
      <c r="C227" s="167" t="s">
        <v>10</v>
      </c>
      <c r="E227" s="215"/>
      <c r="F227" s="216"/>
      <c r="J227" s="291">
        <f>E227*F227</f>
        <v>0</v>
      </c>
      <c r="L227" s="307">
        <v>0</v>
      </c>
      <c r="N227" s="291">
        <v>0</v>
      </c>
      <c r="P227" s="307">
        <v>0</v>
      </c>
      <c r="R227" s="291">
        <v>0</v>
      </c>
      <c r="T227" s="307">
        <v>0</v>
      </c>
      <c r="V227" s="291">
        <v>0</v>
      </c>
      <c r="X227" s="307">
        <v>0</v>
      </c>
      <c r="Z227" s="291">
        <v>0</v>
      </c>
      <c r="AA227" s="291"/>
      <c r="AB227" s="307">
        <v>0</v>
      </c>
      <c r="AD227" s="291">
        <f>J227+N227+R227+V227+Z227</f>
        <v>0</v>
      </c>
      <c r="AE227" s="170"/>
      <c r="AF227" s="186">
        <f>L227+P227+T227+X227+AB227</f>
        <v>0</v>
      </c>
      <c r="AN227" s="205"/>
      <c r="AS227" s="205"/>
      <c r="AX227" s="205"/>
      <c r="BC227" s="205"/>
      <c r="BH227" s="205"/>
    </row>
    <row r="228" spans="1:60" outlineLevel="1" x14ac:dyDescent="0.25">
      <c r="A228" s="168" t="s">
        <v>216</v>
      </c>
      <c r="B228" s="184"/>
      <c r="C228" s="28" t="s">
        <v>33</v>
      </c>
      <c r="E228" s="215"/>
      <c r="F228" s="216"/>
      <c r="J228" s="291">
        <f>E228*F228</f>
        <v>0</v>
      </c>
      <c r="L228" s="307">
        <v>0</v>
      </c>
      <c r="N228" s="291">
        <v>0</v>
      </c>
      <c r="P228" s="307">
        <v>0</v>
      </c>
      <c r="R228" s="291">
        <v>0</v>
      </c>
      <c r="T228" s="307">
        <v>0</v>
      </c>
      <c r="V228" s="291">
        <v>0</v>
      </c>
      <c r="X228" s="307">
        <v>0</v>
      </c>
      <c r="Z228" s="291">
        <v>0</v>
      </c>
      <c r="AA228" s="291"/>
      <c r="AB228" s="307">
        <v>0</v>
      </c>
      <c r="AD228" s="291">
        <f>J228+N228+R228+V228+Z228</f>
        <v>0</v>
      </c>
      <c r="AE228" s="170"/>
      <c r="AF228" s="186">
        <f>L228+P228+T228+X228+AB228</f>
        <v>0</v>
      </c>
      <c r="AN228" s="205"/>
      <c r="AS228" s="205"/>
      <c r="AX228" s="205"/>
      <c r="BC228" s="205"/>
      <c r="BH228" s="205"/>
    </row>
    <row r="229" spans="1:60" outlineLevel="1" x14ac:dyDescent="0.25">
      <c r="A229" s="168" t="s">
        <v>215</v>
      </c>
      <c r="B229" s="184"/>
      <c r="C229" s="28" t="s">
        <v>34</v>
      </c>
      <c r="E229" s="215"/>
      <c r="F229" s="216"/>
      <c r="J229" s="291">
        <f>E229*F229</f>
        <v>0</v>
      </c>
      <c r="L229" s="307">
        <v>0</v>
      </c>
      <c r="N229" s="291">
        <v>0</v>
      </c>
      <c r="P229" s="307">
        <v>0</v>
      </c>
      <c r="R229" s="291">
        <v>0</v>
      </c>
      <c r="T229" s="307">
        <v>0</v>
      </c>
      <c r="V229" s="291">
        <v>0</v>
      </c>
      <c r="X229" s="307">
        <v>0</v>
      </c>
      <c r="Z229" s="291">
        <v>0</v>
      </c>
      <c r="AA229" s="291"/>
      <c r="AB229" s="307">
        <v>0</v>
      </c>
      <c r="AD229" s="291">
        <f>J229+N229+R229+V229+Z229</f>
        <v>0</v>
      </c>
      <c r="AE229" s="170"/>
      <c r="AF229" s="186">
        <f>L229+P229+T229+X229+AB229</f>
        <v>0</v>
      </c>
      <c r="AN229" s="205"/>
      <c r="AS229" s="205"/>
      <c r="AX229" s="205"/>
      <c r="BC229" s="205"/>
      <c r="BH229" s="205"/>
    </row>
    <row r="230" spans="1:60" ht="9.6" customHeight="1" x14ac:dyDescent="0.25">
      <c r="B230" s="184"/>
      <c r="J230" s="311"/>
      <c r="L230" s="312"/>
      <c r="N230" s="311"/>
      <c r="P230" s="312"/>
      <c r="R230" s="311"/>
      <c r="T230" s="312"/>
      <c r="V230" s="311"/>
      <c r="X230" s="312"/>
      <c r="Z230" s="311"/>
      <c r="AB230" s="312"/>
      <c r="AD230" s="311"/>
      <c r="AF230" s="204"/>
      <c r="AN230" s="205"/>
      <c r="AS230" s="205"/>
      <c r="AX230" s="205"/>
      <c r="BC230" s="205"/>
      <c r="BH230" s="205"/>
    </row>
    <row r="231" spans="1:60" x14ac:dyDescent="0.25">
      <c r="B231" s="184"/>
      <c r="C231" s="167" t="s">
        <v>42</v>
      </c>
      <c r="J231" s="291">
        <f>SUM(J220:J229)</f>
        <v>0</v>
      </c>
      <c r="L231" s="307">
        <f>SUM(L220:L229)</f>
        <v>0</v>
      </c>
      <c r="N231" s="291">
        <f>SUM(N220:N229)</f>
        <v>0</v>
      </c>
      <c r="O231" s="291"/>
      <c r="P231" s="307">
        <f>SUM(P220:P229)</f>
        <v>0</v>
      </c>
      <c r="R231" s="291">
        <f>SUM(R220:R229)</f>
        <v>0</v>
      </c>
      <c r="S231" s="291"/>
      <c r="T231" s="307">
        <f>SUM(T220:T229)</f>
        <v>0</v>
      </c>
      <c r="V231" s="291">
        <f>SUM(V220:V229)</f>
        <v>0</v>
      </c>
      <c r="W231" s="291"/>
      <c r="X231" s="307">
        <f>SUM(X220:X229)</f>
        <v>0</v>
      </c>
      <c r="Z231" s="291">
        <f>SUM(Z220:Z229)</f>
        <v>0</v>
      </c>
      <c r="AA231" s="291"/>
      <c r="AB231" s="307">
        <f>SUM(AB220:AB229)</f>
        <v>0</v>
      </c>
      <c r="AD231" s="291">
        <f>J231+N231+R231+V231+Z231</f>
        <v>0</v>
      </c>
      <c r="AE231" s="170"/>
      <c r="AF231" s="186">
        <f>L231+P231+T231+X231+AB231</f>
        <v>0</v>
      </c>
      <c r="AN231" s="205"/>
      <c r="AS231" s="205"/>
      <c r="AX231" s="205"/>
      <c r="BC231" s="205"/>
      <c r="BH231" s="205"/>
    </row>
    <row r="232" spans="1:60" x14ac:dyDescent="0.25">
      <c r="L232" s="307"/>
      <c r="P232" s="307"/>
      <c r="T232" s="315"/>
      <c r="X232" s="315"/>
      <c r="AB232" s="315"/>
      <c r="AF232" s="187"/>
      <c r="AN232" s="205"/>
      <c r="AS232" s="205"/>
      <c r="AX232" s="205"/>
      <c r="BC232" s="205"/>
      <c r="BH232" s="205"/>
    </row>
    <row r="233" spans="1:60" x14ac:dyDescent="0.25">
      <c r="B233" s="184" t="s">
        <v>14</v>
      </c>
      <c r="C233" s="184" t="s">
        <v>12</v>
      </c>
      <c r="L233" s="307"/>
      <c r="P233" s="307"/>
      <c r="T233" s="315"/>
      <c r="X233" s="315"/>
      <c r="AB233" s="315"/>
      <c r="AF233" s="187"/>
      <c r="AN233" s="205"/>
      <c r="AS233" s="205"/>
      <c r="AX233" s="205"/>
      <c r="BC233" s="205"/>
      <c r="BH233" s="205"/>
    </row>
    <row r="234" spans="1:60" x14ac:dyDescent="0.25">
      <c r="A234" s="168"/>
      <c r="B234" s="184"/>
      <c r="C234" s="167" t="s">
        <v>43</v>
      </c>
      <c r="L234" s="307"/>
      <c r="P234" s="307"/>
      <c r="T234" s="315"/>
      <c r="X234" s="315"/>
      <c r="AB234" s="315"/>
      <c r="AF234" s="187"/>
      <c r="AN234" s="205"/>
      <c r="AS234" s="205"/>
      <c r="AX234" s="205"/>
      <c r="BC234" s="205"/>
      <c r="BH234" s="205"/>
    </row>
    <row r="235" spans="1:60" x14ac:dyDescent="0.25">
      <c r="A235" s="168" t="s">
        <v>180</v>
      </c>
      <c r="B235" s="184"/>
      <c r="C235" s="28"/>
      <c r="D235" s="167" t="s">
        <v>125</v>
      </c>
      <c r="E235" s="28"/>
      <c r="J235" s="291">
        <v>0</v>
      </c>
      <c r="L235" s="307">
        <v>0</v>
      </c>
      <c r="N235" s="291">
        <v>0</v>
      </c>
      <c r="P235" s="307">
        <v>0</v>
      </c>
      <c r="R235" s="291">
        <v>0</v>
      </c>
      <c r="T235" s="307">
        <v>0</v>
      </c>
      <c r="V235" s="291">
        <v>0</v>
      </c>
      <c r="X235" s="307">
        <v>0</v>
      </c>
      <c r="Z235" s="291">
        <v>0</v>
      </c>
      <c r="AA235" s="291"/>
      <c r="AB235" s="307">
        <v>0</v>
      </c>
      <c r="AD235" s="291">
        <f t="shared" ref="AD235:AD243" si="229">J235+N235+R235+V235+Z235</f>
        <v>0</v>
      </c>
      <c r="AE235" s="170"/>
      <c r="AF235" s="186">
        <f t="shared" ref="AF235:AF244" si="230">L235+P235+T235+X235+AB235</f>
        <v>0</v>
      </c>
      <c r="AN235" s="205"/>
      <c r="AS235" s="205"/>
      <c r="AX235" s="205"/>
      <c r="BC235" s="205"/>
      <c r="BH235" s="205"/>
    </row>
    <row r="236" spans="1:60" x14ac:dyDescent="0.25">
      <c r="A236" s="168" t="s">
        <v>180</v>
      </c>
      <c r="B236" s="184"/>
      <c r="D236" s="167" t="s">
        <v>90</v>
      </c>
      <c r="E236" s="28"/>
      <c r="J236" s="291">
        <v>0</v>
      </c>
      <c r="L236" s="307">
        <v>0</v>
      </c>
      <c r="N236" s="291">
        <v>0</v>
      </c>
      <c r="P236" s="307">
        <v>0</v>
      </c>
      <c r="R236" s="291">
        <v>0</v>
      </c>
      <c r="T236" s="307">
        <v>0</v>
      </c>
      <c r="V236" s="291">
        <v>0</v>
      </c>
      <c r="X236" s="307">
        <v>0</v>
      </c>
      <c r="Z236" s="291">
        <v>0</v>
      </c>
      <c r="AA236" s="291"/>
      <c r="AB236" s="307">
        <v>0</v>
      </c>
      <c r="AD236" s="291">
        <f t="shared" si="229"/>
        <v>0</v>
      </c>
      <c r="AE236" s="170"/>
      <c r="AF236" s="186">
        <f t="shared" si="230"/>
        <v>0</v>
      </c>
      <c r="AN236" s="205"/>
      <c r="AS236" s="205"/>
      <c r="AX236" s="205"/>
      <c r="BC236" s="205"/>
      <c r="BH236" s="205"/>
    </row>
    <row r="237" spans="1:60" x14ac:dyDescent="0.25">
      <c r="A237" s="168" t="s">
        <v>180</v>
      </c>
      <c r="B237" s="184"/>
      <c r="D237" s="167" t="s">
        <v>92</v>
      </c>
      <c r="J237" s="291">
        <v>0</v>
      </c>
      <c r="L237" s="307">
        <v>0</v>
      </c>
      <c r="N237" s="291">
        <v>0</v>
      </c>
      <c r="P237" s="307">
        <v>0</v>
      </c>
      <c r="R237" s="291">
        <v>0</v>
      </c>
      <c r="T237" s="307">
        <v>0</v>
      </c>
      <c r="V237" s="291">
        <v>0</v>
      </c>
      <c r="X237" s="307">
        <v>0</v>
      </c>
      <c r="Z237" s="291">
        <v>0</v>
      </c>
      <c r="AA237" s="291"/>
      <c r="AB237" s="307">
        <v>0</v>
      </c>
      <c r="AD237" s="291">
        <f t="shared" si="229"/>
        <v>0</v>
      </c>
      <c r="AE237" s="170"/>
      <c r="AF237" s="186">
        <f t="shared" si="230"/>
        <v>0</v>
      </c>
      <c r="AN237" s="205"/>
      <c r="AS237" s="205"/>
      <c r="AX237" s="205"/>
      <c r="BC237" s="205"/>
      <c r="BH237" s="205"/>
    </row>
    <row r="238" spans="1:60" x14ac:dyDescent="0.25">
      <c r="A238" s="168" t="s">
        <v>180</v>
      </c>
      <c r="B238" s="184"/>
      <c r="C238" s="28"/>
      <c r="D238" s="28" t="s">
        <v>169</v>
      </c>
      <c r="J238" s="291">
        <v>0</v>
      </c>
      <c r="L238" s="307">
        <v>0</v>
      </c>
      <c r="N238" s="291">
        <v>0</v>
      </c>
      <c r="P238" s="307">
        <v>0</v>
      </c>
      <c r="R238" s="291">
        <v>0</v>
      </c>
      <c r="T238" s="307">
        <v>0</v>
      </c>
      <c r="V238" s="291">
        <v>0</v>
      </c>
      <c r="X238" s="307">
        <v>0</v>
      </c>
      <c r="Z238" s="291">
        <v>0</v>
      </c>
      <c r="AA238" s="291"/>
      <c r="AB238" s="307">
        <v>0</v>
      </c>
      <c r="AD238" s="291">
        <f t="shared" si="229"/>
        <v>0</v>
      </c>
      <c r="AE238" s="170"/>
      <c r="AF238" s="186">
        <f t="shared" si="230"/>
        <v>0</v>
      </c>
      <c r="AN238" s="205"/>
      <c r="AS238" s="205"/>
      <c r="AX238" s="205"/>
      <c r="BC238" s="205"/>
      <c r="BH238" s="205"/>
    </row>
    <row r="239" spans="1:60" x14ac:dyDescent="0.25">
      <c r="A239" s="168" t="s">
        <v>180</v>
      </c>
      <c r="B239" s="184"/>
      <c r="C239" s="28"/>
      <c r="D239" s="28" t="s">
        <v>170</v>
      </c>
      <c r="E239" s="28"/>
      <c r="J239" s="291">
        <v>0</v>
      </c>
      <c r="L239" s="307">
        <v>0</v>
      </c>
      <c r="N239" s="291">
        <v>0</v>
      </c>
      <c r="P239" s="307">
        <v>0</v>
      </c>
      <c r="R239" s="291">
        <v>0</v>
      </c>
      <c r="T239" s="307">
        <v>0</v>
      </c>
      <c r="V239" s="291">
        <v>0</v>
      </c>
      <c r="X239" s="307">
        <v>0</v>
      </c>
      <c r="Z239" s="291">
        <v>0</v>
      </c>
      <c r="AA239" s="291"/>
      <c r="AB239" s="307">
        <v>0</v>
      </c>
      <c r="AD239" s="291">
        <f t="shared" si="229"/>
        <v>0</v>
      </c>
      <c r="AE239" s="170"/>
      <c r="AF239" s="186">
        <f t="shared" si="230"/>
        <v>0</v>
      </c>
      <c r="AN239" s="205"/>
      <c r="AS239" s="205"/>
      <c r="AX239" s="205"/>
      <c r="BC239" s="205"/>
      <c r="BH239" s="205"/>
    </row>
    <row r="240" spans="1:60" x14ac:dyDescent="0.25">
      <c r="A240" s="168" t="s">
        <v>183</v>
      </c>
      <c r="B240" s="184"/>
      <c r="C240" s="28"/>
      <c r="D240" s="28" t="s">
        <v>162</v>
      </c>
      <c r="E240" s="28"/>
      <c r="J240" s="291">
        <v>0</v>
      </c>
      <c r="L240" s="307">
        <v>0</v>
      </c>
      <c r="N240" s="291">
        <v>0</v>
      </c>
      <c r="P240" s="307">
        <v>0</v>
      </c>
      <c r="R240" s="291">
        <v>0</v>
      </c>
      <c r="T240" s="307">
        <v>0</v>
      </c>
      <c r="V240" s="291">
        <v>0</v>
      </c>
      <c r="X240" s="307">
        <v>0</v>
      </c>
      <c r="Z240" s="291">
        <v>0</v>
      </c>
      <c r="AA240" s="291"/>
      <c r="AB240" s="307">
        <v>0</v>
      </c>
      <c r="AD240" s="291">
        <f t="shared" si="229"/>
        <v>0</v>
      </c>
      <c r="AE240" s="170"/>
      <c r="AF240" s="186">
        <f t="shared" si="230"/>
        <v>0</v>
      </c>
      <c r="AN240" s="205"/>
      <c r="AS240" s="205"/>
      <c r="AX240" s="205"/>
      <c r="BC240" s="205"/>
      <c r="BH240" s="205"/>
    </row>
    <row r="241" spans="1:60" x14ac:dyDescent="0.25">
      <c r="A241" s="168" t="s">
        <v>183</v>
      </c>
      <c r="B241" s="184"/>
      <c r="C241" s="28"/>
      <c r="D241" s="28" t="s">
        <v>193</v>
      </c>
      <c r="E241" s="28"/>
      <c r="J241" s="291">
        <v>0</v>
      </c>
      <c r="L241" s="307">
        <v>0</v>
      </c>
      <c r="N241" s="291">
        <v>0</v>
      </c>
      <c r="P241" s="307">
        <v>0</v>
      </c>
      <c r="R241" s="291">
        <v>0</v>
      </c>
      <c r="T241" s="307">
        <v>0</v>
      </c>
      <c r="V241" s="291">
        <v>0</v>
      </c>
      <c r="X241" s="307">
        <v>0</v>
      </c>
      <c r="Z241" s="291">
        <v>0</v>
      </c>
      <c r="AA241" s="291"/>
      <c r="AB241" s="307">
        <v>0</v>
      </c>
      <c r="AD241" s="291">
        <f t="shared" ref="AD241" si="231">J241+N241+R241+V241+Z241</f>
        <v>0</v>
      </c>
      <c r="AE241" s="170"/>
      <c r="AF241" s="186">
        <f t="shared" ref="AF241" si="232">L241+P241+T241+X241+AB241</f>
        <v>0</v>
      </c>
      <c r="AN241" s="205"/>
      <c r="AS241" s="205"/>
      <c r="AX241" s="205"/>
      <c r="BC241" s="205"/>
      <c r="BH241" s="205"/>
    </row>
    <row r="242" spans="1:60" x14ac:dyDescent="0.25">
      <c r="A242" s="168" t="s">
        <v>217</v>
      </c>
      <c r="B242" s="184"/>
      <c r="C242" s="28"/>
      <c r="D242" s="28" t="s">
        <v>163</v>
      </c>
      <c r="E242" s="28"/>
      <c r="J242" s="291">
        <v>0</v>
      </c>
      <c r="L242" s="307">
        <v>0</v>
      </c>
      <c r="N242" s="291">
        <v>0</v>
      </c>
      <c r="P242" s="307">
        <v>0</v>
      </c>
      <c r="R242" s="291">
        <v>0</v>
      </c>
      <c r="T242" s="307">
        <v>0</v>
      </c>
      <c r="V242" s="291">
        <v>0</v>
      </c>
      <c r="X242" s="307">
        <v>0</v>
      </c>
      <c r="Z242" s="291">
        <v>0</v>
      </c>
      <c r="AA242" s="291"/>
      <c r="AB242" s="307">
        <v>0</v>
      </c>
      <c r="AD242" s="291">
        <f t="shared" si="229"/>
        <v>0</v>
      </c>
      <c r="AE242" s="170"/>
      <c r="AF242" s="186">
        <f t="shared" si="230"/>
        <v>0</v>
      </c>
      <c r="AN242" s="205"/>
      <c r="AS242" s="205"/>
      <c r="AX242" s="205"/>
      <c r="BC242" s="205"/>
      <c r="BH242" s="205"/>
    </row>
    <row r="243" spans="1:60" x14ac:dyDescent="0.25">
      <c r="A243" s="168" t="s">
        <v>182</v>
      </c>
      <c r="B243" s="184"/>
      <c r="C243" s="167" t="s">
        <v>26</v>
      </c>
      <c r="E243" s="28"/>
      <c r="F243" s="226"/>
      <c r="G243" s="226"/>
      <c r="H243" s="219"/>
      <c r="I243" s="219"/>
      <c r="J243" s="291">
        <v>0</v>
      </c>
      <c r="L243" s="307">
        <v>0</v>
      </c>
      <c r="N243" s="291">
        <v>0</v>
      </c>
      <c r="P243" s="307">
        <v>0</v>
      </c>
      <c r="R243" s="291">
        <v>0</v>
      </c>
      <c r="T243" s="307">
        <v>0</v>
      </c>
      <c r="V243" s="291">
        <v>0</v>
      </c>
      <c r="X243" s="307">
        <v>0</v>
      </c>
      <c r="Z243" s="291">
        <v>0</v>
      </c>
      <c r="AB243" s="307">
        <v>0</v>
      </c>
      <c r="AD243" s="291">
        <f t="shared" si="229"/>
        <v>0</v>
      </c>
      <c r="AE243" s="170"/>
      <c r="AF243" s="186">
        <f t="shared" si="230"/>
        <v>0</v>
      </c>
      <c r="AN243" s="205"/>
      <c r="AS243" s="205"/>
      <c r="AX243" s="205"/>
      <c r="BC243" s="205"/>
      <c r="BH243" s="205"/>
    </row>
    <row r="244" spans="1:60" x14ac:dyDescent="0.25">
      <c r="A244" s="168" t="s">
        <v>190</v>
      </c>
      <c r="B244" s="184"/>
      <c r="C244" s="167" t="s">
        <v>364</v>
      </c>
      <c r="E244" s="28"/>
      <c r="F244" s="226"/>
      <c r="G244" s="226"/>
      <c r="H244" s="219"/>
      <c r="I244" s="219"/>
      <c r="J244" s="291">
        <v>0</v>
      </c>
      <c r="L244" s="307">
        <v>0</v>
      </c>
      <c r="N244" s="291">
        <v>0</v>
      </c>
      <c r="P244" s="307">
        <v>0</v>
      </c>
      <c r="R244" s="291">
        <v>0</v>
      </c>
      <c r="T244" s="307">
        <v>0</v>
      </c>
      <c r="V244" s="291">
        <v>0</v>
      </c>
      <c r="X244" s="307">
        <v>0</v>
      </c>
      <c r="Z244" s="291">
        <v>0</v>
      </c>
      <c r="AB244" s="307">
        <v>0</v>
      </c>
      <c r="AD244" s="291">
        <f t="shared" ref="AD244" si="233">J244+N244+R244+V244+Z244</f>
        <v>0</v>
      </c>
      <c r="AE244" s="170"/>
      <c r="AF244" s="186">
        <f t="shared" si="230"/>
        <v>0</v>
      </c>
      <c r="AN244" s="205"/>
      <c r="AS244" s="205"/>
      <c r="AX244" s="205"/>
      <c r="BC244" s="205"/>
      <c r="BH244" s="205"/>
    </row>
    <row r="245" spans="1:60" x14ac:dyDescent="0.25">
      <c r="A245" s="363"/>
      <c r="B245" s="365"/>
      <c r="C245" s="357" t="s">
        <v>365</v>
      </c>
      <c r="D245" s="357"/>
      <c r="E245" s="366"/>
      <c r="F245" s="358"/>
      <c r="G245" s="357"/>
      <c r="H245" s="357"/>
      <c r="I245" s="367"/>
      <c r="J245" s="368"/>
      <c r="K245" s="368"/>
      <c r="L245" s="368"/>
      <c r="M245" s="368"/>
      <c r="N245" s="368"/>
      <c r="O245" s="369"/>
      <c r="P245" s="368"/>
      <c r="Q245" s="369"/>
      <c r="R245" s="368"/>
      <c r="S245" s="369"/>
      <c r="T245" s="368"/>
      <c r="U245" s="369"/>
      <c r="V245" s="368"/>
      <c r="W245" s="369"/>
      <c r="X245" s="368"/>
      <c r="Y245" s="369"/>
      <c r="Z245" s="368"/>
      <c r="AA245" s="368"/>
      <c r="AB245" s="368"/>
      <c r="AC245" s="369"/>
      <c r="AD245" s="368"/>
      <c r="AE245" s="170"/>
      <c r="AF245" s="186"/>
      <c r="AN245" s="205"/>
      <c r="AS245" s="205"/>
      <c r="AX245" s="205"/>
      <c r="BC245" s="205"/>
      <c r="BH245" s="205"/>
    </row>
    <row r="246" spans="1:60" x14ac:dyDescent="0.25">
      <c r="A246" s="363" t="s">
        <v>255</v>
      </c>
      <c r="B246" s="365"/>
      <c r="C246" s="357"/>
      <c r="D246" s="357" t="s">
        <v>372</v>
      </c>
      <c r="E246" s="366"/>
      <c r="F246" s="358"/>
      <c r="G246" s="357"/>
      <c r="H246" s="357"/>
      <c r="I246" s="367"/>
      <c r="J246" s="368">
        <v>0</v>
      </c>
      <c r="K246" s="368"/>
      <c r="L246" s="368"/>
      <c r="M246" s="368"/>
      <c r="N246" s="368">
        <v>0</v>
      </c>
      <c r="O246" s="369"/>
      <c r="P246" s="368"/>
      <c r="Q246" s="369"/>
      <c r="R246" s="368">
        <v>0</v>
      </c>
      <c r="S246" s="369"/>
      <c r="T246" s="368"/>
      <c r="U246" s="369"/>
      <c r="V246" s="368">
        <v>0</v>
      </c>
      <c r="W246" s="369"/>
      <c r="X246" s="368"/>
      <c r="Y246" s="369"/>
      <c r="Z246" s="368">
        <v>0</v>
      </c>
      <c r="AA246" s="368"/>
      <c r="AB246" s="352"/>
      <c r="AC246" s="353"/>
      <c r="AD246" s="291">
        <f>J246+N246+R246+V246+Z246</f>
        <v>0</v>
      </c>
      <c r="AE246" s="170"/>
      <c r="AF246" s="186"/>
      <c r="AN246" s="205"/>
      <c r="AS246" s="205"/>
      <c r="AX246" s="205"/>
      <c r="BC246" s="205"/>
      <c r="BH246" s="205"/>
    </row>
    <row r="247" spans="1:60" x14ac:dyDescent="0.25">
      <c r="A247" s="363" t="s">
        <v>255</v>
      </c>
      <c r="B247" s="184"/>
      <c r="D247" s="357" t="s">
        <v>372</v>
      </c>
      <c r="E247" s="28"/>
      <c r="G247" s="28"/>
      <c r="H247" s="167"/>
      <c r="J247" s="291">
        <v>0</v>
      </c>
      <c r="L247" s="307">
        <v>0</v>
      </c>
      <c r="N247" s="291">
        <v>0</v>
      </c>
      <c r="P247" s="307">
        <v>0</v>
      </c>
      <c r="R247" s="291">
        <v>0</v>
      </c>
      <c r="T247" s="307">
        <v>0</v>
      </c>
      <c r="V247" s="291">
        <v>0</v>
      </c>
      <c r="X247" s="307">
        <v>0</v>
      </c>
      <c r="Z247" s="291">
        <v>0</v>
      </c>
      <c r="AA247" s="291"/>
      <c r="AB247" s="307">
        <v>0</v>
      </c>
      <c r="AD247" s="291">
        <f>J247+N247+R247+V247+Z247</f>
        <v>0</v>
      </c>
      <c r="AE247" s="170"/>
      <c r="AF247" s="186">
        <f>L247+P247+T247+X247+AB247</f>
        <v>0</v>
      </c>
      <c r="AN247" s="205"/>
      <c r="AS247" s="205"/>
      <c r="AX247" s="205"/>
      <c r="BC247" s="205"/>
      <c r="BH247" s="205"/>
    </row>
    <row r="248" spans="1:60" outlineLevel="1" x14ac:dyDescent="0.25">
      <c r="A248" s="168" t="s">
        <v>192</v>
      </c>
      <c r="B248" s="184"/>
      <c r="C248" s="167" t="s">
        <v>258</v>
      </c>
      <c r="E248" s="28"/>
      <c r="L248" s="307"/>
      <c r="O248" s="291"/>
      <c r="P248" s="307"/>
      <c r="R248" s="291"/>
      <c r="S248" s="291"/>
      <c r="T248" s="307"/>
      <c r="V248" s="291"/>
      <c r="W248" s="291"/>
      <c r="X248" s="307"/>
      <c r="Z248" s="291"/>
      <c r="AA248" s="291"/>
      <c r="AB248" s="307"/>
      <c r="AE248" s="170"/>
      <c r="AF248" s="186"/>
      <c r="AN248" s="205"/>
      <c r="AS248" s="205"/>
      <c r="AX248" s="205"/>
      <c r="BC248" s="205"/>
      <c r="BH248" s="205"/>
    </row>
    <row r="249" spans="1:60" outlineLevel="1" x14ac:dyDescent="0.25">
      <c r="A249" s="168" t="s">
        <v>192</v>
      </c>
      <c r="B249" s="184"/>
      <c r="D249" s="167" t="s">
        <v>137</v>
      </c>
      <c r="F249" s="227" t="s">
        <v>253</v>
      </c>
      <c r="J249" s="291">
        <v>0</v>
      </c>
      <c r="L249" s="307"/>
      <c r="N249" s="291">
        <v>0</v>
      </c>
      <c r="P249" s="307">
        <v>0</v>
      </c>
      <c r="R249" s="291">
        <v>0</v>
      </c>
      <c r="T249" s="307">
        <v>0</v>
      </c>
      <c r="V249" s="291">
        <v>0</v>
      </c>
      <c r="X249" s="307">
        <v>0</v>
      </c>
      <c r="Z249" s="291">
        <v>0</v>
      </c>
      <c r="AA249" s="291"/>
      <c r="AB249" s="307">
        <v>0</v>
      </c>
      <c r="AD249" s="291">
        <f>J249+N249+R249+V249+Z249</f>
        <v>0</v>
      </c>
      <c r="AE249" s="170"/>
      <c r="AF249" s="186">
        <f t="shared" ref="AF249:AF257" si="234">L249+P249+T249+X249+AB249</f>
        <v>0</v>
      </c>
      <c r="AH249" s="27" t="s">
        <v>252</v>
      </c>
      <c r="AL249" s="60"/>
      <c r="AM249" s="60"/>
      <c r="AN249" s="205"/>
      <c r="AS249" s="205"/>
      <c r="AX249" s="205"/>
      <c r="BC249" s="205"/>
      <c r="BH249" s="205"/>
    </row>
    <row r="250" spans="1:60" outlineLevel="1" x14ac:dyDescent="0.25">
      <c r="A250" s="168" t="s">
        <v>192</v>
      </c>
      <c r="B250" s="184"/>
      <c r="F250" s="227" t="s">
        <v>254</v>
      </c>
      <c r="G250" s="227"/>
      <c r="J250" s="291">
        <v>0</v>
      </c>
      <c r="L250" s="307"/>
      <c r="N250" s="291">
        <v>0</v>
      </c>
      <c r="P250" s="307">
        <v>0</v>
      </c>
      <c r="R250" s="291">
        <v>0</v>
      </c>
      <c r="T250" s="307">
        <v>0</v>
      </c>
      <c r="V250" s="291">
        <v>0</v>
      </c>
      <c r="X250" s="307">
        <v>0</v>
      </c>
      <c r="Z250" s="291">
        <v>0</v>
      </c>
      <c r="AA250" s="291"/>
      <c r="AB250" s="307">
        <v>0</v>
      </c>
      <c r="AD250" s="291">
        <f t="shared" ref="AD250:AD257" si="235">J250+N250+R250+V250+Z250</f>
        <v>0</v>
      </c>
      <c r="AE250" s="170"/>
      <c r="AF250" s="186">
        <f t="shared" si="234"/>
        <v>0</v>
      </c>
      <c r="AN250" s="205"/>
      <c r="AS250" s="205"/>
      <c r="AX250" s="205"/>
      <c r="BC250" s="205"/>
      <c r="BH250" s="205"/>
    </row>
    <row r="251" spans="1:60" outlineLevel="1" x14ac:dyDescent="0.25">
      <c r="A251" s="168"/>
      <c r="B251" s="184"/>
      <c r="F251" s="227" t="s">
        <v>257</v>
      </c>
      <c r="G251" s="227"/>
      <c r="J251" s="291">
        <v>0</v>
      </c>
      <c r="L251" s="307"/>
      <c r="N251" s="291">
        <v>0</v>
      </c>
      <c r="P251" s="307">
        <v>0</v>
      </c>
      <c r="R251" s="291">
        <v>0</v>
      </c>
      <c r="T251" s="307">
        <v>0</v>
      </c>
      <c r="V251" s="291">
        <v>0</v>
      </c>
      <c r="X251" s="307">
        <v>0</v>
      </c>
      <c r="Z251" s="291">
        <v>0</v>
      </c>
      <c r="AA251" s="291"/>
      <c r="AB251" s="307">
        <v>0</v>
      </c>
      <c r="AD251" s="291">
        <f t="shared" si="235"/>
        <v>0</v>
      </c>
      <c r="AE251" s="170"/>
      <c r="AF251" s="307">
        <f t="shared" si="234"/>
        <v>0</v>
      </c>
      <c r="AN251" s="205"/>
      <c r="AS251" s="205"/>
      <c r="AX251" s="205"/>
      <c r="BC251" s="205"/>
      <c r="BH251" s="205"/>
    </row>
    <row r="252" spans="1:60" outlineLevel="1" x14ac:dyDescent="0.25">
      <c r="A252" s="168" t="s">
        <v>192</v>
      </c>
      <c r="B252" s="184"/>
      <c r="D252" s="167" t="s">
        <v>138</v>
      </c>
      <c r="F252" s="227" t="s">
        <v>253</v>
      </c>
      <c r="G252" s="227"/>
      <c r="J252" s="291">
        <v>0</v>
      </c>
      <c r="L252" s="307">
        <v>0</v>
      </c>
      <c r="N252" s="291">
        <v>0</v>
      </c>
      <c r="P252" s="307"/>
      <c r="R252" s="291">
        <v>0</v>
      </c>
      <c r="T252" s="307">
        <v>0</v>
      </c>
      <c r="V252" s="291">
        <v>0</v>
      </c>
      <c r="X252" s="307">
        <v>0</v>
      </c>
      <c r="Z252" s="291">
        <v>0</v>
      </c>
      <c r="AA252" s="291"/>
      <c r="AB252" s="307">
        <v>0</v>
      </c>
      <c r="AD252" s="291">
        <f t="shared" si="235"/>
        <v>0</v>
      </c>
      <c r="AE252" s="170"/>
      <c r="AF252" s="307">
        <f t="shared" si="234"/>
        <v>0</v>
      </c>
      <c r="AH252" s="27" t="s">
        <v>252</v>
      </c>
      <c r="AN252" s="205"/>
      <c r="AS252" s="205"/>
      <c r="AX252" s="205"/>
      <c r="BC252" s="205"/>
      <c r="BH252" s="205"/>
    </row>
    <row r="253" spans="1:60" outlineLevel="1" x14ac:dyDescent="0.25">
      <c r="A253" s="168" t="s">
        <v>192</v>
      </c>
      <c r="B253" s="184"/>
      <c r="F253" s="227" t="s">
        <v>254</v>
      </c>
      <c r="G253" s="227"/>
      <c r="J253" s="291">
        <v>0</v>
      </c>
      <c r="L253" s="307">
        <v>0</v>
      </c>
      <c r="N253" s="291">
        <v>0</v>
      </c>
      <c r="P253" s="307"/>
      <c r="R253" s="291">
        <v>0</v>
      </c>
      <c r="T253" s="307">
        <v>0</v>
      </c>
      <c r="V253" s="291">
        <v>0</v>
      </c>
      <c r="X253" s="307">
        <v>0</v>
      </c>
      <c r="Z253" s="291">
        <v>0</v>
      </c>
      <c r="AA253" s="291"/>
      <c r="AB253" s="307">
        <v>0</v>
      </c>
      <c r="AD253" s="291">
        <f t="shared" si="235"/>
        <v>0</v>
      </c>
      <c r="AE253" s="170"/>
      <c r="AF253" s="307">
        <f t="shared" si="234"/>
        <v>0</v>
      </c>
      <c r="AN253" s="205"/>
      <c r="AS253" s="205"/>
      <c r="AX253" s="205"/>
      <c r="BC253" s="205"/>
      <c r="BH253" s="205"/>
    </row>
    <row r="254" spans="1:60" outlineLevel="1" x14ac:dyDescent="0.25">
      <c r="A254" s="168"/>
      <c r="B254" s="184"/>
      <c r="F254" s="227" t="s">
        <v>257</v>
      </c>
      <c r="G254" s="227"/>
      <c r="J254" s="291">
        <v>0</v>
      </c>
      <c r="L254" s="307">
        <v>0</v>
      </c>
      <c r="P254" s="307"/>
      <c r="R254" s="291">
        <v>0</v>
      </c>
      <c r="T254" s="307">
        <v>0</v>
      </c>
      <c r="V254" s="291">
        <v>0</v>
      </c>
      <c r="X254" s="307">
        <v>0</v>
      </c>
      <c r="Z254" s="291">
        <v>0</v>
      </c>
      <c r="AA254" s="291"/>
      <c r="AB254" s="307">
        <v>0</v>
      </c>
      <c r="AD254" s="291">
        <f t="shared" si="235"/>
        <v>0</v>
      </c>
      <c r="AE254" s="170"/>
      <c r="AF254" s="307">
        <f t="shared" si="234"/>
        <v>0</v>
      </c>
      <c r="AN254" s="205"/>
      <c r="AS254" s="205"/>
      <c r="AX254" s="205"/>
      <c r="BC254" s="205"/>
      <c r="BH254" s="205"/>
    </row>
    <row r="255" spans="1:60" outlineLevel="1" x14ac:dyDescent="0.25">
      <c r="A255" s="168" t="s">
        <v>192</v>
      </c>
      <c r="B255" s="184"/>
      <c r="D255" s="167" t="s">
        <v>139</v>
      </c>
      <c r="F255" s="227" t="s">
        <v>253</v>
      </c>
      <c r="G255" s="227"/>
      <c r="J255" s="291">
        <v>0</v>
      </c>
      <c r="L255" s="307">
        <v>0</v>
      </c>
      <c r="N255" s="291">
        <v>0</v>
      </c>
      <c r="O255" s="291"/>
      <c r="P255" s="307"/>
      <c r="R255" s="291">
        <v>0</v>
      </c>
      <c r="S255" s="291"/>
      <c r="T255" s="307"/>
      <c r="V255" s="291">
        <v>0</v>
      </c>
      <c r="W255" s="291"/>
      <c r="X255" s="307">
        <v>0</v>
      </c>
      <c r="Z255" s="291">
        <v>0</v>
      </c>
      <c r="AA255" s="291"/>
      <c r="AB255" s="307">
        <v>0</v>
      </c>
      <c r="AD255" s="291">
        <f t="shared" si="235"/>
        <v>0</v>
      </c>
      <c r="AE255" s="170"/>
      <c r="AF255" s="307">
        <f t="shared" si="234"/>
        <v>0</v>
      </c>
      <c r="AH255" s="27" t="s">
        <v>252</v>
      </c>
      <c r="AN255" s="205"/>
      <c r="AS255" s="205"/>
      <c r="AX255" s="205"/>
      <c r="BC255" s="205"/>
      <c r="BH255" s="205"/>
    </row>
    <row r="256" spans="1:60" outlineLevel="1" x14ac:dyDescent="0.25">
      <c r="A256" s="168" t="s">
        <v>192</v>
      </c>
      <c r="B256" s="184"/>
      <c r="F256" s="227" t="s">
        <v>254</v>
      </c>
      <c r="G256" s="227"/>
      <c r="J256" s="291">
        <v>0</v>
      </c>
      <c r="L256" s="307">
        <v>0</v>
      </c>
      <c r="N256" s="291">
        <v>0</v>
      </c>
      <c r="O256" s="291"/>
      <c r="P256" s="307">
        <v>0</v>
      </c>
      <c r="R256" s="291">
        <v>0</v>
      </c>
      <c r="S256" s="291"/>
      <c r="T256" s="307"/>
      <c r="V256" s="291">
        <v>0</v>
      </c>
      <c r="W256" s="291"/>
      <c r="X256" s="307">
        <v>0</v>
      </c>
      <c r="Z256" s="291">
        <v>0</v>
      </c>
      <c r="AA256" s="291"/>
      <c r="AB256" s="307">
        <v>0</v>
      </c>
      <c r="AD256" s="291">
        <f t="shared" si="235"/>
        <v>0</v>
      </c>
      <c r="AE256" s="170"/>
      <c r="AF256" s="307">
        <f t="shared" si="234"/>
        <v>0</v>
      </c>
      <c r="AN256" s="205"/>
      <c r="AS256" s="205"/>
      <c r="AX256" s="205"/>
      <c r="BC256" s="205"/>
      <c r="BH256" s="205"/>
    </row>
    <row r="257" spans="1:60" outlineLevel="1" x14ac:dyDescent="0.25">
      <c r="A257" s="168"/>
      <c r="B257" s="184"/>
      <c r="F257" s="227" t="s">
        <v>257</v>
      </c>
      <c r="G257" s="227"/>
      <c r="J257" s="291">
        <v>0</v>
      </c>
      <c r="L257" s="307">
        <v>0</v>
      </c>
      <c r="N257" s="291">
        <v>0</v>
      </c>
      <c r="O257" s="291"/>
      <c r="P257" s="307">
        <v>0</v>
      </c>
      <c r="R257" s="291"/>
      <c r="S257" s="291"/>
      <c r="T257" s="307"/>
      <c r="V257" s="291">
        <v>0</v>
      </c>
      <c r="W257" s="291"/>
      <c r="X257" s="307">
        <v>0</v>
      </c>
      <c r="Z257" s="291">
        <v>0</v>
      </c>
      <c r="AA257" s="291"/>
      <c r="AB257" s="307">
        <v>0</v>
      </c>
      <c r="AD257" s="291">
        <f t="shared" si="235"/>
        <v>0</v>
      </c>
      <c r="AE257" s="170"/>
      <c r="AF257" s="307">
        <f t="shared" si="234"/>
        <v>0</v>
      </c>
      <c r="AN257" s="205"/>
      <c r="AS257" s="205"/>
      <c r="AX257" s="205"/>
      <c r="BC257" s="205"/>
      <c r="BH257" s="205"/>
    </row>
    <row r="258" spans="1:60" outlineLevel="1" x14ac:dyDescent="0.25">
      <c r="A258" s="168" t="s">
        <v>192</v>
      </c>
      <c r="B258" s="184"/>
      <c r="D258" s="167" t="s">
        <v>228</v>
      </c>
      <c r="F258" s="227" t="s">
        <v>253</v>
      </c>
      <c r="G258" s="227"/>
      <c r="J258" s="291">
        <v>0</v>
      </c>
      <c r="L258" s="307">
        <v>0</v>
      </c>
      <c r="N258" s="291">
        <v>0</v>
      </c>
      <c r="O258" s="291"/>
      <c r="P258" s="307">
        <v>0</v>
      </c>
      <c r="R258" s="291">
        <v>0</v>
      </c>
      <c r="S258" s="291"/>
      <c r="T258" s="307">
        <v>0</v>
      </c>
      <c r="V258" s="291">
        <v>0</v>
      </c>
      <c r="W258" s="291"/>
      <c r="X258" s="307"/>
      <c r="Z258" s="291">
        <v>0</v>
      </c>
      <c r="AA258" s="291"/>
      <c r="AB258" s="307">
        <v>0</v>
      </c>
      <c r="AD258" s="291">
        <f t="shared" ref="AD258:AD269" si="236">J258+N258+R258+V258+Z258</f>
        <v>0</v>
      </c>
      <c r="AE258" s="170"/>
      <c r="AF258" s="307">
        <f t="shared" ref="AF258:AF268" si="237">L258+P258+T258+X258+AB258</f>
        <v>0</v>
      </c>
      <c r="AH258" s="27" t="s">
        <v>252</v>
      </c>
      <c r="AN258" s="205"/>
      <c r="AS258" s="205"/>
      <c r="AX258" s="205"/>
      <c r="BC258" s="205"/>
      <c r="BH258" s="205"/>
    </row>
    <row r="259" spans="1:60" outlineLevel="1" x14ac:dyDescent="0.25">
      <c r="A259" s="168" t="s">
        <v>192</v>
      </c>
      <c r="B259" s="184"/>
      <c r="F259" s="227" t="s">
        <v>254</v>
      </c>
      <c r="G259" s="227"/>
      <c r="J259" s="291">
        <v>0</v>
      </c>
      <c r="L259" s="307">
        <v>0</v>
      </c>
      <c r="N259" s="291">
        <v>0</v>
      </c>
      <c r="O259" s="291"/>
      <c r="P259" s="307">
        <v>0</v>
      </c>
      <c r="R259" s="291">
        <v>0</v>
      </c>
      <c r="S259" s="291"/>
      <c r="T259" s="307">
        <v>0</v>
      </c>
      <c r="V259" s="291">
        <v>0</v>
      </c>
      <c r="W259" s="291"/>
      <c r="X259" s="307"/>
      <c r="Z259" s="291">
        <v>0</v>
      </c>
      <c r="AA259" s="291"/>
      <c r="AB259" s="307">
        <v>0</v>
      </c>
      <c r="AD259" s="291">
        <f t="shared" si="236"/>
        <v>0</v>
      </c>
      <c r="AE259" s="170"/>
      <c r="AF259" s="307">
        <f t="shared" si="237"/>
        <v>0</v>
      </c>
      <c r="AN259" s="205"/>
      <c r="AS259" s="205"/>
      <c r="AX259" s="205"/>
      <c r="BC259" s="205"/>
      <c r="BH259" s="205"/>
    </row>
    <row r="260" spans="1:60" outlineLevel="1" x14ac:dyDescent="0.25">
      <c r="A260" s="168"/>
      <c r="B260" s="184"/>
      <c r="F260" s="227" t="s">
        <v>257</v>
      </c>
      <c r="G260" s="227"/>
      <c r="J260" s="291">
        <v>0</v>
      </c>
      <c r="L260" s="307">
        <v>0</v>
      </c>
      <c r="N260" s="291">
        <v>0</v>
      </c>
      <c r="O260" s="291"/>
      <c r="P260" s="307">
        <v>0</v>
      </c>
      <c r="R260" s="291">
        <v>0</v>
      </c>
      <c r="S260" s="291"/>
      <c r="T260" s="307">
        <v>0</v>
      </c>
      <c r="V260" s="291"/>
      <c r="W260" s="291"/>
      <c r="X260" s="307"/>
      <c r="Z260" s="291">
        <v>0</v>
      </c>
      <c r="AA260" s="291"/>
      <c r="AB260" s="307">
        <v>0</v>
      </c>
      <c r="AD260" s="291">
        <f t="shared" si="236"/>
        <v>0</v>
      </c>
      <c r="AE260" s="170"/>
      <c r="AF260" s="307">
        <f t="shared" si="237"/>
        <v>0</v>
      </c>
      <c r="AN260" s="205"/>
      <c r="AS260" s="205"/>
      <c r="AX260" s="205"/>
      <c r="BC260" s="205"/>
      <c r="BH260" s="205"/>
    </row>
    <row r="261" spans="1:60" outlineLevel="1" x14ac:dyDescent="0.25">
      <c r="A261" s="168" t="s">
        <v>192</v>
      </c>
      <c r="B261" s="184"/>
      <c r="D261" s="167" t="s">
        <v>229</v>
      </c>
      <c r="F261" s="227" t="s">
        <v>253</v>
      </c>
      <c r="G261" s="227"/>
      <c r="J261" s="291">
        <v>0</v>
      </c>
      <c r="L261" s="307">
        <v>0</v>
      </c>
      <c r="N261" s="291">
        <v>0</v>
      </c>
      <c r="O261" s="291"/>
      <c r="P261" s="307">
        <v>0</v>
      </c>
      <c r="R261" s="291">
        <v>0</v>
      </c>
      <c r="S261" s="291"/>
      <c r="T261" s="307">
        <v>0</v>
      </c>
      <c r="V261" s="291">
        <v>0</v>
      </c>
      <c r="W261" s="291"/>
      <c r="X261" s="307">
        <v>0</v>
      </c>
      <c r="Z261" s="291">
        <v>0</v>
      </c>
      <c r="AA261" s="291"/>
      <c r="AB261" s="307"/>
      <c r="AD261" s="291">
        <f t="shared" si="236"/>
        <v>0</v>
      </c>
      <c r="AE261" s="170"/>
      <c r="AF261" s="307">
        <f t="shared" si="237"/>
        <v>0</v>
      </c>
      <c r="AH261" s="27" t="s">
        <v>252</v>
      </c>
      <c r="AN261" s="205"/>
      <c r="AS261" s="205"/>
      <c r="AX261" s="205"/>
      <c r="BC261" s="205"/>
      <c r="BH261" s="205"/>
    </row>
    <row r="262" spans="1:60" outlineLevel="1" x14ac:dyDescent="0.25">
      <c r="A262" s="168" t="s">
        <v>192</v>
      </c>
      <c r="B262" s="184"/>
      <c r="F262" s="227" t="s">
        <v>254</v>
      </c>
      <c r="G262" s="227"/>
      <c r="J262" s="291">
        <v>0</v>
      </c>
      <c r="L262" s="307">
        <v>0</v>
      </c>
      <c r="N262" s="291">
        <v>0</v>
      </c>
      <c r="O262" s="291"/>
      <c r="P262" s="307">
        <v>0</v>
      </c>
      <c r="R262" s="291">
        <v>0</v>
      </c>
      <c r="S262" s="291"/>
      <c r="T262" s="307">
        <v>0</v>
      </c>
      <c r="V262" s="291">
        <v>0</v>
      </c>
      <c r="W262" s="291"/>
      <c r="X262" s="307">
        <v>0</v>
      </c>
      <c r="Z262" s="291">
        <v>0</v>
      </c>
      <c r="AA262" s="291"/>
      <c r="AB262" s="307"/>
      <c r="AD262" s="291">
        <f t="shared" si="236"/>
        <v>0</v>
      </c>
      <c r="AE262" s="170"/>
      <c r="AF262" s="307">
        <f t="shared" si="237"/>
        <v>0</v>
      </c>
      <c r="AN262" s="205"/>
      <c r="AS262" s="205"/>
      <c r="AX262" s="205"/>
      <c r="BC262" s="205"/>
      <c r="BH262" s="205"/>
    </row>
    <row r="263" spans="1:60" outlineLevel="1" x14ac:dyDescent="0.25">
      <c r="A263" s="168"/>
      <c r="B263" s="184"/>
      <c r="F263" s="227" t="s">
        <v>257</v>
      </c>
      <c r="G263" s="227"/>
      <c r="J263" s="291">
        <v>0</v>
      </c>
      <c r="L263" s="307">
        <v>0</v>
      </c>
      <c r="N263" s="291">
        <v>0</v>
      </c>
      <c r="O263" s="291"/>
      <c r="P263" s="307">
        <v>0</v>
      </c>
      <c r="R263" s="291">
        <v>0</v>
      </c>
      <c r="S263" s="291"/>
      <c r="T263" s="307">
        <v>0</v>
      </c>
      <c r="V263" s="291">
        <v>0</v>
      </c>
      <c r="W263" s="291"/>
      <c r="X263" s="307">
        <v>0</v>
      </c>
      <c r="Z263" s="291"/>
      <c r="AA263" s="291"/>
      <c r="AB263" s="307"/>
      <c r="AD263" s="291">
        <f t="shared" si="236"/>
        <v>0</v>
      </c>
      <c r="AE263" s="170"/>
      <c r="AF263" s="307">
        <f t="shared" si="237"/>
        <v>0</v>
      </c>
      <c r="AN263" s="205"/>
      <c r="AS263" s="205"/>
      <c r="AX263" s="205"/>
      <c r="BC263" s="205"/>
      <c r="BH263" s="205"/>
    </row>
    <row r="264" spans="1:60" outlineLevel="1" x14ac:dyDescent="0.25">
      <c r="A264" s="168" t="s">
        <v>192</v>
      </c>
      <c r="B264" s="184"/>
      <c r="D264" s="167" t="s">
        <v>230</v>
      </c>
      <c r="F264" s="227" t="s">
        <v>253</v>
      </c>
      <c r="G264" s="227"/>
      <c r="J264" s="291">
        <v>0</v>
      </c>
      <c r="L264" s="307">
        <v>0</v>
      </c>
      <c r="N264" s="291">
        <v>0</v>
      </c>
      <c r="O264" s="291"/>
      <c r="P264" s="307">
        <v>0</v>
      </c>
      <c r="R264" s="291">
        <v>0</v>
      </c>
      <c r="S264" s="291"/>
      <c r="T264" s="307">
        <v>0</v>
      </c>
      <c r="V264" s="291">
        <v>0</v>
      </c>
      <c r="W264" s="291"/>
      <c r="X264" s="307">
        <v>0</v>
      </c>
      <c r="Z264" s="291">
        <v>0</v>
      </c>
      <c r="AA264" s="291"/>
      <c r="AB264" s="307"/>
      <c r="AD264" s="291">
        <f t="shared" si="236"/>
        <v>0</v>
      </c>
      <c r="AE264" s="170"/>
      <c r="AF264" s="307">
        <f t="shared" si="237"/>
        <v>0</v>
      </c>
      <c r="AH264" s="27" t="s">
        <v>252</v>
      </c>
      <c r="AN264" s="205"/>
      <c r="AS264" s="205"/>
      <c r="AX264" s="205"/>
      <c r="BC264" s="205"/>
      <c r="BH264" s="205"/>
    </row>
    <row r="265" spans="1:60" outlineLevel="1" x14ac:dyDescent="0.25">
      <c r="A265" s="168" t="s">
        <v>192</v>
      </c>
      <c r="B265" s="184"/>
      <c r="F265" s="227" t="s">
        <v>254</v>
      </c>
      <c r="G265" s="227"/>
      <c r="J265" s="291">
        <v>0</v>
      </c>
      <c r="L265" s="307">
        <v>0</v>
      </c>
      <c r="N265" s="291">
        <v>0</v>
      </c>
      <c r="O265" s="291"/>
      <c r="P265" s="307">
        <v>0</v>
      </c>
      <c r="R265" s="291">
        <v>0</v>
      </c>
      <c r="S265" s="291"/>
      <c r="T265" s="307">
        <v>0</v>
      </c>
      <c r="V265" s="291">
        <v>0</v>
      </c>
      <c r="W265" s="291"/>
      <c r="X265" s="307">
        <v>0</v>
      </c>
      <c r="Z265" s="291">
        <v>0</v>
      </c>
      <c r="AA265" s="291"/>
      <c r="AB265" s="307"/>
      <c r="AD265" s="291">
        <f t="shared" si="236"/>
        <v>0</v>
      </c>
      <c r="AE265" s="170"/>
      <c r="AF265" s="307">
        <f t="shared" si="237"/>
        <v>0</v>
      </c>
      <c r="AN265" s="205"/>
      <c r="AS265" s="205"/>
      <c r="AX265" s="205"/>
      <c r="BC265" s="205"/>
      <c r="BH265" s="205"/>
    </row>
    <row r="266" spans="1:60" outlineLevel="1" x14ac:dyDescent="0.25">
      <c r="A266" s="363"/>
      <c r="B266" s="184"/>
      <c r="F266" s="227" t="s">
        <v>257</v>
      </c>
      <c r="G266" s="227"/>
      <c r="J266" s="291">
        <v>0</v>
      </c>
      <c r="L266" s="307">
        <v>0</v>
      </c>
      <c r="N266" s="291">
        <v>0</v>
      </c>
      <c r="O266" s="291"/>
      <c r="P266" s="307">
        <v>0</v>
      </c>
      <c r="R266" s="291">
        <v>0</v>
      </c>
      <c r="S266" s="291"/>
      <c r="T266" s="307">
        <v>0</v>
      </c>
      <c r="V266" s="291">
        <v>0</v>
      </c>
      <c r="W266" s="291"/>
      <c r="X266" s="307">
        <v>0</v>
      </c>
      <c r="Z266" s="291"/>
      <c r="AA266" s="291"/>
      <c r="AB266" s="307"/>
      <c r="AD266" s="291">
        <f t="shared" si="236"/>
        <v>0</v>
      </c>
      <c r="AE266" s="170"/>
      <c r="AF266" s="307">
        <f t="shared" si="237"/>
        <v>0</v>
      </c>
      <c r="AN266" s="205"/>
      <c r="AS266" s="205"/>
      <c r="AX266" s="205"/>
      <c r="BC266" s="205"/>
      <c r="BH266" s="205"/>
    </row>
    <row r="267" spans="1:60" outlineLevel="1" x14ac:dyDescent="0.25">
      <c r="A267" s="168"/>
      <c r="B267" s="184"/>
      <c r="F267" s="282" t="s">
        <v>235</v>
      </c>
      <c r="G267" s="227"/>
      <c r="J267" s="318">
        <f>J249+J250+J252+J253+J255+J256+J258+J259+J261+J262+J264+J265</f>
        <v>0</v>
      </c>
      <c r="K267" s="318"/>
      <c r="L267" s="307">
        <f>L249+L250+L252+L253+L255+L256+L258+L259+L261+L262+L264+L265</f>
        <v>0</v>
      </c>
      <c r="M267" s="318"/>
      <c r="N267" s="318">
        <f>N249+N250+N252+N253+N255+N256+N258+N259+N261+N262+N264+N265</f>
        <v>0</v>
      </c>
      <c r="O267" s="318"/>
      <c r="P267" s="307">
        <f>P249+P250+P252+P253+P255+P256+P258+P259+P261+P262+P264+P265</f>
        <v>0</v>
      </c>
      <c r="Q267" s="320"/>
      <c r="R267" s="318">
        <f>R249+R250+R252+R253+R255+R256+R258+R259+R261+R262+R264+R265</f>
        <v>0</v>
      </c>
      <c r="S267" s="318"/>
      <c r="T267" s="307">
        <f>T249+T250+T252+T253+T255+T256+T258+T259+T261+T262+T264+T265</f>
        <v>0</v>
      </c>
      <c r="U267" s="320"/>
      <c r="V267" s="318">
        <f>V249+V250+V252+V253+V255+V256+V258+V259+V261+V262+V264+V265</f>
        <v>0</v>
      </c>
      <c r="W267" s="318"/>
      <c r="X267" s="307">
        <f>X249+X250+X252+X253+X255+X256+X258+X259+X261+X262+X264+X265</f>
        <v>0</v>
      </c>
      <c r="Y267" s="320"/>
      <c r="Z267" s="318">
        <f>Z249+Z250+Z252+Z253+Z255+Z256+Z258+Z259+Z261+Z262+Z264+Z265</f>
        <v>0</v>
      </c>
      <c r="AA267" s="318"/>
      <c r="AB267" s="307">
        <f>AB249+AB250+AB252+AB253+AB255+AB256+AB258+AB259+AB261+AB262+AB264+AB265</f>
        <v>0</v>
      </c>
      <c r="AC267" s="320"/>
      <c r="AD267" s="318">
        <f t="shared" si="236"/>
        <v>0</v>
      </c>
      <c r="AE267" s="170"/>
      <c r="AF267" s="307">
        <f t="shared" si="237"/>
        <v>0</v>
      </c>
      <c r="AN267" s="205"/>
      <c r="AS267" s="205"/>
      <c r="AX267" s="205"/>
      <c r="BC267" s="205"/>
      <c r="BH267" s="205"/>
    </row>
    <row r="268" spans="1:60" x14ac:dyDescent="0.25">
      <c r="A268" s="168" t="s">
        <v>34</v>
      </c>
      <c r="B268" s="184"/>
      <c r="C268" s="167" t="s">
        <v>34</v>
      </c>
      <c r="F268" s="226"/>
      <c r="G268" s="226"/>
      <c r="H268" s="219"/>
      <c r="I268" s="219"/>
      <c r="J268" s="291">
        <v>0</v>
      </c>
      <c r="L268" s="307">
        <v>0</v>
      </c>
      <c r="N268" s="291">
        <v>0</v>
      </c>
      <c r="O268" s="291"/>
      <c r="P268" s="307">
        <v>0</v>
      </c>
      <c r="R268" s="291">
        <v>0</v>
      </c>
      <c r="S268" s="291"/>
      <c r="T268" s="307">
        <v>0</v>
      </c>
      <c r="V268" s="291">
        <v>0</v>
      </c>
      <c r="W268" s="291"/>
      <c r="X268" s="307">
        <v>0</v>
      </c>
      <c r="Z268" s="291">
        <v>0</v>
      </c>
      <c r="AA268" s="291"/>
      <c r="AB268" s="307">
        <v>0</v>
      </c>
      <c r="AD268" s="291">
        <f t="shared" si="236"/>
        <v>0</v>
      </c>
      <c r="AE268" s="170"/>
      <c r="AF268" s="307">
        <f t="shared" si="237"/>
        <v>0</v>
      </c>
      <c r="AN268" s="205"/>
      <c r="AS268" s="205"/>
      <c r="AX268" s="205"/>
      <c r="BC268" s="205"/>
      <c r="BH268" s="205"/>
    </row>
    <row r="269" spans="1:60" x14ac:dyDescent="0.25">
      <c r="A269" s="168" t="s">
        <v>34</v>
      </c>
      <c r="B269" s="184"/>
      <c r="D269" s="167" t="s">
        <v>262</v>
      </c>
      <c r="F269" s="226"/>
      <c r="G269" s="226"/>
      <c r="H269" s="219"/>
      <c r="I269" s="219"/>
      <c r="J269" s="291">
        <v>0</v>
      </c>
      <c r="L269" s="307"/>
      <c r="N269" s="291">
        <v>0</v>
      </c>
      <c r="O269" s="291"/>
      <c r="P269" s="307"/>
      <c r="R269" s="291">
        <v>0</v>
      </c>
      <c r="S269" s="291"/>
      <c r="T269" s="307"/>
      <c r="V269" s="291">
        <v>0</v>
      </c>
      <c r="W269" s="291"/>
      <c r="X269" s="307"/>
      <c r="Z269" s="291">
        <v>0</v>
      </c>
      <c r="AA269" s="291"/>
      <c r="AB269" s="307"/>
      <c r="AD269" s="291">
        <f t="shared" si="236"/>
        <v>0</v>
      </c>
      <c r="AE269" s="170"/>
      <c r="AF269" s="186"/>
      <c r="AH269" s="27"/>
      <c r="AN269" s="205"/>
      <c r="AS269" s="205"/>
      <c r="AX269" s="205"/>
      <c r="BC269" s="205"/>
      <c r="BH269" s="205"/>
    </row>
    <row r="270" spans="1:60" outlineLevel="1" x14ac:dyDescent="0.25">
      <c r="A270" s="168" t="s">
        <v>189</v>
      </c>
      <c r="B270" s="184"/>
      <c r="C270" s="28"/>
      <c r="D270" s="167" t="s">
        <v>171</v>
      </c>
      <c r="F270" s="212"/>
      <c r="G270" s="213"/>
      <c r="H270" s="213"/>
      <c r="I270" s="28"/>
      <c r="J270" s="292">
        <v>0</v>
      </c>
      <c r="L270" s="307">
        <v>0</v>
      </c>
      <c r="N270" s="291">
        <v>0</v>
      </c>
      <c r="P270" s="307">
        <v>0</v>
      </c>
      <c r="R270" s="291">
        <v>0</v>
      </c>
      <c r="T270" s="307">
        <v>0</v>
      </c>
      <c r="V270" s="291">
        <v>0</v>
      </c>
      <c r="X270" s="307">
        <v>0</v>
      </c>
      <c r="Z270" s="291">
        <v>0</v>
      </c>
      <c r="AA270" s="291"/>
      <c r="AB270" s="307">
        <v>0</v>
      </c>
      <c r="AD270" s="291">
        <f t="shared" ref="AD270:AD272" si="238">J270+N270+R270+V270+Z270</f>
        <v>0</v>
      </c>
      <c r="AE270" s="170"/>
      <c r="AF270" s="186">
        <f>L270+P270+T270+X270+AB270</f>
        <v>0</v>
      </c>
      <c r="AN270" s="205"/>
      <c r="AS270" s="205"/>
      <c r="AX270" s="205"/>
      <c r="BC270" s="205"/>
      <c r="BH270" s="205"/>
    </row>
    <row r="271" spans="1:60" outlineLevel="1" x14ac:dyDescent="0.25">
      <c r="A271" s="168" t="s">
        <v>219</v>
      </c>
      <c r="B271" s="184"/>
      <c r="C271" s="28"/>
      <c r="D271" s="167" t="s">
        <v>209</v>
      </c>
      <c r="F271" s="212"/>
      <c r="G271" s="213"/>
      <c r="H271" s="213"/>
      <c r="I271" s="28"/>
      <c r="J271" s="292">
        <v>0</v>
      </c>
      <c r="L271" s="307">
        <v>0</v>
      </c>
      <c r="N271" s="291">
        <v>0</v>
      </c>
      <c r="P271" s="307">
        <v>0</v>
      </c>
      <c r="R271" s="291">
        <v>0</v>
      </c>
      <c r="T271" s="307">
        <v>0</v>
      </c>
      <c r="V271" s="291">
        <v>0</v>
      </c>
      <c r="X271" s="307">
        <v>0</v>
      </c>
      <c r="Z271" s="291">
        <v>0</v>
      </c>
      <c r="AA271" s="291"/>
      <c r="AB271" s="307">
        <v>0</v>
      </c>
      <c r="AD271" s="291">
        <f t="shared" si="238"/>
        <v>0</v>
      </c>
      <c r="AE271" s="170"/>
      <c r="AF271" s="186">
        <f>L271+P271+T271+X271+AB271</f>
        <v>0</v>
      </c>
      <c r="AN271" s="205"/>
      <c r="AS271" s="205"/>
      <c r="AX271" s="205"/>
      <c r="BC271" s="205"/>
      <c r="BH271" s="205"/>
    </row>
    <row r="272" spans="1:60" outlineLevel="1" x14ac:dyDescent="0.25">
      <c r="A272" s="168" t="s">
        <v>184</v>
      </c>
      <c r="B272" s="28"/>
      <c r="C272" s="28"/>
      <c r="D272" s="28" t="s">
        <v>126</v>
      </c>
      <c r="E272" s="28"/>
      <c r="H272" s="28"/>
      <c r="I272" s="28"/>
      <c r="J272" s="291">
        <v>0</v>
      </c>
      <c r="L272" s="307">
        <v>0</v>
      </c>
      <c r="N272" s="291">
        <v>0</v>
      </c>
      <c r="P272" s="307">
        <v>0</v>
      </c>
      <c r="R272" s="291">
        <v>0</v>
      </c>
      <c r="T272" s="307">
        <v>0</v>
      </c>
      <c r="V272" s="291">
        <v>0</v>
      </c>
      <c r="X272" s="307">
        <v>0</v>
      </c>
      <c r="Z272" s="291">
        <v>0</v>
      </c>
      <c r="AA272" s="291"/>
      <c r="AB272" s="307">
        <v>0</v>
      </c>
      <c r="AD272" s="291">
        <f t="shared" si="238"/>
        <v>0</v>
      </c>
      <c r="AE272" s="170"/>
      <c r="AF272" s="186">
        <f t="shared" ref="AF272:AF274" si="239">L272+P272+T272+X272+AB272</f>
        <v>0</v>
      </c>
      <c r="AH272" s="81"/>
      <c r="AN272" s="205"/>
      <c r="AS272" s="205"/>
      <c r="AX272" s="205"/>
      <c r="BC272" s="205"/>
      <c r="BH272" s="205"/>
    </row>
    <row r="273" spans="1:60" outlineLevel="1" x14ac:dyDescent="0.25">
      <c r="A273" s="168" t="s">
        <v>191</v>
      </c>
      <c r="B273" s="28"/>
      <c r="C273" s="28"/>
      <c r="D273" s="28" t="s">
        <v>248</v>
      </c>
      <c r="E273" s="28"/>
      <c r="H273" s="28"/>
      <c r="I273" s="28"/>
      <c r="J273" s="291">
        <v>0</v>
      </c>
      <c r="L273" s="307">
        <v>0</v>
      </c>
      <c r="N273" s="291">
        <v>0</v>
      </c>
      <c r="P273" s="307">
        <v>0</v>
      </c>
      <c r="R273" s="291">
        <v>0</v>
      </c>
      <c r="T273" s="307">
        <v>0</v>
      </c>
      <c r="V273" s="291">
        <v>0</v>
      </c>
      <c r="X273" s="307">
        <v>0</v>
      </c>
      <c r="Z273" s="291">
        <v>0</v>
      </c>
      <c r="AA273" s="291"/>
      <c r="AB273" s="307">
        <v>0</v>
      </c>
      <c r="AD273" s="291">
        <f t="shared" ref="AD273" si="240">J273+N273+R273+V273+Z273</f>
        <v>0</v>
      </c>
      <c r="AE273" s="170"/>
      <c r="AF273" s="186">
        <f>L273+P273+T273+X273+AB273</f>
        <v>0</v>
      </c>
      <c r="AH273" s="376" t="s">
        <v>263</v>
      </c>
      <c r="AI273" s="366"/>
      <c r="AJ273" s="377"/>
      <c r="AK273" s="349" t="s">
        <v>346</v>
      </c>
      <c r="AN273" s="205"/>
      <c r="AS273" s="205"/>
      <c r="AX273" s="205"/>
      <c r="BC273" s="205"/>
      <c r="BH273" s="205"/>
    </row>
    <row r="274" spans="1:60" x14ac:dyDescent="0.25">
      <c r="A274" s="168" t="s">
        <v>191</v>
      </c>
      <c r="B274" s="184"/>
      <c r="C274" s="28"/>
      <c r="D274" s="167" t="s">
        <v>127</v>
      </c>
      <c r="F274" s="213"/>
      <c r="G274" s="213"/>
      <c r="H274" s="213"/>
      <c r="I274" s="228">
        <f>IF(AK12="Yes",F274*(1+AK6),F274)</f>
        <v>0</v>
      </c>
      <c r="J274" s="291">
        <v>0</v>
      </c>
      <c r="L274" s="307">
        <v>0</v>
      </c>
      <c r="N274" s="291">
        <v>0</v>
      </c>
      <c r="O274" s="291"/>
      <c r="P274" s="307">
        <v>0</v>
      </c>
      <c r="R274" s="291">
        <v>0</v>
      </c>
      <c r="S274" s="291"/>
      <c r="T274" s="307">
        <v>0</v>
      </c>
      <c r="V274" s="291">
        <v>0</v>
      </c>
      <c r="W274" s="291"/>
      <c r="X274" s="307">
        <v>0</v>
      </c>
      <c r="Z274" s="291">
        <v>0</v>
      </c>
      <c r="AA274" s="291"/>
      <c r="AB274" s="307">
        <v>0</v>
      </c>
      <c r="AD274" s="291">
        <f>J274+N274+R274+V274+Z274</f>
        <v>0</v>
      </c>
      <c r="AE274" s="170"/>
      <c r="AF274" s="186">
        <f t="shared" si="239"/>
        <v>0</v>
      </c>
      <c r="AH274" s="27" t="s">
        <v>260</v>
      </c>
      <c r="AK274" s="348" t="s">
        <v>261</v>
      </c>
      <c r="AN274" s="205"/>
      <c r="AS274" s="205"/>
      <c r="AX274" s="205"/>
      <c r="BC274" s="205"/>
      <c r="BH274" s="205"/>
    </row>
    <row r="275" spans="1:60" ht="9" customHeight="1" x14ac:dyDescent="0.25">
      <c r="J275" s="311"/>
      <c r="L275" s="312"/>
      <c r="N275" s="311"/>
      <c r="P275" s="312"/>
      <c r="R275" s="313"/>
      <c r="T275" s="314"/>
      <c r="V275" s="313"/>
      <c r="X275" s="314"/>
      <c r="Z275" s="313"/>
      <c r="AB275" s="314"/>
      <c r="AD275" s="311"/>
      <c r="AF275" s="204"/>
    </row>
    <row r="276" spans="1:60" x14ac:dyDescent="0.25">
      <c r="C276" s="167" t="s">
        <v>13</v>
      </c>
      <c r="J276" s="291">
        <f>SUM(J235:J247)+SUM(J249,J250,J252,J253,J255,J256,J258,J259,J261,J262,J264,J265)+SUM(J268:J274)</f>
        <v>0</v>
      </c>
      <c r="L276" s="307">
        <f>SUM(L235:L247)+SUM(L249,L250,L252,L253,L255,L256,L258,L259,L261,L262,L264,L265)+SUM(L268:L274)</f>
        <v>0</v>
      </c>
      <c r="N276" s="291">
        <f>SUM(N235:N247)+SUM(N249,N250,N252,N253,N255,N256,N258,N259,N261,N262,N264,N265)+SUM(N268:N274)</f>
        <v>0</v>
      </c>
      <c r="O276" s="291"/>
      <c r="P276" s="307">
        <f>SUM(P235:P247)+SUM(P249,P250,P252,P253,P255,P256,P258,P259,P261,P262,P264,P265)+SUM(P268:P274)</f>
        <v>0</v>
      </c>
      <c r="R276" s="291">
        <f>SUM(R235:R247)+SUM(R249,R250,R252,R253,R255,R256,R258,R259,R261,R262,R264,R265)+SUM(R268:R274)</f>
        <v>0</v>
      </c>
      <c r="S276" s="291"/>
      <c r="T276" s="307">
        <f>SUM(T235:T247)+SUM(T249,T250,T252,T253,T255,T256,T258,T259,T261,T262,T264,T265)+SUM(T268:T274)</f>
        <v>0</v>
      </c>
      <c r="V276" s="291">
        <f>SUM(V235:V247)+SUM(V249,V250,V252,V253,V255,V256,V258,V259,V261,V262,V264,V265)+SUM(V268:V274)</f>
        <v>0</v>
      </c>
      <c r="W276" s="291"/>
      <c r="X276" s="307">
        <f>SUM(X235:X247)+SUM(X249,X250,X252,X253,X255,X256,X258,X259,X261,X262,X264,X265)+SUM(X268:X274)</f>
        <v>0</v>
      </c>
      <c r="Z276" s="291">
        <f>SUM(Z235:Z247)+SUM(Z249,Z250,Z252,Z253,Z255,Z256,Z258,Z259,Z261,Z262,Z264,Z265)+SUM(Z268:Z274)</f>
        <v>0</v>
      </c>
      <c r="AA276" s="291"/>
      <c r="AB276" s="307">
        <f>SUM(AB235:AB247)+SUM(AB249,AB250,AB252,AB253,AB255,AB256,AB258,AB259,AB261,AB262,AB264,AB265)+SUM(AB268:AB274)</f>
        <v>0</v>
      </c>
      <c r="AD276" s="291">
        <f>J276+N276+R276+V276+Z276</f>
        <v>0</v>
      </c>
      <c r="AE276" s="170"/>
      <c r="AF276" s="307">
        <f>L276+P276+T276+X276+AB276</f>
        <v>0</v>
      </c>
      <c r="AH276" s="348"/>
    </row>
    <row r="277" spans="1:60" x14ac:dyDescent="0.25">
      <c r="L277" s="307"/>
      <c r="P277" s="307"/>
      <c r="T277" s="315"/>
      <c r="X277" s="315"/>
      <c r="AB277" s="315"/>
      <c r="AF277" s="187"/>
    </row>
    <row r="278" spans="1:60" x14ac:dyDescent="0.25">
      <c r="B278" s="184" t="s">
        <v>16</v>
      </c>
      <c r="C278" s="184" t="s">
        <v>15</v>
      </c>
      <c r="J278" s="324">
        <f>J72+J109+J138+J150+J217+J231+J276</f>
        <v>0</v>
      </c>
      <c r="K278" s="324"/>
      <c r="L278" s="325">
        <f>L72+L109+L150+L217+L231+L276+L138</f>
        <v>0</v>
      </c>
      <c r="M278" s="324"/>
      <c r="N278" s="324">
        <f>N72+N109+N150+N217+N231+N276+N138</f>
        <v>0</v>
      </c>
      <c r="O278" s="326"/>
      <c r="P278" s="325">
        <f>P72+P109+P150+P217+P231+P276+P138</f>
        <v>0</v>
      </c>
      <c r="Q278" s="326"/>
      <c r="R278" s="324">
        <f>R72+R109+R138+R150+R217+R231+R276</f>
        <v>0</v>
      </c>
      <c r="T278" s="325">
        <f>T72+T109+T150+T217+T231+T276+T138</f>
        <v>0</v>
      </c>
      <c r="V278" s="324">
        <f>V72+V109+V138+V150+V217+V231+V276</f>
        <v>0</v>
      </c>
      <c r="X278" s="325">
        <f>X72+X109+X150+X217+X231+X276+X138</f>
        <v>0</v>
      </c>
      <c r="Z278" s="324">
        <f>Z72+Z109+Z138+Z150+Z217+Z231+Z276</f>
        <v>0</v>
      </c>
      <c r="AB278" s="325">
        <f>AB72+AB109+AB150+AB217+AB231+AB276+AB138</f>
        <v>0</v>
      </c>
      <c r="AD278" s="324">
        <f>J278+N278+R278+V278+Z278</f>
        <v>0</v>
      </c>
      <c r="AE278" s="185"/>
      <c r="AF278" s="229">
        <f>L278+P278+T278+X278+AB278</f>
        <v>0</v>
      </c>
    </row>
    <row r="279" spans="1:60" x14ac:dyDescent="0.25">
      <c r="B279" s="184"/>
      <c r="C279" s="345" t="s">
        <v>251</v>
      </c>
      <c r="J279" s="327">
        <f>J251+J254+J257+J260+J263+J266</f>
        <v>0</v>
      </c>
      <c r="K279" s="327"/>
      <c r="L279" s="307">
        <f>L251+L254+L257+L260+L263+L266</f>
        <v>0</v>
      </c>
      <c r="M279" s="327"/>
      <c r="N279" s="327">
        <f>N251+N254+N257+N260+N263+N266</f>
        <v>0</v>
      </c>
      <c r="O279" s="327"/>
      <c r="P279" s="307">
        <f>P251+P254+P257+P260+P263+P266</f>
        <v>0</v>
      </c>
      <c r="Q279" s="327"/>
      <c r="R279" s="327">
        <f>R251+R254+R257+R260+R263+R266</f>
        <v>0</v>
      </c>
      <c r="S279" s="327"/>
      <c r="T279" s="307">
        <f>T251+T254+T257+T260+T263+T266</f>
        <v>0</v>
      </c>
      <c r="U279" s="327"/>
      <c r="V279" s="327">
        <f>V251+V254+V257+V260+V263+V266</f>
        <v>0</v>
      </c>
      <c r="W279" s="327"/>
      <c r="X279" s="307">
        <f>X251+X254+X257+X260+X263+X266</f>
        <v>0</v>
      </c>
      <c r="Y279" s="327"/>
      <c r="Z279" s="327">
        <f>Z251+Z254+Z257+Z260+Z263+Z266</f>
        <v>0</v>
      </c>
      <c r="AA279" s="327"/>
      <c r="AB279" s="307">
        <f>AB251+AB254+AB257+AB260+AB263+AB266</f>
        <v>0</v>
      </c>
      <c r="AC279" s="327"/>
      <c r="AD279" s="327">
        <f>J279+N279+R279+V279+Z279</f>
        <v>0</v>
      </c>
      <c r="AE279" s="185"/>
      <c r="AF279" s="307"/>
    </row>
    <row r="280" spans="1:60" x14ac:dyDescent="0.25">
      <c r="C280" s="345" t="s">
        <v>242</v>
      </c>
      <c r="D280" s="345"/>
      <c r="E280" s="345"/>
      <c r="F280" s="226"/>
      <c r="G280" s="226"/>
      <c r="H280" s="232"/>
      <c r="I280" s="232"/>
      <c r="J280" s="327">
        <f>SUM(J278-J279)</f>
        <v>0</v>
      </c>
      <c r="K280" s="327"/>
      <c r="L280" s="307">
        <f>SUM(L278-L279)</f>
        <v>0</v>
      </c>
      <c r="M280" s="327"/>
      <c r="N280" s="327">
        <f>SUM(N278-N279)</f>
        <v>0</v>
      </c>
      <c r="O280" s="327"/>
      <c r="P280" s="307">
        <f>SUM(P278-P279)</f>
        <v>0</v>
      </c>
      <c r="Q280" s="328"/>
      <c r="R280" s="327">
        <f>SUM(R278-R279)</f>
        <v>0</v>
      </c>
      <c r="S280" s="327"/>
      <c r="T280" s="307">
        <f>SUM(T278-T279)</f>
        <v>0</v>
      </c>
      <c r="U280" s="328"/>
      <c r="V280" s="327">
        <f>SUM(V278-V279)</f>
        <v>0</v>
      </c>
      <c r="W280" s="327"/>
      <c r="X280" s="307">
        <f>SUM(X278-X279)</f>
        <v>0</v>
      </c>
      <c r="Y280" s="328"/>
      <c r="Z280" s="327">
        <f>SUM(Z278-Z279)</f>
        <v>0</v>
      </c>
      <c r="AA280" s="327"/>
      <c r="AB280" s="307">
        <f>SUM(AB278-AB279)</f>
        <v>0</v>
      </c>
      <c r="AC280" s="328"/>
      <c r="AD280" s="378">
        <f>SUM(AD278-AD279)</f>
        <v>0</v>
      </c>
      <c r="AE280" s="232"/>
      <c r="AF280" s="307">
        <f>AF278-AF250-AF253-AF256-AF259-AF262-AF265</f>
        <v>0</v>
      </c>
      <c r="AH280" s="27" t="s">
        <v>243</v>
      </c>
    </row>
    <row r="281" spans="1:60" x14ac:dyDescent="0.25">
      <c r="C281" s="230"/>
      <c r="D281" s="230"/>
      <c r="E281" s="230"/>
      <c r="F281" s="231"/>
      <c r="G281" s="231"/>
      <c r="H281" s="232"/>
      <c r="I281" s="232"/>
      <c r="J281" s="327"/>
      <c r="K281" s="327"/>
      <c r="L281" s="307"/>
      <c r="M281" s="327"/>
      <c r="N281" s="327"/>
      <c r="O281" s="327"/>
      <c r="P281" s="307"/>
      <c r="Q281" s="328"/>
      <c r="R281" s="327"/>
      <c r="S281" s="327"/>
      <c r="T281" s="307"/>
      <c r="U281" s="328"/>
      <c r="V281" s="327"/>
      <c r="W281" s="327"/>
      <c r="X281" s="307"/>
      <c r="Y281" s="328"/>
      <c r="Z281" s="327"/>
      <c r="AA281" s="327"/>
      <c r="AB281" s="307"/>
      <c r="AC281" s="328"/>
      <c r="AD281" s="327"/>
      <c r="AE281" s="232"/>
      <c r="AF281" s="307"/>
    </row>
    <row r="282" spans="1:60" x14ac:dyDescent="0.25">
      <c r="C282" s="184"/>
      <c r="D282" s="379" t="s">
        <v>39</v>
      </c>
      <c r="E282" s="211"/>
      <c r="G282" s="60"/>
      <c r="J282" s="346">
        <f>J278-J150-J231-SUM(J250,J253,J256,J259,J262,J265)-SUM(J272,J273,J274)</f>
        <v>0</v>
      </c>
      <c r="K282" s="346"/>
      <c r="L282" s="307">
        <f>L278-L150-L231-SUM(L250,L253,L256,L259,L262,L265)-SUM(L272,L273,L274)</f>
        <v>0</v>
      </c>
      <c r="M282" s="346"/>
      <c r="N282" s="346">
        <f>N278-N150-N231-SUM(N250,N253,N256,N259,N262,N265)-SUM(N272,N273,N274)</f>
        <v>0</v>
      </c>
      <c r="O282" s="346"/>
      <c r="P282" s="307">
        <f>P278-P150-P231-SUM(P250,P253,P256,P259,P262,P265)-SUM(P272,P273,P274)</f>
        <v>0</v>
      </c>
      <c r="Q282" s="346"/>
      <c r="R282" s="346">
        <f>R278-R150-R231-SUM(R250,R253,R256,R259,R262,R265)-SUM(R272,R273,R274)</f>
        <v>0</v>
      </c>
      <c r="S282" s="346"/>
      <c r="T282" s="307">
        <f>T278-T150-T231-SUM(T250,T253,T256,T259,T262,T265)-SUM(T272,T273,T274)</f>
        <v>0</v>
      </c>
      <c r="U282" s="346"/>
      <c r="V282" s="346">
        <f>V278-V150-V231-SUM(V250,V253,V256,V259,V262,V265)-SUM(V272,V273,V274)</f>
        <v>0</v>
      </c>
      <c r="W282" s="346"/>
      <c r="X282" s="307">
        <f>X278-X150-X231-SUM(X250,X253,X256,X259,X262,X265)-SUM(X272,X273,X274)</f>
        <v>0</v>
      </c>
      <c r="Y282" s="347"/>
      <c r="Z282" s="346">
        <f>Z278-Z150-Z231-SUM(Z250,Z253,Z256,Z259,Z262,Z265)-SUM(Z272,Z273,Z274)</f>
        <v>0</v>
      </c>
      <c r="AA282" s="346"/>
      <c r="AB282" s="307">
        <f>AB278-AB150-AB231-SUM(AB250,AB253,AB256,AB259,AB262,AB265)-SUM(AB272,AB273,AB274)</f>
        <v>0</v>
      </c>
      <c r="AC282" s="347"/>
      <c r="AD282" s="346">
        <f>J282+N282+R282+V282+Z282</f>
        <v>0</v>
      </c>
      <c r="AE282" s="179"/>
      <c r="AF282" s="307">
        <f>L282+P282+T282+X282+AB282</f>
        <v>0</v>
      </c>
      <c r="AH282" s="27"/>
    </row>
    <row r="283" spans="1:60" x14ac:dyDescent="0.25">
      <c r="D283" s="171"/>
      <c r="E283" s="211"/>
      <c r="L283" s="307"/>
      <c r="P283" s="307"/>
      <c r="T283" s="315"/>
      <c r="X283" s="315"/>
      <c r="AB283" s="315"/>
      <c r="AF283" s="187"/>
    </row>
    <row r="284" spans="1:60" x14ac:dyDescent="0.25">
      <c r="H284" s="233" t="s">
        <v>123</v>
      </c>
      <c r="I284" s="197"/>
      <c r="J284" s="329">
        <f>J278-J282</f>
        <v>0</v>
      </c>
      <c r="K284" s="329"/>
      <c r="L284" s="330"/>
      <c r="M284" s="329"/>
      <c r="N284" s="329">
        <f>N278-N282</f>
        <v>0</v>
      </c>
      <c r="O284" s="331"/>
      <c r="P284" s="330"/>
      <c r="Q284" s="331"/>
      <c r="R284" s="329">
        <f>R278-R282</f>
        <v>0</v>
      </c>
      <c r="S284" s="331"/>
      <c r="T284" s="332"/>
      <c r="U284" s="331"/>
      <c r="V284" s="329">
        <f>V278-V282</f>
        <v>0</v>
      </c>
      <c r="W284" s="331"/>
      <c r="X284" s="332"/>
      <c r="Y284" s="331"/>
      <c r="Z284" s="329">
        <f>Z278-Z282</f>
        <v>0</v>
      </c>
      <c r="AA284" s="331"/>
      <c r="AB284" s="332"/>
      <c r="AC284" s="331"/>
      <c r="AD284" s="329">
        <f>AD278-AD282</f>
        <v>0</v>
      </c>
      <c r="AF284" s="187"/>
    </row>
    <row r="285" spans="1:60" x14ac:dyDescent="0.25">
      <c r="B285" s="184" t="s">
        <v>38</v>
      </c>
      <c r="C285" s="184" t="s">
        <v>95</v>
      </c>
      <c r="L285" s="307"/>
      <c r="P285" s="307"/>
      <c r="R285" s="291"/>
      <c r="T285" s="315"/>
      <c r="V285" s="291"/>
      <c r="X285" s="315"/>
      <c r="Z285" s="291"/>
      <c r="AB285" s="315"/>
      <c r="AF285" s="187"/>
    </row>
    <row r="286" spans="1:60" x14ac:dyDescent="0.25">
      <c r="B286" s="28"/>
      <c r="C286" s="379" t="s">
        <v>383</v>
      </c>
      <c r="D286" s="380"/>
      <c r="E286" s="380"/>
      <c r="F286" s="381"/>
      <c r="G286" s="358"/>
      <c r="L286" s="307"/>
      <c r="P286" s="307"/>
      <c r="R286" s="291"/>
      <c r="T286" s="315"/>
      <c r="V286" s="291"/>
      <c r="X286" s="315"/>
      <c r="Z286" s="291"/>
      <c r="AB286" s="315"/>
      <c r="AF286" s="187"/>
    </row>
    <row r="287" spans="1:60" x14ac:dyDescent="0.25">
      <c r="B287" s="28"/>
      <c r="C287" s="354" t="s">
        <v>369</v>
      </c>
      <c r="G287" s="28"/>
      <c r="H287" s="338">
        <v>0.47</v>
      </c>
      <c r="L287" s="307"/>
      <c r="P287" s="307"/>
      <c r="T287" s="315"/>
      <c r="X287" s="315"/>
      <c r="AB287" s="315"/>
      <c r="AF287" s="187"/>
      <c r="AH287" s="27" t="s">
        <v>244</v>
      </c>
    </row>
    <row r="288" spans="1:60" x14ac:dyDescent="0.25">
      <c r="B288" s="28"/>
      <c r="C288" s="357" t="s">
        <v>370</v>
      </c>
      <c r="D288" s="357"/>
      <c r="E288" s="357"/>
      <c r="F288" s="358"/>
      <c r="J288" s="316">
        <f>J282*$H$287</f>
        <v>0</v>
      </c>
      <c r="L288" s="317">
        <f>L282*$H$287</f>
        <v>0</v>
      </c>
      <c r="N288" s="316">
        <f>N282*$H$287</f>
        <v>0</v>
      </c>
      <c r="O288" s="316"/>
      <c r="P288" s="317">
        <f>P282*$H$287</f>
        <v>0</v>
      </c>
      <c r="Q288" s="316"/>
      <c r="R288" s="316">
        <f>R282*$H$287</f>
        <v>0</v>
      </c>
      <c r="T288" s="317">
        <f>T282*$H$287</f>
        <v>0</v>
      </c>
      <c r="V288" s="316">
        <f>V282*$H$287</f>
        <v>0</v>
      </c>
      <c r="X288" s="317">
        <f>X282*$H$287</f>
        <v>0</v>
      </c>
      <c r="Z288" s="316">
        <f>Z282*$H$287</f>
        <v>0</v>
      </c>
      <c r="AB288" s="317">
        <f>AB282*$H$287</f>
        <v>0</v>
      </c>
      <c r="AD288" s="291">
        <f>J288+N288+R288+V288+Z288</f>
        <v>0</v>
      </c>
      <c r="AE288" s="170"/>
      <c r="AF288" s="186">
        <f>L288+P288+T288+X288+AB288</f>
        <v>0</v>
      </c>
      <c r="AH288" s="348" t="s">
        <v>347</v>
      </c>
    </row>
    <row r="289" spans="1:32" x14ac:dyDescent="0.25">
      <c r="C289" s="28"/>
      <c r="H289" s="28"/>
      <c r="I289" s="28"/>
      <c r="J289" s="292"/>
      <c r="K289" s="292"/>
      <c r="L289" s="315"/>
      <c r="M289" s="292"/>
      <c r="N289" s="292"/>
      <c r="P289" s="315"/>
      <c r="T289" s="315"/>
      <c r="X289" s="315"/>
      <c r="AB289" s="315"/>
      <c r="AD289" s="313"/>
      <c r="AE289" s="28"/>
      <c r="AF289" s="234"/>
    </row>
    <row r="290" spans="1:32" x14ac:dyDescent="0.25">
      <c r="B290" s="184" t="s">
        <v>121</v>
      </c>
      <c r="C290" s="184" t="s">
        <v>17</v>
      </c>
      <c r="J290" s="291">
        <f>J278+J288</f>
        <v>0</v>
      </c>
      <c r="L290" s="307">
        <f>L278+L288</f>
        <v>0</v>
      </c>
      <c r="N290" s="291">
        <f>N278+N288</f>
        <v>0</v>
      </c>
      <c r="P290" s="307">
        <f>P278+P288</f>
        <v>0</v>
      </c>
      <c r="R290" s="291">
        <f>R278+R288</f>
        <v>0</v>
      </c>
      <c r="S290" s="291"/>
      <c r="T290" s="307">
        <f>T278+T288</f>
        <v>0</v>
      </c>
      <c r="U290" s="291"/>
      <c r="V290" s="291">
        <f>V278+V288</f>
        <v>0</v>
      </c>
      <c r="W290" s="291"/>
      <c r="X290" s="307">
        <f>X278+X288</f>
        <v>0</v>
      </c>
      <c r="Y290" s="291"/>
      <c r="Z290" s="291">
        <f>Z278+Z288</f>
        <v>0</v>
      </c>
      <c r="AA290" s="291"/>
      <c r="AB290" s="307">
        <f>AB278+AB288</f>
        <v>0</v>
      </c>
      <c r="AC290" s="291"/>
      <c r="AD290" s="291">
        <f>J290+N290+R290+V290+Z290</f>
        <v>0</v>
      </c>
      <c r="AE290" s="170"/>
      <c r="AF290" s="186">
        <f>L290+P290+T290+X290+AB290</f>
        <v>0</v>
      </c>
    </row>
    <row r="291" spans="1:32" x14ac:dyDescent="0.25">
      <c r="A291" s="235" t="s">
        <v>391</v>
      </c>
      <c r="C291" s="184"/>
      <c r="J291" s="324"/>
      <c r="L291" s="325"/>
      <c r="P291" s="307"/>
      <c r="T291" s="315"/>
      <c r="X291" s="315"/>
      <c r="AB291" s="315"/>
      <c r="AF291" s="187"/>
    </row>
    <row r="292" spans="1:32" x14ac:dyDescent="0.25">
      <c r="B292" s="184"/>
      <c r="D292" s="28"/>
      <c r="E292" s="28"/>
      <c r="F292" s="28"/>
      <c r="G292" s="28"/>
      <c r="H292" s="28"/>
    </row>
    <row r="293" spans="1:32" x14ac:dyDescent="0.25">
      <c r="D293" s="28"/>
      <c r="E293" s="28"/>
      <c r="F293" s="28"/>
      <c r="G293" s="185" t="s">
        <v>246</v>
      </c>
      <c r="H293" s="28"/>
    </row>
    <row r="294" spans="1:32" x14ac:dyDescent="0.25">
      <c r="A294" s="286"/>
      <c r="B294" s="286"/>
      <c r="C294" s="286"/>
      <c r="D294" s="236"/>
      <c r="F294" s="28"/>
      <c r="G294" s="172" t="s">
        <v>249</v>
      </c>
      <c r="H294" s="340">
        <v>0.47</v>
      </c>
      <c r="I294" s="288"/>
      <c r="J294" s="333">
        <f>H294*AD282</f>
        <v>0</v>
      </c>
      <c r="L294" s="296"/>
      <c r="P294" s="296"/>
    </row>
    <row r="295" spans="1:32" x14ac:dyDescent="0.25">
      <c r="A295" s="286"/>
      <c r="B295" s="286"/>
      <c r="C295" s="286"/>
      <c r="D295" s="236"/>
      <c r="E295" s="237"/>
      <c r="G295" s="170" t="s">
        <v>250</v>
      </c>
      <c r="H295" s="339">
        <f>H287</f>
        <v>0.47</v>
      </c>
      <c r="I295" s="288"/>
      <c r="J295" s="333">
        <f>AD288</f>
        <v>0</v>
      </c>
      <c r="P295" s="296"/>
    </row>
    <row r="296" spans="1:32" x14ac:dyDescent="0.25">
      <c r="A296" s="286"/>
      <c r="B296" s="286"/>
      <c r="C296" s="286"/>
      <c r="D296" s="290"/>
      <c r="E296" s="289"/>
      <c r="F296" s="287"/>
      <c r="G296" s="287"/>
      <c r="H296" s="183" t="s">
        <v>247</v>
      </c>
      <c r="I296" s="183"/>
      <c r="J296" s="333">
        <f>J294-J295</f>
        <v>0</v>
      </c>
      <c r="P296" s="296"/>
    </row>
    <row r="297" spans="1:32" x14ac:dyDescent="0.25">
      <c r="D297" s="236"/>
      <c r="E297" s="237"/>
    </row>
    <row r="298" spans="1:32" x14ac:dyDescent="0.25">
      <c r="D298" s="236"/>
      <c r="E298" s="237"/>
    </row>
    <row r="299" spans="1:32" x14ac:dyDescent="0.25">
      <c r="A299" s="283"/>
      <c r="B299" s="283"/>
      <c r="C299" s="283"/>
      <c r="D299" s="420"/>
      <c r="E299" s="421"/>
      <c r="F299" s="273"/>
      <c r="G299" s="273"/>
      <c r="H299" s="228"/>
      <c r="I299" s="228"/>
      <c r="J299" s="350"/>
      <c r="K299" s="350"/>
      <c r="L299" s="350"/>
      <c r="M299" s="350"/>
      <c r="N299" s="350"/>
      <c r="O299" s="351"/>
      <c r="P299" s="350"/>
      <c r="Q299" s="351"/>
      <c r="R299" s="351"/>
      <c r="S299" s="351"/>
      <c r="T299" s="351"/>
      <c r="U299" s="351"/>
      <c r="V299" s="351"/>
    </row>
    <row r="300" spans="1:32" x14ac:dyDescent="0.25">
      <c r="A300" s="283"/>
      <c r="B300" s="283"/>
      <c r="C300" s="283"/>
      <c r="D300" s="420"/>
      <c r="E300" s="283"/>
      <c r="F300" s="273"/>
      <c r="G300" s="273"/>
      <c r="H300" s="228"/>
      <c r="I300" s="228"/>
      <c r="J300" s="350"/>
      <c r="K300" s="350"/>
      <c r="L300" s="350"/>
      <c r="M300" s="350"/>
      <c r="N300" s="350"/>
      <c r="O300" s="351"/>
      <c r="P300" s="350"/>
      <c r="Q300" s="351"/>
      <c r="R300" s="351"/>
      <c r="S300" s="351"/>
      <c r="T300" s="351"/>
      <c r="U300" s="351"/>
      <c r="V300" s="351"/>
    </row>
    <row r="301" spans="1:32" x14ac:dyDescent="0.25">
      <c r="A301" s="283"/>
      <c r="B301" s="283"/>
      <c r="C301" s="283"/>
      <c r="D301" s="420"/>
      <c r="E301" s="283"/>
      <c r="F301" s="273"/>
      <c r="G301" s="273"/>
      <c r="H301" s="228"/>
      <c r="I301" s="228"/>
      <c r="J301" s="350"/>
      <c r="K301" s="350"/>
      <c r="L301" s="350"/>
      <c r="M301" s="350"/>
      <c r="N301" s="350"/>
      <c r="O301" s="351"/>
      <c r="P301" s="350"/>
      <c r="Q301" s="351"/>
      <c r="R301" s="351"/>
      <c r="S301" s="351"/>
      <c r="T301" s="351"/>
      <c r="U301" s="351"/>
      <c r="V301" s="351"/>
    </row>
    <row r="302" spans="1:32" x14ac:dyDescent="0.25">
      <c r="A302" s="283"/>
      <c r="B302" s="283"/>
      <c r="C302" s="283"/>
      <c r="D302" s="283"/>
      <c r="E302" s="283"/>
      <c r="F302" s="273"/>
      <c r="G302" s="273"/>
      <c r="H302" s="228"/>
      <c r="I302" s="228"/>
      <c r="J302" s="350"/>
      <c r="K302" s="350"/>
      <c r="L302" s="350"/>
      <c r="M302" s="350"/>
      <c r="N302" s="350"/>
      <c r="O302" s="351"/>
      <c r="P302" s="350"/>
      <c r="Q302" s="351"/>
      <c r="R302" s="351"/>
      <c r="S302" s="351"/>
      <c r="T302" s="351"/>
      <c r="U302" s="351"/>
      <c r="V302" s="351"/>
    </row>
    <row r="303" spans="1:32" x14ac:dyDescent="0.25">
      <c r="A303" s="283"/>
      <c r="B303" s="283"/>
      <c r="C303" s="283"/>
      <c r="D303" s="283"/>
      <c r="E303" s="283"/>
      <c r="F303" s="273"/>
      <c r="G303" s="273"/>
      <c r="H303" s="228"/>
      <c r="I303" s="228"/>
      <c r="J303" s="350"/>
      <c r="K303" s="350"/>
      <c r="L303" s="350"/>
      <c r="M303" s="350"/>
      <c r="N303" s="350"/>
      <c r="O303" s="351"/>
      <c r="P303" s="350"/>
      <c r="Q303" s="351"/>
      <c r="R303" s="351"/>
      <c r="S303" s="351"/>
      <c r="T303" s="351"/>
      <c r="U303" s="351"/>
      <c r="V303" s="351"/>
    </row>
    <row r="304" spans="1:32" x14ac:dyDescent="0.25">
      <c r="A304" s="283"/>
      <c r="B304" s="283"/>
      <c r="C304" s="283"/>
      <c r="D304" s="283"/>
      <c r="E304" s="283"/>
      <c r="F304" s="273"/>
      <c r="G304" s="273"/>
      <c r="H304" s="228"/>
      <c r="I304" s="228"/>
      <c r="J304" s="350"/>
      <c r="K304" s="350"/>
      <c r="L304" s="350"/>
      <c r="M304" s="350"/>
      <c r="N304" s="350"/>
      <c r="O304" s="351"/>
      <c r="P304" s="350"/>
      <c r="Q304" s="351"/>
      <c r="R304" s="351"/>
      <c r="S304" s="351"/>
      <c r="T304" s="351"/>
      <c r="U304" s="351"/>
      <c r="V304" s="351"/>
    </row>
    <row r="305" spans="1:73" x14ac:dyDescent="0.25">
      <c r="A305" s="283"/>
      <c r="B305" s="283"/>
      <c r="C305" s="283"/>
      <c r="D305" s="283"/>
      <c r="E305" s="283"/>
      <c r="F305" s="273"/>
      <c r="G305" s="273"/>
      <c r="H305" s="228"/>
      <c r="I305" s="228"/>
      <c r="J305" s="350"/>
      <c r="K305" s="350"/>
      <c r="L305" s="350"/>
      <c r="M305" s="350"/>
      <c r="N305" s="350"/>
      <c r="O305" s="351"/>
      <c r="P305" s="350"/>
      <c r="Q305" s="351"/>
      <c r="R305" s="351"/>
      <c r="S305" s="351"/>
      <c r="T305" s="351"/>
      <c r="U305" s="351"/>
      <c r="V305" s="351"/>
    </row>
    <row r="306" spans="1:73" s="268" customFormat="1" x14ac:dyDescent="0.25">
      <c r="A306" s="283"/>
      <c r="B306" s="283"/>
      <c r="C306" s="283"/>
      <c r="D306" s="283"/>
      <c r="E306" s="283"/>
      <c r="F306" s="273"/>
      <c r="G306" s="273"/>
      <c r="H306" s="228"/>
      <c r="I306" s="228"/>
      <c r="J306" s="350"/>
      <c r="K306" s="350"/>
      <c r="L306" s="350"/>
      <c r="M306" s="350"/>
      <c r="N306" s="350"/>
      <c r="O306" s="351"/>
      <c r="P306" s="350"/>
      <c r="Q306" s="351"/>
      <c r="R306" s="351"/>
      <c r="S306" s="351"/>
      <c r="T306" s="351"/>
      <c r="U306" s="351"/>
      <c r="V306" s="351"/>
      <c r="W306" s="292"/>
      <c r="X306" s="292"/>
      <c r="Y306" s="292"/>
      <c r="Z306" s="292"/>
      <c r="AA306" s="292"/>
      <c r="AB306" s="292"/>
      <c r="AC306" s="292"/>
      <c r="AD306" s="291"/>
      <c r="AE306" s="172"/>
      <c r="AF306" s="172"/>
      <c r="AG306" s="28"/>
      <c r="AH306" s="28"/>
      <c r="AJ306" s="284"/>
      <c r="AK306" s="269"/>
      <c r="AL306" s="270"/>
      <c r="AM306" s="270"/>
      <c r="AP306" s="271"/>
      <c r="AU306" s="271"/>
      <c r="AZ306" s="271"/>
      <c r="BE306" s="271"/>
      <c r="BJ306" s="271"/>
      <c r="BK306" s="269"/>
      <c r="BM306" s="272"/>
      <c r="BN306" s="272"/>
      <c r="BO306" s="272"/>
      <c r="BP306" s="272"/>
      <c r="BQ306" s="272"/>
      <c r="BR306" s="272"/>
      <c r="BS306" s="272"/>
      <c r="BT306" s="272"/>
      <c r="BU306" s="272"/>
    </row>
    <row r="307" spans="1:73" s="268" customFormat="1" x14ac:dyDescent="0.25">
      <c r="A307" s="283"/>
      <c r="B307" s="283"/>
      <c r="C307" s="283"/>
      <c r="D307" s="47" t="s">
        <v>153</v>
      </c>
      <c r="E307" s="19"/>
      <c r="F307" s="273"/>
      <c r="G307" s="19"/>
      <c r="J307" s="351"/>
      <c r="K307" s="351"/>
      <c r="L307" s="350"/>
      <c r="M307" s="350"/>
      <c r="N307" s="350"/>
      <c r="O307" s="351"/>
      <c r="P307" s="350"/>
      <c r="Q307" s="351"/>
      <c r="R307" s="351"/>
      <c r="S307" s="351"/>
      <c r="T307" s="351"/>
      <c r="U307" s="351"/>
      <c r="V307" s="351"/>
      <c r="W307" s="292"/>
      <c r="X307" s="292"/>
      <c r="Y307" s="292"/>
      <c r="Z307" s="292"/>
      <c r="AA307" s="292"/>
      <c r="AB307" s="292"/>
      <c r="AC307" s="292"/>
      <c r="AD307" s="291"/>
      <c r="AE307" s="172"/>
      <c r="AF307" s="172"/>
      <c r="AG307" s="28"/>
      <c r="AH307" s="28"/>
      <c r="AJ307" s="284"/>
      <c r="AK307" s="269"/>
      <c r="AL307" s="270"/>
      <c r="AM307" s="270"/>
      <c r="AP307" s="271"/>
      <c r="AU307" s="271"/>
      <c r="AZ307" s="271"/>
      <c r="BE307" s="271"/>
      <c r="BJ307" s="271"/>
      <c r="BK307" s="269"/>
      <c r="BM307" s="272"/>
      <c r="BN307" s="272"/>
      <c r="BO307" s="272"/>
      <c r="BP307" s="272"/>
      <c r="BQ307" s="272"/>
      <c r="BR307" s="272"/>
      <c r="BS307" s="272"/>
      <c r="BT307" s="272"/>
      <c r="BU307" s="272"/>
    </row>
    <row r="308" spans="1:73" s="268" customFormat="1" x14ac:dyDescent="0.25">
      <c r="A308" s="283"/>
      <c r="B308" s="283"/>
      <c r="C308" s="283"/>
      <c r="D308" s="47" t="s">
        <v>154</v>
      </c>
      <c r="E308" s="19"/>
      <c r="F308" s="273"/>
      <c r="G308" s="19"/>
      <c r="J308" s="351"/>
      <c r="K308" s="351"/>
      <c r="L308" s="350"/>
      <c r="M308" s="350"/>
      <c r="N308" s="350"/>
      <c r="O308" s="351"/>
      <c r="P308" s="350"/>
      <c r="Q308" s="351"/>
      <c r="R308" s="351"/>
      <c r="S308" s="351"/>
      <c r="T308" s="351"/>
      <c r="U308" s="351"/>
      <c r="V308" s="351"/>
      <c r="W308" s="292"/>
      <c r="X308" s="292"/>
      <c r="Y308" s="292"/>
      <c r="Z308" s="292"/>
      <c r="AA308" s="292"/>
      <c r="AB308" s="292"/>
      <c r="AC308" s="292"/>
      <c r="AD308" s="291"/>
      <c r="AE308" s="172"/>
      <c r="AF308" s="172"/>
      <c r="AG308" s="28"/>
      <c r="AH308" s="28"/>
      <c r="AJ308" s="284"/>
      <c r="AK308" s="269"/>
      <c r="AL308" s="270"/>
      <c r="AM308" s="270"/>
      <c r="AP308" s="271"/>
      <c r="AU308" s="271"/>
      <c r="AZ308" s="271"/>
      <c r="BE308" s="271"/>
      <c r="BJ308" s="271"/>
      <c r="BK308" s="269"/>
      <c r="BM308" s="272"/>
      <c r="BN308" s="272"/>
      <c r="BO308" s="272"/>
      <c r="BP308" s="272"/>
      <c r="BQ308" s="272"/>
      <c r="BR308" s="272"/>
      <c r="BS308" s="272"/>
      <c r="BT308" s="272"/>
      <c r="BU308" s="272"/>
    </row>
    <row r="309" spans="1:73" s="268" customFormat="1" x14ac:dyDescent="0.25">
      <c r="A309" s="283"/>
      <c r="B309" s="283"/>
      <c r="C309" s="283"/>
      <c r="D309" s="47" t="s">
        <v>155</v>
      </c>
      <c r="E309" s="19"/>
      <c r="F309" s="273"/>
      <c r="G309" s="19"/>
      <c r="J309" s="351"/>
      <c r="K309" s="351"/>
      <c r="L309" s="350"/>
      <c r="M309" s="350"/>
      <c r="N309" s="350"/>
      <c r="O309" s="351"/>
      <c r="P309" s="350"/>
      <c r="Q309" s="351"/>
      <c r="R309" s="351"/>
      <c r="S309" s="351"/>
      <c r="T309" s="351"/>
      <c r="U309" s="351"/>
      <c r="V309" s="351"/>
      <c r="W309" s="292"/>
      <c r="X309" s="292"/>
      <c r="Y309" s="292"/>
      <c r="Z309" s="292"/>
      <c r="AA309" s="292"/>
      <c r="AB309" s="292"/>
      <c r="AC309" s="292"/>
      <c r="AD309" s="291"/>
      <c r="AE309" s="172"/>
      <c r="AF309" s="172"/>
      <c r="AG309" s="28"/>
      <c r="AH309" s="28"/>
      <c r="AJ309" s="284"/>
      <c r="AK309" s="269"/>
      <c r="AL309" s="270"/>
      <c r="AM309" s="270"/>
      <c r="AP309" s="271"/>
      <c r="AU309" s="271"/>
      <c r="AZ309" s="271"/>
      <c r="BE309" s="271"/>
      <c r="BJ309" s="271"/>
      <c r="BK309" s="269"/>
      <c r="BM309" s="272"/>
      <c r="BN309" s="272"/>
      <c r="BO309" s="272"/>
      <c r="BP309" s="272"/>
      <c r="BQ309" s="272"/>
      <c r="BR309" s="272"/>
      <c r="BS309" s="272"/>
      <c r="BT309" s="272"/>
      <c r="BU309" s="272"/>
    </row>
    <row r="310" spans="1:73" s="268" customFormat="1" x14ac:dyDescent="0.25">
      <c r="A310" s="283"/>
      <c r="B310" s="283"/>
      <c r="C310" s="283"/>
      <c r="D310" s="47" t="s">
        <v>166</v>
      </c>
      <c r="E310" s="19"/>
      <c r="F310" s="273"/>
      <c r="G310" s="19"/>
      <c r="J310" s="351"/>
      <c r="K310" s="351"/>
      <c r="L310" s="350"/>
      <c r="M310" s="350"/>
      <c r="N310" s="350"/>
      <c r="O310" s="351"/>
      <c r="P310" s="350"/>
      <c r="Q310" s="351"/>
      <c r="R310" s="351"/>
      <c r="S310" s="351"/>
      <c r="T310" s="351"/>
      <c r="U310" s="351"/>
      <c r="V310" s="351"/>
      <c r="W310" s="292"/>
      <c r="X310" s="292"/>
      <c r="Y310" s="292"/>
      <c r="Z310" s="292"/>
      <c r="AA310" s="292"/>
      <c r="AB310" s="292"/>
      <c r="AC310" s="292"/>
      <c r="AD310" s="291"/>
      <c r="AE310" s="172"/>
      <c r="AF310" s="172"/>
      <c r="AG310" s="28"/>
      <c r="AH310" s="28"/>
      <c r="AJ310" s="284"/>
      <c r="AK310" s="269"/>
      <c r="AL310" s="270"/>
      <c r="AM310" s="270"/>
      <c r="AP310" s="271"/>
      <c r="AU310" s="271"/>
      <c r="AZ310" s="271"/>
      <c r="BE310" s="271"/>
      <c r="BJ310" s="271"/>
      <c r="BK310" s="269"/>
      <c r="BM310" s="272"/>
      <c r="BN310" s="272"/>
      <c r="BO310" s="272"/>
      <c r="BP310" s="272"/>
      <c r="BQ310" s="272"/>
      <c r="BR310" s="272"/>
      <c r="BS310" s="272"/>
      <c r="BT310" s="272"/>
      <c r="BU310" s="272"/>
    </row>
    <row r="311" spans="1:73" s="268" customFormat="1" x14ac:dyDescent="0.25">
      <c r="A311" s="283"/>
      <c r="B311" s="283"/>
      <c r="C311" s="283"/>
      <c r="D311" s="47" t="s">
        <v>156</v>
      </c>
      <c r="E311" s="19"/>
      <c r="F311" s="273"/>
      <c r="G311" s="19"/>
      <c r="J311" s="351"/>
      <c r="K311" s="351"/>
      <c r="L311" s="350"/>
      <c r="M311" s="350"/>
      <c r="N311" s="350"/>
      <c r="O311" s="351"/>
      <c r="P311" s="350"/>
      <c r="Q311" s="351"/>
      <c r="R311" s="351"/>
      <c r="S311" s="351"/>
      <c r="T311" s="351"/>
      <c r="U311" s="351"/>
      <c r="V311" s="351"/>
      <c r="W311" s="292"/>
      <c r="X311" s="292"/>
      <c r="Y311" s="292"/>
      <c r="Z311" s="292"/>
      <c r="AA311" s="292"/>
      <c r="AB311" s="292"/>
      <c r="AC311" s="292"/>
      <c r="AD311" s="291"/>
      <c r="AE311" s="172"/>
      <c r="AF311" s="172"/>
      <c r="AG311" s="28"/>
      <c r="AH311" s="28"/>
      <c r="AJ311" s="284"/>
      <c r="AK311" s="269"/>
      <c r="AL311" s="270"/>
      <c r="AM311" s="270"/>
      <c r="AP311" s="271"/>
      <c r="AU311" s="271"/>
      <c r="AZ311" s="271"/>
      <c r="BE311" s="271"/>
      <c r="BJ311" s="271"/>
      <c r="BK311" s="269"/>
      <c r="BM311" s="272"/>
      <c r="BN311" s="272"/>
      <c r="BO311" s="272"/>
      <c r="BP311" s="272"/>
      <c r="BQ311" s="272"/>
      <c r="BR311" s="272"/>
      <c r="BS311" s="272"/>
      <c r="BT311" s="272"/>
      <c r="BU311" s="272"/>
    </row>
    <row r="312" spans="1:73" s="268" customFormat="1" x14ac:dyDescent="0.25">
      <c r="A312" s="283"/>
      <c r="B312" s="283"/>
      <c r="C312" s="283"/>
      <c r="D312" s="47" t="s">
        <v>128</v>
      </c>
      <c r="E312" s="19"/>
      <c r="F312" s="273"/>
      <c r="G312" s="19"/>
      <c r="J312" s="351"/>
      <c r="K312" s="351"/>
      <c r="L312" s="350"/>
      <c r="M312" s="350"/>
      <c r="N312" s="350"/>
      <c r="O312" s="351"/>
      <c r="P312" s="350"/>
      <c r="Q312" s="351"/>
      <c r="R312" s="351"/>
      <c r="S312" s="351"/>
      <c r="T312" s="351"/>
      <c r="U312" s="351"/>
      <c r="V312" s="351"/>
      <c r="W312" s="292"/>
      <c r="X312" s="292"/>
      <c r="Y312" s="292"/>
      <c r="Z312" s="292"/>
      <c r="AA312" s="292"/>
      <c r="AB312" s="292"/>
      <c r="AC312" s="292"/>
      <c r="AD312" s="291"/>
      <c r="AE312" s="172"/>
      <c r="AF312" s="172"/>
      <c r="AG312" s="28"/>
      <c r="AH312" s="28"/>
      <c r="AJ312" s="284"/>
      <c r="AK312" s="269"/>
      <c r="AL312" s="270"/>
      <c r="AM312" s="270"/>
      <c r="AP312" s="271"/>
      <c r="AU312" s="271"/>
      <c r="AZ312" s="271"/>
      <c r="BE312" s="271"/>
      <c r="BJ312" s="271"/>
      <c r="BK312" s="269"/>
      <c r="BM312" s="272"/>
      <c r="BN312" s="272"/>
      <c r="BO312" s="272"/>
      <c r="BP312" s="272"/>
      <c r="BQ312" s="272"/>
      <c r="BR312" s="272"/>
      <c r="BS312" s="272"/>
      <c r="BT312" s="272"/>
      <c r="BU312" s="272"/>
    </row>
    <row r="313" spans="1:73" s="268" customFormat="1" x14ac:dyDescent="0.25">
      <c r="A313" s="283"/>
      <c r="B313" s="283"/>
      <c r="C313" s="283"/>
      <c r="D313" s="47" t="s">
        <v>157</v>
      </c>
      <c r="E313" s="19"/>
      <c r="F313" s="273"/>
      <c r="G313" s="19"/>
      <c r="J313" s="351"/>
      <c r="K313" s="351"/>
      <c r="L313" s="350"/>
      <c r="M313" s="350"/>
      <c r="N313" s="350"/>
      <c r="O313" s="351"/>
      <c r="P313" s="350"/>
      <c r="Q313" s="351"/>
      <c r="R313" s="351"/>
      <c r="S313" s="351"/>
      <c r="T313" s="351"/>
      <c r="U313" s="351"/>
      <c r="V313" s="351"/>
      <c r="W313" s="292"/>
      <c r="X313" s="292"/>
      <c r="Y313" s="292"/>
      <c r="Z313" s="292"/>
      <c r="AA313" s="292"/>
      <c r="AB313" s="292"/>
      <c r="AC313" s="292"/>
      <c r="AD313" s="291"/>
      <c r="AE313" s="172"/>
      <c r="AF313" s="172"/>
      <c r="AG313" s="28"/>
      <c r="AH313" s="28"/>
      <c r="AJ313" s="284"/>
      <c r="AK313" s="269"/>
      <c r="AL313" s="270"/>
      <c r="AM313" s="270"/>
      <c r="AP313" s="271"/>
      <c r="AU313" s="271"/>
      <c r="AZ313" s="271"/>
      <c r="BE313" s="271"/>
      <c r="BJ313" s="271"/>
      <c r="BK313" s="269"/>
      <c r="BM313" s="272"/>
      <c r="BN313" s="272"/>
      <c r="BO313" s="272"/>
      <c r="BP313" s="272"/>
      <c r="BQ313" s="272"/>
      <c r="BR313" s="272"/>
      <c r="BS313" s="272"/>
      <c r="BT313" s="272"/>
      <c r="BU313" s="272"/>
    </row>
    <row r="314" spans="1:73" s="268" customFormat="1" x14ac:dyDescent="0.25">
      <c r="A314" s="283"/>
      <c r="B314" s="283"/>
      <c r="C314" s="283"/>
      <c r="D314" s="47" t="s">
        <v>122</v>
      </c>
      <c r="E314" s="19"/>
      <c r="F314" s="273"/>
      <c r="G314" s="19"/>
      <c r="J314" s="351"/>
      <c r="K314" s="351"/>
      <c r="L314" s="350"/>
      <c r="M314" s="350"/>
      <c r="N314" s="350"/>
      <c r="O314" s="351"/>
      <c r="P314" s="350"/>
      <c r="Q314" s="351"/>
      <c r="R314" s="351"/>
      <c r="S314" s="351"/>
      <c r="T314" s="351"/>
      <c r="U314" s="351"/>
      <c r="V314" s="351"/>
      <c r="W314" s="292"/>
      <c r="X314" s="292"/>
      <c r="Y314" s="292"/>
      <c r="Z314" s="292"/>
      <c r="AA314" s="292"/>
      <c r="AB314" s="292"/>
      <c r="AC314" s="292"/>
      <c r="AD314" s="291"/>
      <c r="AE314" s="172"/>
      <c r="AF314" s="172"/>
      <c r="AG314" s="28"/>
      <c r="AH314" s="28"/>
      <c r="AJ314" s="284"/>
      <c r="AK314" s="269"/>
      <c r="AL314" s="270"/>
      <c r="AM314" s="270"/>
      <c r="AP314" s="271"/>
      <c r="AU314" s="271"/>
      <c r="AZ314" s="271"/>
      <c r="BE314" s="271"/>
      <c r="BJ314" s="271"/>
      <c r="BK314" s="269"/>
      <c r="BM314" s="272"/>
      <c r="BN314" s="272"/>
      <c r="BO314" s="272"/>
      <c r="BP314" s="272"/>
      <c r="BQ314" s="272"/>
      <c r="BR314" s="272"/>
      <c r="BS314" s="272"/>
      <c r="BT314" s="272"/>
      <c r="BU314" s="272"/>
    </row>
    <row r="315" spans="1:73" s="268" customFormat="1" x14ac:dyDescent="0.25">
      <c r="A315" s="283"/>
      <c r="B315" s="283"/>
      <c r="C315" s="283"/>
      <c r="D315" s="47" t="s">
        <v>233</v>
      </c>
      <c r="E315" s="19"/>
      <c r="F315" s="273"/>
      <c r="G315" s="19"/>
      <c r="J315" s="351"/>
      <c r="K315" s="351"/>
      <c r="L315" s="350"/>
      <c r="M315" s="350"/>
      <c r="N315" s="350"/>
      <c r="O315" s="351"/>
      <c r="P315" s="350"/>
      <c r="Q315" s="351"/>
      <c r="R315" s="351"/>
      <c r="S315" s="351"/>
      <c r="T315" s="351"/>
      <c r="U315" s="351"/>
      <c r="V315" s="351"/>
      <c r="W315" s="292"/>
      <c r="X315" s="292"/>
      <c r="Y315" s="292"/>
      <c r="Z315" s="292"/>
      <c r="AA315" s="292"/>
      <c r="AB315" s="292"/>
      <c r="AC315" s="292"/>
      <c r="AD315" s="291"/>
      <c r="AE315" s="172"/>
      <c r="AF315" s="172"/>
      <c r="AG315" s="28"/>
      <c r="AH315" s="28"/>
      <c r="AJ315" s="284"/>
      <c r="AK315" s="269"/>
      <c r="AL315" s="270"/>
      <c r="AM315" s="270"/>
      <c r="AP315" s="271"/>
      <c r="AU315" s="271"/>
      <c r="AZ315" s="271"/>
      <c r="BE315" s="271"/>
      <c r="BJ315" s="271"/>
      <c r="BK315" s="269"/>
      <c r="BM315" s="272"/>
      <c r="BN315" s="272"/>
      <c r="BO315" s="272"/>
      <c r="BP315" s="272"/>
      <c r="BQ315" s="272"/>
      <c r="BR315" s="272"/>
      <c r="BS315" s="272"/>
      <c r="BT315" s="272"/>
      <c r="BU315" s="272"/>
    </row>
    <row r="316" spans="1:73" s="268" customFormat="1" x14ac:dyDescent="0.25">
      <c r="A316" s="283"/>
      <c r="B316" s="283"/>
      <c r="C316" s="283"/>
      <c r="D316" s="47" t="s">
        <v>174</v>
      </c>
      <c r="E316" s="19"/>
      <c r="F316" s="273"/>
      <c r="G316" s="19"/>
      <c r="J316" s="351"/>
      <c r="K316" s="351"/>
      <c r="L316" s="350"/>
      <c r="M316" s="350"/>
      <c r="N316" s="350"/>
      <c r="O316" s="351"/>
      <c r="P316" s="350"/>
      <c r="Q316" s="351"/>
      <c r="R316" s="351"/>
      <c r="S316" s="351"/>
      <c r="T316" s="351"/>
      <c r="U316" s="351"/>
      <c r="V316" s="351"/>
      <c r="W316" s="292"/>
      <c r="X316" s="292"/>
      <c r="Y316" s="292"/>
      <c r="Z316" s="292"/>
      <c r="AA316" s="292"/>
      <c r="AB316" s="292"/>
      <c r="AC316" s="292"/>
      <c r="AD316" s="291"/>
      <c r="AE316" s="172"/>
      <c r="AF316" s="172"/>
      <c r="AG316" s="28"/>
      <c r="AH316" s="28"/>
      <c r="AJ316" s="284"/>
      <c r="AK316" s="269"/>
      <c r="AL316" s="270"/>
      <c r="AM316" s="270"/>
      <c r="AP316" s="271"/>
      <c r="AU316" s="271"/>
      <c r="AZ316" s="271"/>
      <c r="BE316" s="271"/>
      <c r="BJ316" s="271"/>
      <c r="BK316" s="269"/>
      <c r="BM316" s="272"/>
      <c r="BN316" s="272"/>
      <c r="BO316" s="272"/>
      <c r="BP316" s="272"/>
      <c r="BQ316" s="272"/>
      <c r="BR316" s="272"/>
      <c r="BS316" s="272"/>
      <c r="BT316" s="272"/>
      <c r="BU316" s="272"/>
    </row>
    <row r="317" spans="1:73" s="268" customFormat="1" x14ac:dyDescent="0.25">
      <c r="A317" s="283"/>
      <c r="B317" s="283"/>
      <c r="C317" s="283"/>
      <c r="D317" s="47" t="s">
        <v>175</v>
      </c>
      <c r="E317" s="19"/>
      <c r="F317" s="273"/>
      <c r="G317" s="19"/>
      <c r="J317" s="351"/>
      <c r="K317" s="351"/>
      <c r="L317" s="350"/>
      <c r="M317" s="350"/>
      <c r="N317" s="350"/>
      <c r="O317" s="351"/>
      <c r="P317" s="350"/>
      <c r="Q317" s="351"/>
      <c r="R317" s="351"/>
      <c r="S317" s="351"/>
      <c r="T317" s="351"/>
      <c r="U317" s="351"/>
      <c r="V317" s="351"/>
      <c r="W317" s="292"/>
      <c r="X317" s="292"/>
      <c r="Y317" s="292"/>
      <c r="Z317" s="292"/>
      <c r="AA317" s="292"/>
      <c r="AB317" s="292"/>
      <c r="AC317" s="292"/>
      <c r="AD317" s="291"/>
      <c r="AE317" s="172"/>
      <c r="AF317" s="172"/>
      <c r="AG317" s="28"/>
      <c r="AH317" s="28"/>
      <c r="AJ317" s="284"/>
      <c r="AK317" s="269"/>
      <c r="AL317" s="270"/>
      <c r="AM317" s="270"/>
      <c r="AP317" s="271"/>
      <c r="AU317" s="271"/>
      <c r="AZ317" s="271"/>
      <c r="BE317" s="271"/>
      <c r="BJ317" s="271"/>
      <c r="BK317" s="269"/>
      <c r="BM317" s="272"/>
      <c r="BN317" s="272"/>
      <c r="BO317" s="272"/>
      <c r="BP317" s="272"/>
      <c r="BQ317" s="272"/>
      <c r="BR317" s="272"/>
      <c r="BS317" s="272"/>
      <c r="BT317" s="272"/>
      <c r="BU317" s="272"/>
    </row>
    <row r="318" spans="1:73" s="268" customFormat="1" x14ac:dyDescent="0.25">
      <c r="A318" s="283"/>
      <c r="B318" s="283"/>
      <c r="C318" s="283"/>
      <c r="D318" s="47" t="s">
        <v>238</v>
      </c>
      <c r="E318" s="19"/>
      <c r="F318" s="273"/>
      <c r="G318" s="19"/>
      <c r="J318" s="351"/>
      <c r="K318" s="351"/>
      <c r="L318" s="350"/>
      <c r="M318" s="350"/>
      <c r="N318" s="350"/>
      <c r="O318" s="351"/>
      <c r="P318" s="350"/>
      <c r="Q318" s="351"/>
      <c r="R318" s="351"/>
      <c r="S318" s="351"/>
      <c r="T318" s="351"/>
      <c r="U318" s="351"/>
      <c r="V318" s="351"/>
      <c r="W318" s="292"/>
      <c r="X318" s="292"/>
      <c r="Y318" s="292"/>
      <c r="Z318" s="292"/>
      <c r="AA318" s="292"/>
      <c r="AB318" s="292"/>
      <c r="AC318" s="292"/>
      <c r="AD318" s="291"/>
      <c r="AE318" s="172"/>
      <c r="AF318" s="172"/>
      <c r="AG318" s="28"/>
      <c r="AH318" s="28"/>
      <c r="AJ318" s="284"/>
      <c r="AK318" s="269"/>
      <c r="AL318" s="270"/>
      <c r="AM318" s="270"/>
      <c r="AP318" s="271"/>
      <c r="AU318" s="271"/>
      <c r="AZ318" s="271"/>
      <c r="BE318" s="271"/>
      <c r="BJ318" s="271"/>
      <c r="BK318" s="269"/>
      <c r="BM318" s="272"/>
      <c r="BN318" s="272"/>
      <c r="BO318" s="272"/>
      <c r="BP318" s="272"/>
      <c r="BQ318" s="272"/>
      <c r="BR318" s="272"/>
      <c r="BS318" s="272"/>
      <c r="BT318" s="272"/>
      <c r="BU318" s="272"/>
    </row>
    <row r="319" spans="1:73" s="268" customFormat="1" x14ac:dyDescent="0.25">
      <c r="A319" s="283"/>
      <c r="B319" s="283"/>
      <c r="C319" s="283"/>
      <c r="D319" s="47" t="s">
        <v>164</v>
      </c>
      <c r="E319" s="19"/>
      <c r="F319" s="273"/>
      <c r="G319" s="19"/>
      <c r="J319" s="351"/>
      <c r="K319" s="351"/>
      <c r="L319" s="350"/>
      <c r="M319" s="350"/>
      <c r="N319" s="350"/>
      <c r="O319" s="351"/>
      <c r="P319" s="350"/>
      <c r="Q319" s="351"/>
      <c r="R319" s="351"/>
      <c r="S319" s="351"/>
      <c r="T319" s="351"/>
      <c r="U319" s="351"/>
      <c r="V319" s="351"/>
      <c r="W319" s="292"/>
      <c r="X319" s="292"/>
      <c r="Y319" s="292"/>
      <c r="Z319" s="292"/>
      <c r="AA319" s="292"/>
      <c r="AB319" s="292"/>
      <c r="AC319" s="292"/>
      <c r="AD319" s="291"/>
      <c r="AE319" s="172"/>
      <c r="AF319" s="172"/>
      <c r="AG319" s="28"/>
      <c r="AH319" s="28"/>
      <c r="AJ319" s="284"/>
      <c r="AK319" s="269"/>
      <c r="AL319" s="270"/>
      <c r="AM319" s="270"/>
      <c r="AP319" s="271"/>
      <c r="AU319" s="271"/>
      <c r="AZ319" s="271"/>
      <c r="BE319" s="271"/>
      <c r="BJ319" s="271"/>
      <c r="BK319" s="269"/>
      <c r="BM319" s="272"/>
      <c r="BN319" s="272"/>
      <c r="BO319" s="272"/>
      <c r="BP319" s="272"/>
      <c r="BQ319" s="272"/>
      <c r="BR319" s="272"/>
      <c r="BS319" s="272"/>
      <c r="BT319" s="272"/>
      <c r="BU319" s="272"/>
    </row>
    <row r="320" spans="1:73" s="268" customFormat="1" x14ac:dyDescent="0.25">
      <c r="A320" s="283"/>
      <c r="B320" s="283"/>
      <c r="C320" s="283"/>
      <c r="D320" s="47" t="s">
        <v>165</v>
      </c>
      <c r="E320" s="19"/>
      <c r="F320" s="273"/>
      <c r="G320" s="19"/>
      <c r="J320" s="351"/>
      <c r="K320" s="351"/>
      <c r="L320" s="350"/>
      <c r="M320" s="350"/>
      <c r="N320" s="350"/>
      <c r="O320" s="351"/>
      <c r="P320" s="350"/>
      <c r="Q320" s="351"/>
      <c r="R320" s="351"/>
      <c r="S320" s="351"/>
      <c r="T320" s="351"/>
      <c r="U320" s="351"/>
      <c r="V320" s="351"/>
      <c r="W320" s="292"/>
      <c r="X320" s="292"/>
      <c r="Y320" s="292"/>
      <c r="Z320" s="292"/>
      <c r="AA320" s="292"/>
      <c r="AB320" s="292"/>
      <c r="AC320" s="292"/>
      <c r="AD320" s="291"/>
      <c r="AE320" s="172"/>
      <c r="AF320" s="172"/>
      <c r="AG320" s="28"/>
      <c r="AH320" s="28"/>
      <c r="AJ320" s="284"/>
      <c r="AK320" s="269"/>
      <c r="AL320" s="270"/>
      <c r="AM320" s="270"/>
      <c r="AP320" s="271"/>
      <c r="AU320" s="271"/>
      <c r="AZ320" s="271"/>
      <c r="BE320" s="271"/>
      <c r="BJ320" s="271"/>
      <c r="BK320" s="269"/>
      <c r="BM320" s="272"/>
      <c r="BN320" s="272"/>
      <c r="BO320" s="272"/>
      <c r="BP320" s="272"/>
      <c r="BQ320" s="272"/>
      <c r="BR320" s="272"/>
      <c r="BS320" s="272"/>
      <c r="BT320" s="272"/>
      <c r="BU320" s="272"/>
    </row>
    <row r="321" spans="1:73" s="268" customFormat="1" x14ac:dyDescent="0.25">
      <c r="A321" s="283"/>
      <c r="B321" s="283"/>
      <c r="C321" s="283"/>
      <c r="D321" s="19" t="s">
        <v>167</v>
      </c>
      <c r="E321" s="19"/>
      <c r="F321" s="273"/>
      <c r="G321" s="19"/>
      <c r="J321" s="351"/>
      <c r="K321" s="351"/>
      <c r="L321" s="350"/>
      <c r="M321" s="350"/>
      <c r="N321" s="350"/>
      <c r="O321" s="351"/>
      <c r="P321" s="350"/>
      <c r="Q321" s="351"/>
      <c r="R321" s="351"/>
      <c r="S321" s="351"/>
      <c r="T321" s="351"/>
      <c r="U321" s="351"/>
      <c r="V321" s="351"/>
      <c r="W321" s="292"/>
      <c r="X321" s="292"/>
      <c r="Y321" s="292"/>
      <c r="Z321" s="292"/>
      <c r="AA321" s="292"/>
      <c r="AB321" s="292"/>
      <c r="AC321" s="292"/>
      <c r="AD321" s="291"/>
      <c r="AE321" s="172"/>
      <c r="AF321" s="172"/>
      <c r="AG321" s="28"/>
      <c r="AH321" s="28"/>
      <c r="AJ321" s="284"/>
      <c r="AK321" s="269"/>
      <c r="AL321" s="270"/>
      <c r="AM321" s="270"/>
      <c r="AP321" s="271"/>
      <c r="AU321" s="271"/>
      <c r="AZ321" s="271"/>
      <c r="BE321" s="271"/>
      <c r="BJ321" s="271"/>
      <c r="BK321" s="269"/>
      <c r="BM321" s="272"/>
      <c r="BN321" s="272"/>
      <c r="BO321" s="272"/>
      <c r="BP321" s="272"/>
      <c r="BQ321" s="272"/>
      <c r="BR321" s="272"/>
      <c r="BS321" s="272"/>
      <c r="BT321" s="272"/>
      <c r="BU321" s="272"/>
    </row>
    <row r="322" spans="1:73" s="268" customFormat="1" x14ac:dyDescent="0.25">
      <c r="A322" s="283"/>
      <c r="B322" s="283"/>
      <c r="C322" s="283"/>
      <c r="D322" s="47"/>
      <c r="E322" s="19"/>
      <c r="F322" s="47"/>
      <c r="G322" s="19"/>
      <c r="J322" s="350"/>
      <c r="K322" s="351"/>
      <c r="L322" s="350"/>
      <c r="M322" s="350"/>
      <c r="N322" s="350"/>
      <c r="O322" s="351"/>
      <c r="P322" s="350"/>
      <c r="Q322" s="351"/>
      <c r="R322" s="351"/>
      <c r="S322" s="351"/>
      <c r="T322" s="422"/>
      <c r="U322" s="351"/>
      <c r="V322" s="351"/>
      <c r="W322" s="292"/>
      <c r="X322" s="292"/>
      <c r="Y322" s="292"/>
      <c r="Z322" s="292"/>
      <c r="AA322" s="292"/>
      <c r="AB322" s="292"/>
      <c r="AC322" s="292"/>
      <c r="AD322" s="291"/>
      <c r="AE322" s="172"/>
      <c r="AF322" s="172"/>
      <c r="AG322" s="28"/>
      <c r="AH322" s="28"/>
      <c r="AJ322" s="284"/>
      <c r="AK322" s="269"/>
      <c r="AL322" s="270"/>
      <c r="AM322" s="270"/>
      <c r="AP322" s="271"/>
      <c r="AU322" s="271"/>
      <c r="AZ322" s="271"/>
      <c r="BE322" s="271"/>
      <c r="BJ322" s="271"/>
      <c r="BK322" s="269"/>
      <c r="BM322" s="272"/>
      <c r="BN322" s="272"/>
      <c r="BO322" s="272"/>
      <c r="BP322" s="272"/>
      <c r="BQ322" s="272"/>
      <c r="BR322" s="272"/>
      <c r="BS322" s="272"/>
      <c r="BT322" s="272"/>
      <c r="BU322" s="272"/>
    </row>
    <row r="323" spans="1:73" s="268" customFormat="1" x14ac:dyDescent="0.25">
      <c r="A323" s="283"/>
      <c r="B323" s="283"/>
      <c r="C323" s="283"/>
      <c r="D323" s="47" t="s">
        <v>153</v>
      </c>
      <c r="E323" s="19"/>
      <c r="F323" s="274">
        <v>0.25</v>
      </c>
      <c r="G323" s="275">
        <v>1262</v>
      </c>
      <c r="H323" s="268">
        <f>AO6</f>
        <v>8.7692307692307701</v>
      </c>
      <c r="J323" s="351"/>
      <c r="K323" s="351"/>
      <c r="L323" s="350"/>
      <c r="M323" s="350"/>
      <c r="N323" s="350">
        <f>SUM(10013/H323)</f>
        <v>1142</v>
      </c>
      <c r="O323" s="351"/>
      <c r="P323" s="350"/>
      <c r="Q323" s="351"/>
      <c r="R323" s="351"/>
      <c r="S323" s="351"/>
      <c r="T323" s="422"/>
      <c r="U323" s="351"/>
      <c r="V323" s="351"/>
      <c r="W323" s="292"/>
      <c r="X323" s="292"/>
      <c r="Y323" s="292"/>
      <c r="Z323" s="292"/>
      <c r="AA323" s="292"/>
      <c r="AB323" s="292"/>
      <c r="AC323" s="292"/>
      <c r="AD323" s="291"/>
      <c r="AE323" s="172"/>
      <c r="AF323" s="172"/>
      <c r="AG323" s="28"/>
      <c r="AH323" s="28"/>
      <c r="AJ323" s="284"/>
      <c r="AK323" s="269"/>
      <c r="AL323" s="270"/>
      <c r="AM323" s="270"/>
      <c r="AP323" s="271"/>
      <c r="AU323" s="271"/>
      <c r="AZ323" s="271"/>
      <c r="BE323" s="271"/>
      <c r="BJ323" s="271"/>
      <c r="BK323" s="269"/>
      <c r="BM323" s="272"/>
      <c r="BN323" s="272"/>
      <c r="BO323" s="272"/>
      <c r="BP323" s="272"/>
      <c r="BQ323" s="272"/>
      <c r="BR323" s="272"/>
      <c r="BS323" s="272"/>
      <c r="BT323" s="272"/>
      <c r="BU323" s="272"/>
    </row>
    <row r="324" spans="1:73" s="268" customFormat="1" x14ac:dyDescent="0.25">
      <c r="A324" s="283"/>
      <c r="B324" s="283"/>
      <c r="C324" s="283"/>
      <c r="D324" s="47" t="s">
        <v>154</v>
      </c>
      <c r="E324" s="19"/>
      <c r="F324" s="274">
        <v>0.315</v>
      </c>
      <c r="G324" s="275">
        <v>1107</v>
      </c>
      <c r="H324" s="268">
        <f>$AO$7</f>
        <v>12</v>
      </c>
      <c r="J324" s="351"/>
      <c r="K324" s="351"/>
      <c r="L324" s="350"/>
      <c r="M324" s="350"/>
      <c r="N324" s="350"/>
      <c r="O324" s="351"/>
      <c r="P324" s="350"/>
      <c r="Q324" s="351"/>
      <c r="R324" s="351"/>
      <c r="S324" s="351"/>
      <c r="T324" s="351"/>
      <c r="U324" s="351"/>
      <c r="V324" s="351"/>
      <c r="W324" s="292"/>
      <c r="X324" s="292"/>
      <c r="Y324" s="292"/>
      <c r="Z324" s="292"/>
      <c r="AA324" s="292"/>
      <c r="AB324" s="292"/>
      <c r="AC324" s="292"/>
      <c r="AD324" s="291"/>
      <c r="AE324" s="172"/>
      <c r="AF324" s="172"/>
      <c r="AG324" s="28"/>
      <c r="AH324" s="28"/>
      <c r="AJ324" s="284"/>
      <c r="AK324" s="269"/>
      <c r="AL324" s="270"/>
      <c r="AM324" s="270"/>
      <c r="AP324" s="271"/>
      <c r="AU324" s="271"/>
      <c r="AZ324" s="271"/>
      <c r="BE324" s="271"/>
      <c r="BJ324" s="271"/>
      <c r="BK324" s="269"/>
      <c r="BM324" s="272"/>
      <c r="BN324" s="272"/>
      <c r="BO324" s="272"/>
      <c r="BP324" s="272"/>
      <c r="BQ324" s="272"/>
      <c r="BR324" s="272"/>
      <c r="BS324" s="272"/>
      <c r="BT324" s="272"/>
      <c r="BU324" s="272"/>
    </row>
    <row r="325" spans="1:73" s="268" customFormat="1" x14ac:dyDescent="0.25">
      <c r="A325" s="283"/>
      <c r="B325" s="283"/>
      <c r="C325" s="283"/>
      <c r="D325" s="47" t="s">
        <v>155</v>
      </c>
      <c r="E325" s="19"/>
      <c r="F325" s="274">
        <v>0.315</v>
      </c>
      <c r="G325" s="275">
        <v>1107</v>
      </c>
      <c r="H325" s="268">
        <f>$AO$7</f>
        <v>12</v>
      </c>
      <c r="J325" s="351"/>
      <c r="K325" s="351"/>
      <c r="L325" s="350"/>
      <c r="M325" s="350"/>
      <c r="N325" s="350">
        <f>SUM(1054*1.08769230769)</f>
        <v>1146</v>
      </c>
      <c r="O325" s="351"/>
      <c r="P325" s="350"/>
      <c r="Q325" s="351"/>
      <c r="R325" s="351"/>
      <c r="S325" s="351"/>
      <c r="T325" s="422"/>
      <c r="U325" s="351"/>
      <c r="V325" s="351"/>
      <c r="W325" s="292"/>
      <c r="X325" s="292"/>
      <c r="Y325" s="292"/>
      <c r="Z325" s="292"/>
      <c r="AA325" s="292"/>
      <c r="AB325" s="292"/>
      <c r="AC325" s="292"/>
      <c r="AD325" s="291"/>
      <c r="AE325" s="172"/>
      <c r="AF325" s="172"/>
      <c r="AG325" s="28"/>
      <c r="AH325" s="28"/>
      <c r="AJ325" s="284"/>
      <c r="AK325" s="269"/>
      <c r="AL325" s="270"/>
      <c r="AM325" s="270"/>
      <c r="AP325" s="271"/>
      <c r="AU325" s="271"/>
      <c r="AZ325" s="271"/>
      <c r="BE325" s="271"/>
      <c r="BJ325" s="271"/>
      <c r="BK325" s="269"/>
      <c r="BM325" s="272"/>
      <c r="BN325" s="272"/>
      <c r="BO325" s="272"/>
      <c r="BP325" s="272"/>
      <c r="BQ325" s="272"/>
      <c r="BR325" s="272"/>
      <c r="BS325" s="272"/>
      <c r="BT325" s="272"/>
      <c r="BU325" s="272"/>
    </row>
    <row r="326" spans="1:73" s="268" customFormat="1" x14ac:dyDescent="0.25">
      <c r="A326" s="283"/>
      <c r="B326" s="283"/>
      <c r="C326" s="283"/>
      <c r="D326" s="47" t="s">
        <v>166</v>
      </c>
      <c r="E326" s="19"/>
      <c r="F326" s="274">
        <v>0.25</v>
      </c>
      <c r="G326" s="275">
        <v>1262</v>
      </c>
      <c r="H326" s="268">
        <f>AO6</f>
        <v>8.7692307692307701</v>
      </c>
      <c r="J326" s="351"/>
      <c r="K326" s="351"/>
      <c r="L326" s="350"/>
      <c r="M326" s="350"/>
      <c r="N326" s="350">
        <f>SUM(1080*1.08169230769)</f>
        <v>1168</v>
      </c>
      <c r="O326" s="351"/>
      <c r="P326" s="350"/>
      <c r="Q326" s="351"/>
      <c r="R326" s="351">
        <f>N326*8.77</f>
        <v>10243</v>
      </c>
      <c r="S326" s="351"/>
      <c r="T326" s="422"/>
      <c r="U326" s="351"/>
      <c r="V326" s="351"/>
      <c r="W326" s="292"/>
      <c r="X326" s="292"/>
      <c r="Y326" s="292"/>
      <c r="Z326" s="292"/>
      <c r="AA326" s="292"/>
      <c r="AB326" s="292"/>
      <c r="AC326" s="292"/>
      <c r="AD326" s="291"/>
      <c r="AE326" s="172"/>
      <c r="AF326" s="172"/>
      <c r="AG326" s="28"/>
      <c r="AH326" s="28"/>
      <c r="AJ326" s="284"/>
      <c r="AK326" s="269"/>
      <c r="AL326" s="270"/>
      <c r="AM326" s="270"/>
      <c r="AP326" s="271"/>
      <c r="AU326" s="271"/>
      <c r="AZ326" s="271"/>
      <c r="BE326" s="271"/>
      <c r="BJ326" s="271"/>
      <c r="BK326" s="269"/>
      <c r="BM326" s="272"/>
      <c r="BN326" s="272"/>
      <c r="BO326" s="272"/>
      <c r="BP326" s="272"/>
      <c r="BQ326" s="272"/>
      <c r="BR326" s="272"/>
      <c r="BS326" s="272"/>
      <c r="BT326" s="272"/>
      <c r="BU326" s="272"/>
    </row>
    <row r="327" spans="1:73" s="268" customFormat="1" x14ac:dyDescent="0.25">
      <c r="A327" s="283"/>
      <c r="B327" s="283"/>
      <c r="C327" s="283"/>
      <c r="D327" s="47" t="s">
        <v>156</v>
      </c>
      <c r="E327" s="19"/>
      <c r="F327" s="274">
        <v>0.315</v>
      </c>
      <c r="G327" s="275">
        <v>1107</v>
      </c>
      <c r="H327" s="268">
        <f>$AO$7</f>
        <v>12</v>
      </c>
      <c r="J327" s="351"/>
      <c r="K327" s="351"/>
      <c r="L327" s="350"/>
      <c r="M327" s="350"/>
      <c r="N327" s="350"/>
      <c r="O327" s="351"/>
      <c r="P327" s="350"/>
      <c r="Q327" s="351"/>
      <c r="R327" s="351"/>
      <c r="S327" s="351"/>
      <c r="T327" s="422"/>
      <c r="U327" s="351"/>
      <c r="V327" s="351"/>
      <c r="W327" s="292"/>
      <c r="X327" s="292"/>
      <c r="Y327" s="292"/>
      <c r="Z327" s="292"/>
      <c r="AA327" s="292"/>
      <c r="AB327" s="292"/>
      <c r="AC327" s="292"/>
      <c r="AD327" s="291"/>
      <c r="AE327" s="172"/>
      <c r="AF327" s="172"/>
      <c r="AG327" s="28"/>
      <c r="AH327" s="28"/>
      <c r="AJ327" s="284"/>
      <c r="AK327" s="269"/>
      <c r="AL327" s="270"/>
      <c r="AM327" s="270"/>
      <c r="AP327" s="271"/>
      <c r="AU327" s="271"/>
      <c r="AZ327" s="271"/>
      <c r="BE327" s="271"/>
      <c r="BJ327" s="271"/>
      <c r="BK327" s="269"/>
      <c r="BM327" s="272"/>
      <c r="BN327" s="272"/>
      <c r="BO327" s="272"/>
      <c r="BP327" s="272"/>
      <c r="BQ327" s="272"/>
      <c r="BR327" s="272"/>
      <c r="BS327" s="272"/>
      <c r="BT327" s="272"/>
      <c r="BU327" s="272"/>
    </row>
    <row r="328" spans="1:73" s="268" customFormat="1" x14ac:dyDescent="0.25">
      <c r="A328" s="283"/>
      <c r="B328" s="283"/>
      <c r="C328" s="283"/>
      <c r="D328" s="47" t="s">
        <v>128</v>
      </c>
      <c r="E328" s="19"/>
      <c r="F328" s="274">
        <v>0</v>
      </c>
      <c r="G328" s="275">
        <v>1107</v>
      </c>
      <c r="H328" s="268">
        <f>$AO$7</f>
        <v>12</v>
      </c>
      <c r="J328" s="351"/>
      <c r="K328" s="351"/>
      <c r="L328" s="350"/>
      <c r="M328" s="350"/>
      <c r="N328" s="350"/>
      <c r="O328" s="351"/>
      <c r="P328" s="350"/>
      <c r="Q328" s="351"/>
      <c r="R328" s="351"/>
      <c r="S328" s="351"/>
      <c r="T328" s="422"/>
      <c r="U328" s="351"/>
      <c r="V328" s="351"/>
      <c r="W328" s="292"/>
      <c r="X328" s="292"/>
      <c r="Y328" s="292"/>
      <c r="Z328" s="292"/>
      <c r="AA328" s="292"/>
      <c r="AB328" s="292"/>
      <c r="AC328" s="292"/>
      <c r="AD328" s="291"/>
      <c r="AE328" s="172"/>
      <c r="AF328" s="172"/>
      <c r="AG328" s="28"/>
      <c r="AH328" s="28"/>
      <c r="AJ328" s="284"/>
      <c r="AK328" s="269"/>
      <c r="AL328" s="270"/>
      <c r="AM328" s="270"/>
      <c r="AP328" s="271"/>
      <c r="AU328" s="271"/>
      <c r="AZ328" s="271"/>
      <c r="BE328" s="271"/>
      <c r="BJ328" s="271"/>
      <c r="BK328" s="269"/>
      <c r="BM328" s="272"/>
      <c r="BN328" s="272"/>
      <c r="BO328" s="272"/>
      <c r="BP328" s="272"/>
      <c r="BQ328" s="272"/>
      <c r="BR328" s="272"/>
      <c r="BS328" s="272"/>
      <c r="BT328" s="272"/>
      <c r="BU328" s="272"/>
    </row>
    <row r="329" spans="1:73" s="268" customFormat="1" x14ac:dyDescent="0.25">
      <c r="A329" s="283"/>
      <c r="B329" s="283"/>
      <c r="C329" s="283"/>
      <c r="D329" s="47" t="s">
        <v>157</v>
      </c>
      <c r="E329" s="19"/>
      <c r="F329" s="274">
        <v>0.315</v>
      </c>
      <c r="G329" s="275">
        <v>1107</v>
      </c>
      <c r="H329" s="268">
        <f>$AO$7</f>
        <v>12</v>
      </c>
      <c r="J329" s="351"/>
      <c r="K329" s="351"/>
      <c r="L329" s="350"/>
      <c r="M329" s="350"/>
      <c r="N329" s="350">
        <f>1042*12</f>
        <v>12504</v>
      </c>
      <c r="O329" s="351"/>
      <c r="P329" s="350"/>
      <c r="Q329" s="351"/>
      <c r="R329" s="351"/>
      <c r="S329" s="351"/>
      <c r="T329" s="422"/>
      <c r="U329" s="351"/>
      <c r="V329" s="351"/>
      <c r="W329" s="292"/>
      <c r="X329" s="292"/>
      <c r="Y329" s="292"/>
      <c r="Z329" s="292"/>
      <c r="AA329" s="292"/>
      <c r="AB329" s="292"/>
      <c r="AC329" s="292"/>
      <c r="AD329" s="291"/>
      <c r="AE329" s="172"/>
      <c r="AF329" s="172"/>
      <c r="AG329" s="28"/>
      <c r="AH329" s="28"/>
      <c r="AJ329" s="284"/>
      <c r="AK329" s="269"/>
      <c r="AL329" s="270"/>
      <c r="AM329" s="270"/>
      <c r="AP329" s="271"/>
      <c r="AU329" s="271"/>
      <c r="AZ329" s="271"/>
      <c r="BE329" s="271"/>
      <c r="BJ329" s="271"/>
      <c r="BK329" s="269"/>
      <c r="BM329" s="272"/>
      <c r="BN329" s="272"/>
      <c r="BO329" s="272"/>
      <c r="BP329" s="272"/>
      <c r="BQ329" s="272"/>
      <c r="BR329" s="272"/>
      <c r="BS329" s="272"/>
      <c r="BT329" s="272"/>
      <c r="BU329" s="272"/>
    </row>
    <row r="330" spans="1:73" s="268" customFormat="1" x14ac:dyDescent="0.25">
      <c r="A330" s="283"/>
      <c r="B330" s="283"/>
      <c r="C330" s="283"/>
      <c r="D330" s="47" t="s">
        <v>122</v>
      </c>
      <c r="E330" s="19"/>
      <c r="F330" s="274">
        <v>0.315</v>
      </c>
      <c r="G330" s="275">
        <v>1107</v>
      </c>
      <c r="H330" s="268">
        <f>$AO$7</f>
        <v>12</v>
      </c>
      <c r="J330" s="351"/>
      <c r="K330" s="351"/>
      <c r="L330" s="350"/>
      <c r="M330" s="350"/>
      <c r="N330" s="350"/>
      <c r="O330" s="351"/>
      <c r="P330" s="350"/>
      <c r="Q330" s="351"/>
      <c r="R330" s="351"/>
      <c r="S330" s="351"/>
      <c r="T330" s="422"/>
      <c r="U330" s="351"/>
      <c r="V330" s="351"/>
      <c r="W330" s="292"/>
      <c r="X330" s="292"/>
      <c r="Y330" s="292"/>
      <c r="Z330" s="292"/>
      <c r="AA330" s="292"/>
      <c r="AB330" s="292"/>
      <c r="AC330" s="292"/>
      <c r="AD330" s="291"/>
      <c r="AE330" s="172"/>
      <c r="AF330" s="172"/>
      <c r="AG330" s="28"/>
      <c r="AH330" s="28"/>
      <c r="AJ330" s="284"/>
      <c r="AK330" s="269"/>
      <c r="AL330" s="270"/>
      <c r="AM330" s="270"/>
      <c r="AP330" s="271"/>
      <c r="AU330" s="271"/>
      <c r="AZ330" s="271"/>
      <c r="BE330" s="271"/>
      <c r="BJ330" s="271"/>
      <c r="BK330" s="269"/>
      <c r="BM330" s="272"/>
      <c r="BN330" s="272"/>
      <c r="BO330" s="272"/>
      <c r="BP330" s="272"/>
      <c r="BQ330" s="272"/>
      <c r="BR330" s="272"/>
      <c r="BS330" s="272"/>
      <c r="BT330" s="272"/>
      <c r="BU330" s="272"/>
    </row>
    <row r="331" spans="1:73" s="268" customFormat="1" x14ac:dyDescent="0.25">
      <c r="A331" s="283"/>
      <c r="B331" s="283"/>
      <c r="C331" s="283"/>
      <c r="D331" s="47" t="s">
        <v>233</v>
      </c>
      <c r="E331" s="19"/>
      <c r="F331" s="274">
        <v>0.28899999999999998</v>
      </c>
      <c r="G331" s="275">
        <v>1107</v>
      </c>
      <c r="H331" s="268">
        <f>$AO$7</f>
        <v>12</v>
      </c>
      <c r="J331" s="351"/>
      <c r="K331" s="351"/>
      <c r="L331" s="350"/>
      <c r="M331" s="350"/>
      <c r="N331" s="350">
        <f>12*1080</f>
        <v>12960</v>
      </c>
      <c r="O331" s="351"/>
      <c r="P331" s="350"/>
      <c r="Q331" s="351"/>
      <c r="R331" s="351"/>
      <c r="S331" s="351"/>
      <c r="T331" s="422"/>
      <c r="U331" s="351"/>
      <c r="V331" s="351"/>
      <c r="W331" s="292"/>
      <c r="X331" s="292"/>
      <c r="Y331" s="292"/>
      <c r="Z331" s="292"/>
      <c r="AA331" s="292"/>
      <c r="AB331" s="292"/>
      <c r="AC331" s="292"/>
      <c r="AD331" s="291"/>
      <c r="AE331" s="172"/>
      <c r="AF331" s="172"/>
      <c r="AG331" s="28"/>
      <c r="AH331" s="28"/>
      <c r="AJ331" s="284"/>
      <c r="AK331" s="269"/>
      <c r="AL331" s="270"/>
      <c r="AM331" s="270"/>
      <c r="AP331" s="271"/>
      <c r="AU331" s="271"/>
      <c r="AZ331" s="271"/>
      <c r="BE331" s="271"/>
      <c r="BJ331" s="271"/>
      <c r="BK331" s="269"/>
      <c r="BM331" s="272"/>
      <c r="BN331" s="272"/>
      <c r="BO331" s="272"/>
      <c r="BP331" s="272"/>
      <c r="BQ331" s="272"/>
      <c r="BR331" s="272"/>
      <c r="BS331" s="272"/>
      <c r="BT331" s="272"/>
      <c r="BU331" s="272"/>
    </row>
    <row r="332" spans="1:73" s="268" customFormat="1" x14ac:dyDescent="0.25">
      <c r="A332" s="283"/>
      <c r="B332" s="283"/>
      <c r="C332" s="283"/>
      <c r="D332" s="47" t="s">
        <v>174</v>
      </c>
      <c r="E332" s="19"/>
      <c r="F332" s="274">
        <v>2.9000000000000001E-2</v>
      </c>
      <c r="G332" s="275">
        <v>0</v>
      </c>
      <c r="H332" s="268">
        <v>9</v>
      </c>
      <c r="J332" s="351"/>
      <c r="K332" s="351"/>
      <c r="L332" s="350"/>
      <c r="M332" s="350"/>
      <c r="N332" s="350">
        <f>SUM(G323*H323)</f>
        <v>11067</v>
      </c>
      <c r="O332" s="351"/>
      <c r="P332" s="350"/>
      <c r="Q332" s="351"/>
      <c r="R332" s="351"/>
      <c r="S332" s="351"/>
      <c r="T332" s="422"/>
      <c r="U332" s="351"/>
      <c r="V332" s="351"/>
      <c r="W332" s="292"/>
      <c r="X332" s="292"/>
      <c r="Y332" s="292"/>
      <c r="Z332" s="292"/>
      <c r="AA332" s="292"/>
      <c r="AB332" s="292"/>
      <c r="AC332" s="292"/>
      <c r="AD332" s="291"/>
      <c r="AE332" s="172"/>
      <c r="AF332" s="172"/>
      <c r="AG332" s="28"/>
      <c r="AH332" s="28"/>
      <c r="AJ332" s="284"/>
      <c r="AK332" s="269"/>
      <c r="AL332" s="270"/>
      <c r="AM332" s="270"/>
      <c r="AP332" s="271"/>
      <c r="AU332" s="271"/>
      <c r="AZ332" s="271"/>
      <c r="BE332" s="271"/>
      <c r="BJ332" s="271"/>
      <c r="BK332" s="269"/>
      <c r="BM332" s="272"/>
      <c r="BN332" s="272"/>
      <c r="BO332" s="272"/>
      <c r="BP332" s="272"/>
      <c r="BQ332" s="272"/>
      <c r="BR332" s="272"/>
      <c r="BS332" s="272"/>
      <c r="BT332" s="272"/>
      <c r="BU332" s="272"/>
    </row>
    <row r="333" spans="1:73" s="268" customFormat="1" x14ac:dyDescent="0.25">
      <c r="A333" s="283"/>
      <c r="B333" s="283"/>
      <c r="C333" s="283"/>
      <c r="D333" s="47" t="s">
        <v>175</v>
      </c>
      <c r="E333" s="19"/>
      <c r="F333" s="274">
        <v>0.109</v>
      </c>
      <c r="G333" s="275">
        <v>0</v>
      </c>
      <c r="H333" s="268">
        <v>9</v>
      </c>
      <c r="J333" s="351"/>
      <c r="K333" s="351"/>
      <c r="L333" s="350"/>
      <c r="M333" s="350"/>
      <c r="N333" s="350">
        <f>SUM(N334/H323)</f>
        <v>1232</v>
      </c>
      <c r="O333" s="351"/>
      <c r="P333" s="350"/>
      <c r="Q333" s="351"/>
      <c r="R333" s="351"/>
      <c r="S333" s="351"/>
      <c r="T333" s="422"/>
      <c r="U333" s="351"/>
      <c r="V333" s="351"/>
      <c r="W333" s="292"/>
      <c r="X333" s="292"/>
      <c r="Y333" s="292"/>
      <c r="Z333" s="292"/>
      <c r="AA333" s="292"/>
      <c r="AB333" s="292"/>
      <c r="AC333" s="292"/>
      <c r="AD333" s="291"/>
      <c r="AE333" s="172"/>
      <c r="AF333" s="172"/>
      <c r="AG333" s="28"/>
      <c r="AH333" s="28"/>
      <c r="AJ333" s="284"/>
      <c r="AK333" s="269"/>
      <c r="AL333" s="270"/>
      <c r="AM333" s="270"/>
      <c r="AP333" s="271"/>
      <c r="AU333" s="271"/>
      <c r="AZ333" s="271"/>
      <c r="BE333" s="271"/>
      <c r="BJ333" s="271"/>
      <c r="BK333" s="269"/>
      <c r="BM333" s="272"/>
      <c r="BN333" s="272"/>
      <c r="BO333" s="272"/>
      <c r="BP333" s="272"/>
      <c r="BQ333" s="272"/>
      <c r="BR333" s="272"/>
      <c r="BS333" s="272"/>
      <c r="BT333" s="272"/>
      <c r="BU333" s="272"/>
    </row>
    <row r="334" spans="1:73" s="268" customFormat="1" x14ac:dyDescent="0.25">
      <c r="A334" s="283"/>
      <c r="B334" s="283"/>
      <c r="C334" s="283"/>
      <c r="D334" s="47" t="s">
        <v>237</v>
      </c>
      <c r="E334" s="19"/>
      <c r="F334" s="274">
        <v>0.2</v>
      </c>
      <c r="G334" s="275">
        <v>0</v>
      </c>
      <c r="J334" s="351"/>
      <c r="K334" s="351"/>
      <c r="L334" s="350"/>
      <c r="M334" s="350"/>
      <c r="N334" s="350">
        <v>10800</v>
      </c>
      <c r="O334" s="351"/>
      <c r="P334" s="350"/>
      <c r="Q334" s="351"/>
      <c r="R334" s="351"/>
      <c r="S334" s="351"/>
      <c r="T334" s="422"/>
      <c r="U334" s="351"/>
      <c r="V334" s="351"/>
      <c r="W334" s="292"/>
      <c r="X334" s="292"/>
      <c r="Y334" s="292"/>
      <c r="Z334" s="292"/>
      <c r="AA334" s="292"/>
      <c r="AB334" s="292"/>
      <c r="AC334" s="292"/>
      <c r="AD334" s="291"/>
      <c r="AE334" s="172"/>
      <c r="AF334" s="172"/>
      <c r="AG334" s="28"/>
      <c r="AH334" s="28"/>
      <c r="AJ334" s="284"/>
      <c r="AK334" s="269"/>
      <c r="AL334" s="270"/>
      <c r="AM334" s="270"/>
      <c r="AP334" s="271"/>
      <c r="AU334" s="271"/>
      <c r="AZ334" s="271"/>
      <c r="BE334" s="271"/>
      <c r="BJ334" s="271"/>
      <c r="BK334" s="269"/>
      <c r="BM334" s="272"/>
      <c r="BN334" s="272"/>
      <c r="BO334" s="272"/>
      <c r="BP334" s="272"/>
      <c r="BQ334" s="272"/>
      <c r="BR334" s="272"/>
      <c r="BS334" s="272"/>
      <c r="BT334" s="272"/>
      <c r="BU334" s="272"/>
    </row>
    <row r="335" spans="1:73" s="268" customFormat="1" x14ac:dyDescent="0.25">
      <c r="A335" s="283"/>
      <c r="B335" s="283"/>
      <c r="C335" s="283"/>
      <c r="D335" s="47" t="s">
        <v>164</v>
      </c>
      <c r="E335" s="19"/>
      <c r="F335" s="274">
        <v>0.109</v>
      </c>
      <c r="G335" s="275">
        <v>0</v>
      </c>
      <c r="J335" s="351"/>
      <c r="K335" s="351"/>
      <c r="L335" s="350"/>
      <c r="M335" s="350"/>
      <c r="N335" s="350"/>
      <c r="O335" s="351"/>
      <c r="P335" s="350"/>
      <c r="Q335" s="351"/>
      <c r="R335" s="351"/>
      <c r="S335" s="351"/>
      <c r="T335" s="422"/>
      <c r="U335" s="351"/>
      <c r="V335" s="351"/>
      <c r="W335" s="292"/>
      <c r="X335" s="292"/>
      <c r="Y335" s="292"/>
      <c r="Z335" s="292"/>
      <c r="AA335" s="292"/>
      <c r="AB335" s="292"/>
      <c r="AC335" s="292"/>
      <c r="AD335" s="291"/>
      <c r="AE335" s="172"/>
      <c r="AF335" s="172"/>
      <c r="AG335" s="28"/>
      <c r="AH335" s="28"/>
      <c r="AJ335" s="284"/>
      <c r="AK335" s="269"/>
      <c r="AL335" s="270"/>
      <c r="AM335" s="270"/>
      <c r="AP335" s="271"/>
      <c r="AU335" s="271"/>
      <c r="AZ335" s="271"/>
      <c r="BE335" s="271"/>
      <c r="BJ335" s="271"/>
      <c r="BK335" s="269"/>
      <c r="BM335" s="272"/>
      <c r="BN335" s="272"/>
      <c r="BO335" s="272"/>
      <c r="BP335" s="272"/>
      <c r="BQ335" s="272"/>
      <c r="BR335" s="272"/>
      <c r="BS335" s="272"/>
      <c r="BT335" s="272"/>
      <c r="BU335" s="272"/>
    </row>
    <row r="336" spans="1:73" s="268" customFormat="1" x14ac:dyDescent="0.25">
      <c r="A336" s="283"/>
      <c r="B336" s="283"/>
      <c r="C336" s="283"/>
      <c r="D336" s="47" t="s">
        <v>165</v>
      </c>
      <c r="E336" s="19"/>
      <c r="F336" s="274">
        <v>2.9000000000000001E-2</v>
      </c>
      <c r="G336" s="275">
        <v>0</v>
      </c>
      <c r="J336" s="351"/>
      <c r="K336" s="351"/>
      <c r="L336" s="350"/>
      <c r="M336" s="350"/>
      <c r="N336" s="350"/>
      <c r="O336" s="351"/>
      <c r="P336" s="350"/>
      <c r="Q336" s="351"/>
      <c r="R336" s="351"/>
      <c r="S336" s="351"/>
      <c r="T336" s="422"/>
      <c r="U336" s="351"/>
      <c r="V336" s="351"/>
      <c r="W336" s="292"/>
      <c r="X336" s="292"/>
      <c r="Y336" s="292"/>
      <c r="Z336" s="292"/>
      <c r="AA336" s="292"/>
      <c r="AB336" s="292"/>
      <c r="AC336" s="292"/>
      <c r="AD336" s="291"/>
      <c r="AE336" s="172"/>
      <c r="AF336" s="172"/>
      <c r="AG336" s="28"/>
      <c r="AH336" s="28"/>
      <c r="AJ336" s="284"/>
      <c r="AK336" s="269"/>
      <c r="AL336" s="270"/>
      <c r="AM336" s="270"/>
      <c r="AP336" s="271"/>
      <c r="AU336" s="271"/>
      <c r="AZ336" s="271"/>
      <c r="BE336" s="271"/>
      <c r="BJ336" s="271"/>
      <c r="BK336" s="269"/>
      <c r="BM336" s="272"/>
      <c r="BN336" s="272"/>
      <c r="BO336" s="272"/>
      <c r="BP336" s="272"/>
      <c r="BQ336" s="272"/>
      <c r="BR336" s="272"/>
      <c r="BS336" s="272"/>
      <c r="BT336" s="272"/>
      <c r="BU336" s="272"/>
    </row>
    <row r="337" spans="1:73" s="268" customFormat="1" x14ac:dyDescent="0.25">
      <c r="A337" s="283"/>
      <c r="B337" s="283"/>
      <c r="C337" s="283"/>
      <c r="D337" s="19" t="s">
        <v>167</v>
      </c>
      <c r="E337" s="19"/>
      <c r="F337" s="274">
        <v>0.315</v>
      </c>
      <c r="G337" s="275">
        <v>0</v>
      </c>
      <c r="J337" s="351"/>
      <c r="K337" s="351"/>
      <c r="L337" s="350"/>
      <c r="M337" s="350"/>
      <c r="N337" s="350">
        <f>SUM(G324*H324)</f>
        <v>13284</v>
      </c>
      <c r="O337" s="351"/>
      <c r="P337" s="350"/>
      <c r="Q337" s="351"/>
      <c r="R337" s="351">
        <f>SUM(N337/H324)</f>
        <v>1107</v>
      </c>
      <c r="S337" s="351"/>
      <c r="T337" s="351"/>
      <c r="U337" s="351"/>
      <c r="V337" s="351"/>
      <c r="W337" s="292"/>
      <c r="X337" s="292"/>
      <c r="Y337" s="292"/>
      <c r="Z337" s="292"/>
      <c r="AA337" s="292"/>
      <c r="AB337" s="292"/>
      <c r="AC337" s="292"/>
      <c r="AD337" s="291"/>
      <c r="AE337" s="172"/>
      <c r="AF337" s="172"/>
      <c r="AG337" s="28"/>
      <c r="AH337" s="28"/>
      <c r="AJ337" s="284"/>
      <c r="AK337" s="269"/>
      <c r="AL337" s="270"/>
      <c r="AM337" s="270"/>
      <c r="AP337" s="271"/>
      <c r="AU337" s="271"/>
      <c r="AZ337" s="271"/>
      <c r="BE337" s="271"/>
      <c r="BJ337" s="271"/>
      <c r="BK337" s="269"/>
      <c r="BM337" s="272"/>
      <c r="BN337" s="272"/>
      <c r="BO337" s="272"/>
      <c r="BP337" s="272"/>
      <c r="BQ337" s="272"/>
      <c r="BR337" s="272"/>
      <c r="BS337" s="272"/>
      <c r="BT337" s="272"/>
      <c r="BU337" s="272"/>
    </row>
    <row r="338" spans="1:73" s="268" customFormat="1" x14ac:dyDescent="0.25">
      <c r="A338" s="283"/>
      <c r="B338" s="283"/>
      <c r="C338" s="283"/>
      <c r="D338" s="276"/>
      <c r="E338" s="276"/>
      <c r="F338" s="277"/>
      <c r="G338" s="19"/>
      <c r="J338" s="351"/>
      <c r="K338" s="351"/>
      <c r="L338" s="350"/>
      <c r="M338" s="350"/>
      <c r="N338" s="350">
        <f>SUM(N337/H323)</f>
        <v>1515</v>
      </c>
      <c r="O338" s="351"/>
      <c r="P338" s="350"/>
      <c r="Q338" s="351"/>
      <c r="R338" s="351"/>
      <c r="S338" s="351"/>
      <c r="T338" s="351"/>
      <c r="U338" s="351"/>
      <c r="V338" s="351"/>
      <c r="W338" s="292"/>
      <c r="X338" s="292"/>
      <c r="Y338" s="292"/>
      <c r="Z338" s="292"/>
      <c r="AA338" s="292"/>
      <c r="AB338" s="292"/>
      <c r="AC338" s="292"/>
      <c r="AD338" s="291"/>
      <c r="AE338" s="172"/>
      <c r="AF338" s="172"/>
      <c r="AG338" s="28"/>
      <c r="AH338" s="28"/>
      <c r="AJ338" s="284"/>
      <c r="AK338" s="269"/>
      <c r="AL338" s="270"/>
      <c r="AM338" s="270"/>
      <c r="AP338" s="271"/>
      <c r="AU338" s="271"/>
      <c r="AZ338" s="271"/>
      <c r="BE338" s="271"/>
      <c r="BJ338" s="271"/>
      <c r="BK338" s="269"/>
      <c r="BM338" s="272"/>
      <c r="BN338" s="272"/>
      <c r="BO338" s="272"/>
      <c r="BP338" s="272"/>
      <c r="BQ338" s="272"/>
      <c r="BR338" s="272"/>
      <c r="BS338" s="272"/>
      <c r="BT338" s="272"/>
      <c r="BU338" s="272"/>
    </row>
    <row r="339" spans="1:73" s="268" customFormat="1" x14ac:dyDescent="0.25">
      <c r="A339" s="283"/>
      <c r="B339" s="283"/>
      <c r="C339" s="283"/>
      <c r="D339" s="47" t="s">
        <v>269</v>
      </c>
      <c r="E339" s="19"/>
      <c r="F339" s="274"/>
      <c r="G339" s="356">
        <v>200</v>
      </c>
      <c r="H339" s="19"/>
      <c r="J339" s="351"/>
      <c r="K339" s="351"/>
      <c r="L339" s="350"/>
      <c r="M339" s="350"/>
      <c r="N339" s="350"/>
      <c r="O339" s="351"/>
      <c r="P339" s="350"/>
      <c r="Q339" s="351"/>
      <c r="R339" s="351"/>
      <c r="S339" s="351"/>
      <c r="T339" s="351"/>
      <c r="U339" s="351"/>
      <c r="V339" s="351"/>
      <c r="W339" s="292"/>
      <c r="X339" s="292"/>
      <c r="Y339" s="292"/>
      <c r="Z339" s="292"/>
      <c r="AA339" s="292"/>
      <c r="AB339" s="292"/>
      <c r="AC339" s="292"/>
      <c r="AD339" s="291"/>
      <c r="AE339" s="172"/>
      <c r="AF339" s="172"/>
      <c r="AG339" s="28"/>
      <c r="AH339" s="28"/>
      <c r="AJ339" s="284"/>
      <c r="AK339" s="269"/>
      <c r="AL339" s="270"/>
      <c r="AM339" s="270"/>
      <c r="AP339" s="271"/>
      <c r="AU339" s="271"/>
      <c r="AZ339" s="271"/>
      <c r="BE339" s="271"/>
      <c r="BJ339" s="271"/>
      <c r="BK339" s="269"/>
      <c r="BM339" s="272"/>
      <c r="BN339" s="272"/>
      <c r="BO339" s="272"/>
      <c r="BP339" s="272"/>
      <c r="BQ339" s="272"/>
      <c r="BR339" s="272"/>
      <c r="BS339" s="272"/>
      <c r="BT339" s="272"/>
      <c r="BU339" s="272"/>
    </row>
    <row r="340" spans="1:73" s="268" customFormat="1" x14ac:dyDescent="0.25">
      <c r="A340" s="283"/>
      <c r="B340" s="283"/>
      <c r="C340" s="283"/>
      <c r="D340" s="47"/>
      <c r="E340" s="47"/>
      <c r="F340" s="19"/>
      <c r="G340" s="19"/>
      <c r="J340" s="351"/>
      <c r="K340" s="351"/>
      <c r="L340" s="350"/>
      <c r="M340" s="350"/>
      <c r="N340" s="350"/>
      <c r="O340" s="351"/>
      <c r="P340" s="350"/>
      <c r="Q340" s="351"/>
      <c r="R340" s="351"/>
      <c r="S340" s="351"/>
      <c r="T340" s="351"/>
      <c r="U340" s="351"/>
      <c r="V340" s="351"/>
      <c r="W340" s="292"/>
      <c r="X340" s="292"/>
      <c r="Y340" s="292"/>
      <c r="Z340" s="292"/>
      <c r="AA340" s="292"/>
      <c r="AB340" s="292"/>
      <c r="AC340" s="292"/>
      <c r="AD340" s="291"/>
      <c r="AE340" s="172"/>
      <c r="AF340" s="172"/>
      <c r="AG340" s="28"/>
      <c r="AH340" s="28"/>
      <c r="AJ340" s="284"/>
      <c r="AK340" s="269"/>
      <c r="AL340" s="270"/>
      <c r="AM340" s="270"/>
      <c r="AP340" s="271"/>
      <c r="AU340" s="271"/>
      <c r="AZ340" s="271"/>
      <c r="BE340" s="271"/>
      <c r="BJ340" s="271"/>
      <c r="BK340" s="269"/>
      <c r="BM340" s="272"/>
      <c r="BN340" s="272"/>
      <c r="BO340" s="272"/>
      <c r="BP340" s="272"/>
      <c r="BQ340" s="272"/>
      <c r="BR340" s="272"/>
      <c r="BS340" s="272"/>
      <c r="BT340" s="272"/>
      <c r="BU340" s="272"/>
    </row>
    <row r="341" spans="1:73" s="268" customFormat="1" x14ac:dyDescent="0.25">
      <c r="A341" s="283"/>
      <c r="B341" s="283"/>
      <c r="C341" s="283"/>
      <c r="D341" s="47" t="s">
        <v>211</v>
      </c>
      <c r="E341" s="278"/>
      <c r="F341" s="19"/>
      <c r="G341" s="19"/>
      <c r="J341" s="351"/>
      <c r="K341" s="351"/>
      <c r="L341" s="350"/>
      <c r="M341" s="350"/>
      <c r="N341" s="350"/>
      <c r="O341" s="351"/>
      <c r="P341" s="350"/>
      <c r="Q341" s="351"/>
      <c r="R341" s="351"/>
      <c r="S341" s="351"/>
      <c r="T341" s="351"/>
      <c r="U341" s="351"/>
      <c r="V341" s="351"/>
      <c r="W341" s="292"/>
      <c r="X341" s="292"/>
      <c r="Y341" s="292"/>
      <c r="Z341" s="292"/>
      <c r="AA341" s="292"/>
      <c r="AB341" s="292"/>
      <c r="AC341" s="292"/>
      <c r="AD341" s="291"/>
      <c r="AE341" s="172"/>
      <c r="AF341" s="172"/>
      <c r="AG341" s="28"/>
      <c r="AH341" s="28"/>
      <c r="AJ341" s="284"/>
      <c r="AK341" s="269"/>
      <c r="AL341" s="270"/>
      <c r="AM341" s="270"/>
      <c r="AP341" s="271"/>
      <c r="AU341" s="271"/>
      <c r="AZ341" s="271"/>
      <c r="BE341" s="271"/>
      <c r="BJ341" s="271"/>
      <c r="BK341" s="269"/>
      <c r="BM341" s="272"/>
      <c r="BN341" s="272"/>
      <c r="BO341" s="272"/>
      <c r="BP341" s="272"/>
      <c r="BQ341" s="272"/>
      <c r="BR341" s="272"/>
      <c r="BS341" s="272"/>
      <c r="BT341" s="272"/>
      <c r="BU341" s="272"/>
    </row>
    <row r="342" spans="1:73" s="268" customFormat="1" x14ac:dyDescent="0.25">
      <c r="A342" s="283"/>
      <c r="B342" s="283"/>
      <c r="C342" s="283"/>
      <c r="D342" s="47" t="s">
        <v>212</v>
      </c>
      <c r="E342" s="278"/>
      <c r="F342" s="19"/>
      <c r="G342" s="277"/>
      <c r="J342" s="351"/>
      <c r="K342" s="351"/>
      <c r="L342" s="350"/>
      <c r="M342" s="350"/>
      <c r="N342" s="350"/>
      <c r="O342" s="351"/>
      <c r="P342" s="350"/>
      <c r="Q342" s="351"/>
      <c r="R342" s="351"/>
      <c r="S342" s="351"/>
      <c r="T342" s="351"/>
      <c r="U342" s="351"/>
      <c r="V342" s="351"/>
      <c r="W342" s="292"/>
      <c r="X342" s="292"/>
      <c r="Y342" s="292"/>
      <c r="Z342" s="292"/>
      <c r="AA342" s="292"/>
      <c r="AB342" s="292"/>
      <c r="AC342" s="292"/>
      <c r="AD342" s="291"/>
      <c r="AE342" s="172"/>
      <c r="AF342" s="172"/>
      <c r="AG342" s="28"/>
      <c r="AH342" s="28"/>
      <c r="AJ342" s="284"/>
      <c r="AK342" s="269"/>
      <c r="AL342" s="270"/>
      <c r="AM342" s="270"/>
      <c r="AP342" s="271"/>
      <c r="AU342" s="271"/>
      <c r="AZ342" s="271"/>
      <c r="BE342" s="271"/>
      <c r="BJ342" s="271"/>
      <c r="BK342" s="269"/>
      <c r="BM342" s="272"/>
      <c r="BN342" s="272"/>
      <c r="BO342" s="272"/>
      <c r="BP342" s="272"/>
      <c r="BQ342" s="272"/>
      <c r="BR342" s="272"/>
      <c r="BS342" s="272"/>
      <c r="BT342" s="272"/>
      <c r="BU342" s="272"/>
    </row>
    <row r="343" spans="1:73" s="268" customFormat="1" x14ac:dyDescent="0.25">
      <c r="A343" s="283"/>
      <c r="B343" s="283"/>
      <c r="C343" s="283"/>
      <c r="D343" s="276"/>
      <c r="E343" s="278"/>
      <c r="F343" s="19"/>
      <c r="G343" s="277"/>
      <c r="J343" s="351"/>
      <c r="K343" s="351"/>
      <c r="L343" s="350"/>
      <c r="M343" s="350"/>
      <c r="N343" s="350"/>
      <c r="O343" s="351"/>
      <c r="P343" s="350"/>
      <c r="Q343" s="351"/>
      <c r="R343" s="351"/>
      <c r="S343" s="351"/>
      <c r="T343" s="351"/>
      <c r="U343" s="351"/>
      <c r="V343" s="351"/>
      <c r="W343" s="292"/>
      <c r="X343" s="292"/>
      <c r="Y343" s="292"/>
      <c r="Z343" s="292"/>
      <c r="AA343" s="292"/>
      <c r="AB343" s="292"/>
      <c r="AC343" s="292"/>
      <c r="AD343" s="291"/>
      <c r="AE343" s="172"/>
      <c r="AF343" s="172"/>
      <c r="AG343" s="28"/>
      <c r="AH343" s="28"/>
      <c r="AJ343" s="284"/>
      <c r="AK343" s="269"/>
      <c r="AL343" s="270"/>
      <c r="AM343" s="270"/>
      <c r="AP343" s="271"/>
      <c r="AU343" s="271"/>
      <c r="AZ343" s="271"/>
      <c r="BE343" s="271"/>
      <c r="BJ343" s="271"/>
      <c r="BK343" s="269"/>
      <c r="BM343" s="272"/>
      <c r="BN343" s="272"/>
      <c r="BO343" s="272"/>
      <c r="BP343" s="272"/>
      <c r="BQ343" s="272"/>
      <c r="BR343" s="272"/>
      <c r="BS343" s="272"/>
      <c r="BT343" s="272"/>
      <c r="BU343" s="272"/>
    </row>
    <row r="344" spans="1:73" s="268" customFormat="1" x14ac:dyDescent="0.25">
      <c r="A344" s="283"/>
      <c r="B344" s="283"/>
      <c r="C344" s="283"/>
      <c r="D344" s="47"/>
      <c r="E344" s="279"/>
      <c r="F344" s="19"/>
      <c r="G344" s="19"/>
      <c r="J344" s="351"/>
      <c r="K344" s="351"/>
      <c r="L344" s="350"/>
      <c r="M344" s="350"/>
      <c r="N344" s="350"/>
      <c r="O344" s="351"/>
      <c r="P344" s="350"/>
      <c r="Q344" s="351"/>
      <c r="R344" s="351"/>
      <c r="S344" s="351"/>
      <c r="T344" s="351"/>
      <c r="U344" s="351"/>
      <c r="V344" s="351"/>
      <c r="W344" s="292"/>
      <c r="X344" s="292"/>
      <c r="Y344" s="292"/>
      <c r="Z344" s="292"/>
      <c r="AA344" s="292"/>
      <c r="AB344" s="292"/>
      <c r="AC344" s="292"/>
      <c r="AD344" s="291"/>
      <c r="AE344" s="172"/>
      <c r="AF344" s="172"/>
      <c r="AG344" s="28"/>
      <c r="AH344" s="28"/>
      <c r="AJ344" s="284"/>
      <c r="AK344" s="269"/>
      <c r="AL344" s="270"/>
      <c r="AM344" s="270"/>
      <c r="AP344" s="271"/>
      <c r="AU344" s="271"/>
      <c r="AZ344" s="271"/>
      <c r="BE344" s="271"/>
      <c r="BJ344" s="271"/>
      <c r="BK344" s="269"/>
      <c r="BM344" s="272"/>
      <c r="BN344" s="272"/>
      <c r="BO344" s="272"/>
      <c r="BP344" s="272"/>
      <c r="BQ344" s="272"/>
      <c r="BR344" s="272"/>
      <c r="BS344" s="272"/>
      <c r="BT344" s="272"/>
      <c r="BU344" s="272"/>
    </row>
    <row r="345" spans="1:73" s="268" customFormat="1" x14ac:dyDescent="0.25">
      <c r="A345" s="283"/>
      <c r="B345" s="283"/>
      <c r="C345" s="283"/>
      <c r="D345" s="47" t="s">
        <v>255</v>
      </c>
      <c r="E345" s="279"/>
      <c r="F345" s="19"/>
      <c r="G345" s="19"/>
      <c r="J345" s="351"/>
      <c r="K345" s="351"/>
      <c r="L345" s="350"/>
      <c r="M345" s="350"/>
      <c r="N345" s="350"/>
      <c r="O345" s="351"/>
      <c r="P345" s="350"/>
      <c r="Q345" s="351"/>
      <c r="R345" s="351"/>
      <c r="S345" s="351"/>
      <c r="T345" s="351"/>
      <c r="U345" s="351"/>
      <c r="V345" s="351"/>
      <c r="W345" s="292"/>
      <c r="X345" s="292"/>
      <c r="Y345" s="292"/>
      <c r="Z345" s="292"/>
      <c r="AA345" s="292"/>
      <c r="AB345" s="292"/>
      <c r="AC345" s="292"/>
      <c r="AD345" s="291"/>
      <c r="AE345" s="172"/>
      <c r="AF345" s="172"/>
      <c r="AG345" s="28"/>
      <c r="AH345" s="28"/>
      <c r="AJ345" s="284"/>
      <c r="AK345" s="269"/>
      <c r="AL345" s="270"/>
      <c r="AM345" s="270"/>
      <c r="AP345" s="271"/>
      <c r="AU345" s="271"/>
      <c r="AZ345" s="271"/>
      <c r="BE345" s="271"/>
      <c r="BJ345" s="271"/>
      <c r="BK345" s="269"/>
      <c r="BM345" s="272"/>
      <c r="BN345" s="272"/>
      <c r="BO345" s="272"/>
      <c r="BP345" s="272"/>
      <c r="BQ345" s="272"/>
      <c r="BR345" s="272"/>
      <c r="BS345" s="272"/>
      <c r="BT345" s="272"/>
      <c r="BU345" s="272"/>
    </row>
    <row r="346" spans="1:73" s="268" customFormat="1" x14ac:dyDescent="0.25">
      <c r="A346" s="283"/>
      <c r="B346" s="283"/>
      <c r="C346" s="283"/>
      <c r="D346" s="47" t="s">
        <v>192</v>
      </c>
      <c r="E346" s="279"/>
      <c r="F346" s="19"/>
      <c r="G346" s="19"/>
      <c r="J346" s="351"/>
      <c r="K346" s="351"/>
      <c r="L346" s="350"/>
      <c r="M346" s="350"/>
      <c r="N346" s="350"/>
      <c r="O346" s="351"/>
      <c r="P346" s="350"/>
      <c r="Q346" s="351"/>
      <c r="R346" s="351"/>
      <c r="S346" s="351"/>
      <c r="T346" s="351"/>
      <c r="U346" s="351"/>
      <c r="V346" s="351"/>
      <c r="W346" s="292"/>
      <c r="X346" s="292"/>
      <c r="Y346" s="292"/>
      <c r="Z346" s="292"/>
      <c r="AA346" s="292"/>
      <c r="AB346" s="292"/>
      <c r="AC346" s="292"/>
      <c r="AD346" s="291"/>
      <c r="AE346" s="172"/>
      <c r="AF346" s="172"/>
      <c r="AG346" s="28"/>
      <c r="AH346" s="28"/>
      <c r="AJ346" s="284"/>
      <c r="AK346" s="269"/>
      <c r="AL346" s="270"/>
      <c r="AM346" s="270"/>
      <c r="AP346" s="271"/>
      <c r="AU346" s="271"/>
      <c r="AZ346" s="271"/>
      <c r="BE346" s="271"/>
      <c r="BJ346" s="271"/>
      <c r="BK346" s="269"/>
      <c r="BM346" s="272"/>
      <c r="BN346" s="272"/>
      <c r="BO346" s="272"/>
      <c r="BP346" s="272"/>
      <c r="BQ346" s="272"/>
      <c r="BR346" s="272"/>
      <c r="BS346" s="272"/>
      <c r="BT346" s="272"/>
      <c r="BU346" s="272"/>
    </row>
    <row r="347" spans="1:73" s="268" customFormat="1" x14ac:dyDescent="0.25">
      <c r="A347" s="283"/>
      <c r="B347" s="283"/>
      <c r="C347" s="283"/>
      <c r="D347" s="47" t="s">
        <v>217</v>
      </c>
      <c r="E347" s="279"/>
      <c r="F347" s="19"/>
      <c r="G347" s="19"/>
      <c r="J347" s="351"/>
      <c r="K347" s="351"/>
      <c r="L347" s="350"/>
      <c r="M347" s="350"/>
      <c r="N347" s="350"/>
      <c r="O347" s="351"/>
      <c r="P347" s="350"/>
      <c r="Q347" s="351"/>
      <c r="R347" s="351"/>
      <c r="S347" s="351"/>
      <c r="T347" s="351"/>
      <c r="U347" s="351"/>
      <c r="V347" s="351"/>
      <c r="W347" s="292"/>
      <c r="X347" s="292"/>
      <c r="Y347" s="292"/>
      <c r="Z347" s="292"/>
      <c r="AA347" s="292"/>
      <c r="AB347" s="292"/>
      <c r="AC347" s="292"/>
      <c r="AD347" s="291"/>
      <c r="AE347" s="172"/>
      <c r="AF347" s="172"/>
      <c r="AG347" s="28"/>
      <c r="AH347" s="28"/>
      <c r="AJ347" s="284"/>
      <c r="AK347" s="269"/>
      <c r="AL347" s="270"/>
      <c r="AM347" s="270"/>
      <c r="AP347" s="271"/>
      <c r="AU347" s="271"/>
      <c r="AZ347" s="271"/>
      <c r="BE347" s="271"/>
      <c r="BJ347" s="271"/>
      <c r="BK347" s="269"/>
      <c r="BM347" s="272"/>
      <c r="BN347" s="272"/>
      <c r="BO347" s="272"/>
      <c r="BP347" s="272"/>
      <c r="BQ347" s="272"/>
      <c r="BR347" s="272"/>
      <c r="BS347" s="272"/>
      <c r="BT347" s="272"/>
      <c r="BU347" s="272"/>
    </row>
    <row r="348" spans="1:73" s="268" customFormat="1" x14ac:dyDescent="0.25">
      <c r="A348" s="283"/>
      <c r="B348" s="283"/>
      <c r="C348" s="283"/>
      <c r="D348" s="47" t="s">
        <v>181</v>
      </c>
      <c r="E348" s="279"/>
      <c r="F348" s="19"/>
      <c r="G348" s="19"/>
      <c r="J348" s="351"/>
      <c r="K348" s="351"/>
      <c r="L348" s="350"/>
      <c r="M348" s="350"/>
      <c r="N348" s="350"/>
      <c r="O348" s="351"/>
      <c r="P348" s="350"/>
      <c r="Q348" s="351"/>
      <c r="R348" s="351"/>
      <c r="S348" s="351"/>
      <c r="T348" s="351"/>
      <c r="U348" s="351"/>
      <c r="V348" s="351"/>
      <c r="W348" s="292"/>
      <c r="X348" s="292"/>
      <c r="Y348" s="292"/>
      <c r="Z348" s="292"/>
      <c r="AA348" s="292"/>
      <c r="AB348" s="292"/>
      <c r="AC348" s="292"/>
      <c r="AD348" s="291"/>
      <c r="AE348" s="172"/>
      <c r="AF348" s="172"/>
      <c r="AG348" s="28"/>
      <c r="AH348" s="28"/>
      <c r="AJ348" s="284"/>
      <c r="AK348" s="269"/>
      <c r="AL348" s="270"/>
      <c r="AM348" s="270"/>
      <c r="AP348" s="271"/>
      <c r="AU348" s="271"/>
      <c r="AZ348" s="271"/>
      <c r="BE348" s="271"/>
      <c r="BJ348" s="271"/>
      <c r="BK348" s="269"/>
      <c r="BM348" s="272"/>
      <c r="BN348" s="272"/>
      <c r="BO348" s="272"/>
      <c r="BP348" s="272"/>
      <c r="BQ348" s="272"/>
      <c r="BR348" s="272"/>
      <c r="BS348" s="272"/>
      <c r="BT348" s="272"/>
      <c r="BU348" s="272"/>
    </row>
    <row r="349" spans="1:73" s="268" customFormat="1" x14ac:dyDescent="0.25">
      <c r="A349" s="283"/>
      <c r="B349" s="283"/>
      <c r="C349" s="283"/>
      <c r="D349" s="47" t="s">
        <v>182</v>
      </c>
      <c r="E349" s="279"/>
      <c r="F349" s="19"/>
      <c r="G349" s="19"/>
      <c r="J349" s="351"/>
      <c r="K349" s="351"/>
      <c r="L349" s="350"/>
      <c r="M349" s="350"/>
      <c r="N349" s="350"/>
      <c r="O349" s="351"/>
      <c r="P349" s="350"/>
      <c r="Q349" s="351"/>
      <c r="R349" s="351"/>
      <c r="S349" s="351"/>
      <c r="T349" s="351"/>
      <c r="U349" s="351"/>
      <c r="V349" s="351"/>
      <c r="W349" s="292"/>
      <c r="X349" s="292"/>
      <c r="Y349" s="292"/>
      <c r="Z349" s="292"/>
      <c r="AA349" s="292"/>
      <c r="AB349" s="292"/>
      <c r="AC349" s="292"/>
      <c r="AD349" s="291"/>
      <c r="AE349" s="172"/>
      <c r="AF349" s="172"/>
      <c r="AG349" s="28"/>
      <c r="AH349" s="28"/>
      <c r="AJ349" s="284"/>
      <c r="AK349" s="269"/>
      <c r="AL349" s="270"/>
      <c r="AM349" s="270"/>
      <c r="AP349" s="271"/>
      <c r="AU349" s="271"/>
      <c r="AZ349" s="271"/>
      <c r="BE349" s="271"/>
      <c r="BJ349" s="271"/>
      <c r="BK349" s="269"/>
      <c r="BM349" s="272"/>
      <c r="BN349" s="272"/>
      <c r="BO349" s="272"/>
      <c r="BP349" s="272"/>
      <c r="BQ349" s="272"/>
      <c r="BR349" s="272"/>
      <c r="BS349" s="272"/>
      <c r="BT349" s="272"/>
      <c r="BU349" s="272"/>
    </row>
    <row r="350" spans="1:73" s="268" customFormat="1" x14ac:dyDescent="0.25">
      <c r="A350" s="283"/>
      <c r="B350" s="283"/>
      <c r="C350" s="283"/>
      <c r="D350" s="47" t="s">
        <v>180</v>
      </c>
      <c r="E350" s="279"/>
      <c r="F350" s="19"/>
      <c r="G350" s="19"/>
      <c r="J350" s="351"/>
      <c r="K350" s="351"/>
      <c r="L350" s="350"/>
      <c r="M350" s="350"/>
      <c r="N350" s="350"/>
      <c r="O350" s="351"/>
      <c r="P350" s="350"/>
      <c r="Q350" s="351"/>
      <c r="R350" s="351"/>
      <c r="S350" s="351"/>
      <c r="T350" s="351"/>
      <c r="U350" s="351"/>
      <c r="V350" s="351"/>
      <c r="W350" s="292"/>
      <c r="X350" s="292"/>
      <c r="Y350" s="292"/>
      <c r="Z350" s="292"/>
      <c r="AA350" s="292"/>
      <c r="AB350" s="292"/>
      <c r="AC350" s="292"/>
      <c r="AD350" s="291"/>
      <c r="AE350" s="172"/>
      <c r="AF350" s="172"/>
      <c r="AG350" s="28"/>
      <c r="AH350" s="28"/>
      <c r="AJ350" s="284"/>
      <c r="AK350" s="269"/>
      <c r="AL350" s="270"/>
      <c r="AM350" s="270"/>
      <c r="AP350" s="271"/>
      <c r="AU350" s="271"/>
      <c r="AZ350" s="271"/>
      <c r="BE350" s="271"/>
      <c r="BJ350" s="271"/>
      <c r="BK350" s="269"/>
      <c r="BM350" s="272"/>
      <c r="BN350" s="272"/>
      <c r="BO350" s="272"/>
      <c r="BP350" s="272"/>
      <c r="BQ350" s="272"/>
      <c r="BR350" s="272"/>
      <c r="BS350" s="272"/>
      <c r="BT350" s="272"/>
      <c r="BU350" s="272"/>
    </row>
    <row r="351" spans="1:73" s="268" customFormat="1" x14ac:dyDescent="0.25">
      <c r="A351" s="283"/>
      <c r="B351" s="283"/>
      <c r="C351" s="283"/>
      <c r="D351" s="47" t="s">
        <v>183</v>
      </c>
      <c r="E351" s="279"/>
      <c r="F351" s="19"/>
      <c r="G351" s="19"/>
      <c r="J351" s="351"/>
      <c r="K351" s="351"/>
      <c r="L351" s="350"/>
      <c r="M351" s="350"/>
      <c r="N351" s="350"/>
      <c r="O351" s="351"/>
      <c r="P351" s="350"/>
      <c r="Q351" s="351"/>
      <c r="R351" s="351"/>
      <c r="S351" s="351"/>
      <c r="T351" s="351"/>
      <c r="U351" s="351"/>
      <c r="V351" s="351"/>
      <c r="W351" s="292"/>
      <c r="X351" s="292"/>
      <c r="Y351" s="292"/>
      <c r="Z351" s="292"/>
      <c r="AA351" s="292"/>
      <c r="AB351" s="292"/>
      <c r="AC351" s="292"/>
      <c r="AD351" s="291"/>
      <c r="AE351" s="172"/>
      <c r="AF351" s="172"/>
      <c r="AG351" s="28"/>
      <c r="AH351" s="28"/>
      <c r="AJ351" s="284"/>
      <c r="AK351" s="269"/>
      <c r="AL351" s="270"/>
      <c r="AM351" s="270"/>
      <c r="AP351" s="271"/>
      <c r="AU351" s="271"/>
      <c r="AZ351" s="271"/>
      <c r="BE351" s="271"/>
      <c r="BJ351" s="271"/>
      <c r="BK351" s="269"/>
      <c r="BM351" s="272"/>
      <c r="BN351" s="272"/>
      <c r="BO351" s="272"/>
      <c r="BP351" s="272"/>
      <c r="BQ351" s="272"/>
      <c r="BR351" s="272"/>
      <c r="BS351" s="272"/>
      <c r="BT351" s="272"/>
      <c r="BU351" s="272"/>
    </row>
    <row r="352" spans="1:73" s="268" customFormat="1" x14ac:dyDescent="0.25">
      <c r="A352" s="283"/>
      <c r="B352" s="283"/>
      <c r="C352" s="283"/>
      <c r="D352" s="47" t="s">
        <v>184</v>
      </c>
      <c r="E352" s="279"/>
      <c r="F352" s="19"/>
      <c r="G352" s="19"/>
      <c r="J352" s="351"/>
      <c r="K352" s="351"/>
      <c r="L352" s="350"/>
      <c r="M352" s="350"/>
      <c r="N352" s="350"/>
      <c r="O352" s="351"/>
      <c r="P352" s="350"/>
      <c r="Q352" s="351"/>
      <c r="R352" s="351"/>
      <c r="S352" s="351"/>
      <c r="T352" s="351"/>
      <c r="U352" s="351"/>
      <c r="V352" s="351"/>
      <c r="W352" s="292"/>
      <c r="X352" s="292"/>
      <c r="Y352" s="292"/>
      <c r="Z352" s="292"/>
      <c r="AA352" s="292"/>
      <c r="AB352" s="292"/>
      <c r="AC352" s="292"/>
      <c r="AD352" s="291"/>
      <c r="AE352" s="172"/>
      <c r="AF352" s="172"/>
      <c r="AG352" s="28"/>
      <c r="AH352" s="28"/>
      <c r="AJ352" s="284"/>
      <c r="AK352" s="269"/>
      <c r="AL352" s="270"/>
      <c r="AM352" s="270"/>
      <c r="AP352" s="271"/>
      <c r="AU352" s="271"/>
      <c r="AZ352" s="271"/>
      <c r="BE352" s="271"/>
      <c r="BJ352" s="271"/>
      <c r="BK352" s="269"/>
      <c r="BM352" s="272"/>
      <c r="BN352" s="272"/>
      <c r="BO352" s="272"/>
      <c r="BP352" s="272"/>
      <c r="BQ352" s="272"/>
      <c r="BR352" s="272"/>
      <c r="BS352" s="272"/>
      <c r="BT352" s="272"/>
      <c r="BU352" s="272"/>
    </row>
    <row r="353" spans="1:73" s="268" customFormat="1" x14ac:dyDescent="0.25">
      <c r="A353" s="283"/>
      <c r="B353" s="283"/>
      <c r="C353" s="283"/>
      <c r="D353" s="47" t="s">
        <v>185</v>
      </c>
      <c r="E353" s="47"/>
      <c r="F353" s="19"/>
      <c r="G353" s="19"/>
      <c r="J353" s="351"/>
      <c r="K353" s="351"/>
      <c r="L353" s="350"/>
      <c r="M353" s="350"/>
      <c r="N353" s="350"/>
      <c r="O353" s="351"/>
      <c r="P353" s="350"/>
      <c r="Q353" s="351"/>
      <c r="R353" s="351"/>
      <c r="S353" s="351"/>
      <c r="T353" s="351"/>
      <c r="U353" s="351"/>
      <c r="V353" s="351"/>
      <c r="W353" s="292"/>
      <c r="X353" s="292"/>
      <c r="Y353" s="292"/>
      <c r="Z353" s="292"/>
      <c r="AA353" s="292"/>
      <c r="AB353" s="292"/>
      <c r="AC353" s="292"/>
      <c r="AD353" s="291"/>
      <c r="AE353" s="172"/>
      <c r="AF353" s="172"/>
      <c r="AG353" s="28"/>
      <c r="AH353" s="28"/>
      <c r="AJ353" s="284"/>
      <c r="AK353" s="269"/>
      <c r="AL353" s="270"/>
      <c r="AM353" s="270"/>
      <c r="AP353" s="271"/>
      <c r="AU353" s="271"/>
      <c r="AZ353" s="271"/>
      <c r="BE353" s="271"/>
      <c r="BJ353" s="271"/>
      <c r="BK353" s="269"/>
      <c r="BM353" s="272"/>
      <c r="BN353" s="272"/>
      <c r="BO353" s="272"/>
      <c r="BP353" s="272"/>
      <c r="BQ353" s="272"/>
      <c r="BR353" s="272"/>
      <c r="BS353" s="272"/>
      <c r="BT353" s="272"/>
      <c r="BU353" s="272"/>
    </row>
    <row r="354" spans="1:73" s="268" customFormat="1" x14ac:dyDescent="0.25">
      <c r="A354" s="283"/>
      <c r="B354" s="283"/>
      <c r="C354" s="283"/>
      <c r="D354" s="47" t="s">
        <v>186</v>
      </c>
      <c r="E354" s="47"/>
      <c r="F354" s="19"/>
      <c r="G354" s="19"/>
      <c r="J354" s="351"/>
      <c r="K354" s="351"/>
      <c r="L354" s="350"/>
      <c r="M354" s="350"/>
      <c r="N354" s="350"/>
      <c r="O354" s="351"/>
      <c r="P354" s="350"/>
      <c r="Q354" s="351"/>
      <c r="R354" s="351"/>
      <c r="S354" s="351"/>
      <c r="T354" s="351"/>
      <c r="U354" s="351"/>
      <c r="V354" s="351"/>
      <c r="W354" s="292"/>
      <c r="X354" s="292"/>
      <c r="Y354" s="292"/>
      <c r="Z354" s="292"/>
      <c r="AA354" s="292"/>
      <c r="AB354" s="292"/>
      <c r="AC354" s="292"/>
      <c r="AD354" s="291"/>
      <c r="AE354" s="172"/>
      <c r="AF354" s="172"/>
      <c r="AG354" s="28"/>
      <c r="AH354" s="28"/>
      <c r="AJ354" s="284"/>
      <c r="AK354" s="269"/>
      <c r="AL354" s="270"/>
      <c r="AM354" s="270"/>
      <c r="AP354" s="271"/>
      <c r="AU354" s="271"/>
      <c r="AZ354" s="271"/>
      <c r="BE354" s="271"/>
      <c r="BJ354" s="271"/>
      <c r="BK354" s="269"/>
      <c r="BM354" s="272"/>
      <c r="BN354" s="272"/>
      <c r="BO354" s="272"/>
      <c r="BP354" s="272"/>
      <c r="BQ354" s="272"/>
      <c r="BR354" s="272"/>
      <c r="BS354" s="272"/>
      <c r="BT354" s="272"/>
      <c r="BU354" s="272"/>
    </row>
    <row r="355" spans="1:73" s="268" customFormat="1" x14ac:dyDescent="0.25">
      <c r="A355" s="283"/>
      <c r="B355" s="283"/>
      <c r="C355" s="283"/>
      <c r="D355" s="47" t="s">
        <v>220</v>
      </c>
      <c r="E355" s="279"/>
      <c r="F355" s="19"/>
      <c r="G355" s="19"/>
      <c r="J355" s="351"/>
      <c r="K355" s="351"/>
      <c r="L355" s="350"/>
      <c r="M355" s="350"/>
      <c r="N355" s="350"/>
      <c r="O355" s="351"/>
      <c r="P355" s="350"/>
      <c r="Q355" s="351"/>
      <c r="R355" s="351"/>
      <c r="S355" s="351"/>
      <c r="T355" s="351"/>
      <c r="U355" s="351"/>
      <c r="V355" s="351"/>
      <c r="W355" s="292"/>
      <c r="X355" s="292"/>
      <c r="Y355" s="292"/>
      <c r="Z355" s="292"/>
      <c r="AA355" s="292"/>
      <c r="AB355" s="292"/>
      <c r="AC355" s="292"/>
      <c r="AD355" s="291"/>
      <c r="AE355" s="172"/>
      <c r="AF355" s="172"/>
      <c r="AG355" s="28"/>
      <c r="AH355" s="28"/>
      <c r="AJ355" s="284"/>
      <c r="AK355" s="269"/>
      <c r="AL355" s="270"/>
      <c r="AM355" s="270"/>
      <c r="AP355" s="271"/>
      <c r="AU355" s="271"/>
      <c r="AZ355" s="271"/>
      <c r="BE355" s="271"/>
      <c r="BJ355" s="271"/>
      <c r="BK355" s="269"/>
      <c r="BM355" s="272"/>
      <c r="BN355" s="272"/>
      <c r="BO355" s="272"/>
      <c r="BP355" s="272"/>
      <c r="BQ355" s="272"/>
      <c r="BR355" s="272"/>
      <c r="BS355" s="272"/>
      <c r="BT355" s="272"/>
      <c r="BU355" s="272"/>
    </row>
    <row r="356" spans="1:73" s="268" customFormat="1" x14ac:dyDescent="0.25">
      <c r="A356" s="283"/>
      <c r="B356" s="283"/>
      <c r="C356" s="283"/>
      <c r="D356" s="47" t="s">
        <v>221</v>
      </c>
      <c r="E356" s="279"/>
      <c r="F356" s="19"/>
      <c r="G356" s="19"/>
      <c r="J356" s="351"/>
      <c r="K356" s="351"/>
      <c r="L356" s="350"/>
      <c r="M356" s="350"/>
      <c r="N356" s="350"/>
      <c r="O356" s="351"/>
      <c r="P356" s="350"/>
      <c r="Q356" s="351"/>
      <c r="R356" s="351"/>
      <c r="S356" s="351"/>
      <c r="T356" s="351"/>
      <c r="U356" s="351"/>
      <c r="V356" s="351"/>
      <c r="W356" s="292"/>
      <c r="X356" s="292"/>
      <c r="Y356" s="292"/>
      <c r="Z356" s="292"/>
      <c r="AA356" s="292"/>
      <c r="AB356" s="292"/>
      <c r="AC356" s="292"/>
      <c r="AD356" s="291"/>
      <c r="AE356" s="172"/>
      <c r="AF356" s="172"/>
      <c r="AG356" s="28"/>
      <c r="AH356" s="28"/>
      <c r="AJ356" s="284"/>
      <c r="AK356" s="269"/>
      <c r="AL356" s="270"/>
      <c r="AM356" s="270"/>
      <c r="AP356" s="271"/>
      <c r="AU356" s="271"/>
      <c r="AZ356" s="271"/>
      <c r="BE356" s="271"/>
      <c r="BJ356" s="271"/>
      <c r="BK356" s="269"/>
      <c r="BM356" s="272"/>
      <c r="BN356" s="272"/>
      <c r="BO356" s="272"/>
      <c r="BP356" s="272"/>
      <c r="BQ356" s="272"/>
      <c r="BR356" s="272"/>
      <c r="BS356" s="272"/>
      <c r="BT356" s="272"/>
      <c r="BU356" s="272"/>
    </row>
    <row r="357" spans="1:73" s="268" customFormat="1" x14ac:dyDescent="0.25">
      <c r="A357" s="283"/>
      <c r="B357" s="283"/>
      <c r="C357" s="283"/>
      <c r="D357" s="47" t="s">
        <v>187</v>
      </c>
      <c r="E357" s="279"/>
      <c r="F357" s="19"/>
      <c r="G357" s="19"/>
      <c r="J357" s="351"/>
      <c r="K357" s="351"/>
      <c r="L357" s="350"/>
      <c r="M357" s="350"/>
      <c r="N357" s="350"/>
      <c r="O357" s="351"/>
      <c r="P357" s="350"/>
      <c r="Q357" s="351"/>
      <c r="R357" s="351"/>
      <c r="S357" s="351"/>
      <c r="T357" s="351"/>
      <c r="U357" s="351"/>
      <c r="V357" s="351"/>
      <c r="W357" s="292"/>
      <c r="X357" s="292"/>
      <c r="Y357" s="292"/>
      <c r="Z357" s="292"/>
      <c r="AA357" s="292"/>
      <c r="AB357" s="292"/>
      <c r="AC357" s="292"/>
      <c r="AD357" s="291"/>
      <c r="AE357" s="172"/>
      <c r="AF357" s="172"/>
      <c r="AG357" s="28"/>
      <c r="AH357" s="28"/>
      <c r="AJ357" s="284"/>
      <c r="AK357" s="269"/>
      <c r="AL357" s="270"/>
      <c r="AM357" s="270"/>
      <c r="AP357" s="271"/>
      <c r="AU357" s="271"/>
      <c r="AZ357" s="271"/>
      <c r="BE357" s="271"/>
      <c r="BJ357" s="271"/>
      <c r="BK357" s="269"/>
      <c r="BM357" s="272"/>
      <c r="BN357" s="272"/>
      <c r="BO357" s="272"/>
      <c r="BP357" s="272"/>
      <c r="BQ357" s="272"/>
      <c r="BR357" s="272"/>
      <c r="BS357" s="272"/>
      <c r="BT357" s="272"/>
      <c r="BU357" s="272"/>
    </row>
    <row r="358" spans="1:73" s="268" customFormat="1" x14ac:dyDescent="0.25">
      <c r="A358" s="283"/>
      <c r="B358" s="283"/>
      <c r="C358" s="283"/>
      <c r="D358" s="47" t="s">
        <v>222</v>
      </c>
      <c r="E358" s="279"/>
      <c r="F358" s="19"/>
      <c r="G358" s="19"/>
      <c r="J358" s="351"/>
      <c r="K358" s="351"/>
      <c r="L358" s="350"/>
      <c r="M358" s="350"/>
      <c r="N358" s="350"/>
      <c r="O358" s="351"/>
      <c r="P358" s="350"/>
      <c r="Q358" s="351"/>
      <c r="R358" s="351"/>
      <c r="S358" s="351"/>
      <c r="T358" s="351"/>
      <c r="U358" s="351"/>
      <c r="V358" s="351"/>
      <c r="W358" s="292"/>
      <c r="X358" s="292"/>
      <c r="Y358" s="292"/>
      <c r="Z358" s="292"/>
      <c r="AA358" s="292"/>
      <c r="AB358" s="292"/>
      <c r="AC358" s="292"/>
      <c r="AD358" s="291"/>
      <c r="AE358" s="172"/>
      <c r="AF358" s="172"/>
      <c r="AG358" s="28"/>
      <c r="AH358" s="28"/>
      <c r="AJ358" s="284"/>
      <c r="AK358" s="269"/>
      <c r="AL358" s="270"/>
      <c r="AM358" s="270"/>
      <c r="AP358" s="271"/>
      <c r="AU358" s="271"/>
      <c r="AZ358" s="271"/>
      <c r="BE358" s="271"/>
      <c r="BJ358" s="271"/>
      <c r="BK358" s="269"/>
      <c r="BM358" s="272"/>
      <c r="BN358" s="272"/>
      <c r="BO358" s="272"/>
      <c r="BP358" s="272"/>
      <c r="BQ358" s="272"/>
      <c r="BR358" s="272"/>
      <c r="BS358" s="272"/>
      <c r="BT358" s="272"/>
      <c r="BU358" s="272"/>
    </row>
    <row r="359" spans="1:73" s="268" customFormat="1" x14ac:dyDescent="0.25">
      <c r="A359" s="283"/>
      <c r="B359" s="283"/>
      <c r="C359" s="283"/>
      <c r="D359" s="47" t="s">
        <v>188</v>
      </c>
      <c r="E359" s="279"/>
      <c r="F359" s="19"/>
      <c r="G359" s="19"/>
      <c r="J359" s="351"/>
      <c r="K359" s="351"/>
      <c r="L359" s="350"/>
      <c r="M359" s="350"/>
      <c r="N359" s="350"/>
      <c r="O359" s="351"/>
      <c r="P359" s="350"/>
      <c r="Q359" s="351"/>
      <c r="R359" s="351"/>
      <c r="S359" s="351"/>
      <c r="T359" s="351"/>
      <c r="U359" s="351"/>
      <c r="V359" s="351"/>
      <c r="W359" s="292"/>
      <c r="X359" s="292"/>
      <c r="Y359" s="292"/>
      <c r="Z359" s="292"/>
      <c r="AA359" s="292"/>
      <c r="AB359" s="292"/>
      <c r="AC359" s="292"/>
      <c r="AD359" s="291"/>
      <c r="AE359" s="172"/>
      <c r="AF359" s="172"/>
      <c r="AG359" s="28"/>
      <c r="AH359" s="28"/>
      <c r="AJ359" s="284"/>
      <c r="AK359" s="269"/>
      <c r="AL359" s="270"/>
      <c r="AM359" s="270"/>
      <c r="AP359" s="271"/>
      <c r="AU359" s="271"/>
      <c r="AZ359" s="271"/>
      <c r="BE359" s="271"/>
      <c r="BJ359" s="271"/>
      <c r="BK359" s="269"/>
      <c r="BM359" s="272"/>
      <c r="BN359" s="272"/>
      <c r="BO359" s="272"/>
      <c r="BP359" s="272"/>
      <c r="BQ359" s="272"/>
      <c r="BR359" s="272"/>
      <c r="BS359" s="272"/>
      <c r="BT359" s="272"/>
      <c r="BU359" s="272"/>
    </row>
    <row r="360" spans="1:73" s="268" customFormat="1" x14ac:dyDescent="0.25">
      <c r="A360" s="283"/>
      <c r="B360" s="283"/>
      <c r="C360" s="283"/>
      <c r="D360" s="47" t="s">
        <v>223</v>
      </c>
      <c r="E360" s="279"/>
      <c r="F360" s="19"/>
      <c r="G360" s="19"/>
      <c r="J360" s="351"/>
      <c r="K360" s="351"/>
      <c r="L360" s="350"/>
      <c r="M360" s="350"/>
      <c r="N360" s="350"/>
      <c r="O360" s="351"/>
      <c r="P360" s="350"/>
      <c r="Q360" s="351"/>
      <c r="R360" s="351"/>
      <c r="S360" s="351"/>
      <c r="T360" s="351"/>
      <c r="U360" s="351"/>
      <c r="V360" s="351"/>
      <c r="W360" s="292"/>
      <c r="X360" s="292"/>
      <c r="Y360" s="292"/>
      <c r="Z360" s="292"/>
      <c r="AA360" s="292"/>
      <c r="AB360" s="292"/>
      <c r="AC360" s="292"/>
      <c r="AD360" s="291"/>
      <c r="AE360" s="172"/>
      <c r="AF360" s="172"/>
      <c r="AG360" s="28"/>
      <c r="AH360" s="28"/>
      <c r="AJ360" s="284"/>
      <c r="AK360" s="269"/>
      <c r="AL360" s="270"/>
      <c r="AM360" s="270"/>
      <c r="AP360" s="271"/>
      <c r="AU360" s="271"/>
      <c r="AZ360" s="271"/>
      <c r="BE360" s="271"/>
      <c r="BJ360" s="271"/>
      <c r="BK360" s="269"/>
      <c r="BM360" s="272"/>
      <c r="BN360" s="272"/>
      <c r="BO360" s="272"/>
      <c r="BP360" s="272"/>
      <c r="BQ360" s="272"/>
      <c r="BR360" s="272"/>
      <c r="BS360" s="272"/>
      <c r="BT360" s="272"/>
      <c r="BU360" s="272"/>
    </row>
    <row r="361" spans="1:73" s="268" customFormat="1" x14ac:dyDescent="0.25">
      <c r="A361" s="283"/>
      <c r="B361" s="283"/>
      <c r="C361" s="283"/>
      <c r="D361" s="47" t="s">
        <v>224</v>
      </c>
      <c r="E361" s="279"/>
      <c r="F361" s="19"/>
      <c r="G361" s="19"/>
      <c r="J361" s="351"/>
      <c r="K361" s="351"/>
      <c r="L361" s="350"/>
      <c r="M361" s="350"/>
      <c r="N361" s="350"/>
      <c r="O361" s="351"/>
      <c r="P361" s="350"/>
      <c r="Q361" s="351"/>
      <c r="R361" s="351"/>
      <c r="S361" s="351"/>
      <c r="T361" s="351"/>
      <c r="U361" s="351"/>
      <c r="V361" s="351"/>
      <c r="W361" s="292"/>
      <c r="X361" s="292"/>
      <c r="Y361" s="292"/>
      <c r="Z361" s="292"/>
      <c r="AA361" s="292"/>
      <c r="AB361" s="292"/>
      <c r="AC361" s="292"/>
      <c r="AD361" s="291"/>
      <c r="AE361" s="172"/>
      <c r="AF361" s="172"/>
      <c r="AG361" s="28"/>
      <c r="AH361" s="28"/>
      <c r="AJ361" s="284"/>
      <c r="AK361" s="269"/>
      <c r="AL361" s="270"/>
      <c r="AM361" s="270"/>
      <c r="AP361" s="271"/>
      <c r="AU361" s="271"/>
      <c r="AZ361" s="271"/>
      <c r="BE361" s="271"/>
      <c r="BJ361" s="271"/>
      <c r="BK361" s="269"/>
      <c r="BM361" s="272"/>
      <c r="BN361" s="272"/>
      <c r="BO361" s="272"/>
      <c r="BP361" s="272"/>
      <c r="BQ361" s="272"/>
      <c r="BR361" s="272"/>
      <c r="BS361" s="272"/>
      <c r="BT361" s="272"/>
      <c r="BU361" s="272"/>
    </row>
    <row r="362" spans="1:73" s="268" customFormat="1" x14ac:dyDescent="0.25">
      <c r="A362" s="283"/>
      <c r="B362" s="283"/>
      <c r="C362" s="283"/>
      <c r="D362" s="47" t="s">
        <v>189</v>
      </c>
      <c r="E362" s="279"/>
      <c r="F362" s="19"/>
      <c r="G362" s="19"/>
      <c r="J362" s="351"/>
      <c r="K362" s="351"/>
      <c r="L362" s="350"/>
      <c r="M362" s="350"/>
      <c r="N362" s="350"/>
      <c r="O362" s="351"/>
      <c r="P362" s="350"/>
      <c r="Q362" s="351"/>
      <c r="R362" s="351"/>
      <c r="S362" s="351"/>
      <c r="T362" s="351"/>
      <c r="U362" s="351"/>
      <c r="V362" s="351"/>
      <c r="W362" s="292"/>
      <c r="X362" s="292"/>
      <c r="Y362" s="292"/>
      <c r="Z362" s="292"/>
      <c r="AA362" s="292"/>
      <c r="AB362" s="292"/>
      <c r="AC362" s="292"/>
      <c r="AD362" s="291"/>
      <c r="AE362" s="172"/>
      <c r="AF362" s="172"/>
      <c r="AG362" s="28"/>
      <c r="AH362" s="28"/>
      <c r="AJ362" s="284"/>
      <c r="AK362" s="269"/>
      <c r="AL362" s="270"/>
      <c r="AM362" s="270"/>
      <c r="AP362" s="271"/>
      <c r="AU362" s="271"/>
      <c r="AZ362" s="271"/>
      <c r="BE362" s="271"/>
      <c r="BJ362" s="271"/>
      <c r="BK362" s="269"/>
      <c r="BM362" s="272"/>
      <c r="BN362" s="272"/>
      <c r="BO362" s="272"/>
      <c r="BP362" s="272"/>
      <c r="BQ362" s="272"/>
      <c r="BR362" s="272"/>
      <c r="BS362" s="272"/>
      <c r="BT362" s="272"/>
      <c r="BU362" s="272"/>
    </row>
    <row r="363" spans="1:73" s="268" customFormat="1" x14ac:dyDescent="0.25">
      <c r="A363" s="283"/>
      <c r="B363" s="283"/>
      <c r="C363" s="283"/>
      <c r="D363" s="47" t="s">
        <v>219</v>
      </c>
      <c r="E363" s="279"/>
      <c r="F363" s="19"/>
      <c r="G363" s="19"/>
      <c r="J363" s="351"/>
      <c r="K363" s="351"/>
      <c r="L363" s="350"/>
      <c r="M363" s="350"/>
      <c r="N363" s="350"/>
      <c r="O363" s="351"/>
      <c r="P363" s="350"/>
      <c r="Q363" s="351"/>
      <c r="R363" s="351"/>
      <c r="S363" s="351"/>
      <c r="T363" s="351"/>
      <c r="U363" s="351"/>
      <c r="V363" s="351"/>
      <c r="W363" s="292"/>
      <c r="X363" s="292"/>
      <c r="Y363" s="292"/>
      <c r="Z363" s="292"/>
      <c r="AA363" s="292"/>
      <c r="AB363" s="292"/>
      <c r="AC363" s="292"/>
      <c r="AD363" s="291"/>
      <c r="AE363" s="172"/>
      <c r="AF363" s="172"/>
      <c r="AG363" s="28"/>
      <c r="AH363" s="28"/>
      <c r="AJ363" s="284"/>
      <c r="AK363" s="269"/>
      <c r="AL363" s="270"/>
      <c r="AM363" s="270"/>
      <c r="AP363" s="271"/>
      <c r="AU363" s="271"/>
      <c r="AZ363" s="271"/>
      <c r="BE363" s="271"/>
      <c r="BJ363" s="271"/>
      <c r="BK363" s="269"/>
      <c r="BM363" s="272"/>
      <c r="BN363" s="272"/>
      <c r="BO363" s="272"/>
      <c r="BP363" s="272"/>
      <c r="BQ363" s="272"/>
      <c r="BR363" s="272"/>
      <c r="BS363" s="272"/>
      <c r="BT363" s="272"/>
      <c r="BU363" s="272"/>
    </row>
    <row r="364" spans="1:73" s="268" customFormat="1" x14ac:dyDescent="0.25">
      <c r="A364" s="283"/>
      <c r="B364" s="283"/>
      <c r="C364" s="283"/>
      <c r="D364" s="47" t="s">
        <v>225</v>
      </c>
      <c r="E364" s="279"/>
      <c r="F364" s="19"/>
      <c r="G364" s="19"/>
      <c r="J364" s="351"/>
      <c r="K364" s="351"/>
      <c r="L364" s="350"/>
      <c r="M364" s="350"/>
      <c r="N364" s="350"/>
      <c r="O364" s="351"/>
      <c r="P364" s="350"/>
      <c r="Q364" s="351"/>
      <c r="R364" s="351"/>
      <c r="S364" s="351"/>
      <c r="T364" s="351"/>
      <c r="U364" s="351"/>
      <c r="V364" s="351"/>
      <c r="W364" s="292"/>
      <c r="X364" s="292"/>
      <c r="Y364" s="292"/>
      <c r="Z364" s="292"/>
      <c r="AA364" s="292"/>
      <c r="AB364" s="292"/>
      <c r="AC364" s="292"/>
      <c r="AD364" s="291"/>
      <c r="AE364" s="172"/>
      <c r="AF364" s="172"/>
      <c r="AG364" s="28"/>
      <c r="AH364" s="28"/>
      <c r="AJ364" s="284"/>
      <c r="AK364" s="269"/>
      <c r="AL364" s="270"/>
      <c r="AM364" s="270"/>
      <c r="AP364" s="271"/>
      <c r="AU364" s="271"/>
      <c r="AZ364" s="271"/>
      <c r="BE364" s="271"/>
      <c r="BJ364" s="271"/>
      <c r="BK364" s="269"/>
      <c r="BM364" s="272"/>
      <c r="BN364" s="272"/>
      <c r="BO364" s="272"/>
      <c r="BP364" s="272"/>
      <c r="BQ364" s="272"/>
      <c r="BR364" s="272"/>
      <c r="BS364" s="272"/>
      <c r="BT364" s="272"/>
      <c r="BU364" s="272"/>
    </row>
    <row r="365" spans="1:73" s="268" customFormat="1" x14ac:dyDescent="0.25">
      <c r="A365" s="283"/>
      <c r="B365" s="283"/>
      <c r="C365" s="283"/>
      <c r="D365" s="47" t="s">
        <v>256</v>
      </c>
      <c r="E365" s="279"/>
      <c r="F365" s="19"/>
      <c r="G365" s="19"/>
      <c r="J365" s="351"/>
      <c r="K365" s="351"/>
      <c r="L365" s="350"/>
      <c r="M365" s="350"/>
      <c r="N365" s="350"/>
      <c r="O365" s="351"/>
      <c r="P365" s="350"/>
      <c r="Q365" s="351"/>
      <c r="R365" s="351"/>
      <c r="S365" s="351"/>
      <c r="T365" s="351"/>
      <c r="U365" s="351"/>
      <c r="V365" s="351"/>
      <c r="W365" s="292"/>
      <c r="X365" s="292"/>
      <c r="Y365" s="292"/>
      <c r="Z365" s="292"/>
      <c r="AA365" s="292"/>
      <c r="AB365" s="292"/>
      <c r="AC365" s="292"/>
      <c r="AD365" s="291"/>
      <c r="AE365" s="172"/>
      <c r="AF365" s="172"/>
      <c r="AG365" s="28"/>
      <c r="AH365" s="28"/>
      <c r="AJ365" s="284"/>
      <c r="AK365" s="269"/>
      <c r="AL365" s="270"/>
      <c r="AM365" s="270"/>
      <c r="AP365" s="271"/>
      <c r="AU365" s="271"/>
      <c r="AZ365" s="271"/>
      <c r="BE365" s="271"/>
      <c r="BJ365" s="271"/>
      <c r="BK365" s="269"/>
      <c r="BM365" s="272"/>
      <c r="BN365" s="272"/>
      <c r="BO365" s="272"/>
      <c r="BP365" s="272"/>
      <c r="BQ365" s="272"/>
      <c r="BR365" s="272"/>
      <c r="BS365" s="272"/>
      <c r="BT365" s="272"/>
      <c r="BU365" s="272"/>
    </row>
    <row r="366" spans="1:73" s="268" customFormat="1" x14ac:dyDescent="0.25">
      <c r="A366" s="283"/>
      <c r="B366" s="283"/>
      <c r="C366" s="283"/>
      <c r="D366" s="47" t="s">
        <v>226</v>
      </c>
      <c r="E366" s="279"/>
      <c r="F366" s="19"/>
      <c r="G366" s="19"/>
      <c r="J366" s="351"/>
      <c r="K366" s="351"/>
      <c r="L366" s="350"/>
      <c r="M366" s="350"/>
      <c r="N366" s="350"/>
      <c r="O366" s="351"/>
      <c r="P366" s="350"/>
      <c r="Q366" s="351"/>
      <c r="R366" s="351"/>
      <c r="S366" s="351"/>
      <c r="T366" s="351"/>
      <c r="U366" s="351"/>
      <c r="V366" s="351"/>
      <c r="W366" s="292"/>
      <c r="X366" s="292"/>
      <c r="Y366" s="292"/>
      <c r="Z366" s="292"/>
      <c r="AA366" s="292"/>
      <c r="AB366" s="292"/>
      <c r="AC366" s="292"/>
      <c r="AD366" s="291"/>
      <c r="AE366" s="172"/>
      <c r="AF366" s="172"/>
      <c r="AG366" s="28"/>
      <c r="AH366" s="28"/>
      <c r="AJ366" s="284"/>
      <c r="AK366" s="269"/>
      <c r="AL366" s="270"/>
      <c r="AM366" s="270"/>
      <c r="AP366" s="271"/>
      <c r="AU366" s="271"/>
      <c r="AZ366" s="271"/>
      <c r="BE366" s="271"/>
      <c r="BJ366" s="271"/>
      <c r="BK366" s="269"/>
      <c r="BM366" s="272"/>
      <c r="BN366" s="272"/>
      <c r="BO366" s="272"/>
      <c r="BP366" s="272"/>
      <c r="BQ366" s="272"/>
      <c r="BR366" s="272"/>
      <c r="BS366" s="272"/>
      <c r="BT366" s="272"/>
      <c r="BU366" s="272"/>
    </row>
    <row r="367" spans="1:73" s="268" customFormat="1" x14ac:dyDescent="0.25">
      <c r="A367" s="283"/>
      <c r="B367" s="283"/>
      <c r="C367" s="283"/>
      <c r="D367" s="47" t="s">
        <v>190</v>
      </c>
      <c r="E367" s="279"/>
      <c r="F367" s="19"/>
      <c r="G367" s="19"/>
      <c r="J367" s="351"/>
      <c r="K367" s="351"/>
      <c r="L367" s="350"/>
      <c r="M367" s="350"/>
      <c r="N367" s="350"/>
      <c r="O367" s="351"/>
      <c r="P367" s="350"/>
      <c r="Q367" s="351"/>
      <c r="R367" s="351"/>
      <c r="S367" s="351"/>
      <c r="T367" s="351"/>
      <c r="U367" s="351"/>
      <c r="V367" s="351"/>
      <c r="W367" s="292"/>
      <c r="X367" s="292"/>
      <c r="Y367" s="292"/>
      <c r="Z367" s="292"/>
      <c r="AA367" s="292"/>
      <c r="AB367" s="292"/>
      <c r="AC367" s="292"/>
      <c r="AD367" s="291"/>
      <c r="AE367" s="172"/>
      <c r="AF367" s="172"/>
      <c r="AG367" s="28"/>
      <c r="AH367" s="28"/>
      <c r="AJ367" s="284"/>
      <c r="AK367" s="269"/>
      <c r="AL367" s="270"/>
      <c r="AM367" s="270"/>
      <c r="AP367" s="271"/>
      <c r="AU367" s="271"/>
      <c r="AZ367" s="271"/>
      <c r="BE367" s="271"/>
      <c r="BJ367" s="271"/>
      <c r="BK367" s="269"/>
      <c r="BM367" s="272"/>
      <c r="BN367" s="272"/>
      <c r="BO367" s="272"/>
      <c r="BP367" s="272"/>
      <c r="BQ367" s="272"/>
      <c r="BR367" s="272"/>
      <c r="BS367" s="272"/>
      <c r="BT367" s="272"/>
      <c r="BU367" s="272"/>
    </row>
    <row r="368" spans="1:73" s="268" customFormat="1" x14ac:dyDescent="0.25">
      <c r="A368" s="283"/>
      <c r="B368" s="283"/>
      <c r="C368" s="283"/>
      <c r="D368" s="47" t="s">
        <v>34</v>
      </c>
      <c r="E368" s="47"/>
      <c r="F368" s="19"/>
      <c r="G368" s="19"/>
      <c r="J368" s="351"/>
      <c r="K368" s="351"/>
      <c r="L368" s="350"/>
      <c r="M368" s="350"/>
      <c r="N368" s="350"/>
      <c r="O368" s="351"/>
      <c r="P368" s="350"/>
      <c r="Q368" s="351"/>
      <c r="R368" s="351"/>
      <c r="S368" s="351"/>
      <c r="T368" s="351"/>
      <c r="U368" s="351"/>
      <c r="V368" s="351"/>
      <c r="W368" s="292"/>
      <c r="X368" s="292"/>
      <c r="Y368" s="292"/>
      <c r="Z368" s="292"/>
      <c r="AA368" s="292"/>
      <c r="AB368" s="292"/>
      <c r="AC368" s="292"/>
      <c r="AD368" s="291"/>
      <c r="AE368" s="172"/>
      <c r="AF368" s="172"/>
      <c r="AG368" s="28"/>
      <c r="AH368" s="28"/>
      <c r="AJ368" s="284"/>
      <c r="AK368" s="269"/>
      <c r="AL368" s="270"/>
      <c r="AM368" s="270"/>
      <c r="AP368" s="271"/>
      <c r="AU368" s="271"/>
      <c r="AZ368" s="271"/>
      <c r="BE368" s="271"/>
      <c r="BJ368" s="271"/>
      <c r="BK368" s="269"/>
      <c r="BM368" s="272"/>
      <c r="BN368" s="272"/>
      <c r="BO368" s="272"/>
      <c r="BP368" s="272"/>
      <c r="BQ368" s="272"/>
      <c r="BR368" s="272"/>
      <c r="BS368" s="272"/>
      <c r="BT368" s="272"/>
      <c r="BU368" s="272"/>
    </row>
    <row r="369" spans="1:73" s="268" customFormat="1" x14ac:dyDescent="0.25">
      <c r="A369" s="283"/>
      <c r="B369" s="283"/>
      <c r="C369" s="283"/>
      <c r="D369" s="47"/>
      <c r="E369" s="47"/>
      <c r="F369" s="19"/>
      <c r="G369" s="19"/>
      <c r="J369" s="351"/>
      <c r="K369" s="351"/>
      <c r="L369" s="350"/>
      <c r="M369" s="350"/>
      <c r="N369" s="350"/>
      <c r="O369" s="351"/>
      <c r="P369" s="350"/>
      <c r="Q369" s="351"/>
      <c r="R369" s="351"/>
      <c r="S369" s="351"/>
      <c r="T369" s="351"/>
      <c r="U369" s="351"/>
      <c r="V369" s="351"/>
      <c r="W369" s="292"/>
      <c r="X369" s="292"/>
      <c r="Y369" s="292"/>
      <c r="Z369" s="292"/>
      <c r="AA369" s="292"/>
      <c r="AB369" s="292"/>
      <c r="AC369" s="292"/>
      <c r="AD369" s="291"/>
      <c r="AE369" s="172"/>
      <c r="AF369" s="172"/>
      <c r="AG369" s="28"/>
      <c r="AH369" s="28"/>
      <c r="AJ369" s="284"/>
      <c r="AK369" s="269"/>
      <c r="AL369" s="270"/>
      <c r="AM369" s="270"/>
      <c r="AP369" s="271"/>
      <c r="AU369" s="271"/>
      <c r="AZ369" s="271"/>
      <c r="BE369" s="271"/>
      <c r="BJ369" s="271"/>
      <c r="BK369" s="269"/>
      <c r="BM369" s="272"/>
      <c r="BN369" s="272"/>
      <c r="BO369" s="272"/>
      <c r="BP369" s="272"/>
      <c r="BQ369" s="272"/>
      <c r="BR369" s="272"/>
      <c r="BS369" s="272"/>
      <c r="BT369" s="272"/>
      <c r="BU369" s="272"/>
    </row>
    <row r="370" spans="1:73" s="268" customFormat="1" x14ac:dyDescent="0.25">
      <c r="A370" s="283"/>
      <c r="B370" s="283"/>
      <c r="C370" s="283"/>
      <c r="D370" s="47" t="s">
        <v>213</v>
      </c>
      <c r="E370" s="47"/>
      <c r="F370" s="19"/>
      <c r="G370" s="19"/>
      <c r="J370" s="351"/>
      <c r="K370" s="351"/>
      <c r="L370" s="350"/>
      <c r="M370" s="350"/>
      <c r="N370" s="350"/>
      <c r="O370" s="351"/>
      <c r="P370" s="350"/>
      <c r="Q370" s="351"/>
      <c r="R370" s="351"/>
      <c r="S370" s="351"/>
      <c r="T370" s="351"/>
      <c r="U370" s="351"/>
      <c r="V370" s="351"/>
      <c r="W370" s="292"/>
      <c r="X370" s="292"/>
      <c r="Y370" s="292"/>
      <c r="Z370" s="292"/>
      <c r="AA370" s="292"/>
      <c r="AB370" s="292"/>
      <c r="AC370" s="292"/>
      <c r="AD370" s="291"/>
      <c r="AE370" s="172"/>
      <c r="AF370" s="172"/>
      <c r="AG370" s="28"/>
      <c r="AH370" s="28"/>
      <c r="AJ370" s="284"/>
      <c r="AK370" s="269"/>
      <c r="AL370" s="270"/>
      <c r="AM370" s="270"/>
      <c r="AP370" s="271"/>
      <c r="AU370" s="271"/>
      <c r="AZ370" s="271"/>
      <c r="BE370" s="271"/>
      <c r="BJ370" s="271"/>
      <c r="BK370" s="269"/>
      <c r="BM370" s="272"/>
      <c r="BN370" s="272"/>
      <c r="BO370" s="272"/>
      <c r="BP370" s="272"/>
      <c r="BQ370" s="272"/>
      <c r="BR370" s="272"/>
      <c r="BS370" s="272"/>
      <c r="BT370" s="272"/>
      <c r="BU370" s="272"/>
    </row>
    <row r="371" spans="1:73" s="268" customFormat="1" x14ac:dyDescent="0.25">
      <c r="A371" s="283"/>
      <c r="B371" s="283"/>
      <c r="C371" s="283"/>
      <c r="D371" s="47" t="s">
        <v>214</v>
      </c>
      <c r="E371" s="47"/>
      <c r="F371" s="19"/>
      <c r="G371" s="19"/>
      <c r="J371" s="351"/>
      <c r="K371" s="351"/>
      <c r="L371" s="350"/>
      <c r="M371" s="350"/>
      <c r="N371" s="350"/>
      <c r="O371" s="351"/>
      <c r="P371" s="350"/>
      <c r="Q371" s="351"/>
      <c r="R371" s="351"/>
      <c r="S371" s="351"/>
      <c r="T371" s="351"/>
      <c r="U371" s="351"/>
      <c r="V371" s="351"/>
      <c r="W371" s="292"/>
      <c r="X371" s="292"/>
      <c r="Y371" s="292"/>
      <c r="Z371" s="292"/>
      <c r="AA371" s="292"/>
      <c r="AB371" s="292"/>
      <c r="AC371" s="292"/>
      <c r="AD371" s="291"/>
      <c r="AE371" s="172"/>
      <c r="AF371" s="172"/>
      <c r="AG371" s="28"/>
      <c r="AH371" s="28"/>
      <c r="AJ371" s="284"/>
      <c r="AK371" s="269"/>
      <c r="AL371" s="270"/>
      <c r="AM371" s="270"/>
      <c r="AP371" s="271"/>
      <c r="AU371" s="271"/>
      <c r="AZ371" s="271"/>
      <c r="BE371" s="271"/>
      <c r="BJ371" s="271"/>
      <c r="BK371" s="269"/>
      <c r="BM371" s="272"/>
      <c r="BN371" s="272"/>
      <c r="BO371" s="272"/>
      <c r="BP371" s="272"/>
      <c r="BQ371" s="272"/>
      <c r="BR371" s="272"/>
      <c r="BS371" s="272"/>
      <c r="BT371" s="272"/>
      <c r="BU371" s="272"/>
    </row>
    <row r="372" spans="1:73" s="268" customFormat="1" x14ac:dyDescent="0.25">
      <c r="A372" s="283"/>
      <c r="B372" s="283"/>
      <c r="C372" s="283"/>
      <c r="D372" s="47" t="s">
        <v>216</v>
      </c>
      <c r="E372" s="47"/>
      <c r="F372" s="19"/>
      <c r="G372" s="19"/>
      <c r="J372" s="351"/>
      <c r="K372" s="351"/>
      <c r="L372" s="350"/>
      <c r="M372" s="350"/>
      <c r="N372" s="350"/>
      <c r="O372" s="351"/>
      <c r="P372" s="350"/>
      <c r="Q372" s="351"/>
      <c r="R372" s="351"/>
      <c r="S372" s="351"/>
      <c r="T372" s="351"/>
      <c r="U372" s="351"/>
      <c r="V372" s="351"/>
      <c r="W372" s="292"/>
      <c r="X372" s="292"/>
      <c r="Y372" s="292"/>
      <c r="Z372" s="292"/>
      <c r="AA372" s="292"/>
      <c r="AB372" s="292"/>
      <c r="AC372" s="292"/>
      <c r="AD372" s="291"/>
      <c r="AE372" s="172"/>
      <c r="AF372" s="172"/>
      <c r="AG372" s="28"/>
      <c r="AH372" s="28"/>
      <c r="AJ372" s="284"/>
      <c r="AK372" s="269"/>
      <c r="AL372" s="270"/>
      <c r="AM372" s="270"/>
      <c r="AP372" s="271"/>
      <c r="AU372" s="271"/>
      <c r="AZ372" s="271"/>
      <c r="BE372" s="271"/>
      <c r="BJ372" s="271"/>
      <c r="BK372" s="269"/>
      <c r="BM372" s="272"/>
      <c r="BN372" s="272"/>
      <c r="BO372" s="272"/>
      <c r="BP372" s="272"/>
      <c r="BQ372" s="272"/>
      <c r="BR372" s="272"/>
      <c r="BS372" s="272"/>
      <c r="BT372" s="272"/>
      <c r="BU372" s="272"/>
    </row>
    <row r="373" spans="1:73" s="268" customFormat="1" x14ac:dyDescent="0.25">
      <c r="A373" s="283"/>
      <c r="B373" s="283"/>
      <c r="C373" s="283"/>
      <c r="D373" s="47" t="s">
        <v>256</v>
      </c>
      <c r="E373" s="47"/>
      <c r="F373" s="19"/>
      <c r="G373" s="19"/>
      <c r="J373" s="351"/>
      <c r="K373" s="351"/>
      <c r="L373" s="350"/>
      <c r="M373" s="350"/>
      <c r="N373" s="350"/>
      <c r="O373" s="351"/>
      <c r="P373" s="350"/>
      <c r="Q373" s="351"/>
      <c r="R373" s="351"/>
      <c r="S373" s="351"/>
      <c r="T373" s="351"/>
      <c r="U373" s="351"/>
      <c r="V373" s="351"/>
      <c r="W373" s="292"/>
      <c r="X373" s="292"/>
      <c r="Y373" s="292"/>
      <c r="Z373" s="292"/>
      <c r="AA373" s="292"/>
      <c r="AB373" s="292"/>
      <c r="AC373" s="292"/>
      <c r="AD373" s="291"/>
      <c r="AE373" s="172"/>
      <c r="AF373" s="172"/>
      <c r="AG373" s="28"/>
      <c r="AH373" s="28"/>
      <c r="AJ373" s="284"/>
      <c r="AK373" s="269"/>
      <c r="AL373" s="270"/>
      <c r="AM373" s="270"/>
      <c r="AP373" s="271"/>
      <c r="AU373" s="271"/>
      <c r="AZ373" s="271"/>
      <c r="BE373" s="271"/>
      <c r="BJ373" s="271"/>
      <c r="BK373" s="269"/>
      <c r="BM373" s="272"/>
      <c r="BN373" s="272"/>
      <c r="BO373" s="272"/>
      <c r="BP373" s="272"/>
      <c r="BQ373" s="272"/>
      <c r="BR373" s="272"/>
      <c r="BS373" s="272"/>
      <c r="BT373" s="272"/>
      <c r="BU373" s="272"/>
    </row>
    <row r="374" spans="1:73" s="268" customFormat="1" x14ac:dyDescent="0.25">
      <c r="A374" s="283"/>
      <c r="B374" s="283"/>
      <c r="C374" s="283"/>
      <c r="D374" s="47" t="s">
        <v>218</v>
      </c>
      <c r="E374" s="47"/>
      <c r="F374" s="19"/>
      <c r="G374" s="19"/>
      <c r="J374" s="351"/>
      <c r="K374" s="351"/>
      <c r="L374" s="350"/>
      <c r="M374" s="350"/>
      <c r="N374" s="350"/>
      <c r="O374" s="351"/>
      <c r="P374" s="350"/>
      <c r="Q374" s="351"/>
      <c r="R374" s="351"/>
      <c r="S374" s="351"/>
      <c r="T374" s="351"/>
      <c r="U374" s="351"/>
      <c r="V374" s="351"/>
      <c r="W374" s="292"/>
      <c r="X374" s="292"/>
      <c r="Y374" s="292"/>
      <c r="Z374" s="292"/>
      <c r="AA374" s="292"/>
      <c r="AB374" s="292"/>
      <c r="AC374" s="292"/>
      <c r="AD374" s="291"/>
      <c r="AE374" s="172"/>
      <c r="AF374" s="172"/>
      <c r="AG374" s="28"/>
      <c r="AH374" s="28"/>
      <c r="AJ374" s="284"/>
      <c r="AK374" s="269"/>
      <c r="AL374" s="270"/>
      <c r="AM374" s="270"/>
      <c r="AP374" s="271"/>
      <c r="AU374" s="271"/>
      <c r="AZ374" s="271"/>
      <c r="BE374" s="271"/>
      <c r="BJ374" s="271"/>
      <c r="BK374" s="269"/>
      <c r="BM374" s="272"/>
      <c r="BN374" s="272"/>
      <c r="BO374" s="272"/>
      <c r="BP374" s="272"/>
      <c r="BQ374" s="272"/>
      <c r="BR374" s="272"/>
      <c r="BS374" s="272"/>
      <c r="BT374" s="272"/>
      <c r="BU374" s="272"/>
    </row>
    <row r="375" spans="1:73" s="268" customFormat="1" x14ac:dyDescent="0.25">
      <c r="A375" s="283"/>
      <c r="B375" s="283"/>
      <c r="C375" s="283"/>
      <c r="D375" s="47" t="s">
        <v>215</v>
      </c>
      <c r="E375" s="47"/>
      <c r="F375" s="19"/>
      <c r="G375" s="19"/>
      <c r="J375" s="351"/>
      <c r="K375" s="351"/>
      <c r="L375" s="350"/>
      <c r="M375" s="350"/>
      <c r="N375" s="350"/>
      <c r="O375" s="351"/>
      <c r="P375" s="350"/>
      <c r="Q375" s="351"/>
      <c r="R375" s="351"/>
      <c r="S375" s="351"/>
      <c r="T375" s="351"/>
      <c r="U375" s="351"/>
      <c r="V375" s="351"/>
      <c r="W375" s="292"/>
      <c r="X375" s="292"/>
      <c r="Y375" s="292"/>
      <c r="Z375" s="292"/>
      <c r="AA375" s="292"/>
      <c r="AB375" s="292"/>
      <c r="AC375" s="292"/>
      <c r="AD375" s="291"/>
      <c r="AE375" s="172"/>
      <c r="AF375" s="172"/>
      <c r="AG375" s="28"/>
      <c r="AH375" s="28"/>
      <c r="AJ375" s="284"/>
      <c r="AK375" s="269"/>
      <c r="AL375" s="270"/>
      <c r="AM375" s="270"/>
      <c r="AP375" s="271"/>
      <c r="AU375" s="271"/>
      <c r="AZ375" s="271"/>
      <c r="BE375" s="271"/>
      <c r="BJ375" s="271"/>
      <c r="BK375" s="269"/>
      <c r="BM375" s="272"/>
      <c r="BN375" s="272"/>
      <c r="BO375" s="272"/>
      <c r="BP375" s="272"/>
      <c r="BQ375" s="272"/>
      <c r="BR375" s="272"/>
      <c r="BS375" s="272"/>
      <c r="BT375" s="272"/>
      <c r="BU375" s="272"/>
    </row>
    <row r="376" spans="1:73" s="268" customFormat="1" x14ac:dyDescent="0.25">
      <c r="A376" s="283"/>
      <c r="B376" s="283"/>
      <c r="C376" s="283"/>
      <c r="D376" s="47"/>
      <c r="E376" s="47"/>
      <c r="F376" s="19"/>
      <c r="G376" s="19"/>
      <c r="J376" s="351"/>
      <c r="K376" s="351"/>
      <c r="L376" s="350"/>
      <c r="M376" s="350"/>
      <c r="N376" s="350"/>
      <c r="O376" s="351"/>
      <c r="P376" s="350"/>
      <c r="Q376" s="351"/>
      <c r="R376" s="351"/>
      <c r="S376" s="351"/>
      <c r="T376" s="351"/>
      <c r="U376" s="351"/>
      <c r="V376" s="351"/>
      <c r="W376" s="292"/>
      <c r="X376" s="292"/>
      <c r="Y376" s="292"/>
      <c r="Z376" s="292"/>
      <c r="AA376" s="292"/>
      <c r="AB376" s="292"/>
      <c r="AC376" s="292"/>
      <c r="AD376" s="291"/>
      <c r="AE376" s="172"/>
      <c r="AF376" s="172"/>
      <c r="AG376" s="28"/>
      <c r="AH376" s="28"/>
      <c r="AJ376" s="284"/>
      <c r="AK376" s="269"/>
      <c r="AL376" s="270"/>
      <c r="AM376" s="270"/>
      <c r="AP376" s="271"/>
      <c r="AU376" s="271"/>
      <c r="AZ376" s="271"/>
      <c r="BE376" s="271"/>
      <c r="BJ376" s="271"/>
      <c r="BK376" s="269"/>
      <c r="BM376" s="272"/>
      <c r="BN376" s="272"/>
      <c r="BO376" s="272"/>
      <c r="BP376" s="272"/>
      <c r="BQ376" s="272"/>
      <c r="BR376" s="272"/>
      <c r="BS376" s="272"/>
      <c r="BT376" s="272"/>
      <c r="BU376" s="272"/>
    </row>
    <row r="377" spans="1:73" s="268" customFormat="1" x14ac:dyDescent="0.25">
      <c r="A377" s="283"/>
      <c r="B377" s="283"/>
      <c r="C377" s="283"/>
      <c r="D377" s="276"/>
      <c r="E377" s="47"/>
      <c r="F377" s="19"/>
      <c r="G377" s="19"/>
      <c r="J377" s="351"/>
      <c r="K377" s="351"/>
      <c r="L377" s="350"/>
      <c r="M377" s="350"/>
      <c r="N377" s="350"/>
      <c r="O377" s="351"/>
      <c r="P377" s="350"/>
      <c r="Q377" s="351"/>
      <c r="R377" s="351"/>
      <c r="S377" s="351"/>
      <c r="T377" s="351"/>
      <c r="U377" s="351"/>
      <c r="V377" s="351"/>
      <c r="W377" s="292"/>
      <c r="X377" s="292"/>
      <c r="Y377" s="292"/>
      <c r="Z377" s="292"/>
      <c r="AA377" s="292"/>
      <c r="AB377" s="292"/>
      <c r="AC377" s="292"/>
      <c r="AD377" s="291"/>
      <c r="AE377" s="172"/>
      <c r="AF377" s="172"/>
      <c r="AG377" s="28"/>
      <c r="AH377" s="28"/>
      <c r="AJ377" s="284"/>
      <c r="AK377" s="269"/>
      <c r="AL377" s="270"/>
      <c r="AM377" s="270"/>
      <c r="AP377" s="271"/>
      <c r="AU377" s="271"/>
      <c r="AZ377" s="271"/>
      <c r="BE377" s="271"/>
      <c r="BJ377" s="271"/>
      <c r="BK377" s="269"/>
      <c r="BM377" s="272"/>
      <c r="BN377" s="272"/>
      <c r="BO377" s="272"/>
      <c r="BP377" s="272"/>
      <c r="BQ377" s="272"/>
      <c r="BR377" s="272"/>
      <c r="BS377" s="272"/>
      <c r="BT377" s="272"/>
      <c r="BU377" s="272"/>
    </row>
    <row r="378" spans="1:73" s="268" customFormat="1" x14ac:dyDescent="0.25">
      <c r="A378" s="283"/>
      <c r="B378" s="283"/>
      <c r="C378" s="283"/>
      <c r="D378" s="19" t="s">
        <v>56</v>
      </c>
      <c r="E378" s="47"/>
      <c r="F378" s="19"/>
      <c r="G378" s="19"/>
      <c r="J378" s="351"/>
      <c r="K378" s="351"/>
      <c r="L378" s="350"/>
      <c r="M378" s="350"/>
      <c r="N378" s="350"/>
      <c r="O378" s="351"/>
      <c r="P378" s="350"/>
      <c r="Q378" s="351"/>
      <c r="R378" s="351"/>
      <c r="S378" s="351"/>
      <c r="T378" s="351"/>
      <c r="U378" s="351"/>
      <c r="V378" s="351"/>
      <c r="W378" s="292"/>
      <c r="X378" s="292"/>
      <c r="Y378" s="292"/>
      <c r="Z378" s="292"/>
      <c r="AA378" s="292"/>
      <c r="AB378" s="292"/>
      <c r="AC378" s="292"/>
      <c r="AD378" s="291"/>
      <c r="AE378" s="172"/>
      <c r="AF378" s="172"/>
      <c r="AG378" s="28"/>
      <c r="AH378" s="28"/>
      <c r="AJ378" s="284"/>
      <c r="AK378" s="269"/>
      <c r="AL378" s="270"/>
      <c r="AM378" s="270"/>
      <c r="AP378" s="271"/>
      <c r="AU378" s="271"/>
      <c r="AZ378" s="271"/>
      <c r="BE378" s="271"/>
      <c r="BJ378" s="271"/>
      <c r="BK378" s="269"/>
      <c r="BM378" s="272"/>
      <c r="BN378" s="272"/>
      <c r="BO378" s="272"/>
      <c r="BP378" s="272"/>
      <c r="BQ378" s="272"/>
      <c r="BR378" s="272"/>
      <c r="BS378" s="272"/>
      <c r="BT378" s="272"/>
      <c r="BU378" s="272"/>
    </row>
    <row r="379" spans="1:73" s="268" customFormat="1" x14ac:dyDescent="0.25">
      <c r="A379" s="283"/>
      <c r="B379" s="283"/>
      <c r="C379" s="283">
        <v>1</v>
      </c>
      <c r="D379" s="280">
        <v>818</v>
      </c>
      <c r="E379" s="47"/>
      <c r="F379" s="19"/>
      <c r="G379" s="19"/>
      <c r="J379" s="351"/>
      <c r="K379" s="351"/>
      <c r="L379" s="350"/>
      <c r="M379" s="350"/>
      <c r="N379" s="350"/>
      <c r="O379" s="351"/>
      <c r="P379" s="350"/>
      <c r="Q379" s="351"/>
      <c r="R379" s="351"/>
      <c r="S379" s="351"/>
      <c r="T379" s="351"/>
      <c r="U379" s="351"/>
      <c r="V379" s="351"/>
      <c r="W379" s="292"/>
      <c r="X379" s="292"/>
      <c r="Y379" s="292"/>
      <c r="Z379" s="292"/>
      <c r="AA379" s="292"/>
      <c r="AB379" s="292"/>
      <c r="AC379" s="292"/>
      <c r="AD379" s="291"/>
      <c r="AE379" s="172"/>
      <c r="AF379" s="172"/>
      <c r="AG379" s="28"/>
      <c r="AH379" s="28"/>
      <c r="AJ379" s="284"/>
      <c r="AK379" s="269"/>
      <c r="AL379" s="270"/>
      <c r="AM379" s="270"/>
      <c r="AP379" s="271"/>
      <c r="AU379" s="271"/>
      <c r="AZ379" s="271"/>
      <c r="BE379" s="271"/>
      <c r="BJ379" s="271"/>
      <c r="BK379" s="269"/>
      <c r="BM379" s="272"/>
      <c r="BN379" s="272"/>
      <c r="BO379" s="272"/>
      <c r="BP379" s="272"/>
      <c r="BQ379" s="272"/>
      <c r="BR379" s="272"/>
      <c r="BS379" s="272"/>
      <c r="BT379" s="272"/>
      <c r="BU379" s="272"/>
    </row>
    <row r="380" spans="1:73" s="268" customFormat="1" x14ac:dyDescent="0.25">
      <c r="A380" s="283"/>
      <c r="B380" s="283"/>
      <c r="C380" s="283">
        <v>2</v>
      </c>
      <c r="D380" s="280">
        <v>1249</v>
      </c>
      <c r="E380" s="47"/>
      <c r="F380" s="19"/>
      <c r="G380" s="19"/>
      <c r="J380" s="351"/>
      <c r="K380" s="351"/>
      <c r="L380" s="350"/>
      <c r="M380" s="350"/>
      <c r="N380" s="350"/>
      <c r="O380" s="351"/>
      <c r="P380" s="350"/>
      <c r="Q380" s="351"/>
      <c r="R380" s="351"/>
      <c r="S380" s="351"/>
      <c r="T380" s="351"/>
      <c r="U380" s="351"/>
      <c r="V380" s="351"/>
      <c r="W380" s="292"/>
      <c r="X380" s="292"/>
      <c r="Y380" s="292"/>
      <c r="Z380" s="292"/>
      <c r="AA380" s="292"/>
      <c r="AB380" s="292"/>
      <c r="AC380" s="292"/>
      <c r="AD380" s="291"/>
      <c r="AE380" s="172"/>
      <c r="AF380" s="172"/>
      <c r="AG380" s="28"/>
      <c r="AH380" s="28"/>
      <c r="AJ380" s="284"/>
      <c r="AK380" s="269"/>
      <c r="AL380" s="270"/>
      <c r="AM380" s="270"/>
      <c r="AP380" s="271"/>
      <c r="AU380" s="271"/>
      <c r="AZ380" s="271"/>
      <c r="BE380" s="271"/>
      <c r="BJ380" s="271"/>
      <c r="BK380" s="269"/>
      <c r="BM380" s="272"/>
      <c r="BN380" s="272"/>
      <c r="BO380" s="272"/>
      <c r="BP380" s="272"/>
      <c r="BQ380" s="272"/>
      <c r="BR380" s="272"/>
      <c r="BS380" s="272"/>
      <c r="BT380" s="272"/>
      <c r="BU380" s="272"/>
    </row>
    <row r="381" spans="1:73" s="268" customFormat="1" x14ac:dyDescent="0.25">
      <c r="A381" s="283"/>
      <c r="B381" s="283"/>
      <c r="C381" s="283">
        <v>3</v>
      </c>
      <c r="D381" s="280">
        <v>1679</v>
      </c>
      <c r="E381" s="47"/>
      <c r="F381" s="19"/>
      <c r="G381" s="19"/>
      <c r="J381" s="351"/>
      <c r="K381" s="351"/>
      <c r="L381" s="350"/>
      <c r="M381" s="350"/>
      <c r="N381" s="350"/>
      <c r="O381" s="351"/>
      <c r="P381" s="350"/>
      <c r="Q381" s="351"/>
      <c r="R381" s="351"/>
      <c r="S381" s="351"/>
      <c r="T381" s="351"/>
      <c r="U381" s="351"/>
      <c r="V381" s="351"/>
      <c r="W381" s="292"/>
      <c r="X381" s="292"/>
      <c r="Y381" s="292"/>
      <c r="Z381" s="292"/>
      <c r="AA381" s="292"/>
      <c r="AB381" s="292"/>
      <c r="AC381" s="292"/>
      <c r="AD381" s="291"/>
      <c r="AE381" s="172"/>
      <c r="AF381" s="172"/>
      <c r="AG381" s="28"/>
      <c r="AH381" s="28"/>
      <c r="AJ381" s="284"/>
      <c r="AK381" s="269"/>
      <c r="AL381" s="270"/>
      <c r="AM381" s="270"/>
      <c r="AP381" s="271"/>
      <c r="AU381" s="271"/>
      <c r="AZ381" s="271"/>
      <c r="BE381" s="271"/>
      <c r="BJ381" s="271"/>
      <c r="BK381" s="269"/>
      <c r="BM381" s="272"/>
      <c r="BN381" s="272"/>
      <c r="BO381" s="272"/>
      <c r="BP381" s="272"/>
      <c r="BQ381" s="272"/>
      <c r="BR381" s="272"/>
      <c r="BS381" s="272"/>
      <c r="BT381" s="272"/>
      <c r="BU381" s="272"/>
    </row>
    <row r="382" spans="1:73" s="268" customFormat="1" x14ac:dyDescent="0.25">
      <c r="A382" s="283"/>
      <c r="B382" s="283"/>
      <c r="C382" s="283">
        <v>4</v>
      </c>
      <c r="D382" s="280">
        <v>2110</v>
      </c>
      <c r="E382" s="47"/>
      <c r="F382" s="19"/>
      <c r="G382" s="19"/>
      <c r="J382" s="351"/>
      <c r="K382" s="351"/>
      <c r="L382" s="350"/>
      <c r="M382" s="350"/>
      <c r="N382" s="350"/>
      <c r="O382" s="351"/>
      <c r="P382" s="350"/>
      <c r="Q382" s="351"/>
      <c r="R382" s="351"/>
      <c r="S382" s="351"/>
      <c r="T382" s="351"/>
      <c r="U382" s="351"/>
      <c r="V382" s="351"/>
      <c r="W382" s="292"/>
      <c r="X382" s="292"/>
      <c r="Y382" s="292"/>
      <c r="Z382" s="292"/>
      <c r="AA382" s="292"/>
      <c r="AB382" s="292"/>
      <c r="AC382" s="292"/>
      <c r="AD382" s="291"/>
      <c r="AE382" s="172"/>
      <c r="AF382" s="172"/>
      <c r="AG382" s="28"/>
      <c r="AH382" s="28"/>
      <c r="AJ382" s="284"/>
      <c r="AK382" s="269"/>
      <c r="AL382" s="270"/>
      <c r="AM382" s="270"/>
      <c r="AP382" s="271"/>
      <c r="AU382" s="271"/>
      <c r="AZ382" s="271"/>
      <c r="BE382" s="271"/>
      <c r="BJ382" s="271"/>
      <c r="BK382" s="269"/>
      <c r="BM382" s="272"/>
      <c r="BN382" s="272"/>
      <c r="BO382" s="272"/>
      <c r="BP382" s="272"/>
      <c r="BQ382" s="272"/>
      <c r="BR382" s="272"/>
      <c r="BS382" s="272"/>
      <c r="BT382" s="272"/>
      <c r="BU382" s="272"/>
    </row>
    <row r="383" spans="1:73" s="268" customFormat="1" x14ac:dyDescent="0.25">
      <c r="A383" s="283"/>
      <c r="B383" s="283"/>
      <c r="C383" s="283">
        <v>5</v>
      </c>
      <c r="D383" s="280">
        <v>2540</v>
      </c>
      <c r="E383" s="47"/>
      <c r="F383" s="19"/>
      <c r="G383" s="19"/>
      <c r="J383" s="351"/>
      <c r="K383" s="351"/>
      <c r="L383" s="350"/>
      <c r="M383" s="350"/>
      <c r="N383" s="350"/>
      <c r="O383" s="351"/>
      <c r="P383" s="350"/>
      <c r="Q383" s="351"/>
      <c r="R383" s="351"/>
      <c r="S383" s="351"/>
      <c r="T383" s="351"/>
      <c r="U383" s="351"/>
      <c r="V383" s="351"/>
      <c r="W383" s="292"/>
      <c r="X383" s="292"/>
      <c r="Y383" s="292"/>
      <c r="Z383" s="292"/>
      <c r="AA383" s="292"/>
      <c r="AB383" s="292"/>
      <c r="AC383" s="292"/>
      <c r="AD383" s="291"/>
      <c r="AE383" s="172"/>
      <c r="AF383" s="172"/>
      <c r="AG383" s="28"/>
      <c r="AH383" s="28"/>
      <c r="AJ383" s="284"/>
      <c r="AK383" s="269"/>
      <c r="AL383" s="270"/>
      <c r="AM383" s="270"/>
      <c r="AP383" s="271"/>
      <c r="AU383" s="271"/>
      <c r="AZ383" s="271"/>
      <c r="BE383" s="271"/>
      <c r="BJ383" s="271"/>
      <c r="BK383" s="269"/>
      <c r="BM383" s="272"/>
      <c r="BN383" s="272"/>
      <c r="BO383" s="272"/>
      <c r="BP383" s="272"/>
      <c r="BQ383" s="272"/>
      <c r="BR383" s="272"/>
      <c r="BS383" s="272"/>
      <c r="BT383" s="272"/>
      <c r="BU383" s="272"/>
    </row>
    <row r="384" spans="1:73" s="268" customFormat="1" x14ac:dyDescent="0.25">
      <c r="A384" s="283"/>
      <c r="B384" s="283"/>
      <c r="C384" s="283">
        <v>6</v>
      </c>
      <c r="D384" s="280">
        <v>2971</v>
      </c>
      <c r="E384" s="47"/>
      <c r="F384" s="19"/>
      <c r="G384" s="19"/>
      <c r="J384" s="351"/>
      <c r="K384" s="351"/>
      <c r="L384" s="350"/>
      <c r="M384" s="350"/>
      <c r="N384" s="350"/>
      <c r="O384" s="351"/>
      <c r="P384" s="350"/>
      <c r="Q384" s="351"/>
      <c r="R384" s="351"/>
      <c r="S384" s="351"/>
      <c r="T384" s="351"/>
      <c r="U384" s="351"/>
      <c r="V384" s="351"/>
      <c r="W384" s="292"/>
      <c r="X384" s="292"/>
      <c r="Y384" s="292"/>
      <c r="Z384" s="292"/>
      <c r="AA384" s="292"/>
      <c r="AB384" s="292"/>
      <c r="AC384" s="292"/>
      <c r="AD384" s="291"/>
      <c r="AE384" s="172"/>
      <c r="AF384" s="172"/>
      <c r="AG384" s="28"/>
      <c r="AH384" s="28"/>
      <c r="AJ384" s="284"/>
      <c r="AK384" s="269"/>
      <c r="AL384" s="270"/>
      <c r="AM384" s="270"/>
      <c r="AP384" s="271"/>
      <c r="AU384" s="271"/>
      <c r="AZ384" s="271"/>
      <c r="BE384" s="271"/>
      <c r="BJ384" s="271"/>
      <c r="BK384" s="269"/>
      <c r="BM384" s="272"/>
      <c r="BN384" s="272"/>
      <c r="BO384" s="272"/>
      <c r="BP384" s="272"/>
      <c r="BQ384" s="272"/>
      <c r="BR384" s="272"/>
      <c r="BS384" s="272"/>
      <c r="BT384" s="272"/>
      <c r="BU384" s="272"/>
    </row>
    <row r="385" spans="1:73" s="268" customFormat="1" x14ac:dyDescent="0.25">
      <c r="A385" s="283"/>
      <c r="B385" s="283"/>
      <c r="C385" s="283">
        <v>7</v>
      </c>
      <c r="D385" s="280">
        <v>3495</v>
      </c>
      <c r="E385" s="47"/>
      <c r="F385" s="19"/>
      <c r="G385" s="19"/>
      <c r="J385" s="351"/>
      <c r="K385" s="351"/>
      <c r="L385" s="350"/>
      <c r="M385" s="350"/>
      <c r="N385" s="350"/>
      <c r="O385" s="351"/>
      <c r="P385" s="350"/>
      <c r="Q385" s="351"/>
      <c r="R385" s="351"/>
      <c r="S385" s="351"/>
      <c r="T385" s="351"/>
      <c r="U385" s="351"/>
      <c r="V385" s="351"/>
      <c r="W385" s="292"/>
      <c r="X385" s="292"/>
      <c r="Y385" s="292"/>
      <c r="Z385" s="292"/>
      <c r="AA385" s="292"/>
      <c r="AB385" s="292"/>
      <c r="AC385" s="292"/>
      <c r="AD385" s="291"/>
      <c r="AE385" s="172"/>
      <c r="AF385" s="172"/>
      <c r="AG385" s="28"/>
      <c r="AH385" s="28"/>
      <c r="AJ385" s="284"/>
      <c r="AK385" s="269"/>
      <c r="AL385" s="270"/>
      <c r="AM385" s="270"/>
      <c r="AP385" s="271"/>
      <c r="AU385" s="271"/>
      <c r="AZ385" s="271"/>
      <c r="BE385" s="271"/>
      <c r="BJ385" s="271"/>
      <c r="BK385" s="269"/>
      <c r="BM385" s="272"/>
      <c r="BN385" s="272"/>
      <c r="BO385" s="272"/>
      <c r="BP385" s="272"/>
      <c r="BQ385" s="272"/>
      <c r="BR385" s="272"/>
      <c r="BS385" s="272"/>
      <c r="BT385" s="272"/>
      <c r="BU385" s="272"/>
    </row>
    <row r="386" spans="1:73" s="268" customFormat="1" x14ac:dyDescent="0.25">
      <c r="A386" s="283"/>
      <c r="B386" s="283"/>
      <c r="C386" s="283">
        <v>8</v>
      </c>
      <c r="D386" s="280">
        <v>3856</v>
      </c>
      <c r="E386" s="47"/>
      <c r="F386" s="19"/>
      <c r="G386" s="19"/>
      <c r="J386" s="351"/>
      <c r="K386" s="351"/>
      <c r="L386" s="350"/>
      <c r="M386" s="350"/>
      <c r="N386" s="350"/>
      <c r="O386" s="351"/>
      <c r="P386" s="350"/>
      <c r="Q386" s="351"/>
      <c r="R386" s="351"/>
      <c r="S386" s="351"/>
      <c r="T386" s="351"/>
      <c r="U386" s="351"/>
      <c r="V386" s="351"/>
      <c r="W386" s="292"/>
      <c r="X386" s="292"/>
      <c r="Y386" s="292"/>
      <c r="Z386" s="292"/>
      <c r="AA386" s="292"/>
      <c r="AB386" s="292"/>
      <c r="AC386" s="292"/>
      <c r="AD386" s="291"/>
      <c r="AE386" s="172"/>
      <c r="AF386" s="172"/>
      <c r="AG386" s="28"/>
      <c r="AH386" s="28"/>
      <c r="AJ386" s="284"/>
      <c r="AK386" s="269"/>
      <c r="AL386" s="270"/>
      <c r="AM386" s="270"/>
      <c r="AP386" s="271"/>
      <c r="AU386" s="271"/>
      <c r="AZ386" s="271"/>
      <c r="BE386" s="271"/>
      <c r="BJ386" s="271"/>
      <c r="BK386" s="269"/>
      <c r="BM386" s="272"/>
      <c r="BN386" s="272"/>
      <c r="BO386" s="272"/>
      <c r="BP386" s="272"/>
      <c r="BQ386" s="272"/>
      <c r="BR386" s="272"/>
      <c r="BS386" s="272"/>
      <c r="BT386" s="272"/>
      <c r="BU386" s="272"/>
    </row>
    <row r="387" spans="1:73" s="268" customFormat="1" x14ac:dyDescent="0.25">
      <c r="A387" s="283"/>
      <c r="B387" s="283"/>
      <c r="C387" s="283">
        <v>9</v>
      </c>
      <c r="D387" s="280">
        <v>4216</v>
      </c>
      <c r="E387" s="47"/>
      <c r="F387" s="19"/>
      <c r="G387" s="19"/>
      <c r="J387" s="351"/>
      <c r="K387" s="351"/>
      <c r="L387" s="350"/>
      <c r="M387" s="350"/>
      <c r="N387" s="350"/>
      <c r="O387" s="351"/>
      <c r="P387" s="350"/>
      <c r="Q387" s="351"/>
      <c r="R387" s="351"/>
      <c r="S387" s="351"/>
      <c r="T387" s="351"/>
      <c r="U387" s="351"/>
      <c r="V387" s="351"/>
      <c r="W387" s="292"/>
      <c r="X387" s="292"/>
      <c r="Y387" s="292"/>
      <c r="Z387" s="292"/>
      <c r="AA387" s="292"/>
      <c r="AB387" s="292"/>
      <c r="AC387" s="292"/>
      <c r="AD387" s="291"/>
      <c r="AE387" s="172"/>
      <c r="AF387" s="172"/>
      <c r="AG387" s="28"/>
      <c r="AH387" s="28"/>
      <c r="AJ387" s="284"/>
      <c r="AK387" s="269"/>
      <c r="AL387" s="270"/>
      <c r="AM387" s="270"/>
      <c r="AP387" s="271"/>
      <c r="AU387" s="271"/>
      <c r="AZ387" s="271"/>
      <c r="BE387" s="271"/>
      <c r="BJ387" s="271"/>
      <c r="BK387" s="269"/>
      <c r="BM387" s="272"/>
      <c r="BN387" s="272"/>
      <c r="BO387" s="272"/>
      <c r="BP387" s="272"/>
      <c r="BQ387" s="272"/>
      <c r="BR387" s="272"/>
      <c r="BS387" s="272"/>
      <c r="BT387" s="272"/>
      <c r="BU387" s="272"/>
    </row>
    <row r="388" spans="1:73" s="268" customFormat="1" x14ac:dyDescent="0.25">
      <c r="A388" s="283"/>
      <c r="B388" s="283"/>
      <c r="C388" s="283">
        <v>10</v>
      </c>
      <c r="D388" s="280">
        <v>4577</v>
      </c>
      <c r="E388" s="47"/>
      <c r="F388" s="19"/>
      <c r="G388" s="19"/>
      <c r="J388" s="351"/>
      <c r="K388" s="351"/>
      <c r="L388" s="350"/>
      <c r="M388" s="350"/>
      <c r="N388" s="350"/>
      <c r="O388" s="351"/>
      <c r="P388" s="350"/>
      <c r="Q388" s="351"/>
      <c r="R388" s="351"/>
      <c r="S388" s="351"/>
      <c r="T388" s="351"/>
      <c r="U388" s="351"/>
      <c r="V388" s="351"/>
      <c r="W388" s="292"/>
      <c r="X388" s="292"/>
      <c r="Y388" s="292"/>
      <c r="Z388" s="292"/>
      <c r="AA388" s="292"/>
      <c r="AB388" s="292"/>
      <c r="AC388" s="292"/>
      <c r="AD388" s="291"/>
      <c r="AE388" s="172"/>
      <c r="AF388" s="172"/>
      <c r="AG388" s="28"/>
      <c r="AH388" s="28"/>
      <c r="AJ388" s="284"/>
      <c r="AK388" s="269"/>
      <c r="AL388" s="270"/>
      <c r="AM388" s="270"/>
      <c r="AP388" s="271"/>
      <c r="AU388" s="271"/>
      <c r="AZ388" s="271"/>
      <c r="BE388" s="271"/>
      <c r="BJ388" s="271"/>
      <c r="BK388" s="269"/>
      <c r="BM388" s="272"/>
      <c r="BN388" s="272"/>
      <c r="BO388" s="272"/>
      <c r="BP388" s="272"/>
      <c r="BQ388" s="272"/>
      <c r="BR388" s="272"/>
      <c r="BS388" s="272"/>
      <c r="BT388" s="272"/>
      <c r="BU388" s="272"/>
    </row>
    <row r="389" spans="1:73" s="268" customFormat="1" x14ac:dyDescent="0.25">
      <c r="A389" s="283"/>
      <c r="B389" s="283"/>
      <c r="C389" s="283">
        <v>11</v>
      </c>
      <c r="D389" s="280">
        <v>4937</v>
      </c>
      <c r="E389" s="47"/>
      <c r="F389" s="19"/>
      <c r="G389" s="19"/>
      <c r="J389" s="351"/>
      <c r="K389" s="351"/>
      <c r="L389" s="350"/>
      <c r="M389" s="350"/>
      <c r="N389" s="350"/>
      <c r="O389" s="351"/>
      <c r="P389" s="350"/>
      <c r="Q389" s="351"/>
      <c r="R389" s="351"/>
      <c r="S389" s="351"/>
      <c r="T389" s="351"/>
      <c r="U389" s="351"/>
      <c r="V389" s="351"/>
      <c r="W389" s="292"/>
      <c r="X389" s="292"/>
      <c r="Y389" s="292"/>
      <c r="Z389" s="292"/>
      <c r="AA389" s="292"/>
      <c r="AB389" s="292"/>
      <c r="AC389" s="292"/>
      <c r="AD389" s="291"/>
      <c r="AE389" s="172"/>
      <c r="AF389" s="172"/>
      <c r="AG389" s="28"/>
      <c r="AH389" s="28"/>
      <c r="AJ389" s="284"/>
      <c r="AK389" s="269"/>
      <c r="AL389" s="270"/>
      <c r="AM389" s="270"/>
      <c r="AP389" s="271"/>
      <c r="AU389" s="271"/>
      <c r="AZ389" s="271"/>
      <c r="BE389" s="271"/>
      <c r="BJ389" s="271"/>
      <c r="BK389" s="269"/>
      <c r="BM389" s="272"/>
      <c r="BN389" s="272"/>
      <c r="BO389" s="272"/>
      <c r="BP389" s="272"/>
      <c r="BQ389" s="272"/>
      <c r="BR389" s="272"/>
      <c r="BS389" s="272"/>
      <c r="BT389" s="272"/>
      <c r="BU389" s="272"/>
    </row>
    <row r="390" spans="1:73" s="268" customFormat="1" x14ac:dyDescent="0.25">
      <c r="A390" s="283"/>
      <c r="B390" s="283"/>
      <c r="C390" s="283">
        <v>12</v>
      </c>
      <c r="D390" s="280">
        <v>4297</v>
      </c>
      <c r="E390" s="47"/>
      <c r="F390" s="19"/>
      <c r="G390" s="19"/>
      <c r="J390" s="351"/>
      <c r="K390" s="351"/>
      <c r="L390" s="350"/>
      <c r="M390" s="350"/>
      <c r="N390" s="350"/>
      <c r="O390" s="351"/>
      <c r="P390" s="350"/>
      <c r="Q390" s="351"/>
      <c r="R390" s="351"/>
      <c r="S390" s="351"/>
      <c r="T390" s="351"/>
      <c r="U390" s="351"/>
      <c r="V390" s="351"/>
      <c r="W390" s="292"/>
      <c r="X390" s="292"/>
      <c r="Y390" s="292"/>
      <c r="Z390" s="292"/>
      <c r="AA390" s="292"/>
      <c r="AB390" s="292"/>
      <c r="AC390" s="292"/>
      <c r="AD390" s="291"/>
      <c r="AE390" s="172"/>
      <c r="AF390" s="172"/>
      <c r="AG390" s="28"/>
      <c r="AH390" s="28"/>
      <c r="AJ390" s="284"/>
      <c r="AK390" s="269"/>
      <c r="AL390" s="270"/>
      <c r="AM390" s="270"/>
      <c r="AP390" s="271"/>
      <c r="AU390" s="271"/>
      <c r="AZ390" s="271"/>
      <c r="BE390" s="271"/>
      <c r="BJ390" s="271"/>
      <c r="BK390" s="269"/>
      <c r="BM390" s="272"/>
      <c r="BN390" s="272"/>
      <c r="BO390" s="272"/>
      <c r="BP390" s="272"/>
      <c r="BQ390" s="272"/>
      <c r="BR390" s="272"/>
      <c r="BS390" s="272"/>
      <c r="BT390" s="272"/>
      <c r="BU390" s="272"/>
    </row>
    <row r="391" spans="1:73" s="268" customFormat="1" x14ac:dyDescent="0.25">
      <c r="A391" s="283"/>
      <c r="B391" s="283"/>
      <c r="C391" s="283"/>
      <c r="D391" s="280">
        <v>0</v>
      </c>
      <c r="E391" s="47"/>
      <c r="F391" s="19"/>
      <c r="G391" s="19"/>
      <c r="J391" s="351"/>
      <c r="K391" s="351"/>
      <c r="L391" s="350"/>
      <c r="M391" s="350"/>
      <c r="N391" s="350"/>
      <c r="O391" s="351"/>
      <c r="P391" s="350"/>
      <c r="Q391" s="351"/>
      <c r="R391" s="351"/>
      <c r="S391" s="351"/>
      <c r="T391" s="351"/>
      <c r="U391" s="351"/>
      <c r="V391" s="351"/>
      <c r="W391" s="292"/>
      <c r="X391" s="292"/>
      <c r="Y391" s="292"/>
      <c r="Z391" s="292"/>
      <c r="AA391" s="292"/>
      <c r="AB391" s="292"/>
      <c r="AC391" s="292"/>
      <c r="AD391" s="291"/>
      <c r="AE391" s="172"/>
      <c r="AF391" s="172"/>
      <c r="AG391" s="28"/>
      <c r="AH391" s="28"/>
      <c r="AJ391" s="284"/>
      <c r="AK391" s="269"/>
      <c r="AL391" s="270"/>
      <c r="AM391" s="270"/>
      <c r="AP391" s="271"/>
      <c r="AU391" s="271"/>
      <c r="AZ391" s="271"/>
      <c r="BE391" s="271"/>
      <c r="BJ391" s="271"/>
      <c r="BK391" s="269"/>
      <c r="BM391" s="272"/>
      <c r="BN391" s="272"/>
      <c r="BO391" s="272"/>
      <c r="BP391" s="272"/>
      <c r="BQ391" s="272"/>
      <c r="BR391" s="272"/>
      <c r="BS391" s="272"/>
      <c r="BT391" s="272"/>
      <c r="BU391" s="272"/>
    </row>
    <row r="392" spans="1:73" s="268" customFormat="1" x14ac:dyDescent="0.25">
      <c r="A392" s="283"/>
      <c r="B392" s="283"/>
      <c r="C392" s="283"/>
      <c r="D392" s="280">
        <v>0</v>
      </c>
      <c r="E392" s="47"/>
      <c r="F392" s="19"/>
      <c r="G392" s="19"/>
      <c r="J392" s="351"/>
      <c r="K392" s="351"/>
      <c r="L392" s="350"/>
      <c r="M392" s="350"/>
      <c r="N392" s="350"/>
      <c r="O392" s="351"/>
      <c r="P392" s="350"/>
      <c r="Q392" s="351"/>
      <c r="R392" s="351"/>
      <c r="S392" s="351"/>
      <c r="T392" s="351"/>
      <c r="U392" s="351"/>
      <c r="V392" s="351"/>
      <c r="W392" s="292"/>
      <c r="X392" s="292"/>
      <c r="Y392" s="292"/>
      <c r="Z392" s="292"/>
      <c r="AA392" s="292"/>
      <c r="AB392" s="292"/>
      <c r="AC392" s="292"/>
      <c r="AD392" s="291"/>
      <c r="AE392" s="172"/>
      <c r="AF392" s="172"/>
      <c r="AG392" s="28"/>
      <c r="AH392" s="28"/>
      <c r="AJ392" s="284"/>
      <c r="AK392" s="269"/>
      <c r="AL392" s="270"/>
      <c r="AM392" s="270"/>
      <c r="AP392" s="271"/>
      <c r="AU392" s="271"/>
      <c r="AZ392" s="271"/>
      <c r="BE392" s="271"/>
      <c r="BJ392" s="271"/>
      <c r="BK392" s="269"/>
      <c r="BM392" s="272"/>
      <c r="BN392" s="272"/>
      <c r="BO392" s="272"/>
      <c r="BP392" s="272"/>
      <c r="BQ392" s="272"/>
      <c r="BR392" s="272"/>
      <c r="BS392" s="272"/>
      <c r="BT392" s="272"/>
      <c r="BU392" s="272"/>
    </row>
    <row r="393" spans="1:73" s="268" customFormat="1" x14ac:dyDescent="0.25">
      <c r="A393" s="283"/>
      <c r="B393" s="283"/>
      <c r="C393" s="283"/>
      <c r="D393" s="281"/>
      <c r="E393" s="47"/>
      <c r="F393" s="19"/>
      <c r="G393" s="19"/>
      <c r="J393" s="351"/>
      <c r="K393" s="351"/>
      <c r="L393" s="350"/>
      <c r="M393" s="350"/>
      <c r="N393" s="350"/>
      <c r="O393" s="351"/>
      <c r="P393" s="350"/>
      <c r="Q393" s="351"/>
      <c r="R393" s="351"/>
      <c r="S393" s="351"/>
      <c r="T393" s="351"/>
      <c r="U393" s="351"/>
      <c r="V393" s="351"/>
      <c r="W393" s="292"/>
      <c r="X393" s="292"/>
      <c r="Y393" s="292"/>
      <c r="Z393" s="292"/>
      <c r="AA393" s="292"/>
      <c r="AB393" s="292"/>
      <c r="AC393" s="292"/>
      <c r="AD393" s="291"/>
      <c r="AE393" s="172"/>
      <c r="AF393" s="172"/>
      <c r="AG393" s="28"/>
      <c r="AH393" s="28"/>
      <c r="AJ393" s="284"/>
      <c r="AK393" s="269"/>
      <c r="AL393" s="270"/>
      <c r="AM393" s="270"/>
      <c r="AP393" s="271"/>
      <c r="AU393" s="271"/>
      <c r="AZ393" s="271"/>
      <c r="BE393" s="271"/>
      <c r="BJ393" s="271"/>
      <c r="BK393" s="269"/>
      <c r="BM393" s="272"/>
      <c r="BN393" s="272"/>
      <c r="BO393" s="272"/>
      <c r="BP393" s="272"/>
      <c r="BQ393" s="272"/>
      <c r="BR393" s="272"/>
      <c r="BS393" s="272"/>
      <c r="BT393" s="272"/>
      <c r="BU393" s="272"/>
    </row>
    <row r="394" spans="1:73" s="268" customFormat="1" x14ac:dyDescent="0.25">
      <c r="A394" s="283"/>
      <c r="B394" s="283"/>
      <c r="C394" s="283"/>
      <c r="D394" s="19" t="s">
        <v>113</v>
      </c>
      <c r="E394" s="19"/>
      <c r="F394" s="19"/>
      <c r="G394" s="19"/>
      <c r="J394" s="351"/>
      <c r="K394" s="351"/>
      <c r="L394" s="350"/>
      <c r="M394" s="350"/>
      <c r="N394" s="350"/>
      <c r="O394" s="351"/>
      <c r="P394" s="350"/>
      <c r="Q394" s="351"/>
      <c r="R394" s="351"/>
      <c r="S394" s="351"/>
      <c r="T394" s="351"/>
      <c r="U394" s="351"/>
      <c r="V394" s="351"/>
      <c r="W394" s="292"/>
      <c r="X394" s="292"/>
      <c r="Y394" s="292"/>
      <c r="Z394" s="292"/>
      <c r="AA394" s="292"/>
      <c r="AB394" s="292"/>
      <c r="AC394" s="292"/>
      <c r="AD394" s="291"/>
      <c r="AE394" s="172"/>
      <c r="AF394" s="172"/>
      <c r="AG394" s="28"/>
      <c r="AH394" s="28"/>
      <c r="AJ394" s="284"/>
      <c r="AK394" s="269"/>
      <c r="AL394" s="270"/>
      <c r="AM394" s="270"/>
      <c r="AP394" s="271"/>
      <c r="AU394" s="271"/>
      <c r="AZ394" s="271"/>
      <c r="BE394" s="271"/>
      <c r="BJ394" s="271"/>
      <c r="BK394" s="269"/>
      <c r="BM394" s="272"/>
      <c r="BN394" s="272"/>
      <c r="BO394" s="272"/>
      <c r="BP394" s="272"/>
      <c r="BQ394" s="272"/>
      <c r="BR394" s="272"/>
      <c r="BS394" s="272"/>
      <c r="BT394" s="272"/>
      <c r="BU394" s="272"/>
    </row>
    <row r="395" spans="1:73" s="268" customFormat="1" x14ac:dyDescent="0.25">
      <c r="A395" s="283"/>
      <c r="B395" s="283"/>
      <c r="C395" s="283"/>
      <c r="D395" s="19" t="s">
        <v>114</v>
      </c>
      <c r="E395" s="47"/>
      <c r="F395" s="19"/>
      <c r="G395" s="19"/>
      <c r="J395" s="351"/>
      <c r="K395" s="351"/>
      <c r="L395" s="350"/>
      <c r="M395" s="350"/>
      <c r="N395" s="350"/>
      <c r="O395" s="351"/>
      <c r="P395" s="350"/>
      <c r="Q395" s="351"/>
      <c r="R395" s="351"/>
      <c r="S395" s="351"/>
      <c r="T395" s="351"/>
      <c r="U395" s="351"/>
      <c r="V395" s="351"/>
      <c r="W395" s="292"/>
      <c r="X395" s="292"/>
      <c r="Y395" s="292"/>
      <c r="Z395" s="292"/>
      <c r="AA395" s="292"/>
      <c r="AB395" s="292"/>
      <c r="AC395" s="292"/>
      <c r="AD395" s="291"/>
      <c r="AE395" s="172"/>
      <c r="AF395" s="172"/>
      <c r="AG395" s="28"/>
      <c r="AH395" s="28"/>
      <c r="AJ395" s="284"/>
      <c r="AK395" s="269"/>
      <c r="AL395" s="270"/>
      <c r="AM395" s="270"/>
      <c r="AP395" s="271"/>
      <c r="AU395" s="271"/>
      <c r="AZ395" s="271"/>
      <c r="BE395" s="271"/>
      <c r="BJ395" s="271"/>
      <c r="BK395" s="269"/>
      <c r="BM395" s="272"/>
      <c r="BN395" s="272"/>
      <c r="BO395" s="272"/>
      <c r="BP395" s="272"/>
      <c r="BQ395" s="272"/>
      <c r="BR395" s="272"/>
      <c r="BS395" s="272"/>
      <c r="BT395" s="272"/>
      <c r="BU395" s="272"/>
    </row>
    <row r="396" spans="1:73" s="268" customFormat="1" x14ac:dyDescent="0.25">
      <c r="A396" s="283"/>
      <c r="B396" s="283"/>
      <c r="C396" s="283"/>
      <c r="D396" s="19"/>
      <c r="E396" s="19"/>
      <c r="F396" s="19"/>
      <c r="G396" s="19"/>
      <c r="J396" s="351"/>
      <c r="K396" s="351"/>
      <c r="L396" s="350"/>
      <c r="M396" s="350"/>
      <c r="N396" s="350"/>
      <c r="O396" s="351"/>
      <c r="P396" s="350"/>
      <c r="Q396" s="351"/>
      <c r="R396" s="351"/>
      <c r="S396" s="351"/>
      <c r="T396" s="351"/>
      <c r="U396" s="351"/>
      <c r="V396" s="351"/>
      <c r="W396" s="292"/>
      <c r="X396" s="292"/>
      <c r="Y396" s="292"/>
      <c r="Z396" s="292"/>
      <c r="AA396" s="292"/>
      <c r="AB396" s="292"/>
      <c r="AC396" s="292"/>
      <c r="AD396" s="291"/>
      <c r="AE396" s="172"/>
      <c r="AF396" s="172"/>
      <c r="AG396" s="28"/>
      <c r="AH396" s="28"/>
      <c r="AJ396" s="284"/>
      <c r="AK396" s="269"/>
      <c r="AL396" s="270"/>
      <c r="AM396" s="270"/>
      <c r="AP396" s="271"/>
      <c r="AU396" s="271"/>
      <c r="AZ396" s="271"/>
      <c r="BE396" s="271"/>
      <c r="BJ396" s="271"/>
      <c r="BK396" s="269"/>
      <c r="BM396" s="272"/>
      <c r="BN396" s="272"/>
      <c r="BO396" s="272"/>
      <c r="BP396" s="272"/>
      <c r="BQ396" s="272"/>
      <c r="BR396" s="272"/>
      <c r="BS396" s="272"/>
      <c r="BT396" s="272"/>
      <c r="BU396" s="272"/>
    </row>
    <row r="397" spans="1:73" s="268" customFormat="1" x14ac:dyDescent="0.25">
      <c r="A397" s="283"/>
      <c r="B397" s="283"/>
      <c r="C397" s="283"/>
      <c r="D397" s="19" t="s">
        <v>81</v>
      </c>
      <c r="E397" s="47"/>
      <c r="F397" s="19"/>
      <c r="G397" s="19"/>
      <c r="J397" s="351"/>
      <c r="K397" s="351"/>
      <c r="L397" s="350"/>
      <c r="M397" s="350"/>
      <c r="N397" s="350"/>
      <c r="O397" s="351"/>
      <c r="P397" s="350"/>
      <c r="Q397" s="351"/>
      <c r="R397" s="351"/>
      <c r="S397" s="351"/>
      <c r="T397" s="351"/>
      <c r="U397" s="351"/>
      <c r="V397" s="351"/>
      <c r="W397" s="292"/>
      <c r="X397" s="292"/>
      <c r="Y397" s="292"/>
      <c r="Z397" s="292"/>
      <c r="AA397" s="292"/>
      <c r="AB397" s="292"/>
      <c r="AC397" s="292"/>
      <c r="AD397" s="291"/>
      <c r="AE397" s="172"/>
      <c r="AF397" s="172"/>
      <c r="AG397" s="28"/>
      <c r="AH397" s="28"/>
      <c r="AJ397" s="284"/>
      <c r="AK397" s="269"/>
      <c r="AL397" s="270"/>
      <c r="AM397" s="270"/>
      <c r="AP397" s="271"/>
      <c r="AU397" s="271"/>
      <c r="AZ397" s="271"/>
      <c r="BE397" s="271"/>
      <c r="BJ397" s="271"/>
      <c r="BK397" s="269"/>
      <c r="BM397" s="272"/>
      <c r="BN397" s="272"/>
      <c r="BO397" s="272"/>
      <c r="BP397" s="272"/>
      <c r="BQ397" s="272"/>
      <c r="BR397" s="272"/>
      <c r="BS397" s="272"/>
      <c r="BT397" s="272"/>
      <c r="BU397" s="272"/>
    </row>
    <row r="398" spans="1:73" s="268" customFormat="1" x14ac:dyDescent="0.25">
      <c r="A398" s="283"/>
      <c r="B398" s="283"/>
      <c r="C398" s="283"/>
      <c r="D398" s="19" t="s">
        <v>80</v>
      </c>
      <c r="E398" s="19"/>
      <c r="F398" s="19"/>
      <c r="G398" s="19"/>
      <c r="J398" s="351"/>
      <c r="K398" s="351"/>
      <c r="L398" s="350"/>
      <c r="M398" s="350"/>
      <c r="N398" s="350"/>
      <c r="O398" s="351"/>
      <c r="P398" s="350"/>
      <c r="Q398" s="351"/>
      <c r="R398" s="351"/>
      <c r="S398" s="351"/>
      <c r="T398" s="351"/>
      <c r="U398" s="351"/>
      <c r="V398" s="351"/>
      <c r="W398" s="292"/>
      <c r="X398" s="292"/>
      <c r="Y398" s="292"/>
      <c r="Z398" s="292"/>
      <c r="AA398" s="292"/>
      <c r="AB398" s="292"/>
      <c r="AC398" s="292"/>
      <c r="AD398" s="291"/>
      <c r="AE398" s="172"/>
      <c r="AF398" s="172"/>
      <c r="AG398" s="28"/>
      <c r="AH398" s="28"/>
      <c r="AJ398" s="284"/>
      <c r="AK398" s="269"/>
      <c r="AL398" s="270"/>
      <c r="AM398" s="270"/>
      <c r="AP398" s="271"/>
      <c r="AU398" s="271"/>
      <c r="AZ398" s="271"/>
      <c r="BE398" s="271"/>
      <c r="BJ398" s="271"/>
      <c r="BK398" s="269"/>
      <c r="BM398" s="272"/>
      <c r="BN398" s="272"/>
      <c r="BO398" s="272"/>
      <c r="BP398" s="272"/>
      <c r="BQ398" s="272"/>
      <c r="BR398" s="272"/>
      <c r="BS398" s="272"/>
      <c r="BT398" s="272"/>
      <c r="BU398" s="272"/>
    </row>
    <row r="399" spans="1:73" s="268" customFormat="1" x14ac:dyDescent="0.25">
      <c r="A399" s="283"/>
      <c r="B399" s="283"/>
      <c r="C399" s="283"/>
      <c r="D399" s="19" t="s">
        <v>82</v>
      </c>
      <c r="E399" s="47"/>
      <c r="F399" s="19"/>
      <c r="G399" s="19"/>
      <c r="J399" s="351"/>
      <c r="K399" s="351"/>
      <c r="L399" s="350"/>
      <c r="M399" s="350"/>
      <c r="N399" s="350"/>
      <c r="O399" s="351"/>
      <c r="P399" s="350"/>
      <c r="Q399" s="351"/>
      <c r="R399" s="351"/>
      <c r="S399" s="351"/>
      <c r="T399" s="351"/>
      <c r="U399" s="351"/>
      <c r="V399" s="351"/>
      <c r="W399" s="292"/>
      <c r="X399" s="292"/>
      <c r="Y399" s="292"/>
      <c r="Z399" s="292"/>
      <c r="AA399" s="292"/>
      <c r="AB399" s="292"/>
      <c r="AC399" s="292"/>
      <c r="AD399" s="291"/>
      <c r="AE399" s="172"/>
      <c r="AF399" s="172"/>
      <c r="AG399" s="28"/>
      <c r="AH399" s="28"/>
      <c r="AJ399" s="284"/>
      <c r="AK399" s="269"/>
      <c r="AL399" s="270"/>
      <c r="AM399" s="270"/>
      <c r="AP399" s="271"/>
      <c r="AU399" s="271"/>
      <c r="AZ399" s="271"/>
      <c r="BE399" s="271"/>
      <c r="BJ399" s="271"/>
      <c r="BK399" s="269"/>
      <c r="BM399" s="272"/>
      <c r="BN399" s="272"/>
      <c r="BO399" s="272"/>
      <c r="BP399" s="272"/>
      <c r="BQ399" s="272"/>
      <c r="BR399" s="272"/>
      <c r="BS399" s="272"/>
      <c r="BT399" s="272"/>
      <c r="BU399" s="272"/>
    </row>
    <row r="400" spans="1:73" s="268" customFormat="1" x14ac:dyDescent="0.25">
      <c r="A400" s="283"/>
      <c r="B400" s="283"/>
      <c r="C400" s="283"/>
      <c r="D400" s="19"/>
      <c r="E400" s="19"/>
      <c r="F400" s="19"/>
      <c r="G400" s="19"/>
      <c r="J400" s="351"/>
      <c r="K400" s="351"/>
      <c r="L400" s="350"/>
      <c r="M400" s="350"/>
      <c r="N400" s="350"/>
      <c r="O400" s="351"/>
      <c r="P400" s="350"/>
      <c r="Q400" s="351"/>
      <c r="R400" s="351"/>
      <c r="S400" s="351"/>
      <c r="T400" s="351"/>
      <c r="U400" s="351"/>
      <c r="V400" s="351"/>
      <c r="W400" s="292"/>
      <c r="X400" s="292"/>
      <c r="Y400" s="292"/>
      <c r="Z400" s="292"/>
      <c r="AA400" s="292"/>
      <c r="AB400" s="292"/>
      <c r="AC400" s="292"/>
      <c r="AD400" s="291"/>
      <c r="AE400" s="172"/>
      <c r="AF400" s="172"/>
      <c r="AG400" s="28"/>
      <c r="AH400" s="28"/>
      <c r="AJ400" s="284"/>
      <c r="AK400" s="269"/>
      <c r="AL400" s="270"/>
      <c r="AM400" s="270"/>
      <c r="AP400" s="271"/>
      <c r="AU400" s="271"/>
      <c r="AZ400" s="271"/>
      <c r="BE400" s="271"/>
      <c r="BJ400" s="271"/>
      <c r="BK400" s="269"/>
      <c r="BM400" s="272"/>
      <c r="BN400" s="272"/>
      <c r="BO400" s="272"/>
      <c r="BP400" s="272"/>
      <c r="BQ400" s="272"/>
      <c r="BR400" s="272"/>
      <c r="BS400" s="272"/>
      <c r="BT400" s="272"/>
      <c r="BU400" s="272"/>
    </row>
    <row r="401" spans="1:73" s="268" customFormat="1" x14ac:dyDescent="0.25">
      <c r="A401" s="283"/>
      <c r="B401" s="283"/>
      <c r="C401" s="283"/>
      <c r="J401" s="351"/>
      <c r="K401" s="351"/>
      <c r="L401" s="350"/>
      <c r="M401" s="350"/>
      <c r="N401" s="350"/>
      <c r="O401" s="351"/>
      <c r="P401" s="350"/>
      <c r="Q401" s="351"/>
      <c r="R401" s="351"/>
      <c r="S401" s="351"/>
      <c r="T401" s="351"/>
      <c r="U401" s="351"/>
      <c r="V401" s="351"/>
      <c r="W401" s="292"/>
      <c r="X401" s="292"/>
      <c r="Y401" s="292"/>
      <c r="Z401" s="292"/>
      <c r="AA401" s="292"/>
      <c r="AB401" s="292"/>
      <c r="AC401" s="292"/>
      <c r="AD401" s="291"/>
      <c r="AE401" s="172"/>
      <c r="AF401" s="172"/>
      <c r="AG401" s="28"/>
      <c r="AH401" s="28"/>
      <c r="AJ401" s="284"/>
      <c r="AK401" s="269"/>
      <c r="AL401" s="270"/>
      <c r="AM401" s="270"/>
      <c r="AP401" s="271"/>
      <c r="AU401" s="271"/>
      <c r="AZ401" s="271"/>
      <c r="BE401" s="271"/>
      <c r="BJ401" s="271"/>
      <c r="BK401" s="269"/>
      <c r="BM401" s="272"/>
      <c r="BN401" s="272"/>
      <c r="BO401" s="272"/>
      <c r="BP401" s="272"/>
      <c r="BQ401" s="272"/>
      <c r="BR401" s="272"/>
      <c r="BS401" s="272"/>
      <c r="BT401" s="272"/>
      <c r="BU401" s="272"/>
    </row>
    <row r="402" spans="1:73" s="268" customFormat="1" x14ac:dyDescent="0.25">
      <c r="A402" s="283"/>
      <c r="B402" s="283"/>
      <c r="C402" s="283"/>
      <c r="J402" s="351"/>
      <c r="K402" s="351"/>
      <c r="L402" s="350"/>
      <c r="M402" s="350"/>
      <c r="N402" s="350"/>
      <c r="O402" s="351"/>
      <c r="P402" s="350"/>
      <c r="Q402" s="351"/>
      <c r="R402" s="351"/>
      <c r="S402" s="351"/>
      <c r="T402" s="351"/>
      <c r="U402" s="351"/>
      <c r="V402" s="351"/>
      <c r="W402" s="292"/>
      <c r="X402" s="292"/>
      <c r="Y402" s="292"/>
      <c r="Z402" s="292"/>
      <c r="AA402" s="292"/>
      <c r="AB402" s="292"/>
      <c r="AC402" s="292"/>
      <c r="AD402" s="291"/>
      <c r="AE402" s="172"/>
      <c r="AF402" s="172"/>
      <c r="AG402" s="28"/>
      <c r="AH402" s="28"/>
      <c r="AJ402" s="284"/>
      <c r="AK402" s="269"/>
      <c r="AL402" s="270"/>
      <c r="AM402" s="270"/>
      <c r="AP402" s="271"/>
      <c r="AU402" s="271"/>
      <c r="AZ402" s="271"/>
      <c r="BE402" s="271"/>
      <c r="BJ402" s="271"/>
      <c r="BK402" s="269"/>
      <c r="BM402" s="272"/>
      <c r="BN402" s="272"/>
      <c r="BO402" s="272"/>
      <c r="BP402" s="272"/>
      <c r="BQ402" s="272"/>
      <c r="BR402" s="272"/>
      <c r="BS402" s="272"/>
      <c r="BT402" s="272"/>
      <c r="BU402" s="272"/>
    </row>
    <row r="403" spans="1:73" s="268" customFormat="1" x14ac:dyDescent="0.25">
      <c r="A403" s="283"/>
      <c r="B403" s="283"/>
      <c r="C403" s="283"/>
      <c r="J403" s="351"/>
      <c r="K403" s="351"/>
      <c r="L403" s="350"/>
      <c r="M403" s="350"/>
      <c r="N403" s="350"/>
      <c r="O403" s="351"/>
      <c r="P403" s="350"/>
      <c r="Q403" s="351"/>
      <c r="R403" s="351"/>
      <c r="S403" s="351"/>
      <c r="T403" s="351"/>
      <c r="U403" s="351"/>
      <c r="V403" s="351"/>
      <c r="W403" s="292"/>
      <c r="X403" s="292"/>
      <c r="Y403" s="292"/>
      <c r="Z403" s="292"/>
      <c r="AA403" s="292"/>
      <c r="AB403" s="292"/>
      <c r="AC403" s="292"/>
      <c r="AD403" s="291"/>
      <c r="AE403" s="172"/>
      <c r="AF403" s="172"/>
      <c r="AG403" s="28"/>
      <c r="AH403" s="28"/>
      <c r="AJ403" s="284"/>
      <c r="AK403" s="269"/>
      <c r="AL403" s="270"/>
      <c r="AM403" s="270"/>
      <c r="AP403" s="271"/>
      <c r="AU403" s="271"/>
      <c r="AZ403" s="271"/>
      <c r="BE403" s="271"/>
      <c r="BJ403" s="271"/>
      <c r="BK403" s="269"/>
      <c r="BM403" s="272"/>
      <c r="BN403" s="272"/>
      <c r="BO403" s="272"/>
      <c r="BP403" s="272"/>
      <c r="BQ403" s="272"/>
      <c r="BR403" s="272"/>
      <c r="BS403" s="272"/>
      <c r="BT403" s="272"/>
      <c r="BU403" s="272"/>
    </row>
    <row r="404" spans="1:73" x14ac:dyDescent="0.25">
      <c r="A404" s="283"/>
      <c r="B404" s="283"/>
      <c r="C404" s="283"/>
      <c r="D404" s="268"/>
      <c r="E404" s="268"/>
      <c r="F404" s="268"/>
      <c r="G404" s="268"/>
      <c r="H404" s="268"/>
      <c r="I404" s="268"/>
      <c r="J404" s="351"/>
      <c r="K404" s="351"/>
      <c r="L404" s="350"/>
      <c r="M404" s="350"/>
      <c r="N404" s="350"/>
      <c r="O404" s="351"/>
      <c r="P404" s="350"/>
      <c r="Q404" s="351"/>
      <c r="R404" s="351"/>
      <c r="S404" s="351"/>
      <c r="T404" s="351"/>
      <c r="U404" s="351"/>
      <c r="V404" s="351"/>
    </row>
    <row r="405" spans="1:73" x14ac:dyDescent="0.25">
      <c r="A405" s="283"/>
      <c r="B405" s="283"/>
      <c r="C405" s="283"/>
      <c r="D405" s="268"/>
      <c r="E405" s="268"/>
      <c r="F405" s="268"/>
      <c r="G405" s="268"/>
      <c r="H405" s="268"/>
      <c r="I405" s="268"/>
      <c r="J405" s="351"/>
      <c r="K405" s="351"/>
      <c r="L405" s="350"/>
      <c r="M405" s="350"/>
      <c r="N405" s="350"/>
      <c r="O405" s="351"/>
      <c r="P405" s="350"/>
      <c r="Q405" s="351"/>
      <c r="R405" s="351"/>
      <c r="S405" s="351"/>
      <c r="T405" s="351"/>
      <c r="U405" s="351"/>
      <c r="V405" s="351"/>
    </row>
    <row r="406" spans="1:73" x14ac:dyDescent="0.25">
      <c r="A406" s="283"/>
      <c r="B406" s="283"/>
      <c r="C406" s="283"/>
      <c r="D406" s="268"/>
      <c r="E406" s="268"/>
      <c r="F406" s="268"/>
      <c r="G406" s="268"/>
      <c r="H406" s="268"/>
      <c r="I406" s="268"/>
      <c r="J406" s="351"/>
      <c r="K406" s="351"/>
      <c r="L406" s="350"/>
      <c r="M406" s="350"/>
      <c r="N406" s="350"/>
      <c r="O406" s="351"/>
      <c r="P406" s="350"/>
      <c r="Q406" s="351"/>
      <c r="R406" s="351"/>
      <c r="S406" s="351"/>
      <c r="T406" s="351"/>
      <c r="U406" s="351"/>
      <c r="V406" s="351"/>
    </row>
    <row r="407" spans="1:73" x14ac:dyDescent="0.25">
      <c r="A407" s="283"/>
      <c r="B407" s="283"/>
      <c r="C407" s="283"/>
      <c r="D407" s="268"/>
      <c r="E407" s="268"/>
      <c r="F407" s="268"/>
      <c r="G407" s="268"/>
      <c r="H407" s="268"/>
      <c r="I407" s="268"/>
      <c r="J407" s="351"/>
      <c r="K407" s="351"/>
      <c r="L407" s="350"/>
      <c r="M407" s="350"/>
      <c r="N407" s="350"/>
      <c r="O407" s="351"/>
      <c r="P407" s="350"/>
      <c r="Q407" s="351"/>
      <c r="R407" s="351"/>
      <c r="S407" s="351"/>
      <c r="T407" s="351"/>
      <c r="U407" s="351"/>
      <c r="V407" s="351"/>
    </row>
    <row r="408" spans="1:73" x14ac:dyDescent="0.25">
      <c r="A408" s="283"/>
      <c r="B408" s="283"/>
      <c r="C408" s="283"/>
      <c r="D408" s="268"/>
      <c r="E408" s="268"/>
      <c r="F408" s="268"/>
      <c r="G408" s="268"/>
      <c r="H408" s="268"/>
      <c r="I408" s="268"/>
      <c r="J408" s="351"/>
      <c r="K408" s="351"/>
      <c r="L408" s="350"/>
      <c r="M408" s="350"/>
      <c r="N408" s="350"/>
      <c r="O408" s="351"/>
      <c r="P408" s="350"/>
      <c r="Q408" s="351"/>
      <c r="R408" s="351"/>
      <c r="S408" s="351"/>
      <c r="T408" s="351"/>
      <c r="U408" s="351"/>
      <c r="V408" s="351"/>
    </row>
    <row r="409" spans="1:73" x14ac:dyDescent="0.25">
      <c r="A409" s="283"/>
      <c r="B409" s="283"/>
      <c r="C409" s="283"/>
      <c r="D409" s="268"/>
      <c r="E409" s="283"/>
      <c r="F409" s="268"/>
      <c r="G409" s="268"/>
      <c r="H409" s="268"/>
      <c r="I409" s="268"/>
      <c r="J409" s="351"/>
      <c r="K409" s="351"/>
      <c r="L409" s="350"/>
      <c r="M409" s="350"/>
      <c r="N409" s="350"/>
      <c r="O409" s="351"/>
      <c r="P409" s="350"/>
      <c r="Q409" s="351"/>
      <c r="R409" s="351"/>
      <c r="S409" s="351"/>
      <c r="T409" s="351"/>
      <c r="U409" s="351"/>
      <c r="V409" s="351"/>
    </row>
    <row r="410" spans="1:73" x14ac:dyDescent="0.25">
      <c r="A410" s="283"/>
      <c r="B410" s="283"/>
      <c r="C410" s="283"/>
      <c r="D410" s="268"/>
      <c r="E410" s="283"/>
      <c r="F410" s="268"/>
      <c r="G410" s="268"/>
      <c r="H410" s="268"/>
      <c r="I410" s="268"/>
      <c r="J410" s="351"/>
      <c r="K410" s="351"/>
      <c r="L410" s="350"/>
      <c r="M410" s="350"/>
      <c r="N410" s="350"/>
      <c r="O410" s="351"/>
      <c r="P410" s="350"/>
      <c r="Q410" s="351"/>
      <c r="R410" s="351"/>
      <c r="S410" s="351"/>
      <c r="T410" s="351"/>
      <c r="U410" s="351"/>
      <c r="V410" s="351"/>
    </row>
    <row r="411" spans="1:73" x14ac:dyDescent="0.25">
      <c r="A411" s="283"/>
      <c r="B411" s="283"/>
      <c r="C411" s="283"/>
      <c r="D411" s="268"/>
      <c r="E411" s="283"/>
      <c r="F411" s="268"/>
      <c r="G411" s="268"/>
      <c r="H411" s="268"/>
      <c r="I411" s="268"/>
      <c r="J411" s="351"/>
      <c r="K411" s="351"/>
      <c r="L411" s="350"/>
      <c r="M411" s="350"/>
      <c r="N411" s="350"/>
      <c r="O411" s="351"/>
      <c r="P411" s="350"/>
      <c r="Q411" s="351"/>
      <c r="R411" s="351"/>
      <c r="S411" s="351"/>
      <c r="T411" s="351"/>
      <c r="U411" s="351"/>
      <c r="V411" s="351"/>
    </row>
    <row r="412" spans="1:73" x14ac:dyDescent="0.25">
      <c r="A412" s="283"/>
      <c r="B412" s="283"/>
      <c r="C412" s="283"/>
      <c r="D412" s="268"/>
      <c r="E412" s="283"/>
      <c r="F412" s="268"/>
      <c r="G412" s="268"/>
      <c r="H412" s="268"/>
      <c r="I412" s="268"/>
      <c r="J412" s="351"/>
      <c r="K412" s="351"/>
      <c r="L412" s="350"/>
      <c r="M412" s="350"/>
      <c r="N412" s="350"/>
      <c r="O412" s="351"/>
      <c r="P412" s="350"/>
      <c r="Q412" s="351"/>
      <c r="R412" s="351"/>
      <c r="S412" s="351"/>
      <c r="T412" s="351"/>
      <c r="U412" s="351"/>
      <c r="V412" s="351"/>
    </row>
    <row r="413" spans="1:73" x14ac:dyDescent="0.25">
      <c r="A413" s="283"/>
      <c r="B413" s="283"/>
      <c r="C413" s="283"/>
      <c r="D413" s="268"/>
      <c r="E413" s="283"/>
      <c r="F413" s="423"/>
      <c r="G413" s="268"/>
      <c r="H413" s="268"/>
      <c r="I413" s="268"/>
      <c r="J413" s="351"/>
      <c r="K413" s="351"/>
      <c r="L413" s="350"/>
      <c r="M413" s="350"/>
      <c r="N413" s="350"/>
      <c r="O413" s="351"/>
      <c r="P413" s="350"/>
      <c r="Q413" s="351"/>
      <c r="R413" s="351"/>
      <c r="S413" s="351"/>
      <c r="T413" s="351"/>
      <c r="U413" s="351"/>
      <c r="V413" s="351"/>
    </row>
    <row r="414" spans="1:73" x14ac:dyDescent="0.25">
      <c r="A414" s="283"/>
      <c r="B414" s="283"/>
      <c r="C414" s="283"/>
      <c r="D414" s="268"/>
      <c r="E414" s="283"/>
      <c r="F414" s="423"/>
      <c r="G414" s="268"/>
      <c r="H414" s="268"/>
      <c r="I414" s="268"/>
      <c r="J414" s="351"/>
      <c r="K414" s="351"/>
      <c r="L414" s="350"/>
      <c r="M414" s="350"/>
      <c r="N414" s="350"/>
      <c r="O414" s="351"/>
      <c r="P414" s="350"/>
      <c r="Q414" s="351"/>
      <c r="R414" s="351"/>
      <c r="S414" s="351"/>
      <c r="T414" s="351"/>
      <c r="U414" s="351"/>
      <c r="V414" s="351"/>
    </row>
    <row r="415" spans="1:73" x14ac:dyDescent="0.25">
      <c r="A415" s="283"/>
      <c r="B415" s="283"/>
      <c r="C415" s="283"/>
      <c r="D415" s="268"/>
      <c r="E415" s="283"/>
      <c r="F415" s="423"/>
      <c r="G415" s="268"/>
      <c r="H415" s="268"/>
      <c r="I415" s="268"/>
      <c r="J415" s="351"/>
      <c r="K415" s="351"/>
      <c r="L415" s="350"/>
      <c r="M415" s="350"/>
      <c r="N415" s="350"/>
      <c r="O415" s="351"/>
      <c r="P415" s="350"/>
      <c r="Q415" s="351"/>
      <c r="R415" s="351"/>
      <c r="S415" s="351"/>
      <c r="T415" s="351"/>
      <c r="U415" s="351"/>
      <c r="V415" s="351"/>
    </row>
    <row r="416" spans="1:73" x14ac:dyDescent="0.25">
      <c r="A416" s="283"/>
      <c r="B416" s="283"/>
      <c r="C416" s="283"/>
      <c r="D416" s="268"/>
      <c r="E416" s="283"/>
      <c r="F416" s="423"/>
      <c r="G416" s="268"/>
      <c r="H416" s="268"/>
      <c r="I416" s="268"/>
      <c r="J416" s="351"/>
      <c r="K416" s="351"/>
      <c r="L416" s="350"/>
      <c r="M416" s="350"/>
      <c r="N416" s="350"/>
      <c r="O416" s="351"/>
      <c r="P416" s="350"/>
      <c r="Q416" s="351"/>
      <c r="R416" s="351"/>
      <c r="S416" s="351"/>
      <c r="T416" s="351"/>
      <c r="U416" s="351"/>
      <c r="V416" s="351"/>
    </row>
    <row r="417" spans="1:73" x14ac:dyDescent="0.25">
      <c r="A417" s="283"/>
      <c r="B417" s="283"/>
      <c r="C417" s="283"/>
      <c r="D417" s="268"/>
      <c r="E417" s="283"/>
      <c r="F417" s="423"/>
      <c r="G417" s="268"/>
      <c r="H417" s="268"/>
      <c r="I417" s="268"/>
      <c r="J417" s="351"/>
      <c r="K417" s="351"/>
      <c r="L417" s="350"/>
      <c r="M417" s="350"/>
      <c r="N417" s="350"/>
      <c r="O417" s="351"/>
      <c r="P417" s="350"/>
      <c r="Q417" s="351"/>
      <c r="R417" s="351"/>
      <c r="S417" s="351"/>
      <c r="T417" s="351"/>
      <c r="U417" s="351"/>
      <c r="V417" s="351"/>
    </row>
    <row r="418" spans="1:73" x14ac:dyDescent="0.25">
      <c r="A418" s="283"/>
      <c r="B418" s="283"/>
      <c r="C418" s="283"/>
      <c r="D418" s="268"/>
      <c r="E418" s="283"/>
      <c r="F418" s="423"/>
      <c r="G418" s="268"/>
      <c r="H418" s="268"/>
      <c r="I418" s="268"/>
      <c r="J418" s="351"/>
      <c r="K418" s="351"/>
      <c r="L418" s="350"/>
      <c r="M418" s="350"/>
      <c r="N418" s="350"/>
      <c r="O418" s="351"/>
      <c r="P418" s="350"/>
      <c r="Q418" s="351"/>
      <c r="R418" s="351"/>
      <c r="S418" s="351"/>
      <c r="T418" s="351"/>
      <c r="U418" s="351"/>
      <c r="V418" s="351"/>
    </row>
    <row r="419" spans="1:73" x14ac:dyDescent="0.25">
      <c r="A419" s="283"/>
      <c r="B419" s="283"/>
      <c r="C419" s="283"/>
      <c r="D419" s="268"/>
      <c r="E419" s="283"/>
      <c r="F419" s="423"/>
      <c r="G419" s="268"/>
      <c r="H419" s="268"/>
      <c r="I419" s="268"/>
      <c r="J419" s="351"/>
      <c r="K419" s="351"/>
      <c r="L419" s="350"/>
      <c r="M419" s="350"/>
      <c r="N419" s="350"/>
      <c r="O419" s="351"/>
      <c r="P419" s="350"/>
      <c r="Q419" s="351"/>
      <c r="R419" s="351"/>
      <c r="S419" s="351"/>
      <c r="T419" s="351"/>
      <c r="U419" s="351"/>
      <c r="V419" s="351"/>
    </row>
    <row r="420" spans="1:73" x14ac:dyDescent="0.25">
      <c r="A420" s="283"/>
      <c r="B420" s="283"/>
      <c r="C420" s="283"/>
      <c r="D420" s="268"/>
      <c r="E420" s="283"/>
      <c r="F420" s="423"/>
      <c r="G420" s="268"/>
      <c r="H420" s="268"/>
      <c r="I420" s="268"/>
      <c r="J420" s="351"/>
      <c r="K420" s="351"/>
      <c r="L420" s="350"/>
      <c r="M420" s="350"/>
      <c r="N420" s="350"/>
      <c r="O420" s="351"/>
      <c r="P420" s="350"/>
      <c r="Q420" s="351"/>
      <c r="R420" s="351"/>
      <c r="S420" s="351"/>
      <c r="T420" s="351"/>
      <c r="U420" s="351"/>
      <c r="V420" s="351"/>
    </row>
    <row r="421" spans="1:73" x14ac:dyDescent="0.25">
      <c r="A421" s="283"/>
      <c r="B421" s="283"/>
      <c r="C421" s="283"/>
      <c r="D421" s="268"/>
      <c r="E421" s="283"/>
      <c r="F421" s="423"/>
      <c r="G421" s="268"/>
      <c r="H421" s="268"/>
      <c r="I421" s="268"/>
      <c r="J421" s="351"/>
      <c r="K421" s="351"/>
      <c r="L421" s="350"/>
      <c r="M421" s="350"/>
      <c r="N421" s="350"/>
      <c r="O421" s="351"/>
      <c r="P421" s="350"/>
      <c r="Q421" s="351"/>
      <c r="R421" s="351"/>
      <c r="S421" s="351"/>
      <c r="T421" s="351"/>
      <c r="U421" s="351"/>
      <c r="V421" s="351"/>
    </row>
    <row r="422" spans="1:73" x14ac:dyDescent="0.25">
      <c r="A422" s="283"/>
      <c r="B422" s="283"/>
      <c r="C422" s="283"/>
      <c r="D422" s="268"/>
      <c r="E422" s="283"/>
      <c r="F422" s="423"/>
      <c r="G422" s="268"/>
      <c r="H422" s="268"/>
      <c r="I422" s="268"/>
      <c r="J422" s="351"/>
      <c r="K422" s="351"/>
      <c r="L422" s="350"/>
      <c r="M422" s="350"/>
      <c r="N422" s="350"/>
      <c r="O422" s="351"/>
      <c r="P422" s="350"/>
      <c r="Q422" s="351"/>
      <c r="R422" s="351"/>
      <c r="S422" s="351"/>
      <c r="T422" s="351"/>
      <c r="U422" s="351"/>
      <c r="V422" s="351"/>
    </row>
    <row r="423" spans="1:73" x14ac:dyDescent="0.25">
      <c r="D423" s="28"/>
      <c r="F423" s="238"/>
      <c r="G423" s="28"/>
      <c r="H423" s="28"/>
      <c r="I423" s="28"/>
      <c r="J423" s="292"/>
      <c r="K423" s="292"/>
    </row>
    <row r="424" spans="1:73" x14ac:dyDescent="0.25">
      <c r="D424" s="28"/>
      <c r="E424" s="343"/>
      <c r="F424" s="238"/>
      <c r="G424" s="28"/>
      <c r="H424" s="28"/>
      <c r="I424" s="28"/>
      <c r="J424" s="292"/>
      <c r="K424" s="292"/>
    </row>
    <row r="425" spans="1:73" x14ac:dyDescent="0.25">
      <c r="D425" s="28"/>
      <c r="E425" s="343"/>
      <c r="F425" s="238"/>
      <c r="G425" s="28"/>
      <c r="H425" s="28"/>
      <c r="I425" s="28"/>
      <c r="J425" s="292"/>
      <c r="K425" s="292"/>
    </row>
    <row r="426" spans="1:73" x14ac:dyDescent="0.25">
      <c r="D426" s="28"/>
      <c r="E426" s="28"/>
      <c r="F426" s="238"/>
      <c r="G426" s="28"/>
      <c r="H426" s="28"/>
      <c r="I426" s="28"/>
      <c r="J426" s="292"/>
      <c r="K426" s="292"/>
    </row>
    <row r="427" spans="1:73" x14ac:dyDescent="0.25">
      <c r="D427" s="28"/>
      <c r="E427" s="344"/>
      <c r="F427" s="238"/>
      <c r="G427" s="28"/>
      <c r="H427" s="28"/>
      <c r="I427" s="28"/>
      <c r="J427" s="292"/>
      <c r="K427" s="292"/>
    </row>
    <row r="428" spans="1:73" x14ac:dyDescent="0.25">
      <c r="D428" s="28"/>
      <c r="E428" s="344"/>
      <c r="F428" s="238"/>
      <c r="G428" s="28"/>
      <c r="H428" s="28"/>
      <c r="I428" s="28"/>
      <c r="J428" s="292"/>
      <c r="K428" s="292"/>
    </row>
    <row r="429" spans="1:73" x14ac:dyDescent="0.25">
      <c r="D429" s="28"/>
      <c r="E429" s="344"/>
      <c r="F429" s="238"/>
      <c r="G429" s="28"/>
      <c r="H429" s="28"/>
      <c r="I429" s="28"/>
      <c r="J429" s="292"/>
      <c r="K429" s="292"/>
    </row>
    <row r="430" spans="1:73" x14ac:dyDescent="0.25">
      <c r="D430" s="28"/>
      <c r="E430" s="344"/>
      <c r="F430" s="238"/>
      <c r="G430" s="28"/>
      <c r="H430" s="28"/>
      <c r="I430" s="28"/>
      <c r="J430" s="292"/>
      <c r="K430" s="292"/>
    </row>
    <row r="431" spans="1:73" x14ac:dyDescent="0.25">
      <c r="D431" s="28"/>
      <c r="E431" s="344"/>
      <c r="F431" s="238"/>
      <c r="G431" s="28"/>
      <c r="H431" s="28"/>
      <c r="I431" s="28"/>
      <c r="J431" s="292"/>
      <c r="K431" s="292"/>
    </row>
    <row r="432" spans="1:73" s="268" customFormat="1" x14ac:dyDescent="0.25">
      <c r="A432" s="167"/>
      <c r="B432" s="167"/>
      <c r="C432" s="167"/>
      <c r="D432" s="28"/>
      <c r="E432" s="344"/>
      <c r="F432" s="238"/>
      <c r="G432" s="28"/>
      <c r="H432" s="28"/>
      <c r="I432" s="28"/>
      <c r="J432" s="292"/>
      <c r="K432" s="292"/>
      <c r="L432" s="291"/>
      <c r="M432" s="291"/>
      <c r="N432" s="291"/>
      <c r="O432" s="292"/>
      <c r="P432" s="291"/>
      <c r="Q432" s="292"/>
      <c r="R432" s="292"/>
      <c r="S432" s="292"/>
      <c r="T432" s="292"/>
      <c r="U432" s="292"/>
      <c r="V432" s="292"/>
      <c r="W432" s="292"/>
      <c r="X432" s="292"/>
      <c r="Y432" s="292"/>
      <c r="Z432" s="292"/>
      <c r="AA432" s="292"/>
      <c r="AB432" s="292"/>
      <c r="AC432" s="292"/>
      <c r="AD432" s="291"/>
      <c r="AE432" s="172"/>
      <c r="AF432" s="172"/>
      <c r="AG432" s="28"/>
      <c r="AH432" s="28"/>
      <c r="AI432" s="28"/>
      <c r="AJ432" s="60"/>
      <c r="AK432" s="269"/>
      <c r="AL432" s="270"/>
      <c r="AM432" s="270"/>
      <c r="AP432" s="271"/>
      <c r="AU432" s="271"/>
      <c r="AZ432" s="271"/>
      <c r="BE432" s="271"/>
      <c r="BJ432" s="271"/>
      <c r="BK432" s="269"/>
      <c r="BM432" s="272"/>
      <c r="BN432" s="272"/>
      <c r="BO432" s="272"/>
      <c r="BP432" s="272"/>
      <c r="BQ432" s="272"/>
      <c r="BR432" s="272"/>
      <c r="BS432" s="272"/>
      <c r="BT432" s="272"/>
      <c r="BU432" s="272"/>
    </row>
    <row r="433" spans="1:73" s="268" customFormat="1" x14ac:dyDescent="0.25">
      <c r="A433" s="167"/>
      <c r="B433" s="167"/>
      <c r="C433" s="167"/>
      <c r="D433" s="28"/>
      <c r="E433" s="344"/>
      <c r="F433" s="238"/>
      <c r="G433" s="28"/>
      <c r="H433" s="28"/>
      <c r="I433" s="28"/>
      <c r="J433" s="292"/>
      <c r="K433" s="292"/>
      <c r="L433" s="291"/>
      <c r="M433" s="291"/>
      <c r="N433" s="291"/>
      <c r="O433" s="292"/>
      <c r="P433" s="291"/>
      <c r="Q433" s="292"/>
      <c r="R433" s="292"/>
      <c r="S433" s="292"/>
      <c r="T433" s="292"/>
      <c r="U433" s="292"/>
      <c r="V433" s="292"/>
      <c r="W433" s="292"/>
      <c r="X433" s="292"/>
      <c r="Y433" s="292"/>
      <c r="Z433" s="292"/>
      <c r="AA433" s="292"/>
      <c r="AB433" s="292"/>
      <c r="AC433" s="292"/>
      <c r="AD433" s="291"/>
      <c r="AE433" s="172"/>
      <c r="AF433" s="172"/>
      <c r="AG433" s="28"/>
      <c r="AH433" s="28"/>
      <c r="AI433" s="28"/>
      <c r="AJ433" s="60"/>
      <c r="AK433" s="269"/>
      <c r="AL433" s="270"/>
      <c r="AM433" s="270"/>
      <c r="AP433" s="271"/>
      <c r="AU433" s="271"/>
      <c r="AZ433" s="271"/>
      <c r="BE433" s="271"/>
      <c r="BJ433" s="271"/>
      <c r="BK433" s="269"/>
      <c r="BM433" s="272"/>
      <c r="BN433" s="272"/>
      <c r="BO433" s="272"/>
      <c r="BP433" s="272"/>
      <c r="BQ433" s="272"/>
      <c r="BR433" s="272"/>
      <c r="BS433" s="272"/>
      <c r="BT433" s="272"/>
      <c r="BU433" s="272"/>
    </row>
    <row r="434" spans="1:73" s="268" customFormat="1" x14ac:dyDescent="0.25">
      <c r="A434" s="167"/>
      <c r="B434" s="167"/>
      <c r="C434" s="167"/>
      <c r="D434" s="28"/>
      <c r="E434" s="344"/>
      <c r="F434" s="238"/>
      <c r="G434" s="28"/>
      <c r="H434" s="28"/>
      <c r="I434" s="28"/>
      <c r="J434" s="292"/>
      <c r="K434" s="292"/>
      <c r="L434" s="291"/>
      <c r="M434" s="291"/>
      <c r="N434" s="291"/>
      <c r="O434" s="292"/>
      <c r="P434" s="291"/>
      <c r="Q434" s="292"/>
      <c r="R434" s="292"/>
      <c r="S434" s="292"/>
      <c r="T434" s="292"/>
      <c r="U434" s="292"/>
      <c r="V434" s="292"/>
      <c r="W434" s="292"/>
      <c r="X434" s="292"/>
      <c r="Y434" s="292"/>
      <c r="Z434" s="292"/>
      <c r="AA434" s="292"/>
      <c r="AB434" s="292"/>
      <c r="AC434" s="292"/>
      <c r="AD434" s="291"/>
      <c r="AE434" s="172"/>
      <c r="AF434" s="172"/>
      <c r="AG434" s="28"/>
      <c r="AH434" s="28"/>
      <c r="AI434" s="28"/>
      <c r="AJ434" s="60"/>
      <c r="AK434" s="269"/>
      <c r="AL434" s="270"/>
      <c r="AM434" s="270"/>
      <c r="AP434" s="271"/>
      <c r="AU434" s="271"/>
      <c r="AZ434" s="271"/>
      <c r="BE434" s="271"/>
      <c r="BJ434" s="271"/>
      <c r="BK434" s="269"/>
      <c r="BM434" s="272"/>
      <c r="BN434" s="272"/>
      <c r="BO434" s="272"/>
      <c r="BP434" s="272"/>
      <c r="BQ434" s="272"/>
      <c r="BR434" s="272"/>
      <c r="BS434" s="272"/>
      <c r="BT434" s="272"/>
      <c r="BU434" s="272"/>
    </row>
    <row r="435" spans="1:73" s="268" customFormat="1" x14ac:dyDescent="0.25">
      <c r="A435" s="167"/>
      <c r="B435" s="167"/>
      <c r="C435" s="167"/>
      <c r="D435" s="28"/>
      <c r="E435" s="28"/>
      <c r="F435" s="238"/>
      <c r="G435" s="28"/>
      <c r="H435" s="28"/>
      <c r="I435" s="28"/>
      <c r="J435" s="292"/>
      <c r="K435" s="292"/>
      <c r="L435" s="291"/>
      <c r="M435" s="291"/>
      <c r="N435" s="291"/>
      <c r="O435" s="292"/>
      <c r="P435" s="291"/>
      <c r="Q435" s="292"/>
      <c r="R435" s="292"/>
      <c r="S435" s="292"/>
      <c r="T435" s="292"/>
      <c r="U435" s="292"/>
      <c r="V435" s="292"/>
      <c r="W435" s="292"/>
      <c r="X435" s="292"/>
      <c r="Y435" s="292"/>
      <c r="Z435" s="292"/>
      <c r="AA435" s="292"/>
      <c r="AB435" s="292"/>
      <c r="AC435" s="292"/>
      <c r="AD435" s="291"/>
      <c r="AE435" s="172"/>
      <c r="AF435" s="172"/>
      <c r="AG435" s="28"/>
      <c r="AH435" s="28"/>
      <c r="AI435" s="28"/>
      <c r="AJ435" s="60"/>
      <c r="AK435" s="269"/>
      <c r="AL435" s="270"/>
      <c r="AM435" s="270"/>
      <c r="AP435" s="271"/>
      <c r="AU435" s="271"/>
      <c r="AZ435" s="271"/>
      <c r="BE435" s="271"/>
      <c r="BJ435" s="271"/>
      <c r="BK435" s="269"/>
      <c r="BM435" s="272"/>
      <c r="BN435" s="272"/>
      <c r="BO435" s="272"/>
      <c r="BP435" s="272"/>
      <c r="BQ435" s="272"/>
      <c r="BR435" s="272"/>
      <c r="BS435" s="272"/>
      <c r="BT435" s="272"/>
      <c r="BU435" s="272"/>
    </row>
    <row r="436" spans="1:73" s="268" customFormat="1" x14ac:dyDescent="0.25">
      <c r="A436" s="167"/>
      <c r="B436" s="167"/>
      <c r="C436" s="167"/>
      <c r="D436" s="28"/>
      <c r="E436" s="28"/>
      <c r="F436" s="238"/>
      <c r="G436" s="28"/>
      <c r="H436" s="28"/>
      <c r="I436" s="28"/>
      <c r="J436" s="292"/>
      <c r="K436" s="292"/>
      <c r="L436" s="291"/>
      <c r="M436" s="291"/>
      <c r="N436" s="291"/>
      <c r="O436" s="292"/>
      <c r="P436" s="291"/>
      <c r="Q436" s="292"/>
      <c r="R436" s="292"/>
      <c r="S436" s="292"/>
      <c r="T436" s="292"/>
      <c r="U436" s="292"/>
      <c r="V436" s="292"/>
      <c r="W436" s="292"/>
      <c r="X436" s="292"/>
      <c r="Y436" s="292"/>
      <c r="Z436" s="292"/>
      <c r="AA436" s="292"/>
      <c r="AB436" s="292"/>
      <c r="AC436" s="292"/>
      <c r="AD436" s="291"/>
      <c r="AE436" s="172"/>
      <c r="AF436" s="172"/>
      <c r="AG436" s="28"/>
      <c r="AH436" s="28"/>
      <c r="AI436" s="28"/>
      <c r="AJ436" s="60"/>
      <c r="AK436" s="269"/>
      <c r="AL436" s="270"/>
      <c r="AM436" s="270"/>
      <c r="AP436" s="271"/>
      <c r="AU436" s="271"/>
      <c r="AZ436" s="271"/>
      <c r="BE436" s="271"/>
      <c r="BJ436" s="271"/>
      <c r="BK436" s="269"/>
      <c r="BM436" s="272"/>
      <c r="BN436" s="272"/>
      <c r="BO436" s="272"/>
      <c r="BP436" s="272"/>
      <c r="BQ436" s="272"/>
      <c r="BR436" s="272"/>
      <c r="BS436" s="272"/>
      <c r="BT436" s="272"/>
      <c r="BU436" s="272"/>
    </row>
    <row r="437" spans="1:73" s="268" customFormat="1" x14ac:dyDescent="0.25">
      <c r="A437" s="167"/>
      <c r="B437" s="167"/>
      <c r="C437" s="167"/>
      <c r="D437" s="28"/>
      <c r="E437" s="28"/>
      <c r="F437" s="238"/>
      <c r="G437" s="28"/>
      <c r="H437" s="28"/>
      <c r="I437" s="28"/>
      <c r="J437" s="292"/>
      <c r="K437" s="292"/>
      <c r="L437" s="291"/>
      <c r="M437" s="291"/>
      <c r="N437" s="291"/>
      <c r="O437" s="292"/>
      <c r="P437" s="291"/>
      <c r="Q437" s="292"/>
      <c r="R437" s="292"/>
      <c r="S437" s="292"/>
      <c r="T437" s="292"/>
      <c r="U437" s="292"/>
      <c r="V437" s="292"/>
      <c r="W437" s="292"/>
      <c r="X437" s="292"/>
      <c r="Y437" s="292"/>
      <c r="Z437" s="292"/>
      <c r="AA437" s="292"/>
      <c r="AB437" s="292"/>
      <c r="AC437" s="292"/>
      <c r="AD437" s="291"/>
      <c r="AE437" s="172"/>
      <c r="AF437" s="172"/>
      <c r="AG437" s="28"/>
      <c r="AH437" s="28"/>
      <c r="AI437" s="28"/>
      <c r="AJ437" s="60"/>
      <c r="AK437" s="269"/>
      <c r="AL437" s="270"/>
      <c r="AM437" s="270"/>
      <c r="AP437" s="271"/>
      <c r="AU437" s="271"/>
      <c r="AZ437" s="271"/>
      <c r="BE437" s="271"/>
      <c r="BJ437" s="271"/>
      <c r="BK437" s="269"/>
      <c r="BM437" s="272"/>
      <c r="BN437" s="272"/>
      <c r="BO437" s="272"/>
      <c r="BP437" s="272"/>
      <c r="BQ437" s="272"/>
      <c r="BR437" s="272"/>
      <c r="BS437" s="272"/>
      <c r="BT437" s="272"/>
      <c r="BU437" s="272"/>
    </row>
    <row r="438" spans="1:73" s="268" customFormat="1" x14ac:dyDescent="0.25">
      <c r="A438" s="167"/>
      <c r="B438" s="167"/>
      <c r="C438" s="167"/>
      <c r="D438" s="28"/>
      <c r="E438" s="28"/>
      <c r="F438" s="238"/>
      <c r="G438" s="28"/>
      <c r="H438" s="28"/>
      <c r="I438" s="28"/>
      <c r="J438" s="292"/>
      <c r="K438" s="292"/>
      <c r="L438" s="291"/>
      <c r="M438" s="291"/>
      <c r="N438" s="291"/>
      <c r="O438" s="292"/>
      <c r="P438" s="291"/>
      <c r="Q438" s="292"/>
      <c r="R438" s="292"/>
      <c r="S438" s="292"/>
      <c r="T438" s="292"/>
      <c r="U438" s="292"/>
      <c r="V438" s="292"/>
      <c r="W438" s="292"/>
      <c r="X438" s="292"/>
      <c r="Y438" s="292"/>
      <c r="Z438" s="292"/>
      <c r="AA438" s="292"/>
      <c r="AB438" s="292"/>
      <c r="AC438" s="292"/>
      <c r="AD438" s="291"/>
      <c r="AE438" s="172"/>
      <c r="AF438" s="172"/>
      <c r="AG438" s="28"/>
      <c r="AH438" s="28"/>
      <c r="AI438" s="28"/>
      <c r="AJ438" s="60"/>
      <c r="AK438" s="269"/>
      <c r="AL438" s="270"/>
      <c r="AM438" s="270"/>
      <c r="AP438" s="271"/>
      <c r="AU438" s="271"/>
      <c r="AZ438" s="271"/>
      <c r="BE438" s="271"/>
      <c r="BJ438" s="271"/>
      <c r="BK438" s="269"/>
      <c r="BM438" s="272"/>
      <c r="BN438" s="272"/>
      <c r="BO438" s="272"/>
      <c r="BP438" s="272"/>
      <c r="BQ438" s="272"/>
      <c r="BR438" s="272"/>
      <c r="BS438" s="272"/>
      <c r="BT438" s="272"/>
      <c r="BU438" s="272"/>
    </row>
    <row r="439" spans="1:73" s="268" customFormat="1" x14ac:dyDescent="0.25">
      <c r="A439" s="167"/>
      <c r="B439" s="167"/>
      <c r="C439" s="167"/>
      <c r="D439" s="28"/>
      <c r="E439" s="28"/>
      <c r="F439" s="238"/>
      <c r="G439" s="28"/>
      <c r="H439" s="28"/>
      <c r="I439" s="28"/>
      <c r="J439" s="292"/>
      <c r="K439" s="292"/>
      <c r="L439" s="291"/>
      <c r="M439" s="291"/>
      <c r="N439" s="291"/>
      <c r="O439" s="292"/>
      <c r="P439" s="291"/>
      <c r="Q439" s="292"/>
      <c r="R439" s="292"/>
      <c r="S439" s="292"/>
      <c r="T439" s="292"/>
      <c r="U439" s="292"/>
      <c r="V439" s="292"/>
      <c r="W439" s="292"/>
      <c r="X439" s="292"/>
      <c r="Y439" s="292"/>
      <c r="Z439" s="292"/>
      <c r="AA439" s="292"/>
      <c r="AB439" s="292"/>
      <c r="AC439" s="292"/>
      <c r="AD439" s="291"/>
      <c r="AE439" s="172"/>
      <c r="AF439" s="172"/>
      <c r="AG439" s="28"/>
      <c r="AH439" s="28"/>
      <c r="AI439" s="28"/>
      <c r="AJ439" s="60"/>
      <c r="AK439" s="269"/>
      <c r="AL439" s="270"/>
      <c r="AM439" s="270"/>
      <c r="AP439" s="271"/>
      <c r="AU439" s="271"/>
      <c r="AZ439" s="271"/>
      <c r="BE439" s="271"/>
      <c r="BJ439" s="271"/>
      <c r="BK439" s="269"/>
      <c r="BM439" s="272"/>
      <c r="BN439" s="272"/>
      <c r="BO439" s="272"/>
      <c r="BP439" s="272"/>
      <c r="BQ439" s="272"/>
      <c r="BR439" s="272"/>
      <c r="BS439" s="272"/>
      <c r="BT439" s="272"/>
      <c r="BU439" s="272"/>
    </row>
    <row r="440" spans="1:73" s="268" customFormat="1" x14ac:dyDescent="0.25">
      <c r="A440" s="167"/>
      <c r="B440" s="167"/>
      <c r="C440" s="167"/>
      <c r="D440" s="28"/>
      <c r="E440" s="28"/>
      <c r="F440" s="238"/>
      <c r="G440" s="28"/>
      <c r="H440" s="28"/>
      <c r="I440" s="28"/>
      <c r="J440" s="292"/>
      <c r="K440" s="292"/>
      <c r="L440" s="291"/>
      <c r="M440" s="291"/>
      <c r="N440" s="291"/>
      <c r="O440" s="292"/>
      <c r="P440" s="291"/>
      <c r="Q440" s="292"/>
      <c r="R440" s="292"/>
      <c r="S440" s="292"/>
      <c r="T440" s="292"/>
      <c r="U440" s="292"/>
      <c r="V440" s="292"/>
      <c r="W440" s="292"/>
      <c r="X440" s="292"/>
      <c r="Y440" s="292"/>
      <c r="Z440" s="292"/>
      <c r="AA440" s="292"/>
      <c r="AB440" s="292"/>
      <c r="AC440" s="292"/>
      <c r="AD440" s="291"/>
      <c r="AE440" s="172"/>
      <c r="AF440" s="172"/>
      <c r="AG440" s="28"/>
      <c r="AH440" s="28"/>
      <c r="AI440" s="28"/>
      <c r="AJ440" s="60"/>
      <c r="AK440" s="269"/>
      <c r="AL440" s="270"/>
      <c r="AM440" s="270"/>
      <c r="AP440" s="271"/>
      <c r="AU440" s="271"/>
      <c r="AZ440" s="271"/>
      <c r="BE440" s="271"/>
      <c r="BJ440" s="271"/>
      <c r="BK440" s="269"/>
      <c r="BM440" s="272"/>
      <c r="BN440" s="272"/>
      <c r="BO440" s="272"/>
      <c r="BP440" s="272"/>
      <c r="BQ440" s="272"/>
      <c r="BR440" s="272"/>
      <c r="BS440" s="272"/>
      <c r="BT440" s="272"/>
      <c r="BU440" s="272"/>
    </row>
    <row r="441" spans="1:73" s="268" customFormat="1" x14ac:dyDescent="0.25">
      <c r="A441" s="167"/>
      <c r="B441" s="167"/>
      <c r="C441" s="167"/>
      <c r="D441" s="28"/>
      <c r="E441" s="28"/>
      <c r="F441" s="238"/>
      <c r="G441" s="28"/>
      <c r="H441" s="28"/>
      <c r="I441" s="28"/>
      <c r="J441" s="292"/>
      <c r="K441" s="292"/>
      <c r="L441" s="291"/>
      <c r="M441" s="291"/>
      <c r="N441" s="291"/>
      <c r="O441" s="292"/>
      <c r="P441" s="291"/>
      <c r="Q441" s="292"/>
      <c r="R441" s="292"/>
      <c r="S441" s="292"/>
      <c r="T441" s="292"/>
      <c r="U441" s="292"/>
      <c r="V441" s="292"/>
      <c r="W441" s="292"/>
      <c r="X441" s="292"/>
      <c r="Y441" s="292"/>
      <c r="Z441" s="292"/>
      <c r="AA441" s="292"/>
      <c r="AB441" s="292"/>
      <c r="AC441" s="292"/>
      <c r="AD441" s="291"/>
      <c r="AE441" s="172"/>
      <c r="AF441" s="172"/>
      <c r="AG441" s="28"/>
      <c r="AH441" s="28"/>
      <c r="AI441" s="28"/>
      <c r="AJ441" s="60"/>
      <c r="AK441" s="269"/>
      <c r="AL441" s="270"/>
      <c r="AM441" s="270"/>
      <c r="AP441" s="271"/>
      <c r="AU441" s="271"/>
      <c r="AZ441" s="271"/>
      <c r="BE441" s="271"/>
      <c r="BJ441" s="271"/>
      <c r="BK441" s="269"/>
      <c r="BM441" s="272"/>
      <c r="BN441" s="272"/>
      <c r="BO441" s="272"/>
      <c r="BP441" s="272"/>
      <c r="BQ441" s="272"/>
      <c r="BR441" s="272"/>
      <c r="BS441" s="272"/>
      <c r="BT441" s="272"/>
      <c r="BU441" s="272"/>
    </row>
    <row r="442" spans="1:73" s="268" customFormat="1" x14ac:dyDescent="0.25">
      <c r="A442" s="167"/>
      <c r="B442" s="167"/>
      <c r="C442" s="167"/>
      <c r="D442" s="28"/>
      <c r="E442" s="28"/>
      <c r="F442" s="238"/>
      <c r="G442" s="28"/>
      <c r="H442" s="28"/>
      <c r="I442" s="28"/>
      <c r="J442" s="292"/>
      <c r="K442" s="292"/>
      <c r="L442" s="291"/>
      <c r="M442" s="291"/>
      <c r="N442" s="291"/>
      <c r="O442" s="292"/>
      <c r="P442" s="291"/>
      <c r="Q442" s="292"/>
      <c r="R442" s="292"/>
      <c r="S442" s="292"/>
      <c r="T442" s="292"/>
      <c r="U442" s="292"/>
      <c r="V442" s="292"/>
      <c r="W442" s="292"/>
      <c r="X442" s="292"/>
      <c r="Y442" s="292"/>
      <c r="Z442" s="292"/>
      <c r="AA442" s="292"/>
      <c r="AB442" s="292"/>
      <c r="AC442" s="292"/>
      <c r="AD442" s="291"/>
      <c r="AE442" s="172"/>
      <c r="AF442" s="172"/>
      <c r="AG442" s="28"/>
      <c r="AH442" s="28"/>
      <c r="AI442" s="28"/>
      <c r="AJ442" s="60"/>
      <c r="AK442" s="269"/>
      <c r="AL442" s="270"/>
      <c r="AM442" s="270"/>
      <c r="AP442" s="271"/>
      <c r="AU442" s="271"/>
      <c r="AZ442" s="271"/>
      <c r="BE442" s="271"/>
      <c r="BJ442" s="271"/>
      <c r="BK442" s="269"/>
      <c r="BM442" s="272"/>
      <c r="BN442" s="272"/>
      <c r="BO442" s="272"/>
      <c r="BP442" s="272"/>
      <c r="BQ442" s="272"/>
      <c r="BR442" s="272"/>
      <c r="BS442" s="272"/>
      <c r="BT442" s="272"/>
      <c r="BU442" s="272"/>
    </row>
    <row r="443" spans="1:73" s="268" customFormat="1" x14ac:dyDescent="0.25">
      <c r="A443" s="167"/>
      <c r="B443" s="167"/>
      <c r="C443" s="167"/>
      <c r="D443" s="28"/>
      <c r="E443" s="28"/>
      <c r="F443" s="238"/>
      <c r="G443" s="28"/>
      <c r="H443" s="28"/>
      <c r="I443" s="28"/>
      <c r="J443" s="292"/>
      <c r="K443" s="292"/>
      <c r="L443" s="291"/>
      <c r="M443" s="291"/>
      <c r="N443" s="291"/>
      <c r="O443" s="292"/>
      <c r="P443" s="291"/>
      <c r="Q443" s="292"/>
      <c r="R443" s="292"/>
      <c r="S443" s="292"/>
      <c r="T443" s="292"/>
      <c r="U443" s="292"/>
      <c r="V443" s="292"/>
      <c r="W443" s="292"/>
      <c r="X443" s="292"/>
      <c r="Y443" s="292"/>
      <c r="Z443" s="292"/>
      <c r="AA443" s="292"/>
      <c r="AB443" s="292"/>
      <c r="AC443" s="292"/>
      <c r="AD443" s="291"/>
      <c r="AE443" s="172"/>
      <c r="AF443" s="172"/>
      <c r="AG443" s="28"/>
      <c r="AH443" s="28"/>
      <c r="AI443" s="28"/>
      <c r="AJ443" s="60"/>
      <c r="AK443" s="269"/>
      <c r="AL443" s="270"/>
      <c r="AM443" s="270"/>
      <c r="AP443" s="271"/>
      <c r="AU443" s="271"/>
      <c r="AZ443" s="271"/>
      <c r="BE443" s="271"/>
      <c r="BJ443" s="271"/>
      <c r="BK443" s="269"/>
      <c r="BM443" s="272"/>
      <c r="BN443" s="272"/>
      <c r="BO443" s="272"/>
      <c r="BP443" s="272"/>
      <c r="BQ443" s="272"/>
      <c r="BR443" s="272"/>
      <c r="BS443" s="272"/>
      <c r="BT443" s="272"/>
      <c r="BU443" s="272"/>
    </row>
    <row r="444" spans="1:73" s="268" customFormat="1" x14ac:dyDescent="0.25">
      <c r="A444" s="167"/>
      <c r="B444" s="167"/>
      <c r="C444" s="167"/>
      <c r="D444" s="28"/>
      <c r="E444" s="28"/>
      <c r="F444" s="238"/>
      <c r="G444" s="28"/>
      <c r="H444" s="28"/>
      <c r="I444" s="28"/>
      <c r="J444" s="292"/>
      <c r="K444" s="292"/>
      <c r="L444" s="291"/>
      <c r="M444" s="291"/>
      <c r="N444" s="291"/>
      <c r="O444" s="292"/>
      <c r="P444" s="291"/>
      <c r="Q444" s="292"/>
      <c r="R444" s="292"/>
      <c r="S444" s="292"/>
      <c r="T444" s="292"/>
      <c r="U444" s="292"/>
      <c r="V444" s="292"/>
      <c r="W444" s="292"/>
      <c r="X444" s="292"/>
      <c r="Y444" s="292"/>
      <c r="Z444" s="292"/>
      <c r="AA444" s="292"/>
      <c r="AB444" s="292"/>
      <c r="AC444" s="292"/>
      <c r="AD444" s="291"/>
      <c r="AE444" s="172"/>
      <c r="AF444" s="172"/>
      <c r="AG444" s="28"/>
      <c r="AH444" s="28"/>
      <c r="AI444" s="28"/>
      <c r="AJ444" s="60"/>
      <c r="AK444" s="269"/>
      <c r="AL444" s="270"/>
      <c r="AM444" s="270"/>
      <c r="AP444" s="271"/>
      <c r="AU444" s="271"/>
      <c r="AZ444" s="271"/>
      <c r="BE444" s="271"/>
      <c r="BJ444" s="271"/>
      <c r="BK444" s="269"/>
      <c r="BM444" s="272"/>
      <c r="BN444" s="272"/>
      <c r="BO444" s="272"/>
      <c r="BP444" s="272"/>
      <c r="BQ444" s="272"/>
      <c r="BR444" s="272"/>
      <c r="BS444" s="272"/>
      <c r="BT444" s="272"/>
      <c r="BU444" s="272"/>
    </row>
    <row r="445" spans="1:73" s="268" customFormat="1" x14ac:dyDescent="0.25">
      <c r="A445" s="167"/>
      <c r="B445" s="167"/>
      <c r="C445" s="167"/>
      <c r="D445" s="28"/>
      <c r="E445" s="28"/>
      <c r="F445" s="238"/>
      <c r="G445" s="28"/>
      <c r="H445" s="28"/>
      <c r="I445" s="28"/>
      <c r="J445" s="292"/>
      <c r="K445" s="292"/>
      <c r="L445" s="291"/>
      <c r="M445" s="291"/>
      <c r="N445" s="291"/>
      <c r="O445" s="292"/>
      <c r="P445" s="291"/>
      <c r="Q445" s="292"/>
      <c r="R445" s="292"/>
      <c r="S445" s="292"/>
      <c r="T445" s="292"/>
      <c r="U445" s="292"/>
      <c r="V445" s="292"/>
      <c r="W445" s="292"/>
      <c r="X445" s="292"/>
      <c r="Y445" s="292"/>
      <c r="Z445" s="292"/>
      <c r="AA445" s="292"/>
      <c r="AB445" s="292"/>
      <c r="AC445" s="292"/>
      <c r="AD445" s="291"/>
      <c r="AE445" s="172"/>
      <c r="AF445" s="172"/>
      <c r="AG445" s="28"/>
      <c r="AH445" s="28"/>
      <c r="AI445" s="28"/>
      <c r="AJ445" s="60"/>
      <c r="AK445" s="269"/>
      <c r="AL445" s="270"/>
      <c r="AM445" s="270"/>
      <c r="AP445" s="271"/>
      <c r="AU445" s="271"/>
      <c r="AZ445" s="271"/>
      <c r="BE445" s="271"/>
      <c r="BJ445" s="271"/>
      <c r="BK445" s="269"/>
      <c r="BM445" s="272"/>
      <c r="BN445" s="272"/>
      <c r="BO445" s="272"/>
      <c r="BP445" s="272"/>
      <c r="BQ445" s="272"/>
      <c r="BR445" s="272"/>
      <c r="BS445" s="272"/>
      <c r="BT445" s="272"/>
      <c r="BU445" s="272"/>
    </row>
    <row r="446" spans="1:73" s="268" customFormat="1" x14ac:dyDescent="0.25">
      <c r="A446" s="167"/>
      <c r="B446" s="167"/>
      <c r="C446" s="167"/>
      <c r="D446" s="28"/>
      <c r="E446" s="28"/>
      <c r="F446" s="238"/>
      <c r="G446" s="28"/>
      <c r="H446" s="28"/>
      <c r="I446" s="28"/>
      <c r="J446" s="292"/>
      <c r="K446" s="292"/>
      <c r="L446" s="291"/>
      <c r="M446" s="291"/>
      <c r="N446" s="291"/>
      <c r="O446" s="292"/>
      <c r="P446" s="291"/>
      <c r="Q446" s="292"/>
      <c r="R446" s="292"/>
      <c r="S446" s="292"/>
      <c r="T446" s="292"/>
      <c r="U446" s="292"/>
      <c r="V446" s="292"/>
      <c r="W446" s="292"/>
      <c r="X446" s="292"/>
      <c r="Y446" s="292"/>
      <c r="Z446" s="292"/>
      <c r="AA446" s="292"/>
      <c r="AB446" s="292"/>
      <c r="AC446" s="292"/>
      <c r="AD446" s="291"/>
      <c r="AE446" s="172"/>
      <c r="AF446" s="172"/>
      <c r="AG446" s="28"/>
      <c r="AH446" s="28"/>
      <c r="AI446" s="28"/>
      <c r="AJ446" s="60"/>
      <c r="AK446" s="269"/>
      <c r="AL446" s="270"/>
      <c r="AM446" s="270"/>
      <c r="AP446" s="271"/>
      <c r="AU446" s="271"/>
      <c r="AZ446" s="271"/>
      <c r="BE446" s="271"/>
      <c r="BJ446" s="271"/>
      <c r="BK446" s="269"/>
      <c r="BM446" s="272"/>
      <c r="BN446" s="272"/>
      <c r="BO446" s="272"/>
      <c r="BP446" s="272"/>
      <c r="BQ446" s="272"/>
      <c r="BR446" s="272"/>
      <c r="BS446" s="272"/>
      <c r="BT446" s="272"/>
      <c r="BU446" s="272"/>
    </row>
    <row r="447" spans="1:73" s="268" customFormat="1" x14ac:dyDescent="0.25">
      <c r="A447" s="167"/>
      <c r="B447" s="167"/>
      <c r="C447" s="167"/>
      <c r="D447" s="28"/>
      <c r="E447" s="28"/>
      <c r="F447" s="238"/>
      <c r="G447" s="28"/>
      <c r="H447" s="28"/>
      <c r="I447" s="28"/>
      <c r="J447" s="292"/>
      <c r="K447" s="292"/>
      <c r="L447" s="291"/>
      <c r="M447" s="291"/>
      <c r="N447" s="291"/>
      <c r="O447" s="292"/>
      <c r="P447" s="291"/>
      <c r="Q447" s="292"/>
      <c r="R447" s="292"/>
      <c r="S447" s="292"/>
      <c r="T447" s="292"/>
      <c r="U447" s="292"/>
      <c r="V447" s="292"/>
      <c r="W447" s="292"/>
      <c r="X447" s="292"/>
      <c r="Y447" s="292"/>
      <c r="Z447" s="292"/>
      <c r="AA447" s="292"/>
      <c r="AB447" s="292"/>
      <c r="AC447" s="292"/>
      <c r="AD447" s="291"/>
      <c r="AE447" s="172"/>
      <c r="AF447" s="172"/>
      <c r="AG447" s="28"/>
      <c r="AH447" s="28"/>
      <c r="AI447" s="28"/>
      <c r="AJ447" s="60"/>
      <c r="AK447" s="269"/>
      <c r="AL447" s="270"/>
      <c r="AM447" s="270"/>
      <c r="AP447" s="271"/>
      <c r="AU447" s="271"/>
      <c r="AZ447" s="271"/>
      <c r="BE447" s="271"/>
      <c r="BJ447" s="271"/>
      <c r="BK447" s="269"/>
      <c r="BM447" s="272"/>
      <c r="BN447" s="272"/>
      <c r="BO447" s="272"/>
      <c r="BP447" s="272"/>
      <c r="BQ447" s="272"/>
      <c r="BR447" s="272"/>
      <c r="BS447" s="272"/>
      <c r="BT447" s="272"/>
      <c r="BU447" s="272"/>
    </row>
    <row r="448" spans="1:73" s="268" customFormat="1" x14ac:dyDescent="0.25">
      <c r="A448" s="167"/>
      <c r="B448" s="167"/>
      <c r="C448" s="167"/>
      <c r="D448" s="28"/>
      <c r="E448" s="28"/>
      <c r="F448" s="238"/>
      <c r="G448" s="28"/>
      <c r="H448" s="28"/>
      <c r="I448" s="28"/>
      <c r="J448" s="292"/>
      <c r="K448" s="292"/>
      <c r="L448" s="291"/>
      <c r="M448" s="291"/>
      <c r="N448" s="291"/>
      <c r="O448" s="292"/>
      <c r="P448" s="291"/>
      <c r="Q448" s="292"/>
      <c r="R448" s="292"/>
      <c r="S448" s="292"/>
      <c r="T448" s="292"/>
      <c r="U448" s="292"/>
      <c r="V448" s="292"/>
      <c r="W448" s="292"/>
      <c r="X448" s="292"/>
      <c r="Y448" s="292"/>
      <c r="Z448" s="292"/>
      <c r="AA448" s="292"/>
      <c r="AB448" s="292"/>
      <c r="AC448" s="292"/>
      <c r="AD448" s="291"/>
      <c r="AE448" s="172"/>
      <c r="AF448" s="172"/>
      <c r="AG448" s="28"/>
      <c r="AH448" s="28"/>
      <c r="AI448" s="28"/>
      <c r="AJ448" s="60"/>
      <c r="AK448" s="269"/>
      <c r="AL448" s="270"/>
      <c r="AM448" s="270"/>
      <c r="AP448" s="271"/>
      <c r="AU448" s="271"/>
      <c r="AZ448" s="271"/>
      <c r="BE448" s="271"/>
      <c r="BJ448" s="271"/>
      <c r="BK448" s="269"/>
      <c r="BM448" s="272"/>
      <c r="BN448" s="272"/>
      <c r="BO448" s="272"/>
      <c r="BP448" s="272"/>
      <c r="BQ448" s="272"/>
      <c r="BR448" s="272"/>
      <c r="BS448" s="272"/>
      <c r="BT448" s="272"/>
      <c r="BU448" s="272"/>
    </row>
    <row r="449" spans="1:73" s="268" customFormat="1" x14ac:dyDescent="0.25">
      <c r="A449" s="167"/>
      <c r="B449" s="167"/>
      <c r="C449" s="167"/>
      <c r="D449" s="28"/>
      <c r="E449" s="28"/>
      <c r="F449" s="238"/>
      <c r="G449" s="28"/>
      <c r="H449" s="28"/>
      <c r="I449" s="28"/>
      <c r="J449" s="292"/>
      <c r="K449" s="292"/>
      <c r="L449" s="291"/>
      <c r="M449" s="291"/>
      <c r="N449" s="291"/>
      <c r="O449" s="292"/>
      <c r="P449" s="291"/>
      <c r="Q449" s="292"/>
      <c r="R449" s="292"/>
      <c r="S449" s="292"/>
      <c r="T449" s="292"/>
      <c r="U449" s="292"/>
      <c r="V449" s="292"/>
      <c r="W449" s="292"/>
      <c r="X449" s="292"/>
      <c r="Y449" s="292"/>
      <c r="Z449" s="292"/>
      <c r="AA449" s="292"/>
      <c r="AB449" s="292"/>
      <c r="AC449" s="292"/>
      <c r="AD449" s="291"/>
      <c r="AE449" s="172"/>
      <c r="AF449" s="172"/>
      <c r="AG449" s="28"/>
      <c r="AH449" s="28"/>
      <c r="AI449" s="28"/>
      <c r="AJ449" s="60"/>
      <c r="AK449" s="269"/>
      <c r="AL449" s="270"/>
      <c r="AM449" s="270"/>
      <c r="AP449" s="271"/>
      <c r="AU449" s="271"/>
      <c r="AZ449" s="271"/>
      <c r="BE449" s="271"/>
      <c r="BJ449" s="271"/>
      <c r="BK449" s="269"/>
      <c r="BM449" s="272"/>
      <c r="BN449" s="272"/>
      <c r="BO449" s="272"/>
      <c r="BP449" s="272"/>
      <c r="BQ449" s="272"/>
      <c r="BR449" s="272"/>
      <c r="BS449" s="272"/>
      <c r="BT449" s="272"/>
      <c r="BU449" s="272"/>
    </row>
    <row r="450" spans="1:73" s="268" customFormat="1" x14ac:dyDescent="0.25">
      <c r="A450" s="167"/>
      <c r="B450" s="167"/>
      <c r="C450" s="167"/>
      <c r="D450" s="28"/>
      <c r="E450" s="28"/>
      <c r="F450" s="238"/>
      <c r="G450" s="28"/>
      <c r="H450" s="28"/>
      <c r="I450" s="28"/>
      <c r="J450" s="292"/>
      <c r="K450" s="292"/>
      <c r="L450" s="291"/>
      <c r="M450" s="291"/>
      <c r="N450" s="291"/>
      <c r="O450" s="292"/>
      <c r="P450" s="291"/>
      <c r="Q450" s="292"/>
      <c r="R450" s="292"/>
      <c r="S450" s="292"/>
      <c r="T450" s="292"/>
      <c r="U450" s="292"/>
      <c r="V450" s="292"/>
      <c r="W450" s="292"/>
      <c r="X450" s="292"/>
      <c r="Y450" s="292"/>
      <c r="Z450" s="292"/>
      <c r="AA450" s="292"/>
      <c r="AB450" s="292"/>
      <c r="AC450" s="292"/>
      <c r="AD450" s="291"/>
      <c r="AE450" s="172"/>
      <c r="AF450" s="172"/>
      <c r="AG450" s="28"/>
      <c r="AH450" s="28"/>
      <c r="AI450" s="28"/>
      <c r="AJ450" s="60"/>
      <c r="AK450" s="269"/>
      <c r="AL450" s="270"/>
      <c r="AM450" s="270"/>
      <c r="AP450" s="271"/>
      <c r="AU450" s="271"/>
      <c r="AZ450" s="271"/>
      <c r="BE450" s="271"/>
      <c r="BJ450" s="271"/>
      <c r="BK450" s="269"/>
      <c r="BM450" s="272"/>
      <c r="BN450" s="272"/>
      <c r="BO450" s="272"/>
      <c r="BP450" s="272"/>
      <c r="BQ450" s="272"/>
      <c r="BR450" s="272"/>
      <c r="BS450" s="272"/>
      <c r="BT450" s="272"/>
      <c r="BU450" s="272"/>
    </row>
    <row r="451" spans="1:73" s="268" customFormat="1" x14ac:dyDescent="0.25">
      <c r="A451" s="167"/>
      <c r="B451" s="167"/>
      <c r="C451" s="167"/>
      <c r="D451" s="28"/>
      <c r="E451" s="28"/>
      <c r="F451" s="238"/>
      <c r="G451" s="28"/>
      <c r="H451" s="28"/>
      <c r="I451" s="28"/>
      <c r="J451" s="292"/>
      <c r="K451" s="292"/>
      <c r="L451" s="291"/>
      <c r="M451" s="291"/>
      <c r="N451" s="291"/>
      <c r="O451" s="292"/>
      <c r="P451" s="291"/>
      <c r="Q451" s="292"/>
      <c r="R451" s="292"/>
      <c r="S451" s="292"/>
      <c r="T451" s="292"/>
      <c r="U451" s="292"/>
      <c r="V451" s="292"/>
      <c r="W451" s="292"/>
      <c r="X451" s="292"/>
      <c r="Y451" s="292"/>
      <c r="Z451" s="292"/>
      <c r="AA451" s="292"/>
      <c r="AB451" s="292"/>
      <c r="AC451" s="292"/>
      <c r="AD451" s="291"/>
      <c r="AE451" s="172"/>
      <c r="AF451" s="172"/>
      <c r="AG451" s="28"/>
      <c r="AH451" s="28"/>
      <c r="AI451" s="28"/>
      <c r="AJ451" s="60"/>
      <c r="AK451" s="269"/>
      <c r="AL451" s="270"/>
      <c r="AM451" s="270"/>
      <c r="AP451" s="271"/>
      <c r="AU451" s="271"/>
      <c r="AZ451" s="271"/>
      <c r="BE451" s="271"/>
      <c r="BJ451" s="271"/>
      <c r="BK451" s="269"/>
      <c r="BM451" s="272"/>
      <c r="BN451" s="272"/>
      <c r="BO451" s="272"/>
      <c r="BP451" s="272"/>
      <c r="BQ451" s="272"/>
      <c r="BR451" s="272"/>
      <c r="BS451" s="272"/>
      <c r="BT451" s="272"/>
      <c r="BU451" s="272"/>
    </row>
    <row r="452" spans="1:73" s="268" customFormat="1" x14ac:dyDescent="0.25">
      <c r="A452" s="167"/>
      <c r="B452" s="167"/>
      <c r="C452" s="167"/>
      <c r="D452" s="28"/>
      <c r="E452" s="28"/>
      <c r="F452" s="238"/>
      <c r="G452" s="28"/>
      <c r="H452" s="28"/>
      <c r="I452" s="28"/>
      <c r="J452" s="292"/>
      <c r="K452" s="292"/>
      <c r="L452" s="291"/>
      <c r="M452" s="291"/>
      <c r="N452" s="291"/>
      <c r="O452" s="292"/>
      <c r="P452" s="291"/>
      <c r="Q452" s="292"/>
      <c r="R452" s="292"/>
      <c r="S452" s="292"/>
      <c r="T452" s="292"/>
      <c r="U452" s="292"/>
      <c r="V452" s="292"/>
      <c r="W452" s="292"/>
      <c r="X452" s="292"/>
      <c r="Y452" s="292"/>
      <c r="Z452" s="292"/>
      <c r="AA452" s="292"/>
      <c r="AB452" s="292"/>
      <c r="AC452" s="292"/>
      <c r="AD452" s="291"/>
      <c r="AE452" s="172"/>
      <c r="AF452" s="172"/>
      <c r="AG452" s="28"/>
      <c r="AH452" s="28"/>
      <c r="AI452" s="28"/>
      <c r="AJ452" s="60"/>
      <c r="AK452" s="269"/>
      <c r="AL452" s="270"/>
      <c r="AM452" s="270"/>
      <c r="AP452" s="271"/>
      <c r="AU452" s="271"/>
      <c r="AZ452" s="271"/>
      <c r="BE452" s="271"/>
      <c r="BJ452" s="271"/>
      <c r="BK452" s="269"/>
      <c r="BM452" s="272"/>
      <c r="BN452" s="272"/>
      <c r="BO452" s="272"/>
      <c r="BP452" s="272"/>
      <c r="BQ452" s="272"/>
      <c r="BR452" s="272"/>
      <c r="BS452" s="272"/>
      <c r="BT452" s="272"/>
      <c r="BU452" s="272"/>
    </row>
    <row r="453" spans="1:73" s="268" customFormat="1" x14ac:dyDescent="0.25">
      <c r="A453" s="167"/>
      <c r="B453" s="167"/>
      <c r="C453" s="167"/>
      <c r="D453" s="28"/>
      <c r="E453" s="28"/>
      <c r="F453" s="238"/>
      <c r="G453" s="28"/>
      <c r="H453" s="28"/>
      <c r="I453" s="28"/>
      <c r="J453" s="292"/>
      <c r="K453" s="292"/>
      <c r="L453" s="291"/>
      <c r="M453" s="291"/>
      <c r="N453" s="291"/>
      <c r="O453" s="292"/>
      <c r="P453" s="291"/>
      <c r="Q453" s="292"/>
      <c r="R453" s="292"/>
      <c r="S453" s="292"/>
      <c r="T453" s="292"/>
      <c r="U453" s="292"/>
      <c r="V453" s="292"/>
      <c r="W453" s="292"/>
      <c r="X453" s="292"/>
      <c r="Y453" s="292"/>
      <c r="Z453" s="292"/>
      <c r="AA453" s="292"/>
      <c r="AB453" s="292"/>
      <c r="AC453" s="292"/>
      <c r="AD453" s="291"/>
      <c r="AE453" s="172"/>
      <c r="AF453" s="172"/>
      <c r="AG453" s="28"/>
      <c r="AH453" s="28"/>
      <c r="AI453" s="28"/>
      <c r="AJ453" s="60"/>
      <c r="AK453" s="269"/>
      <c r="AL453" s="270"/>
      <c r="AM453" s="270"/>
      <c r="AP453" s="271"/>
      <c r="AU453" s="271"/>
      <c r="AZ453" s="271"/>
      <c r="BE453" s="271"/>
      <c r="BJ453" s="271"/>
      <c r="BK453" s="269"/>
      <c r="BM453" s="272"/>
      <c r="BN453" s="272"/>
      <c r="BO453" s="272"/>
      <c r="BP453" s="272"/>
      <c r="BQ453" s="272"/>
      <c r="BR453" s="272"/>
      <c r="BS453" s="272"/>
      <c r="BT453" s="272"/>
      <c r="BU453" s="272"/>
    </row>
    <row r="454" spans="1:73" s="268" customFormat="1" x14ac:dyDescent="0.25">
      <c r="A454" s="167"/>
      <c r="B454" s="167"/>
      <c r="C454" s="167"/>
      <c r="D454" s="28"/>
      <c r="E454" s="28"/>
      <c r="F454" s="238"/>
      <c r="G454" s="28"/>
      <c r="H454" s="28"/>
      <c r="I454" s="28"/>
      <c r="J454" s="292"/>
      <c r="K454" s="292"/>
      <c r="L454" s="291"/>
      <c r="M454" s="291"/>
      <c r="N454" s="291"/>
      <c r="O454" s="292"/>
      <c r="P454" s="291"/>
      <c r="Q454" s="292"/>
      <c r="R454" s="292"/>
      <c r="S454" s="292"/>
      <c r="T454" s="292"/>
      <c r="U454" s="292"/>
      <c r="V454" s="292"/>
      <c r="W454" s="292"/>
      <c r="X454" s="292"/>
      <c r="Y454" s="292"/>
      <c r="Z454" s="292"/>
      <c r="AA454" s="292"/>
      <c r="AB454" s="292"/>
      <c r="AC454" s="292"/>
      <c r="AD454" s="291"/>
      <c r="AE454" s="172"/>
      <c r="AF454" s="172"/>
      <c r="AG454" s="28"/>
      <c r="AH454" s="28"/>
      <c r="AI454" s="28"/>
      <c r="AJ454" s="60"/>
      <c r="AK454" s="269"/>
      <c r="AL454" s="270"/>
      <c r="AM454" s="270"/>
      <c r="AP454" s="271"/>
      <c r="AU454" s="271"/>
      <c r="AZ454" s="271"/>
      <c r="BE454" s="271"/>
      <c r="BJ454" s="271"/>
      <c r="BK454" s="269"/>
      <c r="BM454" s="272"/>
      <c r="BN454" s="272"/>
      <c r="BO454" s="272"/>
      <c r="BP454" s="272"/>
      <c r="BQ454" s="272"/>
      <c r="BR454" s="272"/>
      <c r="BS454" s="272"/>
      <c r="BT454" s="272"/>
      <c r="BU454" s="272"/>
    </row>
    <row r="455" spans="1:73" s="268" customFormat="1" x14ac:dyDescent="0.25">
      <c r="A455" s="167"/>
      <c r="B455" s="167"/>
      <c r="C455" s="167"/>
      <c r="D455" s="28"/>
      <c r="E455" s="28"/>
      <c r="F455" s="238"/>
      <c r="G455" s="28"/>
      <c r="H455" s="28"/>
      <c r="I455" s="28"/>
      <c r="J455" s="292"/>
      <c r="K455" s="292"/>
      <c r="L455" s="291"/>
      <c r="M455" s="291"/>
      <c r="N455" s="291"/>
      <c r="O455" s="292"/>
      <c r="P455" s="291"/>
      <c r="Q455" s="292"/>
      <c r="R455" s="292"/>
      <c r="S455" s="292"/>
      <c r="T455" s="292"/>
      <c r="U455" s="292"/>
      <c r="V455" s="292"/>
      <c r="W455" s="292"/>
      <c r="X455" s="292"/>
      <c r="Y455" s="292"/>
      <c r="Z455" s="292"/>
      <c r="AA455" s="292"/>
      <c r="AB455" s="292"/>
      <c r="AC455" s="292"/>
      <c r="AD455" s="291"/>
      <c r="AE455" s="172"/>
      <c r="AF455" s="172"/>
      <c r="AG455" s="28"/>
      <c r="AH455" s="28"/>
      <c r="AI455" s="28"/>
      <c r="AJ455" s="60"/>
      <c r="AK455" s="269"/>
      <c r="AL455" s="270"/>
      <c r="AM455" s="270"/>
      <c r="AP455" s="271"/>
      <c r="AU455" s="271"/>
      <c r="AZ455" s="271"/>
      <c r="BE455" s="271"/>
      <c r="BJ455" s="271"/>
      <c r="BK455" s="269"/>
      <c r="BM455" s="272"/>
      <c r="BN455" s="272"/>
      <c r="BO455" s="272"/>
      <c r="BP455" s="272"/>
      <c r="BQ455" s="272"/>
      <c r="BR455" s="272"/>
      <c r="BS455" s="272"/>
      <c r="BT455" s="272"/>
      <c r="BU455" s="272"/>
    </row>
    <row r="456" spans="1:73" s="268" customFormat="1" x14ac:dyDescent="0.25">
      <c r="A456" s="167"/>
      <c r="B456" s="167"/>
      <c r="C456" s="167"/>
      <c r="D456" s="28"/>
      <c r="E456" s="28"/>
      <c r="F456" s="238"/>
      <c r="G456" s="28"/>
      <c r="H456" s="28"/>
      <c r="I456" s="28"/>
      <c r="J456" s="292"/>
      <c r="K456" s="292"/>
      <c r="L456" s="291"/>
      <c r="M456" s="291"/>
      <c r="N456" s="291"/>
      <c r="O456" s="292"/>
      <c r="P456" s="291"/>
      <c r="Q456" s="292"/>
      <c r="R456" s="292"/>
      <c r="S456" s="292"/>
      <c r="T456" s="292"/>
      <c r="U456" s="292"/>
      <c r="V456" s="292"/>
      <c r="W456" s="292"/>
      <c r="X456" s="292"/>
      <c r="Y456" s="292"/>
      <c r="Z456" s="292"/>
      <c r="AA456" s="292"/>
      <c r="AB456" s="292"/>
      <c r="AC456" s="292"/>
      <c r="AD456" s="291"/>
      <c r="AE456" s="172"/>
      <c r="AF456" s="172"/>
      <c r="AG456" s="28"/>
      <c r="AH456" s="28"/>
      <c r="AI456" s="28"/>
      <c r="AJ456" s="60"/>
      <c r="AK456" s="269"/>
      <c r="AL456" s="270"/>
      <c r="AM456" s="270"/>
      <c r="AP456" s="271"/>
      <c r="AU456" s="271"/>
      <c r="AZ456" s="271"/>
      <c r="BE456" s="271"/>
      <c r="BJ456" s="271"/>
      <c r="BK456" s="269"/>
      <c r="BM456" s="272"/>
      <c r="BN456" s="272"/>
      <c r="BO456" s="272"/>
      <c r="BP456" s="272"/>
      <c r="BQ456" s="272"/>
      <c r="BR456" s="272"/>
      <c r="BS456" s="272"/>
      <c r="BT456" s="272"/>
      <c r="BU456" s="272"/>
    </row>
    <row r="457" spans="1:73" s="268" customFormat="1" x14ac:dyDescent="0.25">
      <c r="A457" s="167"/>
      <c r="B457" s="167"/>
      <c r="C457" s="167"/>
      <c r="D457" s="28"/>
      <c r="E457" s="28"/>
      <c r="F457" s="238"/>
      <c r="G457" s="28"/>
      <c r="H457" s="28"/>
      <c r="I457" s="28"/>
      <c r="J457" s="292"/>
      <c r="K457" s="292"/>
      <c r="L457" s="291"/>
      <c r="M457" s="291"/>
      <c r="N457" s="291"/>
      <c r="O457" s="292"/>
      <c r="P457" s="291"/>
      <c r="Q457" s="292"/>
      <c r="R457" s="292"/>
      <c r="S457" s="292"/>
      <c r="T457" s="292"/>
      <c r="U457" s="292"/>
      <c r="V457" s="292"/>
      <c r="W457" s="292"/>
      <c r="X457" s="292"/>
      <c r="Y457" s="292"/>
      <c r="Z457" s="292"/>
      <c r="AA457" s="292"/>
      <c r="AB457" s="292"/>
      <c r="AC457" s="292"/>
      <c r="AD457" s="291"/>
      <c r="AE457" s="172"/>
      <c r="AF457" s="172"/>
      <c r="AG457" s="28"/>
      <c r="AH457" s="28"/>
      <c r="AI457" s="28"/>
      <c r="AJ457" s="60"/>
      <c r="AK457" s="269"/>
      <c r="AL457" s="270"/>
      <c r="AM457" s="270"/>
      <c r="AP457" s="271"/>
      <c r="AU457" s="271"/>
      <c r="AZ457" s="271"/>
      <c r="BE457" s="271"/>
      <c r="BJ457" s="271"/>
      <c r="BK457" s="269"/>
      <c r="BM457" s="272"/>
      <c r="BN457" s="272"/>
      <c r="BO457" s="272"/>
      <c r="BP457" s="272"/>
      <c r="BQ457" s="272"/>
      <c r="BR457" s="272"/>
      <c r="BS457" s="272"/>
      <c r="BT457" s="272"/>
      <c r="BU457" s="272"/>
    </row>
    <row r="458" spans="1:73" s="268" customFormat="1" x14ac:dyDescent="0.25">
      <c r="A458" s="167"/>
      <c r="B458" s="167"/>
      <c r="C458" s="167"/>
      <c r="D458" s="28"/>
      <c r="E458" s="28"/>
      <c r="F458" s="238"/>
      <c r="G458" s="28"/>
      <c r="H458" s="28"/>
      <c r="I458" s="28"/>
      <c r="J458" s="292"/>
      <c r="K458" s="292"/>
      <c r="L458" s="291"/>
      <c r="M458" s="291"/>
      <c r="N458" s="291"/>
      <c r="O458" s="292"/>
      <c r="P458" s="291"/>
      <c r="Q458" s="292"/>
      <c r="R458" s="292"/>
      <c r="S458" s="292"/>
      <c r="T458" s="292"/>
      <c r="U458" s="292"/>
      <c r="V458" s="292"/>
      <c r="W458" s="292"/>
      <c r="X458" s="292"/>
      <c r="Y458" s="292"/>
      <c r="Z458" s="292"/>
      <c r="AA458" s="292"/>
      <c r="AB458" s="292"/>
      <c r="AC458" s="292"/>
      <c r="AD458" s="291"/>
      <c r="AE458" s="172"/>
      <c r="AF458" s="172"/>
      <c r="AG458" s="28"/>
      <c r="AH458" s="28"/>
      <c r="AI458" s="28"/>
      <c r="AJ458" s="60"/>
      <c r="AK458" s="269"/>
      <c r="AL458" s="270"/>
      <c r="AM458" s="270"/>
      <c r="AP458" s="271"/>
      <c r="AU458" s="271"/>
      <c r="AZ458" s="271"/>
      <c r="BE458" s="271"/>
      <c r="BJ458" s="271"/>
      <c r="BK458" s="269"/>
      <c r="BM458" s="272"/>
      <c r="BN458" s="272"/>
      <c r="BO458" s="272"/>
      <c r="BP458" s="272"/>
      <c r="BQ458" s="272"/>
      <c r="BR458" s="272"/>
      <c r="BS458" s="272"/>
      <c r="BT458" s="272"/>
      <c r="BU458" s="272"/>
    </row>
    <row r="459" spans="1:73" s="268" customFormat="1" x14ac:dyDescent="0.25">
      <c r="A459" s="167"/>
      <c r="B459" s="167"/>
      <c r="C459" s="167"/>
      <c r="D459" s="28"/>
      <c r="E459" s="28"/>
      <c r="F459" s="238"/>
      <c r="G459" s="28"/>
      <c r="H459" s="28"/>
      <c r="I459" s="28"/>
      <c r="J459" s="292"/>
      <c r="K459" s="292"/>
      <c r="L459" s="291"/>
      <c r="M459" s="291"/>
      <c r="N459" s="291"/>
      <c r="O459" s="292"/>
      <c r="P459" s="291"/>
      <c r="Q459" s="292"/>
      <c r="R459" s="292"/>
      <c r="S459" s="292"/>
      <c r="T459" s="292"/>
      <c r="U459" s="292"/>
      <c r="V459" s="292"/>
      <c r="W459" s="292"/>
      <c r="X459" s="292"/>
      <c r="Y459" s="292"/>
      <c r="Z459" s="292"/>
      <c r="AA459" s="292"/>
      <c r="AB459" s="292"/>
      <c r="AC459" s="292"/>
      <c r="AD459" s="291"/>
      <c r="AE459" s="172"/>
      <c r="AF459" s="172"/>
      <c r="AG459" s="28"/>
      <c r="AH459" s="28"/>
      <c r="AI459" s="28"/>
      <c r="AJ459" s="60"/>
      <c r="AK459" s="269"/>
      <c r="AL459" s="270"/>
      <c r="AM459" s="270"/>
      <c r="AP459" s="271"/>
      <c r="AU459" s="271"/>
      <c r="AZ459" s="271"/>
      <c r="BE459" s="271"/>
      <c r="BJ459" s="271"/>
      <c r="BK459" s="269"/>
      <c r="BM459" s="272"/>
      <c r="BN459" s="272"/>
      <c r="BO459" s="272"/>
      <c r="BP459" s="272"/>
      <c r="BQ459" s="272"/>
      <c r="BR459" s="272"/>
      <c r="BS459" s="272"/>
      <c r="BT459" s="272"/>
      <c r="BU459" s="272"/>
    </row>
    <row r="460" spans="1:73" s="268" customFormat="1" x14ac:dyDescent="0.25">
      <c r="A460" s="167"/>
      <c r="B460" s="167"/>
      <c r="C460" s="167"/>
      <c r="D460" s="28"/>
      <c r="E460" s="28"/>
      <c r="F460" s="238"/>
      <c r="G460" s="28"/>
      <c r="H460" s="28"/>
      <c r="I460" s="28"/>
      <c r="J460" s="292"/>
      <c r="K460" s="292"/>
      <c r="L460" s="291"/>
      <c r="M460" s="291"/>
      <c r="N460" s="291"/>
      <c r="O460" s="292"/>
      <c r="P460" s="291"/>
      <c r="Q460" s="292"/>
      <c r="R460" s="292"/>
      <c r="S460" s="292"/>
      <c r="T460" s="292"/>
      <c r="U460" s="292"/>
      <c r="V460" s="292"/>
      <c r="W460" s="292"/>
      <c r="X460" s="292"/>
      <c r="Y460" s="292"/>
      <c r="Z460" s="292"/>
      <c r="AA460" s="292"/>
      <c r="AB460" s="292"/>
      <c r="AC460" s="292"/>
      <c r="AD460" s="291"/>
      <c r="AE460" s="172"/>
      <c r="AF460" s="172"/>
      <c r="AG460" s="28"/>
      <c r="AH460" s="28"/>
      <c r="AI460" s="28"/>
      <c r="AJ460" s="60"/>
      <c r="AK460" s="269"/>
      <c r="AL460" s="270"/>
      <c r="AM460" s="270"/>
      <c r="AP460" s="271"/>
      <c r="AU460" s="271"/>
      <c r="AZ460" s="271"/>
      <c r="BE460" s="271"/>
      <c r="BJ460" s="271"/>
      <c r="BK460" s="269"/>
      <c r="BM460" s="272"/>
      <c r="BN460" s="272"/>
      <c r="BO460" s="272"/>
      <c r="BP460" s="272"/>
      <c r="BQ460" s="272"/>
      <c r="BR460" s="272"/>
      <c r="BS460" s="272"/>
      <c r="BT460" s="272"/>
      <c r="BU460" s="272"/>
    </row>
    <row r="461" spans="1:73" s="268" customFormat="1" x14ac:dyDescent="0.25">
      <c r="A461" s="167"/>
      <c r="B461" s="167"/>
      <c r="C461" s="167"/>
      <c r="D461" s="28"/>
      <c r="E461" s="28"/>
      <c r="F461" s="238"/>
      <c r="G461" s="28"/>
      <c r="H461" s="28"/>
      <c r="I461" s="28"/>
      <c r="J461" s="292"/>
      <c r="K461" s="292"/>
      <c r="L461" s="291"/>
      <c r="M461" s="291"/>
      <c r="N461" s="291"/>
      <c r="O461" s="292"/>
      <c r="P461" s="291"/>
      <c r="Q461" s="292"/>
      <c r="R461" s="292"/>
      <c r="S461" s="292"/>
      <c r="T461" s="292"/>
      <c r="U461" s="292"/>
      <c r="V461" s="292"/>
      <c r="W461" s="292"/>
      <c r="X461" s="292"/>
      <c r="Y461" s="292"/>
      <c r="Z461" s="292"/>
      <c r="AA461" s="292"/>
      <c r="AB461" s="292"/>
      <c r="AC461" s="292"/>
      <c r="AD461" s="291"/>
      <c r="AE461" s="172"/>
      <c r="AF461" s="172"/>
      <c r="AG461" s="28"/>
      <c r="AH461" s="28"/>
      <c r="AI461" s="28"/>
      <c r="AJ461" s="60"/>
      <c r="AK461" s="269"/>
      <c r="AL461" s="270"/>
      <c r="AM461" s="270"/>
      <c r="AP461" s="271"/>
      <c r="AU461" s="271"/>
      <c r="AZ461" s="271"/>
      <c r="BE461" s="271"/>
      <c r="BJ461" s="271"/>
      <c r="BK461" s="269"/>
      <c r="BM461" s="272"/>
      <c r="BN461" s="272"/>
      <c r="BO461" s="272"/>
      <c r="BP461" s="272"/>
      <c r="BQ461" s="272"/>
      <c r="BR461" s="272"/>
      <c r="BS461" s="272"/>
      <c r="BT461" s="272"/>
      <c r="BU461" s="272"/>
    </row>
    <row r="462" spans="1:73" s="268" customFormat="1" x14ac:dyDescent="0.25">
      <c r="A462" s="167"/>
      <c r="B462" s="167"/>
      <c r="C462" s="167"/>
      <c r="D462" s="28"/>
      <c r="E462" s="28"/>
      <c r="F462" s="238"/>
      <c r="G462" s="28"/>
      <c r="H462" s="28"/>
      <c r="I462" s="28"/>
      <c r="J462" s="292"/>
      <c r="K462" s="292"/>
      <c r="L462" s="291"/>
      <c r="M462" s="291"/>
      <c r="N462" s="291"/>
      <c r="O462" s="292"/>
      <c r="P462" s="291"/>
      <c r="Q462" s="292"/>
      <c r="R462" s="292"/>
      <c r="S462" s="292"/>
      <c r="T462" s="292"/>
      <c r="U462" s="292"/>
      <c r="V462" s="292"/>
      <c r="W462" s="292"/>
      <c r="X462" s="292"/>
      <c r="Y462" s="292"/>
      <c r="Z462" s="292"/>
      <c r="AA462" s="292"/>
      <c r="AB462" s="292"/>
      <c r="AC462" s="292"/>
      <c r="AD462" s="291"/>
      <c r="AE462" s="172"/>
      <c r="AF462" s="172"/>
      <c r="AG462" s="28"/>
      <c r="AH462" s="28"/>
      <c r="AI462" s="28"/>
      <c r="AJ462" s="60"/>
      <c r="AK462" s="269"/>
      <c r="AL462" s="270"/>
      <c r="AM462" s="270"/>
      <c r="AP462" s="271"/>
      <c r="AU462" s="271"/>
      <c r="AZ462" s="271"/>
      <c r="BE462" s="271"/>
      <c r="BJ462" s="271"/>
      <c r="BK462" s="269"/>
      <c r="BM462" s="272"/>
      <c r="BN462" s="272"/>
      <c r="BO462" s="272"/>
      <c r="BP462" s="272"/>
      <c r="BQ462" s="272"/>
      <c r="BR462" s="272"/>
      <c r="BS462" s="272"/>
      <c r="BT462" s="272"/>
      <c r="BU462" s="272"/>
    </row>
    <row r="463" spans="1:73" s="268" customFormat="1" x14ac:dyDescent="0.25">
      <c r="A463" s="167"/>
      <c r="B463" s="167"/>
      <c r="C463" s="167"/>
      <c r="D463" s="28"/>
      <c r="E463" s="28"/>
      <c r="F463" s="238"/>
      <c r="G463" s="28"/>
      <c r="H463" s="28"/>
      <c r="I463" s="28"/>
      <c r="J463" s="292"/>
      <c r="K463" s="292"/>
      <c r="L463" s="291"/>
      <c r="M463" s="291"/>
      <c r="N463" s="291"/>
      <c r="O463" s="292"/>
      <c r="P463" s="291"/>
      <c r="Q463" s="292"/>
      <c r="R463" s="292"/>
      <c r="S463" s="292"/>
      <c r="T463" s="292"/>
      <c r="U463" s="292"/>
      <c r="V463" s="292"/>
      <c r="W463" s="292"/>
      <c r="X463" s="292"/>
      <c r="Y463" s="292"/>
      <c r="Z463" s="292"/>
      <c r="AA463" s="292"/>
      <c r="AB463" s="292"/>
      <c r="AC463" s="292"/>
      <c r="AD463" s="291"/>
      <c r="AE463" s="172"/>
      <c r="AF463" s="172"/>
      <c r="AG463" s="28"/>
      <c r="AH463" s="28"/>
      <c r="AI463" s="28"/>
      <c r="AJ463" s="60"/>
      <c r="AK463" s="269"/>
      <c r="AL463" s="270"/>
      <c r="AM463" s="270"/>
      <c r="AP463" s="271"/>
      <c r="AU463" s="271"/>
      <c r="AZ463" s="271"/>
      <c r="BE463" s="271"/>
      <c r="BJ463" s="271"/>
      <c r="BK463" s="269"/>
      <c r="BM463" s="272"/>
      <c r="BN463" s="272"/>
      <c r="BO463" s="272"/>
      <c r="BP463" s="272"/>
      <c r="BQ463" s="272"/>
      <c r="BR463" s="272"/>
      <c r="BS463" s="272"/>
      <c r="BT463" s="272"/>
      <c r="BU463" s="272"/>
    </row>
    <row r="464" spans="1:73" s="268" customFormat="1" x14ac:dyDescent="0.25">
      <c r="A464" s="167"/>
      <c r="B464" s="167"/>
      <c r="C464" s="167"/>
      <c r="D464" s="28"/>
      <c r="E464" s="28"/>
      <c r="F464" s="238"/>
      <c r="G464" s="28"/>
      <c r="H464" s="28"/>
      <c r="I464" s="28"/>
      <c r="J464" s="292"/>
      <c r="K464" s="292"/>
      <c r="L464" s="291"/>
      <c r="M464" s="291"/>
      <c r="N464" s="291"/>
      <c r="O464" s="292"/>
      <c r="P464" s="291"/>
      <c r="Q464" s="292"/>
      <c r="R464" s="292"/>
      <c r="S464" s="292"/>
      <c r="T464" s="292"/>
      <c r="U464" s="292"/>
      <c r="V464" s="292"/>
      <c r="W464" s="292"/>
      <c r="X464" s="292"/>
      <c r="Y464" s="292"/>
      <c r="Z464" s="292"/>
      <c r="AA464" s="292"/>
      <c r="AB464" s="292"/>
      <c r="AC464" s="292"/>
      <c r="AD464" s="291"/>
      <c r="AE464" s="172"/>
      <c r="AF464" s="172"/>
      <c r="AG464" s="28"/>
      <c r="AH464" s="28"/>
      <c r="AI464" s="28"/>
      <c r="AJ464" s="60"/>
      <c r="AK464" s="269"/>
      <c r="AL464" s="270"/>
      <c r="AM464" s="270"/>
      <c r="AP464" s="271"/>
      <c r="AU464" s="271"/>
      <c r="AZ464" s="271"/>
      <c r="BE464" s="271"/>
      <c r="BJ464" s="271"/>
      <c r="BK464" s="269"/>
      <c r="BM464" s="272"/>
      <c r="BN464" s="272"/>
      <c r="BO464" s="272"/>
      <c r="BP464" s="272"/>
      <c r="BQ464" s="272"/>
      <c r="BR464" s="272"/>
      <c r="BS464" s="272"/>
      <c r="BT464" s="272"/>
      <c r="BU464" s="272"/>
    </row>
    <row r="465" spans="1:73" s="268" customFormat="1" x14ac:dyDescent="0.25">
      <c r="A465" s="167"/>
      <c r="B465" s="167"/>
      <c r="C465" s="167"/>
      <c r="D465" s="28"/>
      <c r="E465" s="28"/>
      <c r="F465" s="238"/>
      <c r="G465" s="28"/>
      <c r="H465" s="28"/>
      <c r="I465" s="28"/>
      <c r="J465" s="292"/>
      <c r="K465" s="292"/>
      <c r="L465" s="291"/>
      <c r="M465" s="291"/>
      <c r="N465" s="291"/>
      <c r="O465" s="292"/>
      <c r="P465" s="291"/>
      <c r="Q465" s="292"/>
      <c r="R465" s="292"/>
      <c r="S465" s="292"/>
      <c r="T465" s="292"/>
      <c r="U465" s="292"/>
      <c r="V465" s="292"/>
      <c r="W465" s="292"/>
      <c r="X465" s="292"/>
      <c r="Y465" s="292"/>
      <c r="Z465" s="292"/>
      <c r="AA465" s="292"/>
      <c r="AB465" s="292"/>
      <c r="AC465" s="292"/>
      <c r="AD465" s="291"/>
      <c r="AE465" s="172"/>
      <c r="AF465" s="172"/>
      <c r="AG465" s="28"/>
      <c r="AH465" s="28"/>
      <c r="AI465" s="28"/>
      <c r="AJ465" s="60"/>
      <c r="AK465" s="269"/>
      <c r="AL465" s="270"/>
      <c r="AM465" s="270"/>
      <c r="AP465" s="271"/>
      <c r="AU465" s="271"/>
      <c r="AZ465" s="271"/>
      <c r="BE465" s="271"/>
      <c r="BJ465" s="271"/>
      <c r="BK465" s="269"/>
      <c r="BM465" s="272"/>
      <c r="BN465" s="272"/>
      <c r="BO465" s="272"/>
      <c r="BP465" s="272"/>
      <c r="BQ465" s="272"/>
      <c r="BR465" s="272"/>
      <c r="BS465" s="272"/>
      <c r="BT465" s="272"/>
      <c r="BU465" s="272"/>
    </row>
    <row r="466" spans="1:73" s="268" customFormat="1" x14ac:dyDescent="0.25">
      <c r="A466" s="167"/>
      <c r="B466" s="167"/>
      <c r="C466" s="167"/>
      <c r="D466" s="28"/>
      <c r="E466" s="28"/>
      <c r="F466" s="238"/>
      <c r="G466" s="28"/>
      <c r="H466" s="28"/>
      <c r="I466" s="28"/>
      <c r="J466" s="292"/>
      <c r="K466" s="292"/>
      <c r="L466" s="291"/>
      <c r="M466" s="291"/>
      <c r="N466" s="291"/>
      <c r="O466" s="292"/>
      <c r="P466" s="291"/>
      <c r="Q466" s="292"/>
      <c r="R466" s="292"/>
      <c r="S466" s="292"/>
      <c r="T466" s="292"/>
      <c r="U466" s="292"/>
      <c r="V466" s="292"/>
      <c r="W466" s="292"/>
      <c r="X466" s="292"/>
      <c r="Y466" s="292"/>
      <c r="Z466" s="292"/>
      <c r="AA466" s="292"/>
      <c r="AB466" s="292"/>
      <c r="AC466" s="292"/>
      <c r="AD466" s="291"/>
      <c r="AE466" s="172"/>
      <c r="AF466" s="172"/>
      <c r="AG466" s="28"/>
      <c r="AH466" s="28"/>
      <c r="AI466" s="28"/>
      <c r="AJ466" s="60"/>
      <c r="AK466" s="269"/>
      <c r="AL466" s="270"/>
      <c r="AM466" s="270"/>
      <c r="AP466" s="271"/>
      <c r="AU466" s="271"/>
      <c r="AZ466" s="271"/>
      <c r="BE466" s="271"/>
      <c r="BJ466" s="271"/>
      <c r="BK466" s="269"/>
      <c r="BM466" s="272"/>
      <c r="BN466" s="272"/>
      <c r="BO466" s="272"/>
      <c r="BP466" s="272"/>
      <c r="BQ466" s="272"/>
      <c r="BR466" s="272"/>
      <c r="BS466" s="272"/>
      <c r="BT466" s="272"/>
      <c r="BU466" s="272"/>
    </row>
    <row r="467" spans="1:73" s="268" customFormat="1" x14ac:dyDescent="0.25">
      <c r="A467" s="167"/>
      <c r="B467" s="167"/>
      <c r="C467" s="167"/>
      <c r="D467" s="28"/>
      <c r="E467" s="28"/>
      <c r="F467" s="238"/>
      <c r="G467" s="28"/>
      <c r="H467" s="28"/>
      <c r="I467" s="28"/>
      <c r="J467" s="292"/>
      <c r="K467" s="292"/>
      <c r="L467" s="291"/>
      <c r="M467" s="291"/>
      <c r="N467" s="291"/>
      <c r="O467" s="292"/>
      <c r="P467" s="291"/>
      <c r="Q467" s="292"/>
      <c r="R467" s="292"/>
      <c r="S467" s="292"/>
      <c r="T467" s="292"/>
      <c r="U467" s="292"/>
      <c r="V467" s="292"/>
      <c r="W467" s="292"/>
      <c r="X467" s="292"/>
      <c r="Y467" s="292"/>
      <c r="Z467" s="292"/>
      <c r="AA467" s="292"/>
      <c r="AB467" s="292"/>
      <c r="AC467" s="292"/>
      <c r="AD467" s="291"/>
      <c r="AE467" s="172"/>
      <c r="AF467" s="172"/>
      <c r="AG467" s="28"/>
      <c r="AH467" s="28"/>
      <c r="AI467" s="28"/>
      <c r="AJ467" s="60"/>
      <c r="AK467" s="269"/>
      <c r="AL467" s="270"/>
      <c r="AM467" s="270"/>
      <c r="AP467" s="271"/>
      <c r="AU467" s="271"/>
      <c r="AZ467" s="271"/>
      <c r="BE467" s="271"/>
      <c r="BJ467" s="271"/>
      <c r="BK467" s="269"/>
      <c r="BM467" s="272"/>
      <c r="BN467" s="272"/>
      <c r="BO467" s="272"/>
      <c r="BP467" s="272"/>
      <c r="BQ467" s="272"/>
      <c r="BR467" s="272"/>
      <c r="BS467" s="272"/>
      <c r="BT467" s="272"/>
      <c r="BU467" s="272"/>
    </row>
    <row r="468" spans="1:73" s="268" customFormat="1" x14ac:dyDescent="0.25">
      <c r="A468" s="167"/>
      <c r="B468" s="167"/>
      <c r="C468" s="167"/>
      <c r="D468" s="28"/>
      <c r="E468" s="28"/>
      <c r="F468" s="238"/>
      <c r="G468" s="28"/>
      <c r="H468" s="28"/>
      <c r="I468" s="28"/>
      <c r="J468" s="292"/>
      <c r="K468" s="292"/>
      <c r="L468" s="291"/>
      <c r="M468" s="291"/>
      <c r="N468" s="291"/>
      <c r="O468" s="292"/>
      <c r="P468" s="291"/>
      <c r="Q468" s="292"/>
      <c r="R468" s="292"/>
      <c r="S468" s="292"/>
      <c r="T468" s="292"/>
      <c r="U468" s="292"/>
      <c r="V468" s="292"/>
      <c r="W468" s="292"/>
      <c r="X468" s="292"/>
      <c r="Y468" s="292"/>
      <c r="Z468" s="292"/>
      <c r="AA468" s="292"/>
      <c r="AB468" s="292"/>
      <c r="AC468" s="292"/>
      <c r="AD468" s="291"/>
      <c r="AE468" s="172"/>
      <c r="AF468" s="172"/>
      <c r="AG468" s="28"/>
      <c r="AH468" s="28"/>
      <c r="AI468" s="28"/>
      <c r="AJ468" s="60"/>
      <c r="AK468" s="269"/>
      <c r="AL468" s="270"/>
      <c r="AM468" s="270"/>
      <c r="AP468" s="271"/>
      <c r="AU468" s="271"/>
      <c r="AZ468" s="271"/>
      <c r="BE468" s="271"/>
      <c r="BJ468" s="271"/>
      <c r="BK468" s="269"/>
      <c r="BM468" s="272"/>
      <c r="BN468" s="272"/>
      <c r="BO468" s="272"/>
      <c r="BP468" s="272"/>
      <c r="BQ468" s="272"/>
      <c r="BR468" s="272"/>
      <c r="BS468" s="272"/>
      <c r="BT468" s="272"/>
      <c r="BU468" s="272"/>
    </row>
    <row r="469" spans="1:73" s="268" customFormat="1" x14ac:dyDescent="0.25">
      <c r="A469" s="167"/>
      <c r="B469" s="167"/>
      <c r="C469" s="167"/>
      <c r="D469" s="28"/>
      <c r="E469" s="28"/>
      <c r="F469" s="238"/>
      <c r="G469" s="28"/>
      <c r="H469" s="28"/>
      <c r="I469" s="28"/>
      <c r="J469" s="292"/>
      <c r="K469" s="292"/>
      <c r="L469" s="291"/>
      <c r="M469" s="291"/>
      <c r="N469" s="291"/>
      <c r="O469" s="292"/>
      <c r="P469" s="291"/>
      <c r="Q469" s="292"/>
      <c r="R469" s="292"/>
      <c r="S469" s="292"/>
      <c r="T469" s="292"/>
      <c r="U469" s="292"/>
      <c r="V469" s="292"/>
      <c r="W469" s="292"/>
      <c r="X469" s="292"/>
      <c r="Y469" s="292"/>
      <c r="Z469" s="292"/>
      <c r="AA469" s="292"/>
      <c r="AB469" s="292"/>
      <c r="AC469" s="292"/>
      <c r="AD469" s="291"/>
      <c r="AE469" s="172"/>
      <c r="AF469" s="172"/>
      <c r="AG469" s="28"/>
      <c r="AH469" s="28"/>
      <c r="AI469" s="28"/>
      <c r="AJ469" s="60"/>
      <c r="AK469" s="269"/>
      <c r="AL469" s="270"/>
      <c r="AM469" s="270"/>
      <c r="AP469" s="271"/>
      <c r="AU469" s="271"/>
      <c r="AZ469" s="271"/>
      <c r="BE469" s="271"/>
      <c r="BJ469" s="271"/>
      <c r="BK469" s="269"/>
      <c r="BM469" s="272"/>
      <c r="BN469" s="272"/>
      <c r="BO469" s="272"/>
      <c r="BP469" s="272"/>
      <c r="BQ469" s="272"/>
      <c r="BR469" s="272"/>
      <c r="BS469" s="272"/>
      <c r="BT469" s="272"/>
      <c r="BU469" s="272"/>
    </row>
    <row r="470" spans="1:73" s="268" customFormat="1" x14ac:dyDescent="0.25">
      <c r="A470" s="167"/>
      <c r="B470" s="167"/>
      <c r="C470" s="167"/>
      <c r="D470" s="28"/>
      <c r="E470" s="28"/>
      <c r="F470" s="238"/>
      <c r="G470" s="28"/>
      <c r="H470" s="28"/>
      <c r="I470" s="28"/>
      <c r="J470" s="292"/>
      <c r="K470" s="292"/>
      <c r="L470" s="291"/>
      <c r="M470" s="291"/>
      <c r="N470" s="291"/>
      <c r="O470" s="292"/>
      <c r="P470" s="291"/>
      <c r="Q470" s="292"/>
      <c r="R470" s="292"/>
      <c r="S470" s="292"/>
      <c r="T470" s="292"/>
      <c r="U470" s="292"/>
      <c r="V470" s="292"/>
      <c r="W470" s="292"/>
      <c r="X470" s="292"/>
      <c r="Y470" s="292"/>
      <c r="Z470" s="292"/>
      <c r="AA470" s="292"/>
      <c r="AB470" s="292"/>
      <c r="AC470" s="292"/>
      <c r="AD470" s="291"/>
      <c r="AE470" s="172"/>
      <c r="AF470" s="172"/>
      <c r="AG470" s="28"/>
      <c r="AH470" s="28"/>
      <c r="AI470" s="28"/>
      <c r="AJ470" s="60"/>
      <c r="AK470" s="269"/>
      <c r="AL470" s="270"/>
      <c r="AM470" s="270"/>
      <c r="AP470" s="271"/>
      <c r="AU470" s="271"/>
      <c r="AZ470" s="271"/>
      <c r="BE470" s="271"/>
      <c r="BJ470" s="271"/>
      <c r="BK470" s="269"/>
      <c r="BM470" s="272"/>
      <c r="BN470" s="272"/>
      <c r="BO470" s="272"/>
      <c r="BP470" s="272"/>
      <c r="BQ470" s="272"/>
      <c r="BR470" s="272"/>
      <c r="BS470" s="272"/>
      <c r="BT470" s="272"/>
      <c r="BU470" s="272"/>
    </row>
    <row r="471" spans="1:73" x14ac:dyDescent="0.25">
      <c r="D471" s="28"/>
      <c r="E471" s="28"/>
      <c r="F471" s="238"/>
      <c r="G471" s="28"/>
      <c r="H471" s="28"/>
      <c r="I471" s="28"/>
      <c r="J471" s="292"/>
      <c r="K471" s="292"/>
    </row>
    <row r="472" spans="1:73" x14ac:dyDescent="0.25">
      <c r="D472" s="28"/>
      <c r="E472" s="28"/>
      <c r="F472" s="238"/>
      <c r="G472" s="28"/>
      <c r="H472" s="28"/>
      <c r="I472" s="28"/>
      <c r="J472" s="292"/>
      <c r="K472" s="292"/>
    </row>
    <row r="473" spans="1:73" x14ac:dyDescent="0.25">
      <c r="D473" s="28"/>
      <c r="E473" s="28"/>
      <c r="F473" s="238"/>
      <c r="G473" s="28"/>
      <c r="H473" s="28"/>
      <c r="I473" s="28"/>
      <c r="J473" s="292"/>
      <c r="K473" s="292"/>
    </row>
    <row r="474" spans="1:73" x14ac:dyDescent="0.25">
      <c r="D474" s="28"/>
      <c r="E474" s="28"/>
      <c r="F474" s="238"/>
      <c r="G474" s="28"/>
      <c r="H474" s="28"/>
      <c r="I474" s="28"/>
      <c r="J474" s="292"/>
      <c r="K474" s="292"/>
    </row>
    <row r="475" spans="1:73" x14ac:dyDescent="0.25">
      <c r="D475" s="28"/>
      <c r="E475" s="28"/>
      <c r="F475" s="238"/>
      <c r="G475" s="28"/>
      <c r="H475" s="28"/>
      <c r="I475" s="28"/>
      <c r="J475" s="292"/>
      <c r="K475" s="292"/>
    </row>
    <row r="476" spans="1:73" x14ac:dyDescent="0.25">
      <c r="D476" s="28"/>
      <c r="E476" s="28"/>
      <c r="F476" s="238"/>
      <c r="G476" s="28"/>
      <c r="H476" s="28"/>
      <c r="I476" s="28"/>
      <c r="J476" s="292"/>
      <c r="K476" s="292"/>
    </row>
    <row r="477" spans="1:73" x14ac:dyDescent="0.25">
      <c r="D477" s="28"/>
      <c r="E477" s="28"/>
      <c r="F477" s="238"/>
      <c r="G477" s="28"/>
      <c r="H477" s="28"/>
      <c r="I477" s="28"/>
      <c r="J477" s="292"/>
      <c r="K477" s="292"/>
    </row>
    <row r="478" spans="1:73" x14ac:dyDescent="0.25">
      <c r="G478" s="28"/>
      <c r="H478" s="28"/>
      <c r="I478" s="28"/>
      <c r="J478" s="292"/>
      <c r="K478" s="292"/>
    </row>
  </sheetData>
  <sheetProtection algorithmName="SHA-512" hashValue="cD69BV00vNw0vcL9TvK4IFvFfj6/AOdQJoEqSbWfJAcmljDSSla66F1gs0qwLF+gKSpjYlq7GgHHjJXjr3vY7g==" saltValue="NaA+NPaGPS3qvt5UOzasHg==" spinCount="100000" sheet="1" formatCells="0" formatColumns="0" formatRows="0" insertColumns="0" insertRows="0" insertHyperlinks="0" sort="0" autoFilter="0" pivotTables="0"/>
  <sortState xmlns:xlrd2="http://schemas.microsoft.com/office/spreadsheetml/2017/richdata2" ref="D345:D367">
    <sortCondition ref="D345"/>
  </sortState>
  <customSheetViews>
    <customSheetView guid="{57C5C8F1-8001-4F07-BD71-B2E547A208C7}" printArea="1" filter="1" showAutoFilter="1" hiddenColumns="1">
      <selection activeCell="AG193" sqref="AG193"/>
      <pageMargins left="0.37" right="0.33" top="0.62" bottom="0.64" header="0.5" footer="0.5"/>
      <pageSetup scale="88" orientation="landscape" r:id="rId1"/>
      <headerFooter alignWithMargins="0"/>
      <autoFilter ref="AH16:AH183" xr:uid="{B6F59509-1550-4221-AEC9-A6B0B9F72AB3}">
        <filterColumn colId="0">
          <filters>
            <filter val="TRUE"/>
          </filters>
        </filterColumn>
      </autoFilter>
    </customSheetView>
    <customSheetView guid="{EEFF5A2A-628E-4803-AAD1-B24B534F2503}" printArea="1" showAutoFilter="1" hiddenColumns="1">
      <selection activeCell="AG193" sqref="AG193"/>
      <pageMargins left="0.37" right="0.33" top="0.62" bottom="0.64" header="0.5" footer="0.5"/>
      <pageSetup scale="88" orientation="landscape" r:id="rId2"/>
      <headerFooter alignWithMargins="0"/>
      <autoFilter ref="AH16:AH183" xr:uid="{CA0D2602-4E99-4B0F-B669-D89EE8F07D2A}"/>
    </customSheetView>
  </customSheetViews>
  <mergeCells count="17">
    <mergeCell ref="AM14:AU14"/>
    <mergeCell ref="I7:AA10"/>
    <mergeCell ref="AM10:AN10"/>
    <mergeCell ref="B5:M5"/>
    <mergeCell ref="E3:G3"/>
    <mergeCell ref="E4:G4"/>
    <mergeCell ref="AH12:AJ12"/>
    <mergeCell ref="AH13:AJ13"/>
    <mergeCell ref="AH11:AJ11"/>
    <mergeCell ref="I12:N12"/>
    <mergeCell ref="AM5:AO5"/>
    <mergeCell ref="F61:G61"/>
    <mergeCell ref="BH17:BJ17"/>
    <mergeCell ref="AN17:AP17"/>
    <mergeCell ref="AS17:AU17"/>
    <mergeCell ref="AX17:AZ17"/>
    <mergeCell ref="BC17:BE17"/>
  </mergeCells>
  <phoneticPr fontId="0" type="noConversion"/>
  <dataValidations count="6">
    <dataValidation type="list" allowBlank="1" showInputMessage="1" showErrorMessage="1" sqref="A153:A215" xr:uid="{00000000-0002-0000-0000-000003000000}">
      <formula1>$D$341:$D$342</formula1>
    </dataValidation>
    <dataValidation type="list" allowBlank="1" showInputMessage="1" showErrorMessage="1" sqref="AK11:AK13 AI18:AI48" xr:uid="{00000000-0002-0000-0000-000001000000}">
      <formula1>$D$394:$D$395</formula1>
    </dataValidation>
    <dataValidation type="list" allowBlank="1" showInputMessage="1" showErrorMessage="1" sqref="AL18:AL70" xr:uid="{C8CFF264-395E-4251-BB1F-C4A9C0BC7A88}">
      <formula1>$D$397:$D$399</formula1>
    </dataValidation>
    <dataValidation type="list" allowBlank="1" showInputMessage="1" showErrorMessage="1" sqref="A17:A72" xr:uid="{00000000-0002-0000-0000-000002000000}">
      <formula1>$D$307:$D$322</formula1>
    </dataValidation>
    <dataValidation type="list" allowBlank="1" showInputMessage="1" showErrorMessage="1" sqref="A221:A229" xr:uid="{80055895-407A-4793-83D9-959687E9106E}">
      <formula1>$D$370:$D$375</formula1>
    </dataValidation>
    <dataValidation type="list" allowBlank="1" showInputMessage="1" showErrorMessage="1" sqref="A234:A274" xr:uid="{00000000-0002-0000-0000-000000000000}">
      <formula1>$D$344:$D$368</formula1>
    </dataValidation>
  </dataValidations>
  <hyperlinks>
    <hyperlink ref="D156" r:id="rId3" display="Lodging (GSA rate)" xr:uid="{8B410DF9-2D35-4791-89FD-18E4BA8DD854}"/>
    <hyperlink ref="D157" r:id="rId4" xr:uid="{EC53F6F6-EC1B-4506-8F09-C6D27FE53E5D}"/>
    <hyperlink ref="D194" r:id="rId5" xr:uid="{967250CA-CCD9-4894-9CEA-0D0A4BDA3A2D}"/>
    <hyperlink ref="D202" r:id="rId6" xr:uid="{33353C0B-1F3C-4482-977A-A36A697E0F1A}"/>
    <hyperlink ref="D210" r:id="rId7" xr:uid="{79CC2D38-6145-4C32-83ED-B377BBAA28B2}"/>
    <hyperlink ref="D164" r:id="rId8" display="Lodging (GSA rate)" xr:uid="{69E11024-6ACC-4C67-9639-21D9E5609678}"/>
    <hyperlink ref="D172" r:id="rId9" display="Lodging (GSA rate)" xr:uid="{75D56DFA-C30F-4C8C-935E-0B6B6C877B0C}"/>
    <hyperlink ref="D180" r:id="rId10" display="Lodging (GSA rate)" xr:uid="{AE0BD293-F66F-4A85-93F5-65ED4DAF3B30}"/>
    <hyperlink ref="AK274" r:id="rId11" xr:uid="{659F5444-D222-4763-989A-2C6D4EF68F5E}"/>
    <hyperlink ref="D187" r:id="rId12" xr:uid="{E252ED4F-5B8B-4F56-AE9F-CDBC236D2FA0}"/>
    <hyperlink ref="D197" r:id="rId13" xr:uid="{0F67017E-3C5B-40D5-85AC-B89EB759463D}"/>
    <hyperlink ref="D205" r:id="rId14" xr:uid="{6F1F2341-C24F-475F-BA2F-B4FB855AB3E0}"/>
    <hyperlink ref="D213" r:id="rId15" xr:uid="{804A3719-D47E-42C4-A17A-F2E81D61A0C3}"/>
    <hyperlink ref="AK273" r:id="rId16" xr:uid="{2FBD4444-C5E0-4055-9E93-7EF9ACA1B5B1}"/>
    <hyperlink ref="AH288" r:id="rId17" xr:uid="{893C2BDC-76AE-4173-9749-3E6B6C5D4B90}"/>
    <hyperlink ref="D165" r:id="rId18" xr:uid="{46F8482C-06AF-4ED3-94E9-DF794329F072}"/>
    <hyperlink ref="D173" r:id="rId19" xr:uid="{3E2EA6EB-5AF2-4ECB-B13B-2B5EEEA539E4}"/>
    <hyperlink ref="D181" r:id="rId20" xr:uid="{DB8E8119-E435-4240-B56E-3F1BDC332A31}"/>
  </hyperlinks>
  <pageMargins left="0.37" right="0.33" top="0.62" bottom="0.64" header="0.5" footer="0.5"/>
  <pageSetup scale="78" orientation="landscape" r:id="rId21"/>
  <headerFooter alignWithMargins="0"/>
  <colBreaks count="1" manualBreakCount="1">
    <brk id="31" max="182" man="1"/>
  </colBreaks>
  <ignoredErrors>
    <ignoredError sqref="I274" evalError="1"/>
  </ignoredErrors>
  <drawing r:id="rId22"/>
  <legacyDrawing r:id="rId2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270"/>
  <sheetViews>
    <sheetView zoomScale="75" zoomScaleNormal="75" workbookViewId="0">
      <selection activeCell="P33" sqref="P33"/>
    </sheetView>
  </sheetViews>
  <sheetFormatPr defaultColWidth="9" defaultRowHeight="15" outlineLevelRow="1" x14ac:dyDescent="0.25"/>
  <cols>
    <col min="1" max="1" width="2.75" style="8" customWidth="1"/>
    <col min="2" max="2" width="4.625" style="8" customWidth="1"/>
    <col min="3" max="3" width="18.625" style="8" customWidth="1"/>
    <col min="4" max="4" width="7.75" style="8" customWidth="1"/>
    <col min="5" max="5" width="1.75" style="9" customWidth="1"/>
    <col min="6" max="6" width="11.375" style="8" customWidth="1"/>
    <col min="7" max="7" width="1.75" style="8" customWidth="1"/>
    <col min="8" max="8" width="11.375" style="8" customWidth="1"/>
    <col min="9" max="9" width="1.75" style="8" customWidth="1"/>
    <col min="10" max="10" width="11.375" style="8" customWidth="1"/>
    <col min="11" max="11" width="1.75" style="8" customWidth="1"/>
    <col min="12" max="12" width="11.375" style="8" customWidth="1"/>
    <col min="13" max="13" width="1.75" style="8" customWidth="1"/>
    <col min="14" max="14" width="11.375" style="8" customWidth="1"/>
    <col min="15" max="15" width="1.5" style="8" customWidth="1"/>
    <col min="16" max="16" width="11.375" style="8" customWidth="1"/>
    <col min="17" max="17" width="1.75" style="8" customWidth="1"/>
    <col min="18" max="18" width="3.25" style="8" customWidth="1"/>
    <col min="19" max="19" width="10.875" style="8" customWidth="1"/>
    <col min="20" max="20" width="9" style="8"/>
    <col min="21" max="21" width="1.75" style="8" customWidth="1"/>
    <col min="22" max="22" width="9" style="8" customWidth="1"/>
    <col min="23" max="23" width="2.125" style="8" customWidth="1"/>
    <col min="24" max="24" width="9" style="8"/>
    <col min="25" max="25" width="2" style="8" customWidth="1"/>
    <col min="26" max="26" width="9" style="8"/>
    <col min="27" max="27" width="2.125" style="8" customWidth="1"/>
    <col min="28" max="28" width="9" style="8"/>
    <col min="29" max="29" width="1.75" style="8" customWidth="1"/>
    <col min="30" max="30" width="9" style="8"/>
    <col min="31" max="31" width="2" style="8" customWidth="1"/>
    <col min="32" max="32" width="10.625" style="8" customWidth="1"/>
    <col min="33" max="16384" width="9" style="8"/>
  </cols>
  <sheetData>
    <row r="1" spans="1:32" ht="43.9" customHeight="1" x14ac:dyDescent="0.25"/>
    <row r="2" spans="1:32" ht="14.65" customHeight="1" x14ac:dyDescent="0.25"/>
    <row r="3" spans="1:32" ht="19.5" x14ac:dyDescent="0.25">
      <c r="A3" s="400" t="s">
        <v>108</v>
      </c>
      <c r="B3" s="400"/>
      <c r="C3" s="400"/>
      <c r="D3" s="400"/>
      <c r="E3" s="400"/>
      <c r="F3" s="400"/>
      <c r="G3" s="400"/>
      <c r="H3" s="400"/>
      <c r="I3" s="400"/>
      <c r="J3" s="400"/>
      <c r="K3" s="400"/>
      <c r="L3" s="400"/>
      <c r="M3" s="400"/>
      <c r="N3" s="400"/>
      <c r="O3" s="400"/>
      <c r="P3" s="400"/>
      <c r="Q3" s="400"/>
      <c r="R3" s="4"/>
      <c r="S3"/>
      <c r="T3"/>
      <c r="U3"/>
      <c r="V3"/>
      <c r="W3"/>
      <c r="X3"/>
      <c r="Y3"/>
      <c r="Z3"/>
      <c r="AA3"/>
    </row>
    <row r="4" spans="1:32" ht="15.75" x14ac:dyDescent="0.25">
      <c r="B4" s="38"/>
      <c r="C4" s="38"/>
      <c r="D4" s="1"/>
      <c r="E4" s="2"/>
      <c r="F4" s="2"/>
      <c r="G4" s="2"/>
      <c r="H4" s="3"/>
      <c r="I4" s="3"/>
      <c r="J4" s="10"/>
      <c r="K4" s="4"/>
      <c r="L4" s="4"/>
      <c r="M4" s="4"/>
      <c r="N4" s="4"/>
      <c r="O4" s="4"/>
      <c r="P4" s="4"/>
      <c r="Q4" s="2"/>
      <c r="R4" s="4"/>
      <c r="S4"/>
      <c r="T4"/>
      <c r="U4"/>
      <c r="V4"/>
      <c r="W4"/>
      <c r="X4"/>
      <c r="Y4"/>
      <c r="Z4"/>
      <c r="AA4"/>
    </row>
    <row r="5" spans="1:32" ht="15.75" x14ac:dyDescent="0.25">
      <c r="B5" s="7" t="s">
        <v>151</v>
      </c>
      <c r="C5" s="38"/>
      <c r="D5" s="401">
        <f>Estimation!E1</f>
        <v>0</v>
      </c>
      <c r="E5" s="401"/>
      <c r="F5" s="401"/>
      <c r="J5" s="7" t="s">
        <v>47</v>
      </c>
      <c r="K5" s="38"/>
      <c r="M5" s="402">
        <f>Estimation!E6</f>
        <v>0</v>
      </c>
      <c r="N5" s="402"/>
      <c r="O5" s="402"/>
      <c r="P5" s="402"/>
      <c r="R5" s="39"/>
      <c r="S5"/>
      <c r="T5"/>
      <c r="U5"/>
      <c r="V5"/>
      <c r="W5"/>
      <c r="X5"/>
      <c r="Y5"/>
      <c r="Z5"/>
      <c r="AA5"/>
    </row>
    <row r="6" spans="1:32" ht="15.75" x14ac:dyDescent="0.25">
      <c r="B6" s="7" t="s">
        <v>141</v>
      </c>
      <c r="C6" s="38"/>
      <c r="D6" s="401">
        <f>Estimation!E2</f>
        <v>0</v>
      </c>
      <c r="E6" s="401"/>
      <c r="F6" s="401"/>
      <c r="J6" s="7" t="s">
        <v>48</v>
      </c>
      <c r="K6" s="38"/>
      <c r="M6" s="402">
        <f>Estimation!E7</f>
        <v>0</v>
      </c>
      <c r="N6" s="402"/>
      <c r="O6" s="402"/>
      <c r="P6" s="402"/>
      <c r="R6" s="39"/>
      <c r="S6"/>
      <c r="T6"/>
      <c r="U6"/>
      <c r="V6"/>
      <c r="W6"/>
      <c r="X6"/>
      <c r="Y6"/>
      <c r="Z6"/>
      <c r="AA6"/>
    </row>
    <row r="7" spans="1:32" ht="15.75" x14ac:dyDescent="0.25">
      <c r="B7" s="38"/>
      <c r="C7" s="38"/>
      <c r="D7" s="38"/>
      <c r="E7" s="38"/>
      <c r="F7" s="38"/>
      <c r="G7" s="38"/>
      <c r="H7" s="22"/>
      <c r="I7" s="22"/>
      <c r="J7" s="38"/>
      <c r="K7" s="38"/>
      <c r="M7" s="402">
        <f>Estimation!E8</f>
        <v>0</v>
      </c>
      <c r="N7" s="402"/>
      <c r="O7" s="402"/>
      <c r="P7" s="402"/>
      <c r="R7" s="39"/>
      <c r="S7"/>
      <c r="T7"/>
      <c r="U7"/>
      <c r="V7"/>
      <c r="W7"/>
      <c r="X7"/>
      <c r="Y7"/>
      <c r="Z7"/>
      <c r="AA7"/>
    </row>
    <row r="8" spans="1:32" ht="15.75" x14ac:dyDescent="0.25">
      <c r="B8" s="38"/>
      <c r="C8" s="38"/>
      <c r="D8" s="38"/>
      <c r="E8" s="38"/>
      <c r="F8" s="38"/>
      <c r="G8" s="38"/>
      <c r="H8" s="5"/>
      <c r="I8" s="5"/>
      <c r="J8" s="39"/>
      <c r="K8" s="39"/>
      <c r="L8" s="39"/>
      <c r="M8" s="39"/>
      <c r="N8" s="39"/>
      <c r="O8" s="39"/>
      <c r="P8" s="39"/>
      <c r="R8" s="39"/>
      <c r="S8"/>
      <c r="T8"/>
      <c r="U8"/>
      <c r="V8"/>
      <c r="W8"/>
      <c r="X8"/>
      <c r="Y8"/>
      <c r="Z8"/>
      <c r="AA8"/>
    </row>
    <row r="9" spans="1:32" ht="15.6" customHeight="1" x14ac:dyDescent="0.25">
      <c r="B9" s="7" t="s">
        <v>20</v>
      </c>
      <c r="C9" s="399">
        <f>Estimation!I7</f>
        <v>0</v>
      </c>
      <c r="D9" s="399"/>
      <c r="E9" s="399"/>
      <c r="F9" s="399"/>
      <c r="G9" s="399"/>
      <c r="H9" s="399"/>
      <c r="J9" s="57" t="s">
        <v>109</v>
      </c>
      <c r="M9" s="403">
        <f>Estimation!E3</f>
        <v>0</v>
      </c>
      <c r="N9" s="403"/>
      <c r="O9" s="403"/>
      <c r="P9" s="403"/>
      <c r="S9"/>
      <c r="T9"/>
      <c r="U9"/>
      <c r="V9"/>
      <c r="W9"/>
      <c r="X9"/>
      <c r="Y9"/>
      <c r="Z9"/>
      <c r="AA9"/>
    </row>
    <row r="10" spans="1:32" ht="15.75" x14ac:dyDescent="0.25">
      <c r="C10" s="399"/>
      <c r="D10" s="399"/>
      <c r="E10" s="399"/>
      <c r="F10" s="399"/>
      <c r="G10" s="399"/>
      <c r="H10" s="399"/>
      <c r="S10"/>
      <c r="T10"/>
      <c r="U10"/>
      <c r="V10"/>
      <c r="W10"/>
      <c r="X10"/>
      <c r="Y10"/>
      <c r="Z10"/>
      <c r="AA10"/>
    </row>
    <row r="11" spans="1:32" ht="15.75" x14ac:dyDescent="0.25">
      <c r="B11" s="6"/>
      <c r="C11" s="399"/>
      <c r="D11" s="399"/>
      <c r="E11" s="399"/>
      <c r="F11" s="399"/>
      <c r="G11" s="399"/>
      <c r="H11" s="399"/>
      <c r="J11" s="64" t="s">
        <v>18</v>
      </c>
      <c r="M11" s="402">
        <f>Estimation!I12</f>
        <v>0</v>
      </c>
      <c r="N11" s="402"/>
      <c r="O11" s="402"/>
      <c r="P11" s="402"/>
      <c r="S11"/>
      <c r="T11"/>
      <c r="U11"/>
      <c r="V11"/>
      <c r="W11"/>
      <c r="X11"/>
      <c r="Y11"/>
      <c r="Z11"/>
      <c r="AA11"/>
    </row>
    <row r="12" spans="1:32" ht="15.75" x14ac:dyDescent="0.25">
      <c r="B12" s="6"/>
      <c r="C12" s="399"/>
      <c r="D12" s="399"/>
      <c r="E12" s="399"/>
      <c r="F12" s="399"/>
      <c r="G12" s="399"/>
      <c r="H12" s="399"/>
      <c r="S12"/>
      <c r="T12"/>
      <c r="U12"/>
      <c r="V12"/>
      <c r="W12"/>
      <c r="X12"/>
      <c r="Y12"/>
      <c r="Z12"/>
      <c r="AA12"/>
    </row>
    <row r="13" spans="1:32" ht="15.75" x14ac:dyDescent="0.25">
      <c r="B13" s="38"/>
      <c r="C13" s="38"/>
      <c r="D13" s="38"/>
      <c r="E13" s="38"/>
      <c r="F13" s="38"/>
      <c r="G13" s="38"/>
      <c r="H13" s="6"/>
      <c r="I13" s="15"/>
      <c r="J13" s="6"/>
      <c r="K13" s="15"/>
      <c r="L13" s="15"/>
      <c r="M13" s="15"/>
      <c r="N13" s="15"/>
      <c r="S13"/>
      <c r="T13" s="398" t="s">
        <v>110</v>
      </c>
      <c r="U13" s="398"/>
      <c r="V13" s="398"/>
      <c r="W13" s="398"/>
      <c r="X13" s="398"/>
      <c r="Y13" s="398"/>
      <c r="Z13" s="398"/>
      <c r="AA13" s="398"/>
      <c r="AB13" s="398"/>
      <c r="AC13" s="398"/>
      <c r="AD13" s="398"/>
      <c r="AE13" s="398"/>
    </row>
    <row r="14" spans="1:32" x14ac:dyDescent="0.25">
      <c r="B14" s="122" t="s">
        <v>27</v>
      </c>
      <c r="C14" s="122"/>
      <c r="D14" s="122"/>
      <c r="E14" s="123"/>
      <c r="F14" s="124" t="s">
        <v>0</v>
      </c>
      <c r="G14" s="125"/>
      <c r="H14" s="124" t="s">
        <v>1</v>
      </c>
      <c r="I14" s="125"/>
      <c r="J14" s="124" t="s">
        <v>22</v>
      </c>
      <c r="K14" s="125"/>
      <c r="L14" s="124" t="s">
        <v>30</v>
      </c>
      <c r="M14" s="125"/>
      <c r="N14" s="124" t="s">
        <v>41</v>
      </c>
      <c r="O14" s="125"/>
      <c r="P14" s="126" t="s">
        <v>23</v>
      </c>
      <c r="Q14" s="125"/>
      <c r="R14" s="18"/>
      <c r="T14" s="84" t="s">
        <v>0</v>
      </c>
      <c r="U14" s="85"/>
      <c r="V14" s="84" t="s">
        <v>1</v>
      </c>
      <c r="W14" s="85"/>
      <c r="X14" s="84" t="s">
        <v>22</v>
      </c>
      <c r="Y14" s="85"/>
      <c r="Z14" s="84" t="s">
        <v>30</v>
      </c>
      <c r="AA14" s="85"/>
      <c r="AB14" s="84" t="s">
        <v>41</v>
      </c>
      <c r="AC14" s="85"/>
      <c r="AD14" s="86" t="s">
        <v>23</v>
      </c>
      <c r="AE14" s="83"/>
      <c r="AF14" s="89" t="s">
        <v>58</v>
      </c>
    </row>
    <row r="15" spans="1:32" x14ac:dyDescent="0.25">
      <c r="B15" s="7" t="s">
        <v>97</v>
      </c>
      <c r="C15" s="7"/>
      <c r="D15" s="7"/>
      <c r="E15" s="21"/>
      <c r="F15" s="22"/>
      <c r="G15" s="21"/>
      <c r="H15" s="22"/>
      <c r="I15" s="21"/>
      <c r="J15" s="22"/>
      <c r="K15" s="21"/>
      <c r="L15" s="22"/>
      <c r="M15" s="21"/>
      <c r="N15" s="22"/>
      <c r="O15" s="21"/>
      <c r="P15" s="22"/>
      <c r="Q15" s="21"/>
      <c r="R15" s="17"/>
      <c r="T15" s="82"/>
      <c r="U15" s="82"/>
      <c r="V15" s="82"/>
      <c r="W15" s="82"/>
      <c r="X15" s="82"/>
      <c r="Y15" s="82"/>
      <c r="Z15" s="82"/>
      <c r="AA15" s="82"/>
      <c r="AB15" s="82"/>
      <c r="AC15" s="82"/>
      <c r="AD15" s="82"/>
    </row>
    <row r="16" spans="1:32" x14ac:dyDescent="0.25">
      <c r="C16" s="23" t="s">
        <v>100</v>
      </c>
      <c r="E16" s="21"/>
      <c r="F16" s="22">
        <f>SUM(F18:F31)</f>
        <v>0</v>
      </c>
      <c r="G16" s="21"/>
      <c r="H16" s="22">
        <f>SUM(H18:H31)</f>
        <v>0</v>
      </c>
      <c r="I16" s="21"/>
      <c r="J16" s="22">
        <f>SUM(J18:J31)</f>
        <v>0</v>
      </c>
      <c r="K16" s="21"/>
      <c r="L16" s="22">
        <f>SUM(L18:L31)</f>
        <v>0</v>
      </c>
      <c r="M16" s="21"/>
      <c r="N16" s="22">
        <f>SUM(N18:N31)</f>
        <v>0</v>
      </c>
      <c r="O16" s="21"/>
      <c r="P16" s="22">
        <f>F16+H16+J16+L16+N16</f>
        <v>0</v>
      </c>
      <c r="Q16" s="21"/>
      <c r="R16" s="17"/>
      <c r="T16" s="82"/>
      <c r="U16" s="82"/>
      <c r="V16" s="82"/>
      <c r="W16" s="82"/>
      <c r="X16" s="82"/>
      <c r="Y16" s="82"/>
      <c r="Z16" s="82"/>
      <c r="AA16" s="82"/>
      <c r="AB16" s="82"/>
      <c r="AC16" s="82"/>
      <c r="AD16" s="82"/>
    </row>
    <row r="17" spans="3:32" outlineLevel="1" x14ac:dyDescent="0.25">
      <c r="C17" s="53" t="str">
        <f>Estimation!C17</f>
        <v xml:space="preserve">PI: </v>
      </c>
      <c r="E17" s="21"/>
      <c r="G17" s="21"/>
      <c r="I17" s="21"/>
      <c r="K17" s="21"/>
      <c r="M17" s="21"/>
      <c r="O17" s="21"/>
      <c r="Q17" s="21"/>
      <c r="R17" s="17"/>
      <c r="T17" s="82"/>
      <c r="U17" s="82"/>
      <c r="V17" s="82"/>
      <c r="W17" s="82"/>
      <c r="X17" s="82"/>
      <c r="Y17" s="82"/>
      <c r="Z17" s="82"/>
      <c r="AA17" s="82"/>
      <c r="AB17" s="82"/>
      <c r="AC17" s="82"/>
      <c r="AD17" s="82"/>
    </row>
    <row r="18" spans="3:32" outlineLevel="1" x14ac:dyDescent="0.25">
      <c r="C18" s="63" t="str">
        <f>Estimation!D18</f>
        <v>0% time, 0 months, AY</v>
      </c>
      <c r="E18" s="21"/>
      <c r="F18" s="22">
        <f>Estimation!J18</f>
        <v>0</v>
      </c>
      <c r="G18" s="21"/>
      <c r="H18" s="22">
        <f>Estimation!N18</f>
        <v>0</v>
      </c>
      <c r="I18" s="21"/>
      <c r="J18" s="22">
        <f>Estimation!R18</f>
        <v>0</v>
      </c>
      <c r="K18" s="21"/>
      <c r="L18" s="22">
        <f>Estimation!V18</f>
        <v>0</v>
      </c>
      <c r="M18" s="21"/>
      <c r="N18" s="22">
        <f>Estimation!Z18</f>
        <v>0</v>
      </c>
      <c r="O18" s="21"/>
      <c r="P18" s="22">
        <f>F18+H18+J18+L18+N18</f>
        <v>0</v>
      </c>
      <c r="Q18" s="21"/>
      <c r="R18" s="17"/>
      <c r="T18" s="82">
        <f>Estimation!AP18</f>
        <v>0</v>
      </c>
      <c r="U18" s="82"/>
      <c r="V18" s="82">
        <f>Estimation!AU18</f>
        <v>0</v>
      </c>
      <c r="W18" s="82"/>
      <c r="X18" s="82">
        <f>Estimation!AZ18</f>
        <v>0</v>
      </c>
      <c r="Y18" s="82"/>
      <c r="Z18" s="82">
        <f>Estimation!BE18</f>
        <v>0</v>
      </c>
      <c r="AA18" s="82"/>
      <c r="AB18" s="82">
        <f>Estimation!BJ18</f>
        <v>0</v>
      </c>
      <c r="AC18" s="82"/>
      <c r="AD18" s="82">
        <f>SUM(T18:AB18)</f>
        <v>0</v>
      </c>
      <c r="AF18" s="31" t="str">
        <f>Estimation!AL18</f>
        <v>AY</v>
      </c>
    </row>
    <row r="19" spans="3:32" outlineLevel="1" x14ac:dyDescent="0.25">
      <c r="C19" s="63" t="str">
        <f>Estimation!D19</f>
        <v>0 days, Summer</v>
      </c>
      <c r="E19" s="21"/>
      <c r="F19" s="22">
        <f>Estimation!J19</f>
        <v>0</v>
      </c>
      <c r="G19" s="21"/>
      <c r="H19" s="22">
        <f>Estimation!N19</f>
        <v>0</v>
      </c>
      <c r="I19" s="21"/>
      <c r="J19" s="22">
        <f>Estimation!R19</f>
        <v>0</v>
      </c>
      <c r="K19" s="21"/>
      <c r="L19" s="22">
        <f>Estimation!V19</f>
        <v>0</v>
      </c>
      <c r="M19" s="21"/>
      <c r="N19" s="22">
        <f>Estimation!Z19</f>
        <v>0</v>
      </c>
      <c r="O19" s="21"/>
      <c r="P19" s="22">
        <f>F19+H19+J19+L19+N19</f>
        <v>0</v>
      </c>
      <c r="Q19" s="21"/>
      <c r="R19" s="17"/>
      <c r="T19" s="82"/>
      <c r="U19" s="82"/>
      <c r="V19" s="82"/>
      <c r="W19" s="82"/>
      <c r="X19" s="82"/>
      <c r="Y19" s="82"/>
      <c r="Z19" s="82"/>
      <c r="AA19" s="82"/>
      <c r="AB19" s="82"/>
      <c r="AC19" s="82"/>
      <c r="AD19" s="82"/>
      <c r="AF19" s="31"/>
    </row>
    <row r="20" spans="3:32" outlineLevel="1" x14ac:dyDescent="0.25">
      <c r="C20" s="53" t="str">
        <f>Estimation!C20</f>
        <v xml:space="preserve">Co-PI: </v>
      </c>
      <c r="E20" s="21"/>
      <c r="G20" s="21"/>
      <c r="I20" s="21"/>
      <c r="K20" s="21"/>
      <c r="M20" s="21"/>
      <c r="O20" s="21"/>
      <c r="Q20" s="21"/>
      <c r="R20" s="17"/>
      <c r="T20" s="82"/>
      <c r="U20" s="82"/>
      <c r="V20" s="82"/>
      <c r="W20" s="82"/>
      <c r="X20" s="82"/>
      <c r="Y20" s="82"/>
      <c r="Z20" s="82"/>
      <c r="AA20" s="82"/>
      <c r="AB20" s="82"/>
      <c r="AC20" s="82"/>
      <c r="AD20" s="82"/>
      <c r="AF20" s="82"/>
    </row>
    <row r="21" spans="3:32" outlineLevel="1" x14ac:dyDescent="0.25">
      <c r="C21" s="63" t="str">
        <f>Estimation!D21</f>
        <v>0% time, 0 months, AY</v>
      </c>
      <c r="E21" s="21"/>
      <c r="F21" s="22">
        <f>Estimation!J21</f>
        <v>0</v>
      </c>
      <c r="G21" s="21"/>
      <c r="H21" s="22">
        <f>Estimation!N21</f>
        <v>0</v>
      </c>
      <c r="I21" s="21"/>
      <c r="J21" s="22">
        <f>Estimation!R21</f>
        <v>0</v>
      </c>
      <c r="K21" s="21"/>
      <c r="L21" s="22">
        <f>Estimation!V21</f>
        <v>0</v>
      </c>
      <c r="M21" s="21"/>
      <c r="N21" s="22">
        <f>Estimation!Z21</f>
        <v>0</v>
      </c>
      <c r="O21" s="21"/>
      <c r="P21" s="22">
        <f>F21+H21+J21+L21+N21</f>
        <v>0</v>
      </c>
      <c r="Q21" s="21"/>
      <c r="R21" s="17"/>
      <c r="T21" s="82">
        <f>Estimation!AP21</f>
        <v>0</v>
      </c>
      <c r="U21" s="82"/>
      <c r="V21" s="82">
        <f>Estimation!AU21</f>
        <v>0</v>
      </c>
      <c r="W21" s="82"/>
      <c r="X21" s="82">
        <f>Estimation!AZ21</f>
        <v>0</v>
      </c>
      <c r="Y21" s="82"/>
      <c r="Z21" s="82">
        <f>Estimation!BE21</f>
        <v>0</v>
      </c>
      <c r="AA21" s="82"/>
      <c r="AB21" s="82">
        <f>Estimation!BJ21</f>
        <v>0</v>
      </c>
      <c r="AC21" s="82"/>
      <c r="AD21" s="82">
        <f>SUM(T21:AB21)</f>
        <v>0</v>
      </c>
      <c r="AF21" s="31" t="str">
        <f>Estimation!AL21</f>
        <v>AY</v>
      </c>
    </row>
    <row r="22" spans="3:32" outlineLevel="1" x14ac:dyDescent="0.25">
      <c r="C22" s="63" t="str">
        <f>Estimation!D22</f>
        <v>0 days, Summer</v>
      </c>
      <c r="E22" s="21"/>
      <c r="F22" s="22">
        <f>Estimation!J22</f>
        <v>0</v>
      </c>
      <c r="G22" s="21"/>
      <c r="H22" s="22">
        <f>Estimation!N22</f>
        <v>0</v>
      </c>
      <c r="I22" s="21"/>
      <c r="J22" s="22">
        <f>Estimation!R22</f>
        <v>0</v>
      </c>
      <c r="K22" s="21"/>
      <c r="L22" s="22">
        <f>Estimation!V22</f>
        <v>0</v>
      </c>
      <c r="M22" s="21"/>
      <c r="N22" s="22">
        <f>Estimation!Z22</f>
        <v>0</v>
      </c>
      <c r="O22" s="21"/>
      <c r="P22" s="22">
        <f>F22+H22+J22+L22+N22</f>
        <v>0</v>
      </c>
      <c r="Q22" s="21"/>
      <c r="R22" s="17"/>
      <c r="T22" s="82"/>
      <c r="U22" s="82"/>
      <c r="V22" s="82"/>
      <c r="W22" s="82"/>
      <c r="X22" s="82"/>
      <c r="Y22" s="82"/>
      <c r="Z22" s="82"/>
      <c r="AA22" s="82"/>
      <c r="AB22" s="82"/>
      <c r="AC22" s="82"/>
      <c r="AD22" s="82"/>
      <c r="AF22" s="31"/>
    </row>
    <row r="23" spans="3:32" outlineLevel="1" x14ac:dyDescent="0.25">
      <c r="C23" s="53" t="str">
        <f>Estimation!C23</f>
        <v xml:space="preserve">Co-PI: </v>
      </c>
      <c r="E23" s="21"/>
      <c r="G23" s="21"/>
      <c r="I23" s="21"/>
      <c r="K23" s="21"/>
      <c r="M23" s="21"/>
      <c r="O23" s="21"/>
      <c r="Q23" s="21"/>
      <c r="R23" s="17"/>
      <c r="T23" s="82"/>
      <c r="U23" s="82"/>
      <c r="V23" s="82"/>
      <c r="W23" s="82"/>
      <c r="X23" s="82"/>
      <c r="Y23" s="82"/>
      <c r="Z23" s="82"/>
      <c r="AA23" s="82"/>
      <c r="AB23" s="82"/>
      <c r="AC23" s="82"/>
      <c r="AD23" s="82"/>
      <c r="AF23" s="82"/>
    </row>
    <row r="24" spans="3:32" outlineLevel="1" x14ac:dyDescent="0.25">
      <c r="C24" s="63" t="str">
        <f>Estimation!D24</f>
        <v>0% time, 0 months, AY</v>
      </c>
      <c r="E24" s="21"/>
      <c r="F24" s="22">
        <f>Estimation!J24</f>
        <v>0</v>
      </c>
      <c r="G24" s="21"/>
      <c r="H24" s="22">
        <f>Estimation!N24</f>
        <v>0</v>
      </c>
      <c r="I24" s="21"/>
      <c r="J24" s="22">
        <f>Estimation!R24</f>
        <v>0</v>
      </c>
      <c r="K24" s="21"/>
      <c r="L24" s="22">
        <f>Estimation!V24</f>
        <v>0</v>
      </c>
      <c r="M24" s="21"/>
      <c r="N24" s="22">
        <f>Estimation!Z24</f>
        <v>0</v>
      </c>
      <c r="O24" s="21"/>
      <c r="P24" s="22">
        <f>F24+H24+J24+L24+N24</f>
        <v>0</v>
      </c>
      <c r="Q24" s="21"/>
      <c r="R24" s="17"/>
      <c r="T24" s="82">
        <f>Estimation!AP24</f>
        <v>0</v>
      </c>
      <c r="U24" s="82"/>
      <c r="V24" s="82">
        <f>Estimation!AU24</f>
        <v>0</v>
      </c>
      <c r="W24" s="82"/>
      <c r="X24" s="82">
        <f>Estimation!AZ24</f>
        <v>0</v>
      </c>
      <c r="Y24" s="82"/>
      <c r="Z24" s="82">
        <f>Estimation!BE24</f>
        <v>0</v>
      </c>
      <c r="AA24" s="82"/>
      <c r="AB24" s="82">
        <f>Estimation!BJ24</f>
        <v>0</v>
      </c>
      <c r="AC24" s="82"/>
      <c r="AD24" s="82">
        <f>SUM(T24:AB24)</f>
        <v>0</v>
      </c>
      <c r="AF24" s="31" t="str">
        <f>Estimation!AL24</f>
        <v>AY</v>
      </c>
    </row>
    <row r="25" spans="3:32" outlineLevel="1" x14ac:dyDescent="0.25">
      <c r="C25" s="63" t="str">
        <f>Estimation!D25</f>
        <v>0 days, Summer</v>
      </c>
      <c r="E25" s="21"/>
      <c r="F25" s="22">
        <f>Estimation!J25</f>
        <v>0</v>
      </c>
      <c r="G25" s="21"/>
      <c r="H25" s="22">
        <f>Estimation!N25</f>
        <v>0</v>
      </c>
      <c r="I25" s="21"/>
      <c r="J25" s="22">
        <f>Estimation!R25</f>
        <v>0</v>
      </c>
      <c r="K25" s="21"/>
      <c r="L25" s="22">
        <f>Estimation!V25</f>
        <v>0</v>
      </c>
      <c r="M25" s="21"/>
      <c r="N25" s="22">
        <f>Estimation!Z25</f>
        <v>0</v>
      </c>
      <c r="O25" s="21"/>
      <c r="P25" s="22">
        <f>F25+H25+J25+L25+N25</f>
        <v>0</v>
      </c>
      <c r="Q25" s="21"/>
      <c r="R25" s="17"/>
      <c r="T25" s="82"/>
      <c r="U25" s="82"/>
      <c r="V25" s="82"/>
      <c r="W25" s="82"/>
      <c r="X25" s="82"/>
      <c r="Y25" s="82"/>
      <c r="Z25" s="82"/>
      <c r="AA25" s="82"/>
      <c r="AB25" s="82"/>
      <c r="AC25" s="82"/>
      <c r="AD25" s="82"/>
      <c r="AF25" s="31"/>
    </row>
    <row r="26" spans="3:32" outlineLevel="1" x14ac:dyDescent="0.25">
      <c r="C26" s="53" t="str">
        <f>Estimation!C26</f>
        <v xml:space="preserve">Co-PI: </v>
      </c>
      <c r="E26" s="21"/>
      <c r="G26" s="21"/>
      <c r="I26" s="21"/>
      <c r="K26" s="21"/>
      <c r="M26" s="21"/>
      <c r="O26" s="21"/>
      <c r="Q26" s="21"/>
      <c r="R26" s="17"/>
      <c r="T26" s="82"/>
      <c r="U26" s="82"/>
      <c r="V26" s="82"/>
      <c r="W26" s="82"/>
      <c r="X26" s="82"/>
      <c r="Y26" s="82"/>
      <c r="Z26" s="82"/>
      <c r="AA26" s="82"/>
      <c r="AB26" s="82"/>
      <c r="AC26" s="82"/>
      <c r="AD26" s="82"/>
      <c r="AF26" s="82"/>
    </row>
    <row r="27" spans="3:32" outlineLevel="1" x14ac:dyDescent="0.25">
      <c r="C27" s="63" t="str">
        <f>Estimation!D27</f>
        <v>0% time, 0 months, AY</v>
      </c>
      <c r="E27" s="21"/>
      <c r="F27" s="22">
        <f>Estimation!J27</f>
        <v>0</v>
      </c>
      <c r="G27" s="21"/>
      <c r="H27" s="22">
        <f>Estimation!N27</f>
        <v>0</v>
      </c>
      <c r="I27" s="21"/>
      <c r="J27" s="22">
        <f>Estimation!R27</f>
        <v>0</v>
      </c>
      <c r="K27" s="21"/>
      <c r="L27" s="22">
        <f>Estimation!V27</f>
        <v>0</v>
      </c>
      <c r="M27" s="21"/>
      <c r="N27" s="22">
        <f>Estimation!Z27</f>
        <v>0</v>
      </c>
      <c r="O27" s="21"/>
      <c r="P27" s="22">
        <f>F27+H27+J27+L27+N27</f>
        <v>0</v>
      </c>
      <c r="Q27" s="21"/>
      <c r="R27" s="17"/>
      <c r="T27" s="82">
        <f>Estimation!AP27</f>
        <v>0</v>
      </c>
      <c r="U27" s="82"/>
      <c r="V27" s="82">
        <f>Estimation!AU27</f>
        <v>0</v>
      </c>
      <c r="W27" s="82"/>
      <c r="X27" s="82">
        <f>Estimation!AZ27</f>
        <v>0</v>
      </c>
      <c r="Y27" s="82"/>
      <c r="Z27" s="82">
        <f>Estimation!BE27</f>
        <v>0</v>
      </c>
      <c r="AA27" s="82"/>
      <c r="AB27" s="82">
        <f>Estimation!BJ27</f>
        <v>0</v>
      </c>
      <c r="AC27" s="82"/>
      <c r="AD27" s="82">
        <f>SUM(T27:AB27)</f>
        <v>0</v>
      </c>
      <c r="AF27" s="31" t="str">
        <f>Estimation!AL27</f>
        <v>AY</v>
      </c>
    </row>
    <row r="28" spans="3:32" outlineLevel="1" x14ac:dyDescent="0.25">
      <c r="C28" s="63" t="str">
        <f>Estimation!D28</f>
        <v>0 days, Summer</v>
      </c>
      <c r="E28" s="21"/>
      <c r="F28" s="22">
        <f>Estimation!J28</f>
        <v>0</v>
      </c>
      <c r="G28" s="21"/>
      <c r="H28" s="22">
        <f>Estimation!N28</f>
        <v>0</v>
      </c>
      <c r="I28" s="21"/>
      <c r="J28" s="22">
        <f>Estimation!R28</f>
        <v>0</v>
      </c>
      <c r="K28" s="21"/>
      <c r="L28" s="22">
        <f>Estimation!V28</f>
        <v>0</v>
      </c>
      <c r="M28" s="21"/>
      <c r="N28" s="22">
        <f>Estimation!Z28</f>
        <v>0</v>
      </c>
      <c r="O28" s="21"/>
      <c r="P28" s="22">
        <f>F28+H28+J28+L28+N28</f>
        <v>0</v>
      </c>
      <c r="Q28" s="21"/>
      <c r="R28" s="17"/>
      <c r="T28" s="82"/>
      <c r="U28" s="82"/>
      <c r="V28" s="82"/>
      <c r="W28" s="82"/>
      <c r="X28" s="82"/>
      <c r="Y28" s="82"/>
      <c r="Z28" s="82"/>
      <c r="AA28" s="82"/>
      <c r="AB28" s="82"/>
      <c r="AC28" s="82"/>
      <c r="AD28" s="82"/>
      <c r="AF28" s="31"/>
    </row>
    <row r="29" spans="3:32" outlineLevel="1" x14ac:dyDescent="0.25">
      <c r="C29" s="53" t="str">
        <f>Estimation!C29</f>
        <v xml:space="preserve">Co-PI: </v>
      </c>
      <c r="E29" s="21"/>
      <c r="G29" s="21"/>
      <c r="I29" s="21"/>
      <c r="K29" s="21"/>
      <c r="M29" s="21"/>
      <c r="O29" s="21"/>
      <c r="Q29" s="21"/>
      <c r="R29" s="17"/>
      <c r="T29" s="82"/>
      <c r="U29" s="82"/>
      <c r="V29" s="82"/>
      <c r="W29" s="82"/>
      <c r="X29" s="82"/>
      <c r="Y29" s="82"/>
      <c r="Z29" s="82"/>
      <c r="AA29" s="82"/>
      <c r="AB29" s="82"/>
      <c r="AC29" s="82"/>
      <c r="AD29" s="82"/>
      <c r="AF29" s="82"/>
    </row>
    <row r="30" spans="3:32" outlineLevel="1" x14ac:dyDescent="0.25">
      <c r="C30" s="63" t="str">
        <f>Estimation!D30</f>
        <v>0% time, 0 months, AY</v>
      </c>
      <c r="E30" s="21"/>
      <c r="F30" s="22">
        <f>Estimation!J30</f>
        <v>0</v>
      </c>
      <c r="G30" s="21"/>
      <c r="H30" s="22">
        <f>Estimation!N30</f>
        <v>0</v>
      </c>
      <c r="I30" s="21"/>
      <c r="J30" s="22">
        <f>Estimation!R30</f>
        <v>0</v>
      </c>
      <c r="K30" s="21"/>
      <c r="L30" s="22">
        <f>Estimation!V30</f>
        <v>0</v>
      </c>
      <c r="M30" s="21"/>
      <c r="N30" s="22">
        <f>Estimation!Z30</f>
        <v>0</v>
      </c>
      <c r="O30" s="21"/>
      <c r="P30" s="22">
        <f>F30+H30+J30+L30+N30</f>
        <v>0</v>
      </c>
      <c r="Q30" s="21"/>
      <c r="R30" s="17"/>
      <c r="T30" s="82">
        <f>Estimation!AP31</f>
        <v>0</v>
      </c>
      <c r="U30" s="82"/>
      <c r="V30" s="82">
        <f>Estimation!AU31</f>
        <v>0</v>
      </c>
      <c r="W30" s="82"/>
      <c r="X30" s="82">
        <f>Estimation!AZ31</f>
        <v>0</v>
      </c>
      <c r="Y30" s="82"/>
      <c r="Z30" s="82">
        <f>Estimation!BE31</f>
        <v>0</v>
      </c>
      <c r="AA30" s="82"/>
      <c r="AB30" s="82">
        <f>Estimation!BJ31</f>
        <v>0</v>
      </c>
      <c r="AC30" s="82"/>
      <c r="AD30" s="82">
        <f>SUM(T30:AB30)</f>
        <v>0</v>
      </c>
      <c r="AF30" s="31" t="str">
        <f>Estimation!AL31</f>
        <v>Summer</v>
      </c>
    </row>
    <row r="31" spans="3:32" outlineLevel="1" x14ac:dyDescent="0.25">
      <c r="C31" s="63" t="str">
        <f>Estimation!D31</f>
        <v>0 days, Summer</v>
      </c>
      <c r="E31" s="21"/>
      <c r="F31" s="22">
        <f>Estimation!J31</f>
        <v>0</v>
      </c>
      <c r="G31" s="21"/>
      <c r="H31" s="22">
        <f>Estimation!N31</f>
        <v>0</v>
      </c>
      <c r="I31" s="21"/>
      <c r="J31" s="22">
        <f>Estimation!R31</f>
        <v>0</v>
      </c>
      <c r="K31" s="21"/>
      <c r="L31" s="22">
        <f>Estimation!V31</f>
        <v>0</v>
      </c>
      <c r="M31" s="21"/>
      <c r="N31" s="22">
        <f>Estimation!Z31</f>
        <v>0</v>
      </c>
      <c r="O31" s="21"/>
      <c r="P31" s="22">
        <f>F31+H31+J31+L31+N31</f>
        <v>0</v>
      </c>
      <c r="Q31" s="21"/>
      <c r="R31" s="17"/>
      <c r="T31" s="82"/>
      <c r="U31" s="82"/>
      <c r="V31" s="82"/>
      <c r="W31" s="82"/>
      <c r="X31" s="82"/>
      <c r="Y31" s="82"/>
      <c r="Z31" s="82"/>
      <c r="AA31" s="82"/>
      <c r="AB31" s="82"/>
      <c r="AC31" s="82"/>
      <c r="AD31" s="82"/>
      <c r="AF31" s="31"/>
    </row>
    <row r="32" spans="3:32" outlineLevel="1" x14ac:dyDescent="0.25">
      <c r="C32" s="63"/>
      <c r="E32" s="21"/>
      <c r="F32" s="22"/>
      <c r="G32" s="21"/>
      <c r="H32" s="22"/>
      <c r="I32" s="21"/>
      <c r="J32" s="22"/>
      <c r="K32" s="21"/>
      <c r="L32" s="22"/>
      <c r="M32" s="21"/>
      <c r="N32" s="22"/>
      <c r="O32" s="21"/>
      <c r="P32" s="22"/>
      <c r="Q32" s="21"/>
      <c r="R32" s="17"/>
      <c r="T32" s="82"/>
      <c r="U32" s="82"/>
      <c r="V32" s="82"/>
      <c r="W32" s="82"/>
      <c r="X32" s="82"/>
      <c r="Y32" s="82"/>
      <c r="Z32" s="82"/>
      <c r="AA32" s="82"/>
      <c r="AB32" s="82"/>
      <c r="AC32" s="82"/>
      <c r="AD32" s="82"/>
      <c r="AF32" s="31"/>
    </row>
    <row r="33" spans="2:32" x14ac:dyDescent="0.25">
      <c r="C33" s="23" t="s">
        <v>101</v>
      </c>
      <c r="E33" s="21"/>
      <c r="F33" s="22">
        <f>SUM(F34:F44)</f>
        <v>0</v>
      </c>
      <c r="G33" s="21"/>
      <c r="H33" s="22">
        <f>SUM(H34:H44)</f>
        <v>0</v>
      </c>
      <c r="I33" s="21"/>
      <c r="J33" s="22">
        <f>SUM(J34:J44)</f>
        <v>0</v>
      </c>
      <c r="K33" s="21"/>
      <c r="L33" s="22">
        <f>SUM(L34:L44)</f>
        <v>0</v>
      </c>
      <c r="M33" s="21"/>
      <c r="N33" s="22">
        <f>SUM(N34:N44)</f>
        <v>0</v>
      </c>
      <c r="O33" s="21"/>
      <c r="P33" s="22">
        <f t="shared" ref="P33" si="0">F33+H33+J33+L33+N33</f>
        <v>0</v>
      </c>
      <c r="Q33" s="21"/>
      <c r="R33" s="17"/>
      <c r="AF33" s="82"/>
    </row>
    <row r="34" spans="2:32" outlineLevel="1" x14ac:dyDescent="0.25">
      <c r="C34" s="53" t="str">
        <f>Estimation!D307</f>
        <v>Faculty, Academic Year</v>
      </c>
      <c r="E34" s="21"/>
      <c r="F34" s="22">
        <f>SUMIF(Estimation!$A$33:$A$69,$C34,Estimation!J$33:J$69)</f>
        <v>0</v>
      </c>
      <c r="G34" s="21"/>
      <c r="H34" s="22">
        <f>SUMIF(Estimation!$A$33:$A$69,$C34,Estimation!N$33:N$69)</f>
        <v>0</v>
      </c>
      <c r="I34" s="21"/>
      <c r="J34" s="22">
        <f>SUMIF(Estimation!$A$33:$A$69,$C34,Estimation!R$33:R$69)</f>
        <v>0</v>
      </c>
      <c r="K34" s="21"/>
      <c r="L34" s="22">
        <f>SUMIF(Estimation!$A$33:$A$69,$C34,Estimation!V$33:V$69)</f>
        <v>0</v>
      </c>
      <c r="M34" s="21"/>
      <c r="N34" s="22">
        <f>SUMIF(Estimation!$A$33:$A$69,$C34,Estimation!Z$33:Z$69)</f>
        <v>0</v>
      </c>
      <c r="O34" s="21"/>
      <c r="P34" s="22">
        <f t="shared" ref="P34:P39" si="1">F34+H34+J34+L34+N34</f>
        <v>0</v>
      </c>
      <c r="Q34" s="21"/>
      <c r="R34" s="17"/>
    </row>
    <row r="35" spans="2:32" outlineLevel="1" x14ac:dyDescent="0.25">
      <c r="C35" s="53" t="str">
        <f>Estimation!D309</f>
        <v>Research Associate LOA</v>
      </c>
      <c r="E35" s="21"/>
      <c r="F35" s="22">
        <f>SUMIF(Estimation!$A$33:$A$69,$C35,Estimation!J$33:J$69)</f>
        <v>0</v>
      </c>
      <c r="G35" s="21"/>
      <c r="H35" s="22">
        <f>SUMIF(Estimation!$A$33:$A$69,$C35,Estimation!N$33:N$69)</f>
        <v>0</v>
      </c>
      <c r="I35" s="21"/>
      <c r="J35" s="22">
        <f>SUMIF(Estimation!$A$33:$A$69,$C35,Estimation!R$33:R$69)</f>
        <v>0</v>
      </c>
      <c r="K35" s="21"/>
      <c r="L35" s="22">
        <f>SUMIF(Estimation!$A$33:$A$69,$C35,Estimation!V$33:V$69)</f>
        <v>0</v>
      </c>
      <c r="M35" s="21"/>
      <c r="N35" s="22">
        <f>SUMIF(Estimation!$A$33:$A$69,$C35,Estimation!Z$33:Z$69)</f>
        <v>0</v>
      </c>
      <c r="O35" s="21"/>
      <c r="P35" s="22">
        <f t="shared" si="1"/>
        <v>0</v>
      </c>
      <c r="Q35" s="21"/>
      <c r="R35" s="17"/>
    </row>
    <row r="36" spans="2:32" outlineLevel="1" x14ac:dyDescent="0.25">
      <c r="C36" s="53" t="str">
        <f>Estimation!D311</f>
        <v>Post Doc Assoc LOA</v>
      </c>
      <c r="E36" s="21"/>
      <c r="F36" s="22">
        <f>SUMIF(Estimation!$A$33:$A$69,$C36,Estimation!J$33:J$69)</f>
        <v>0</v>
      </c>
      <c r="G36" s="21"/>
      <c r="H36" s="22">
        <f>SUMIF(Estimation!$A$33:$A$69,$C36,Estimation!N$33:N$69)</f>
        <v>0</v>
      </c>
      <c r="I36" s="21"/>
      <c r="J36" s="22">
        <f>SUMIF(Estimation!$A$33:$A$69,$C36,Estimation!R$33:R$69)</f>
        <v>0</v>
      </c>
      <c r="K36" s="21"/>
      <c r="L36" s="22">
        <f>SUMIF(Estimation!$A$33:$A$69,$C36,Estimation!V$33:V$69)</f>
        <v>0</v>
      </c>
      <c r="M36" s="21"/>
      <c r="N36" s="22">
        <f>SUMIF(Estimation!$A$33:$A$69,$C36,Estimation!Z$33:Z$69)</f>
        <v>0</v>
      </c>
      <c r="O36" s="21"/>
      <c r="P36" s="22">
        <f t="shared" si="1"/>
        <v>0</v>
      </c>
      <c r="Q36" s="21"/>
      <c r="R36" s="17"/>
    </row>
    <row r="37" spans="2:32" outlineLevel="1" x14ac:dyDescent="0.25">
      <c r="C37" s="53" t="str">
        <f>Estimation!D313</f>
        <v>Senior Personnel LOA</v>
      </c>
      <c r="E37" s="21"/>
      <c r="F37" s="22">
        <f>SUMIF(Estimation!$A$33:$A$69,$C37,Estimation!J$33:J$69)</f>
        <v>0</v>
      </c>
      <c r="G37" s="21"/>
      <c r="H37" s="22">
        <f>SUMIF(Estimation!$A$33:$A$69,$C37,Estimation!N$33:N$69)</f>
        <v>0</v>
      </c>
      <c r="I37" s="21"/>
      <c r="J37" s="22">
        <f>SUMIF(Estimation!$A$33:$A$69,$C37,Estimation!R$33:R$69)</f>
        <v>0</v>
      </c>
      <c r="K37" s="21"/>
      <c r="L37" s="22">
        <f>SUMIF(Estimation!$A$33:$A$69,$C37,Estimation!V$33:V$69)</f>
        <v>0</v>
      </c>
      <c r="M37" s="21"/>
      <c r="N37" s="22">
        <f>SUMIF(Estimation!$A$33:$A$69,$C37,Estimation!Z$33:Z$69)</f>
        <v>0</v>
      </c>
      <c r="O37" s="21"/>
      <c r="P37" s="22">
        <f t="shared" si="1"/>
        <v>0</v>
      </c>
      <c r="Q37" s="21"/>
      <c r="R37" s="17"/>
    </row>
    <row r="38" spans="2:32" outlineLevel="1" x14ac:dyDescent="0.25">
      <c r="C38" s="53" t="s">
        <v>122</v>
      </c>
      <c r="E38" s="21"/>
      <c r="F38" s="22">
        <f>SUMIF(Estimation!$A$33:$A$69,$C38,Estimation!J$33:J$69)</f>
        <v>0</v>
      </c>
      <c r="G38" s="21"/>
      <c r="H38" s="22">
        <f>SUMIF(Estimation!$A$33:$A$69,$C38,Estimation!N$33:N$69)</f>
        <v>0</v>
      </c>
      <c r="I38" s="21"/>
      <c r="J38" s="22">
        <f>SUMIF(Estimation!$A$33:$A$69,$C38,Estimation!R$33:R$69)</f>
        <v>0</v>
      </c>
      <c r="K38" s="21"/>
      <c r="L38" s="22">
        <f>SUMIF(Estimation!$A$33:$A$69,$C38,Estimation!V$33:V$69)</f>
        <v>0</v>
      </c>
      <c r="M38" s="21"/>
      <c r="N38" s="22">
        <f>SUMIF(Estimation!$A$33:$A$69,$C38,Estimation!Z$33:Z$69)</f>
        <v>0</v>
      </c>
      <c r="O38" s="21"/>
      <c r="P38" s="22">
        <f t="shared" si="1"/>
        <v>0</v>
      </c>
      <c r="Q38" s="21"/>
      <c r="R38" s="17"/>
    </row>
    <row r="39" spans="2:32" outlineLevel="1" x14ac:dyDescent="0.25">
      <c r="C39" s="53" t="str">
        <f>Estimation!D315</f>
        <v>Classified Staff</v>
      </c>
      <c r="E39" s="21"/>
      <c r="F39" s="22">
        <f>SUMIF(Estimation!$A$33:$A$69,$C39,Estimation!J$33:J$69)</f>
        <v>0</v>
      </c>
      <c r="G39" s="21"/>
      <c r="H39" s="22">
        <f>SUMIF(Estimation!$A$33:$A$69,$C39,Estimation!N$33:N$69)</f>
        <v>0</v>
      </c>
      <c r="I39" s="21"/>
      <c r="J39" s="22">
        <f>SUMIF(Estimation!$A$33:$A$69,$C39,Estimation!R$33:R$69)</f>
        <v>0</v>
      </c>
      <c r="K39" s="21"/>
      <c r="L39" s="22">
        <f>SUMIF(Estimation!$A$33:$A$69,$C39,Estimation!V$33:V$69)</f>
        <v>0</v>
      </c>
      <c r="M39" s="21"/>
      <c r="N39" s="22">
        <f>SUMIF(Estimation!$A$33:$A$69,$C39,Estimation!Z$33:Z$69)</f>
        <v>0</v>
      </c>
      <c r="O39" s="21"/>
      <c r="P39" s="22">
        <f t="shared" si="1"/>
        <v>0</v>
      </c>
      <c r="Q39" s="21"/>
      <c r="R39" s="17"/>
    </row>
    <row r="40" spans="2:32" outlineLevel="1" x14ac:dyDescent="0.25">
      <c r="C40" s="53" t="str">
        <f>Estimation!D316</f>
        <v>GRA AY</v>
      </c>
      <c r="E40" s="21"/>
      <c r="F40" s="22">
        <f>SUMIF(Estimation!$A$33:$A$69,$C40,Estimation!J$33:J$69)</f>
        <v>0</v>
      </c>
      <c r="G40" s="21"/>
      <c r="H40" s="22">
        <f>SUMIF(Estimation!$A$33:$A$69,$C40,Estimation!N$33:N$69)</f>
        <v>0</v>
      </c>
      <c r="I40" s="21"/>
      <c r="J40" s="22">
        <f>SUMIF(Estimation!$A$33:$A$69,$C40,Estimation!R$33:R$69)</f>
        <v>0</v>
      </c>
      <c r="K40" s="21"/>
      <c r="L40" s="22">
        <f>SUMIF(Estimation!$A$33:$A$69,$C40,Estimation!V$33:V$69)</f>
        <v>0</v>
      </c>
      <c r="M40" s="21"/>
      <c r="N40" s="22">
        <f>SUMIF(Estimation!$A$33:$A$69,$C40,Estimation!Z$33:Z$69)</f>
        <v>0</v>
      </c>
      <c r="O40" s="21"/>
      <c r="P40" s="22">
        <f t="shared" ref="P40:P43" si="2">F40+H40+J40+L40+N40</f>
        <v>0</v>
      </c>
      <c r="Q40" s="21"/>
      <c r="R40" s="17"/>
    </row>
    <row r="41" spans="2:32" outlineLevel="1" x14ac:dyDescent="0.25">
      <c r="C41" s="53" t="s">
        <v>175</v>
      </c>
      <c r="E41" s="21"/>
      <c r="F41" s="22">
        <f>SUMIF(Estimation!$A$33:$A$69,$C41,Estimation!J$33:J$69)</f>
        <v>0</v>
      </c>
      <c r="G41" s="21"/>
      <c r="H41" s="22">
        <f>SUMIF(Estimation!$A$33:$A$69,$C41,Estimation!N$33:N$69)</f>
        <v>0</v>
      </c>
      <c r="I41" s="21"/>
      <c r="J41" s="22">
        <f>SUMIF(Estimation!$A$33:$A$69,$C41,Estimation!R$33:R$69)</f>
        <v>0</v>
      </c>
      <c r="K41" s="21"/>
      <c r="L41" s="22">
        <f>SUMIF(Estimation!$A$33:$A$69,$C41,Estimation!V$33:V$69)</f>
        <v>0</v>
      </c>
      <c r="M41" s="21"/>
      <c r="N41" s="22">
        <f>SUMIF(Estimation!$A$33:$A$69,$C41,Estimation!Z$33:Z$69)</f>
        <v>0</v>
      </c>
      <c r="O41" s="21"/>
      <c r="P41" s="22">
        <f t="shared" si="2"/>
        <v>0</v>
      </c>
      <c r="Q41" s="21"/>
      <c r="R41" s="17"/>
    </row>
    <row r="42" spans="2:32" outlineLevel="1" x14ac:dyDescent="0.25">
      <c r="C42" s="53" t="s">
        <v>167</v>
      </c>
      <c r="E42" s="21"/>
      <c r="F42" s="22">
        <f>SUMIF(Estimation!$A$33:$A$70,$C42,Estimation!J$33:J$70)</f>
        <v>0</v>
      </c>
      <c r="G42" s="21"/>
      <c r="H42" s="22">
        <f>SUMIF(Estimation!$A$33:$A$70,$C42,Estimation!N$33:N$70)</f>
        <v>0</v>
      </c>
      <c r="I42" s="21"/>
      <c r="J42" s="22">
        <f>SUMIF(Estimation!$A$33:$A$70,$C42,Estimation!R$33:R$70)</f>
        <v>0</v>
      </c>
      <c r="K42" s="21"/>
      <c r="L42" s="22">
        <f>SUMIF(Estimation!$A$33:$A$70,$C42,Estimation!V$33:V$70)</f>
        <v>0</v>
      </c>
      <c r="M42" s="21"/>
      <c r="N42" s="22">
        <f>SUMIF(Estimation!$A$33:$A$70,$C42,Estimation!Z$33:Z$70)</f>
        <v>0</v>
      </c>
      <c r="O42" s="21"/>
      <c r="P42" s="22">
        <f t="shared" si="2"/>
        <v>0</v>
      </c>
      <c r="Q42" s="21"/>
      <c r="R42" s="17"/>
    </row>
    <row r="43" spans="2:32" outlineLevel="1" x14ac:dyDescent="0.25">
      <c r="C43" s="53" t="str">
        <f>Estimation!D319</f>
        <v>Hourly Student Summer</v>
      </c>
      <c r="E43" s="21"/>
      <c r="F43" s="22">
        <f>SUMIF(Estimation!$A$33:$A$70,$C43,Estimation!J$33:J$70)</f>
        <v>0</v>
      </c>
      <c r="G43" s="21"/>
      <c r="H43" s="22">
        <f>SUMIF(Estimation!$A$33:$A$70,$C43,Estimation!N$33:N$70)</f>
        <v>0</v>
      </c>
      <c r="I43" s="21"/>
      <c r="J43" s="22">
        <f>SUMIF(Estimation!$A$33:$A$70,$C43,Estimation!R$33:R$70)</f>
        <v>0</v>
      </c>
      <c r="K43" s="21"/>
      <c r="L43" s="22">
        <f>SUMIF(Estimation!$A$33:$A$70,$C43,Estimation!V$33:V$70)</f>
        <v>0</v>
      </c>
      <c r="M43" s="21"/>
      <c r="N43" s="22">
        <f>SUMIF(Estimation!$A$33:$A$70,$C43,Estimation!Z$33:Z$70)</f>
        <v>0</v>
      </c>
      <c r="O43" s="21"/>
      <c r="P43" s="22">
        <f t="shared" si="2"/>
        <v>0</v>
      </c>
      <c r="Q43" s="21"/>
      <c r="R43" s="17"/>
    </row>
    <row r="44" spans="2:32" outlineLevel="1" x14ac:dyDescent="0.25">
      <c r="C44" s="53" t="str">
        <f>Estimation!D320</f>
        <v>Hourly Student AY</v>
      </c>
      <c r="E44" s="21"/>
      <c r="F44" s="22">
        <f>SUMIF(Estimation!$A$33:$A$70,$C44,Estimation!J$33:J$70)</f>
        <v>0</v>
      </c>
      <c r="G44" s="21"/>
      <c r="H44" s="22">
        <f>SUMIF(Estimation!$A$33:$A$70,$C44,Estimation!N$33:N$70)</f>
        <v>0</v>
      </c>
      <c r="I44" s="21"/>
      <c r="J44" s="22">
        <f>SUMIF(Estimation!$A$33:$A$70,$C44,Estimation!R$33:R$70)</f>
        <v>0</v>
      </c>
      <c r="K44" s="21"/>
      <c r="L44" s="22">
        <f>SUMIF(Estimation!$A$33:$A$70,$C44,Estimation!V$33:V$70)</f>
        <v>0</v>
      </c>
      <c r="M44" s="21"/>
      <c r="N44" s="22">
        <f>SUMIF(Estimation!$A$33:$A$70,$C44,Estimation!Z$33:Z$70)</f>
        <v>0</v>
      </c>
      <c r="O44" s="21"/>
      <c r="P44" s="22">
        <f t="shared" ref="P44" si="3">F44+H44+J44+L44+N44</f>
        <v>0</v>
      </c>
      <c r="Q44" s="21"/>
      <c r="R44" s="17"/>
    </row>
    <row r="45" spans="2:32" ht="9.4" customHeight="1" x14ac:dyDescent="0.25">
      <c r="B45" s="23"/>
      <c r="C45" s="23"/>
      <c r="E45" s="52"/>
      <c r="F45" s="51"/>
      <c r="G45" s="52"/>
      <c r="H45" s="51"/>
      <c r="I45" s="52"/>
      <c r="J45" s="51"/>
      <c r="K45" s="52"/>
      <c r="L45" s="51"/>
      <c r="M45" s="52"/>
      <c r="N45" s="51"/>
      <c r="O45" s="52"/>
      <c r="P45" s="51"/>
      <c r="Q45" s="52"/>
      <c r="R45" s="17"/>
    </row>
    <row r="46" spans="2:32" x14ac:dyDescent="0.25">
      <c r="B46" s="23"/>
      <c r="C46" s="23"/>
      <c r="D46" s="62" t="s">
        <v>4</v>
      </c>
      <c r="E46" s="49"/>
      <c r="F46" s="22">
        <f>F33+F16</f>
        <v>0</v>
      </c>
      <c r="G46" s="49"/>
      <c r="H46" s="22">
        <f>H33+H16</f>
        <v>0</v>
      </c>
      <c r="I46" s="49"/>
      <c r="J46" s="22">
        <f>J33+J16</f>
        <v>0</v>
      </c>
      <c r="K46" s="49"/>
      <c r="L46" s="22">
        <f>L33+L16</f>
        <v>0</v>
      </c>
      <c r="M46" s="49"/>
      <c r="N46" s="22">
        <f>N33+N16</f>
        <v>0</v>
      </c>
      <c r="O46" s="49"/>
      <c r="P46" s="22">
        <f>SUM(F46:N46)</f>
        <v>0</v>
      </c>
      <c r="Q46" s="49"/>
      <c r="R46" s="17"/>
    </row>
    <row r="47" spans="2:32" x14ac:dyDescent="0.25">
      <c r="B47" s="23"/>
      <c r="C47" s="23"/>
      <c r="D47" s="62"/>
      <c r="E47" s="49"/>
      <c r="F47" s="22"/>
      <c r="G47" s="49"/>
      <c r="H47" s="22"/>
      <c r="I47" s="49"/>
      <c r="J47" s="22"/>
      <c r="K47" s="49"/>
      <c r="L47" s="22"/>
      <c r="M47" s="49"/>
      <c r="N47" s="22"/>
      <c r="O47" s="49"/>
      <c r="P47" s="22"/>
      <c r="Q47" s="49"/>
      <c r="R47" s="17"/>
    </row>
    <row r="48" spans="2:32" x14ac:dyDescent="0.25">
      <c r="B48" s="24" t="s">
        <v>152</v>
      </c>
      <c r="C48" s="24"/>
      <c r="D48" s="24"/>
      <c r="E48" s="49"/>
      <c r="F48" s="22"/>
      <c r="G48" s="49"/>
      <c r="H48" s="22"/>
      <c r="I48" s="49"/>
      <c r="J48" s="22"/>
      <c r="K48" s="49"/>
      <c r="L48" s="22"/>
      <c r="M48" s="49"/>
      <c r="N48" s="22"/>
      <c r="O48" s="49"/>
      <c r="P48" s="22"/>
      <c r="Q48" s="49"/>
      <c r="R48" s="17"/>
    </row>
    <row r="49" spans="2:18" outlineLevel="1" x14ac:dyDescent="0.25">
      <c r="C49" s="23" t="str">
        <f>Estimation!D307</f>
        <v>Faculty, Academic Year</v>
      </c>
      <c r="E49" s="49"/>
      <c r="F49" s="22">
        <f>SUMIF(Estimation!$A$75:$A$136,$C49,Estimation!J$75:J$136)</f>
        <v>0</v>
      </c>
      <c r="G49" s="49"/>
      <c r="H49" s="22">
        <f>SUMIF(Estimation!$A$75:$A$136,$C49,Estimation!N$75:N$136)</f>
        <v>0</v>
      </c>
      <c r="I49" s="49"/>
      <c r="J49" s="22">
        <f>SUMIF(Estimation!$A$75:$A$136,$C49,Estimation!R$75:R$136)</f>
        <v>0</v>
      </c>
      <c r="K49" s="49"/>
      <c r="L49" s="22">
        <f>SUMIF(Estimation!$A$75:$A$136,$C49,Estimation!V$75:V$136)</f>
        <v>0</v>
      </c>
      <c r="M49" s="49"/>
      <c r="N49" s="22">
        <f>SUMIF(Estimation!$A$75:$A$136,$C49,Estimation!Z$75:Z$136)</f>
        <v>0</v>
      </c>
      <c r="O49" s="49"/>
      <c r="P49" s="22">
        <f>SUM(F49:N49)</f>
        <v>0</v>
      </c>
      <c r="Q49" s="49"/>
      <c r="R49" s="17"/>
    </row>
    <row r="50" spans="2:18" outlineLevel="1" x14ac:dyDescent="0.25">
      <c r="C50" s="23" t="str">
        <f>Estimation!D308</f>
        <v>Faculty, Fiscal Year</v>
      </c>
      <c r="E50" s="49"/>
      <c r="F50" s="22">
        <f>SUMIF(Estimation!$A$75:$A$136,$C50,Estimation!J$75:J$136)</f>
        <v>0</v>
      </c>
      <c r="G50" s="49"/>
      <c r="H50" s="22">
        <f>SUMIF(Estimation!$A$75:$A$136,$C50,Estimation!N$75:N$136)</f>
        <v>0</v>
      </c>
      <c r="I50" s="49"/>
      <c r="J50" s="22">
        <f>SUMIF(Estimation!$A$75:$A$136,$C50,Estimation!R$75:R$136)</f>
        <v>0</v>
      </c>
      <c r="K50" s="49"/>
      <c r="L50" s="22">
        <f>SUMIF(Estimation!$A$75:$A$136,$C50,Estimation!V$75:V$136)</f>
        <v>0</v>
      </c>
      <c r="M50" s="49"/>
      <c r="N50" s="22">
        <f>SUMIF(Estimation!$A$75:$A$136,$C50,Estimation!Z$75:Z$136)</f>
        <v>0</v>
      </c>
      <c r="O50" s="49"/>
      <c r="P50" s="22">
        <f t="shared" ref="P50:P62" si="4">SUM(F50:N50)</f>
        <v>0</v>
      </c>
      <c r="Q50" s="49"/>
      <c r="R50" s="17"/>
    </row>
    <row r="51" spans="2:18" outlineLevel="1" x14ac:dyDescent="0.25">
      <c r="C51" s="23" t="str">
        <f>Estimation!D309</f>
        <v>Research Associate LOA</v>
      </c>
      <c r="E51" s="49"/>
      <c r="F51" s="22">
        <f>SUMIF(Estimation!$A$75:$A$136,$C51,Estimation!J$75:J$136)</f>
        <v>0</v>
      </c>
      <c r="G51" s="49"/>
      <c r="H51" s="22">
        <f>SUMIF(Estimation!$A$75:$A$136,$C51,Estimation!N$75:N$136)</f>
        <v>0</v>
      </c>
      <c r="I51" s="49"/>
      <c r="J51" s="22">
        <f>SUMIF(Estimation!$A$75:$A$136,$C51,Estimation!R$75:R$136)</f>
        <v>0</v>
      </c>
      <c r="K51" s="49"/>
      <c r="L51" s="22">
        <f>SUMIF(Estimation!$A$75:$A$136,$C51,Estimation!V$75:V$136)</f>
        <v>0</v>
      </c>
      <c r="M51" s="49"/>
      <c r="N51" s="22">
        <f>SUMIF(Estimation!$A$75:$A$136,$C51,Estimation!Z$75:Z$136)</f>
        <v>0</v>
      </c>
      <c r="O51" s="49"/>
      <c r="P51" s="22">
        <f t="shared" si="4"/>
        <v>0</v>
      </c>
      <c r="Q51" s="49"/>
      <c r="R51" s="17"/>
    </row>
    <row r="52" spans="2:18" outlineLevel="1" x14ac:dyDescent="0.25">
      <c r="C52" s="23" t="str">
        <f>Estimation!D310</f>
        <v>Research Associate AY</v>
      </c>
      <c r="E52" s="49"/>
      <c r="F52" s="22">
        <f>SUMIF(Estimation!$A$75:$A$136,$C52,Estimation!J$75:J$136)</f>
        <v>0</v>
      </c>
      <c r="G52" s="49"/>
      <c r="H52" s="22">
        <f>SUMIF(Estimation!$A$75:$A$136,$C52,Estimation!N$75:N$136)</f>
        <v>0</v>
      </c>
      <c r="I52" s="49"/>
      <c r="J52" s="22">
        <f>SUMIF(Estimation!$A$75:$A$136,$C52,Estimation!R$75:R$136)</f>
        <v>0</v>
      </c>
      <c r="K52" s="49"/>
      <c r="L52" s="22">
        <f>SUMIF(Estimation!$A$75:$A$136,$C52,Estimation!V$75:V$136)</f>
        <v>0</v>
      </c>
      <c r="M52" s="49"/>
      <c r="N52" s="22">
        <f>SUMIF(Estimation!$A$75:$A$136,$C52,Estimation!Z$75:Z$136)</f>
        <v>0</v>
      </c>
      <c r="O52" s="49"/>
      <c r="P52" s="22">
        <f t="shared" si="4"/>
        <v>0</v>
      </c>
      <c r="Q52" s="49"/>
      <c r="R52" s="17"/>
    </row>
    <row r="53" spans="2:18" outlineLevel="1" x14ac:dyDescent="0.25">
      <c r="C53" s="23" t="str">
        <f>Estimation!D311</f>
        <v>Post Doc Assoc LOA</v>
      </c>
      <c r="E53" s="49"/>
      <c r="F53" s="22">
        <f>SUMIF(Estimation!$A$75:$A$136,$C53,Estimation!J$75:J$136)</f>
        <v>0</v>
      </c>
      <c r="G53" s="49"/>
      <c r="H53" s="22">
        <f>SUMIF(Estimation!$A$75:$A$136,$C53,Estimation!N$75:N$136)</f>
        <v>0</v>
      </c>
      <c r="I53" s="49"/>
      <c r="J53" s="22">
        <f>SUMIF(Estimation!$A$75:$A$136,$C53,Estimation!R$75:R$136)</f>
        <v>0</v>
      </c>
      <c r="K53" s="49"/>
      <c r="L53" s="22">
        <f>SUMIF(Estimation!$A$75:$A$136,$C53,Estimation!V$75:V$136)</f>
        <v>0</v>
      </c>
      <c r="M53" s="49"/>
      <c r="N53" s="22">
        <f>SUMIF(Estimation!$A$75:$A$136,$C53,Estimation!Z$75:Z$136)</f>
        <v>0</v>
      </c>
      <c r="O53" s="49"/>
      <c r="P53" s="22">
        <f t="shared" si="4"/>
        <v>0</v>
      </c>
      <c r="Q53" s="49"/>
      <c r="R53" s="17"/>
    </row>
    <row r="54" spans="2:18" outlineLevel="1" x14ac:dyDescent="0.25">
      <c r="C54" s="23" t="str">
        <f>Estimation!D312</f>
        <v>Pre/Post Doctoral Stipend</v>
      </c>
      <c r="E54" s="49"/>
      <c r="F54" s="22">
        <f>SUMIF(Estimation!$A$75:$A$136,$C54,Estimation!J$75:J$136)</f>
        <v>0</v>
      </c>
      <c r="G54" s="49"/>
      <c r="H54" s="22">
        <f>SUMIF(Estimation!$A$75:$A$136,$C54,Estimation!N$75:N$136)</f>
        <v>0</v>
      </c>
      <c r="I54" s="49"/>
      <c r="J54" s="22">
        <f>SUMIF(Estimation!$A$75:$A$136,$C54,Estimation!R$75:R$136)</f>
        <v>0</v>
      </c>
      <c r="K54" s="49"/>
      <c r="L54" s="22">
        <f>SUMIF(Estimation!$A$75:$A$136,$C54,Estimation!V$75:V$136)</f>
        <v>0</v>
      </c>
      <c r="M54" s="49"/>
      <c r="N54" s="22">
        <f>SUMIF(Estimation!$A$75:$A$136,$C54,Estimation!Z$75:Z$136)</f>
        <v>0</v>
      </c>
      <c r="O54" s="49"/>
      <c r="P54" s="22">
        <f t="shared" si="4"/>
        <v>0</v>
      </c>
      <c r="Q54" s="49"/>
      <c r="R54" s="17"/>
    </row>
    <row r="55" spans="2:18" outlineLevel="1" x14ac:dyDescent="0.25">
      <c r="C55" s="23" t="str">
        <f>Estimation!D313</f>
        <v>Senior Personnel LOA</v>
      </c>
      <c r="E55" s="49"/>
      <c r="F55" s="22">
        <f>SUMIF(Estimation!$A$75:$A$136,$C55,Estimation!J$75:J$136)</f>
        <v>0</v>
      </c>
      <c r="G55" s="49"/>
      <c r="H55" s="22">
        <f>SUMIF(Estimation!$A$75:$A$136,$C55,Estimation!N$75:N$136)</f>
        <v>0</v>
      </c>
      <c r="I55" s="49"/>
      <c r="J55" s="22">
        <f>SUMIF(Estimation!$A$75:$A$136,$C55,Estimation!R$75:R$136)</f>
        <v>0</v>
      </c>
      <c r="K55" s="49"/>
      <c r="L55" s="22">
        <f>SUMIF(Estimation!$A$75:$A$136,$C55,Estimation!V$75:V$136)</f>
        <v>0</v>
      </c>
      <c r="M55" s="49"/>
      <c r="N55" s="22">
        <f>SUMIF(Estimation!$A$75:$A$136,$C55,Estimation!Z$75:Z$136)</f>
        <v>0</v>
      </c>
      <c r="O55" s="49"/>
      <c r="P55" s="22">
        <f t="shared" si="4"/>
        <v>0</v>
      </c>
      <c r="Q55" s="49"/>
      <c r="R55" s="17"/>
    </row>
    <row r="56" spans="2:18" outlineLevel="1" x14ac:dyDescent="0.25">
      <c r="C56" s="23" t="str">
        <f>Estimation!D314</f>
        <v>Professional Research Assistant</v>
      </c>
      <c r="E56" s="49"/>
      <c r="F56" s="22">
        <f>SUMIF(Estimation!$A$75:$A$136,$C56,Estimation!J$75:J$136)</f>
        <v>0</v>
      </c>
      <c r="G56" s="49"/>
      <c r="H56" s="22">
        <f>SUMIF(Estimation!$A$75:$A$136,$C56,Estimation!N$75:N$136)</f>
        <v>0</v>
      </c>
      <c r="I56" s="49"/>
      <c r="J56" s="22">
        <f>SUMIF(Estimation!$A$75:$A$136,$C56,Estimation!R$75:R$136)</f>
        <v>0</v>
      </c>
      <c r="K56" s="49"/>
      <c r="L56" s="22">
        <f>SUMIF(Estimation!$A$75:$A$136,$C56,Estimation!V$75:V$136)</f>
        <v>0</v>
      </c>
      <c r="M56" s="49"/>
      <c r="N56" s="22">
        <f>SUMIF(Estimation!$A$75:$A$136,$C56,Estimation!Z$75:Z$136)</f>
        <v>0</v>
      </c>
      <c r="O56" s="49"/>
      <c r="P56" s="22">
        <f t="shared" si="4"/>
        <v>0</v>
      </c>
      <c r="Q56" s="49"/>
      <c r="R56" s="17"/>
    </row>
    <row r="57" spans="2:18" outlineLevel="1" x14ac:dyDescent="0.25">
      <c r="C57" s="23" t="str">
        <f>Estimation!D315</f>
        <v>Classified Staff</v>
      </c>
      <c r="E57" s="49"/>
      <c r="F57" s="22">
        <f>SUMIF(Estimation!$A$75:$A$136,$C57,Estimation!J$75:J$136)</f>
        <v>0</v>
      </c>
      <c r="G57" s="49"/>
      <c r="H57" s="22">
        <f>SUMIF(Estimation!$A$75:$A$136,$C57,Estimation!N$75:N$136)</f>
        <v>0</v>
      </c>
      <c r="I57" s="49"/>
      <c r="J57" s="22">
        <f>SUMIF(Estimation!$A$75:$A$136,$C57,Estimation!R$75:R$136)</f>
        <v>0</v>
      </c>
      <c r="K57" s="49"/>
      <c r="L57" s="22">
        <f>SUMIF(Estimation!$A$75:$A$136,$C57,Estimation!V$75:V$136)</f>
        <v>0</v>
      </c>
      <c r="M57" s="49"/>
      <c r="N57" s="22">
        <f>SUMIF(Estimation!$A$75:$A$136,$C57,Estimation!Z$75:Z$136)</f>
        <v>0</v>
      </c>
      <c r="O57" s="49"/>
      <c r="P57" s="22">
        <f t="shared" si="4"/>
        <v>0</v>
      </c>
      <c r="Q57" s="49"/>
      <c r="R57" s="17"/>
    </row>
    <row r="58" spans="2:18" outlineLevel="1" x14ac:dyDescent="0.25">
      <c r="C58" s="23" t="str">
        <f>Estimation!D316</f>
        <v>GRA AY</v>
      </c>
      <c r="E58" s="49"/>
      <c r="F58" s="22">
        <f>SUMIF(Estimation!$A$75:$A$136,$C58,Estimation!J$75:J$136)</f>
        <v>0</v>
      </c>
      <c r="G58" s="49"/>
      <c r="H58" s="22">
        <f>SUMIF(Estimation!$A$75:$A$136,$C58,Estimation!N$75:N$136)</f>
        <v>0</v>
      </c>
      <c r="I58" s="49"/>
      <c r="J58" s="22">
        <f>SUMIF(Estimation!$A$75:$A$136,$C58,Estimation!R$75:R$136)</f>
        <v>0</v>
      </c>
      <c r="K58" s="49"/>
      <c r="L58" s="22">
        <f>SUMIF(Estimation!$A$75:$A$136,$C58,Estimation!V$75:V$136)</f>
        <v>0</v>
      </c>
      <c r="M58" s="49"/>
      <c r="N58" s="22">
        <f>SUMIF(Estimation!$A$75:$A$136,$C58,Estimation!Z$75:Z$136)</f>
        <v>0</v>
      </c>
      <c r="O58" s="49"/>
      <c r="P58" s="22">
        <f t="shared" si="4"/>
        <v>0</v>
      </c>
      <c r="Q58" s="49"/>
      <c r="R58" s="17"/>
    </row>
    <row r="59" spans="2:18" outlineLevel="1" x14ac:dyDescent="0.25">
      <c r="C59" s="23" t="str">
        <f>Estimation!D317</f>
        <v>GRA Summer</v>
      </c>
      <c r="E59" s="49"/>
      <c r="F59" s="22">
        <f>SUMIF(Estimation!$A$75:$A$136,$C59,Estimation!J$75:J$136)</f>
        <v>0</v>
      </c>
      <c r="G59" s="49"/>
      <c r="H59" s="22">
        <f>SUMIF(Estimation!$A$75:$A$136,$C59,Estimation!N$75:N$136)</f>
        <v>0</v>
      </c>
      <c r="I59" s="49"/>
      <c r="J59" s="22">
        <f>SUMIF(Estimation!$A$75:$A$136,$C59,Estimation!R$75:R$136)</f>
        <v>0</v>
      </c>
      <c r="K59" s="49"/>
      <c r="L59" s="22">
        <f>SUMIF(Estimation!$A$75:$A$136,$C59,Estimation!V$75:V$136)</f>
        <v>0</v>
      </c>
      <c r="M59" s="49"/>
      <c r="N59" s="22">
        <f>SUMIF(Estimation!$A$75:$A$136,$C59,Estimation!Z$75:Z$136)</f>
        <v>0</v>
      </c>
      <c r="O59" s="49"/>
      <c r="P59" s="22">
        <f t="shared" si="4"/>
        <v>0</v>
      </c>
      <c r="Q59" s="49"/>
      <c r="R59" s="17"/>
    </row>
    <row r="60" spans="2:18" outlineLevel="1" x14ac:dyDescent="0.25">
      <c r="C60" s="23" t="str">
        <f>Estimation!D319</f>
        <v>Hourly Student Summer</v>
      </c>
      <c r="E60" s="49"/>
      <c r="F60" s="22">
        <f>SUMIF(Estimation!$A$75:$A$136,$C60,Estimation!J$75:J$136)</f>
        <v>0</v>
      </c>
      <c r="G60" s="49"/>
      <c r="H60" s="22">
        <f>SUMIF(Estimation!$A$75:$A$136,$C60,Estimation!N$75:N$136)</f>
        <v>0</v>
      </c>
      <c r="I60" s="49"/>
      <c r="J60" s="22">
        <f>SUMIF(Estimation!$A$75:$A$136,$C60,Estimation!R$75:R$136)</f>
        <v>0</v>
      </c>
      <c r="K60" s="49"/>
      <c r="L60" s="22">
        <f>SUMIF(Estimation!$A$75:$A$136,$C60,Estimation!V$75:V$136)</f>
        <v>0</v>
      </c>
      <c r="M60" s="49"/>
      <c r="N60" s="22">
        <f>SUMIF(Estimation!$A$75:$A$136,$C60,Estimation!Z$75:Z$136)</f>
        <v>0</v>
      </c>
      <c r="O60" s="49"/>
      <c r="P60" s="22">
        <f t="shared" si="4"/>
        <v>0</v>
      </c>
      <c r="Q60" s="49"/>
      <c r="R60" s="17"/>
    </row>
    <row r="61" spans="2:18" outlineLevel="1" x14ac:dyDescent="0.25">
      <c r="C61" s="23" t="str">
        <f>Estimation!D320</f>
        <v>Hourly Student AY</v>
      </c>
      <c r="E61" s="49"/>
      <c r="F61" s="22">
        <f>SUMIF(Estimation!$A$75:$A$136,$C61,Estimation!J$75:J$136)</f>
        <v>0</v>
      </c>
      <c r="G61" s="49"/>
      <c r="H61" s="22">
        <f>SUMIF(Estimation!$A$75:$A$136,$C61,Estimation!N$75:N$136)</f>
        <v>0</v>
      </c>
      <c r="I61" s="49"/>
      <c r="J61" s="22">
        <f>SUMIF(Estimation!$A$75:$A$136,$C61,Estimation!R$75:R$136)</f>
        <v>0</v>
      </c>
      <c r="K61" s="49"/>
      <c r="L61" s="22">
        <f>SUMIF(Estimation!$A$75:$A$136,$C61,Estimation!V$75:V$136)</f>
        <v>0</v>
      </c>
      <c r="M61" s="49"/>
      <c r="N61" s="22">
        <f>SUMIF(Estimation!$A$75:$A$136,$C61,Estimation!Z$75:Z$136)</f>
        <v>0</v>
      </c>
      <c r="O61" s="49"/>
      <c r="P61" s="22">
        <f t="shared" si="4"/>
        <v>0</v>
      </c>
      <c r="Q61" s="49"/>
      <c r="R61" s="17"/>
    </row>
    <row r="62" spans="2:18" outlineLevel="1" x14ac:dyDescent="0.25">
      <c r="C62" s="23" t="str">
        <f>Estimation!D321</f>
        <v>Hourly Temp Employee</v>
      </c>
      <c r="E62" s="49"/>
      <c r="F62" s="22">
        <f>SUMIF(Estimation!$A$75:$A$136,$C62,Estimation!J$75:J$136)</f>
        <v>0</v>
      </c>
      <c r="G62" s="49"/>
      <c r="H62" s="22">
        <f>SUMIF(Estimation!$A$75:$A$136,$C62,Estimation!N$75:N$136)</f>
        <v>0</v>
      </c>
      <c r="I62" s="49"/>
      <c r="J62" s="22">
        <f>SUMIF(Estimation!$A$75:$A$136,$C62,Estimation!R$75:R$136)</f>
        <v>0</v>
      </c>
      <c r="K62" s="49"/>
      <c r="L62" s="22">
        <f>SUMIF(Estimation!$A$75:$A$136,$C62,Estimation!V$75:V$136)</f>
        <v>0</v>
      </c>
      <c r="M62" s="49"/>
      <c r="N62" s="22">
        <f>SUMIF(Estimation!$A$75:$A$136,$C62,Estimation!Z$75:Z$136)</f>
        <v>0</v>
      </c>
      <c r="O62" s="49"/>
      <c r="P62" s="22">
        <f t="shared" si="4"/>
        <v>0</v>
      </c>
      <c r="Q62" s="49"/>
      <c r="R62" s="17"/>
    </row>
    <row r="63" spans="2:18" ht="7.5" customHeight="1" x14ac:dyDescent="0.25">
      <c r="C63" s="23"/>
      <c r="E63" s="50"/>
      <c r="F63" s="51"/>
      <c r="G63" s="50"/>
      <c r="H63" s="51"/>
      <c r="I63" s="50"/>
      <c r="J63" s="51"/>
      <c r="K63" s="50"/>
      <c r="L63" s="51"/>
      <c r="M63" s="50"/>
      <c r="N63" s="51"/>
      <c r="O63" s="50"/>
      <c r="P63" s="51"/>
      <c r="Q63" s="50"/>
      <c r="R63" s="17"/>
    </row>
    <row r="64" spans="2:18" x14ac:dyDescent="0.25">
      <c r="B64" s="23"/>
      <c r="C64" s="23"/>
      <c r="D64" s="62" t="s">
        <v>7</v>
      </c>
      <c r="E64" s="49"/>
      <c r="F64" s="22">
        <f>SUM(F49:F62)</f>
        <v>0</v>
      </c>
      <c r="G64" s="49"/>
      <c r="H64" s="22">
        <f>SUM(H49:H62)</f>
        <v>0</v>
      </c>
      <c r="I64" s="49"/>
      <c r="J64" s="22">
        <f>SUM(J49:J62)</f>
        <v>0</v>
      </c>
      <c r="K64" s="49"/>
      <c r="L64" s="22">
        <f>SUM(L49:L62)</f>
        <v>0</v>
      </c>
      <c r="M64" s="49"/>
      <c r="N64" s="22">
        <f>SUM(N49:N62)</f>
        <v>0</v>
      </c>
      <c r="O64" s="49"/>
      <c r="P64" s="22">
        <f>SUM(F64:N64)</f>
        <v>0</v>
      </c>
      <c r="Q64" s="49"/>
      <c r="R64" s="17"/>
    </row>
    <row r="65" spans="2:18" x14ac:dyDescent="0.25">
      <c r="B65" s="23"/>
      <c r="C65" s="23"/>
      <c r="D65" s="48"/>
      <c r="E65" s="49"/>
      <c r="F65" s="22"/>
      <c r="G65" s="49"/>
      <c r="H65" s="22"/>
      <c r="I65" s="49"/>
      <c r="J65" s="22"/>
      <c r="K65" s="49"/>
      <c r="L65" s="22"/>
      <c r="M65" s="49"/>
      <c r="N65" s="22"/>
      <c r="O65" s="49"/>
      <c r="P65" s="22"/>
      <c r="Q65" s="49"/>
      <c r="R65" s="17"/>
    </row>
    <row r="66" spans="2:18" x14ac:dyDescent="0.25">
      <c r="B66" s="24" t="s">
        <v>98</v>
      </c>
      <c r="C66" s="24"/>
      <c r="D66" s="23"/>
      <c r="E66" s="49"/>
      <c r="F66" s="22"/>
      <c r="G66" s="49"/>
      <c r="H66" s="22"/>
      <c r="I66" s="49"/>
      <c r="J66" s="22"/>
      <c r="K66" s="49"/>
      <c r="L66" s="22"/>
      <c r="M66" s="49"/>
      <c r="N66" s="22"/>
      <c r="O66" s="49"/>
      <c r="P66" s="22"/>
      <c r="Q66" s="49"/>
      <c r="R66" s="17"/>
    </row>
    <row r="67" spans="2:18" x14ac:dyDescent="0.25">
      <c r="C67" s="23" t="str">
        <f>Estimation!A145</f>
        <v>63199 - Capital Equipment</v>
      </c>
      <c r="E67" s="49"/>
      <c r="F67" s="22">
        <f>SUMIF(Estimation!$A$16:$A$282,$C67,Estimation!J$16:J$282)</f>
        <v>0</v>
      </c>
      <c r="G67" s="49"/>
      <c r="H67" s="22">
        <f>SUMIF(Estimation!$A$16:$A$282,$C67,Estimation!N$16:N$282)</f>
        <v>0</v>
      </c>
      <c r="I67" s="49"/>
      <c r="J67" s="22">
        <f>SUMIF(Estimation!$A$16:$A$282,$C67,Estimation!R$16:R$282)</f>
        <v>0</v>
      </c>
      <c r="K67" s="49"/>
      <c r="L67" s="22">
        <f>SUMIF(Estimation!$A$16:$A$282,$C67,Estimation!V$16:V$282)</f>
        <v>0</v>
      </c>
      <c r="M67" s="49"/>
      <c r="N67" s="22">
        <f>SUMIF(Estimation!$A$16:$A$282,$C67,Estimation!Z$16:Z$282)</f>
        <v>0</v>
      </c>
      <c r="O67" s="49"/>
      <c r="P67" s="22">
        <f>SUM(F67:N67)</f>
        <v>0</v>
      </c>
      <c r="Q67" s="49"/>
      <c r="R67" s="17"/>
    </row>
    <row r="68" spans="2:18" ht="8.25" customHeight="1" x14ac:dyDescent="0.25">
      <c r="C68" s="23"/>
      <c r="E68" s="50"/>
      <c r="F68" s="51"/>
      <c r="G68" s="50"/>
      <c r="H68" s="51"/>
      <c r="I68" s="50"/>
      <c r="J68" s="51"/>
      <c r="K68" s="50"/>
      <c r="L68" s="51"/>
      <c r="M68" s="50"/>
      <c r="N68" s="51"/>
      <c r="O68" s="50"/>
      <c r="P68" s="51"/>
      <c r="Q68" s="50"/>
      <c r="R68" s="17"/>
    </row>
    <row r="69" spans="2:18" x14ac:dyDescent="0.25">
      <c r="B69" s="23"/>
      <c r="C69" s="23"/>
      <c r="D69" s="62" t="s">
        <v>93</v>
      </c>
      <c r="E69" s="49"/>
      <c r="F69" s="22">
        <f>F67</f>
        <v>0</v>
      </c>
      <c r="G69" s="49"/>
      <c r="H69" s="22">
        <f>H67</f>
        <v>0</v>
      </c>
      <c r="I69" s="49"/>
      <c r="J69" s="22">
        <f>J67</f>
        <v>0</v>
      </c>
      <c r="K69" s="49"/>
      <c r="L69" s="22">
        <f>L67</f>
        <v>0</v>
      </c>
      <c r="M69" s="49"/>
      <c r="N69" s="22">
        <f>N67</f>
        <v>0</v>
      </c>
      <c r="O69" s="49"/>
      <c r="P69" s="22">
        <f>SUM(F69:N69)</f>
        <v>0</v>
      </c>
      <c r="Q69" s="49"/>
      <c r="R69" s="17"/>
    </row>
    <row r="70" spans="2:18" x14ac:dyDescent="0.25">
      <c r="B70" s="24"/>
      <c r="C70" s="24"/>
      <c r="D70" s="24"/>
      <c r="E70" s="49"/>
      <c r="F70" s="22"/>
      <c r="G70" s="49"/>
      <c r="H70" s="22"/>
      <c r="I70" s="49"/>
      <c r="J70" s="22"/>
      <c r="K70" s="49"/>
      <c r="L70" s="22"/>
      <c r="M70" s="49"/>
      <c r="N70" s="22"/>
      <c r="O70" s="49"/>
      <c r="P70" s="22"/>
      <c r="Q70" s="49"/>
      <c r="R70" s="17"/>
    </row>
    <row r="71" spans="2:18" x14ac:dyDescent="0.25">
      <c r="B71" s="24" t="s">
        <v>99</v>
      </c>
      <c r="C71" s="24"/>
      <c r="D71" s="24"/>
      <c r="E71" s="49"/>
      <c r="F71" s="22"/>
      <c r="G71" s="49"/>
      <c r="H71" s="22"/>
      <c r="I71" s="49"/>
      <c r="J71" s="22"/>
      <c r="K71" s="49"/>
      <c r="L71" s="22"/>
      <c r="M71" s="49"/>
      <c r="N71" s="22"/>
      <c r="O71" s="49"/>
      <c r="P71" s="22"/>
      <c r="Q71" s="49"/>
      <c r="R71" s="17"/>
    </row>
    <row r="72" spans="2:18" x14ac:dyDescent="0.25">
      <c r="C72" s="23" t="str">
        <f>Estimation!D341</f>
        <v>62499 - Domestic Travel</v>
      </c>
      <c r="E72" s="49"/>
      <c r="F72" s="22">
        <f>SUMIF(Estimation!$A$153:$A$215,$C72,Estimation!J$153:J$215)</f>
        <v>0</v>
      </c>
      <c r="G72" s="49"/>
      <c r="H72" s="22">
        <f>SUMIF(Estimation!$A$153:$A$215,$C72,Estimation!N$153:N$215)</f>
        <v>0</v>
      </c>
      <c r="I72" s="49"/>
      <c r="J72" s="22">
        <f>SUMIF(Estimation!$A$153:$A$215,$C72,Estimation!R$153:R$215)</f>
        <v>0</v>
      </c>
      <c r="K72" s="49"/>
      <c r="L72" s="22">
        <f>SUMIF(Estimation!$A$153:$A$215,$C72,Estimation!V$153:V$215)</f>
        <v>0</v>
      </c>
      <c r="M72" s="49"/>
      <c r="N72" s="22">
        <f>SUMIF(Estimation!$A$153:$A$215,$C72,Estimation!Z$153:Z$215)</f>
        <v>0</v>
      </c>
      <c r="O72" s="49"/>
      <c r="P72" s="22">
        <f>SUM(F72:N72)</f>
        <v>0</v>
      </c>
      <c r="Q72" s="49"/>
      <c r="R72" s="17"/>
    </row>
    <row r="73" spans="2:18" x14ac:dyDescent="0.25">
      <c r="C73" s="23" t="str">
        <f>Estimation!D342</f>
        <v>62426 - International Travel</v>
      </c>
      <c r="E73" s="49"/>
      <c r="F73" s="22">
        <f>SUMIF(Estimation!$A$153:$A$215,$C73,Estimation!J$153:J$215)</f>
        <v>0</v>
      </c>
      <c r="G73" s="49"/>
      <c r="H73" s="22">
        <f>SUMIF(Estimation!$A$153:$A$215,$C73,Estimation!N$153:N$215)</f>
        <v>0</v>
      </c>
      <c r="I73" s="49"/>
      <c r="J73" s="22">
        <f>SUMIF(Estimation!$A$153:$A$215,$C73,Estimation!R$153:R$215)</f>
        <v>0</v>
      </c>
      <c r="K73" s="49"/>
      <c r="L73" s="22">
        <f>SUMIF(Estimation!$A$153:$A$215,$C73,Estimation!V$153:V$215)</f>
        <v>0</v>
      </c>
      <c r="M73" s="49"/>
      <c r="N73" s="22">
        <f>SUMIF(Estimation!$A$153:$A$215,$C73,Estimation!Z$153:Z$215)</f>
        <v>0</v>
      </c>
      <c r="O73" s="49"/>
      <c r="P73" s="22">
        <f>SUM(F73:N73)</f>
        <v>0</v>
      </c>
      <c r="Q73" s="49"/>
      <c r="R73" s="17"/>
    </row>
    <row r="74" spans="2:18" ht="8.25" customHeight="1" x14ac:dyDescent="0.25">
      <c r="C74" s="23"/>
      <c r="E74" s="50"/>
      <c r="F74" s="51"/>
      <c r="G74" s="50"/>
      <c r="H74" s="51"/>
      <c r="I74" s="50"/>
      <c r="J74" s="51"/>
      <c r="K74" s="50"/>
      <c r="L74" s="51"/>
      <c r="M74" s="50"/>
      <c r="N74" s="51"/>
      <c r="O74" s="50"/>
      <c r="P74" s="51"/>
      <c r="Q74" s="50"/>
      <c r="R74" s="17"/>
    </row>
    <row r="75" spans="2:18" x14ac:dyDescent="0.25">
      <c r="B75" s="23"/>
      <c r="C75" s="23"/>
      <c r="D75" s="62" t="s">
        <v>21</v>
      </c>
      <c r="E75" s="49"/>
      <c r="F75" s="22">
        <f>SUM(F72:F73)</f>
        <v>0</v>
      </c>
      <c r="G75" s="49"/>
      <c r="H75" s="22">
        <f>SUM(H72:H73)</f>
        <v>0</v>
      </c>
      <c r="I75" s="49"/>
      <c r="J75" s="22">
        <f>SUM(J72:J73)</f>
        <v>0</v>
      </c>
      <c r="K75" s="49"/>
      <c r="L75" s="22">
        <f>SUM(L72:L73)</f>
        <v>0</v>
      </c>
      <c r="M75" s="49"/>
      <c r="N75" s="22">
        <f>SUM(N72:N73)</f>
        <v>0</v>
      </c>
      <c r="O75" s="49"/>
      <c r="P75" s="22">
        <f>SUM(F75:N75)</f>
        <v>0</v>
      </c>
      <c r="Q75" s="49"/>
      <c r="R75" s="17"/>
    </row>
    <row r="76" spans="2:18" x14ac:dyDescent="0.25">
      <c r="B76" s="23"/>
      <c r="C76" s="23"/>
      <c r="D76" s="23"/>
      <c r="E76" s="49"/>
      <c r="F76" s="22"/>
      <c r="G76" s="49"/>
      <c r="H76" s="22"/>
      <c r="I76" s="49"/>
      <c r="J76" s="22"/>
      <c r="K76" s="49"/>
      <c r="L76" s="22"/>
      <c r="M76" s="49"/>
      <c r="N76" s="22"/>
      <c r="O76" s="49"/>
      <c r="P76" s="22"/>
      <c r="Q76" s="49"/>
      <c r="R76" s="17"/>
    </row>
    <row r="77" spans="2:18" x14ac:dyDescent="0.25">
      <c r="B77" s="24" t="s">
        <v>102</v>
      </c>
      <c r="C77" s="24"/>
      <c r="D77" s="24"/>
      <c r="E77" s="49"/>
      <c r="F77" s="22"/>
      <c r="G77" s="49"/>
      <c r="H77" s="22"/>
      <c r="I77" s="49"/>
      <c r="J77" s="22"/>
      <c r="K77" s="49"/>
      <c r="L77" s="22"/>
      <c r="M77" s="49"/>
      <c r="N77" s="22"/>
      <c r="O77" s="49"/>
      <c r="P77" s="22"/>
      <c r="Q77" s="49"/>
      <c r="R77" s="17"/>
    </row>
    <row r="78" spans="2:18" x14ac:dyDescent="0.25">
      <c r="B78" s="24"/>
      <c r="C78" s="23" t="s">
        <v>213</v>
      </c>
      <c r="D78" s="24"/>
      <c r="E78" s="49"/>
      <c r="F78" s="22">
        <f>SUMIF(Estimation!$A$16:$A$282,$C78,Estimation!J$16:J$282)</f>
        <v>0</v>
      </c>
      <c r="G78" s="49"/>
      <c r="H78" s="22">
        <f>SUMIF(Estimation!$A$16:$A$282,$C78,Estimation!N$16:N$282)</f>
        <v>0</v>
      </c>
      <c r="I78" s="49"/>
      <c r="J78" s="22">
        <f>SUMIF(Estimation!$A$16:$A$282,$C78,Estimation!R$16:R$282)</f>
        <v>0</v>
      </c>
      <c r="K78" s="49"/>
      <c r="L78" s="22">
        <f>SUMIF(Estimation!$A$16:$A$282,$C78,Estimation!V$16:V$282)</f>
        <v>0</v>
      </c>
      <c r="M78" s="49"/>
      <c r="N78" s="22">
        <f>SUMIF(Estimation!$A$16:$A$282,$C78,Estimation!Z$16:Z$282)</f>
        <v>0</v>
      </c>
      <c r="O78" s="49"/>
      <c r="P78" s="22">
        <f t="shared" ref="P78:P80" si="5">SUM(F78:N78)</f>
        <v>0</v>
      </c>
      <c r="Q78" s="49"/>
      <c r="R78" s="17"/>
    </row>
    <row r="79" spans="2:18" x14ac:dyDescent="0.25">
      <c r="B79" s="24"/>
      <c r="C79" s="23" t="s">
        <v>214</v>
      </c>
      <c r="D79" s="24"/>
      <c r="E79" s="49"/>
      <c r="F79" s="22">
        <f>SUMIF(Estimation!$A$16:$A$282,$C79,Estimation!J$16:J$282)</f>
        <v>0</v>
      </c>
      <c r="G79" s="49"/>
      <c r="H79" s="22">
        <f>SUMIF(Estimation!$A$16:$A$282,$C79,Estimation!N$16:N$282)</f>
        <v>0</v>
      </c>
      <c r="I79" s="49"/>
      <c r="J79" s="22">
        <f>SUMIF(Estimation!$A$16:$A$282,$C79,Estimation!R$16:R$282)</f>
        <v>0</v>
      </c>
      <c r="K79" s="49"/>
      <c r="L79" s="22">
        <f>SUMIF(Estimation!$A$16:$A$282,$C79,Estimation!V$16:V$282)</f>
        <v>0</v>
      </c>
      <c r="M79" s="49"/>
      <c r="N79" s="22">
        <f>SUMIF(Estimation!$A$16:$A$282,$C79,Estimation!Z$16:Z$282)</f>
        <v>0</v>
      </c>
      <c r="O79" s="49"/>
      <c r="P79" s="22">
        <f t="shared" si="5"/>
        <v>0</v>
      </c>
      <c r="Q79" s="49"/>
      <c r="R79" s="17"/>
    </row>
    <row r="80" spans="2:18" x14ac:dyDescent="0.25">
      <c r="B80" s="24"/>
      <c r="C80" s="23" t="s">
        <v>216</v>
      </c>
      <c r="D80" s="24"/>
      <c r="E80" s="49"/>
      <c r="F80" s="22">
        <f>SUMIF(Estimation!$A$16:$A$282,$C80,Estimation!J$16:J$282)</f>
        <v>0</v>
      </c>
      <c r="G80" s="49"/>
      <c r="H80" s="22">
        <f>SUMIF(Estimation!$A$16:$A$282,$C80,Estimation!N$16:N$282)</f>
        <v>0</v>
      </c>
      <c r="I80" s="49"/>
      <c r="J80" s="22">
        <f>SUMIF(Estimation!$A$16:$A$282,$C80,Estimation!R$16:R$282)</f>
        <v>0</v>
      </c>
      <c r="K80" s="49"/>
      <c r="L80" s="22">
        <f>SUMIF(Estimation!$A$16:$A$282,$C80,Estimation!V$16:V$282)</f>
        <v>0</v>
      </c>
      <c r="M80" s="49"/>
      <c r="N80" s="22">
        <f>SUMIF(Estimation!$A$16:$A$282,$C80,Estimation!Z$16:Z$282)</f>
        <v>0</v>
      </c>
      <c r="O80" s="49"/>
      <c r="P80" s="22">
        <f t="shared" si="5"/>
        <v>0</v>
      </c>
      <c r="Q80" s="49"/>
      <c r="R80" s="17"/>
    </row>
    <row r="81" spans="2:30" x14ac:dyDescent="0.25">
      <c r="C81" s="23" t="s">
        <v>218</v>
      </c>
      <c r="E81" s="49"/>
      <c r="F81" s="22">
        <f>SUMIF(Estimation!$A$16:$A$282,$C81,Estimation!J$16:J$282)</f>
        <v>0</v>
      </c>
      <c r="G81" s="49"/>
      <c r="H81" s="22">
        <f>SUMIF(Estimation!$A$16:$A$282,$C81,Estimation!N$16:N$282)</f>
        <v>0</v>
      </c>
      <c r="I81" s="49"/>
      <c r="J81" s="22">
        <f>SUMIF(Estimation!$A$16:$A$282,$C81,Estimation!R$16:R$282)</f>
        <v>0</v>
      </c>
      <c r="K81" s="49"/>
      <c r="L81" s="22">
        <f>SUMIF(Estimation!$A$16:$A$282,$C81,Estimation!V$16:V$282)</f>
        <v>0</v>
      </c>
      <c r="M81" s="49"/>
      <c r="N81" s="22">
        <f>SUMIF(Estimation!$A$16:$A$282,$C81,Estimation!Z$16:Z$282)</f>
        <v>0</v>
      </c>
      <c r="O81" s="49"/>
      <c r="P81" s="22">
        <f>SUM(F81:N81)</f>
        <v>0</v>
      </c>
      <c r="Q81" s="49"/>
      <c r="R81" s="17"/>
    </row>
    <row r="82" spans="2:30" x14ac:dyDescent="0.25">
      <c r="C82" s="23" t="s">
        <v>215</v>
      </c>
      <c r="E82" s="49"/>
      <c r="F82" s="22">
        <f>SUMIF(Estimation!$A$16:$A$282,$C82,Estimation!J$16:J$282)</f>
        <v>0</v>
      </c>
      <c r="G82" s="49"/>
      <c r="H82" s="22">
        <f>SUMIF(Estimation!$A$16:$A$282,$C82,Estimation!N$16:N$282)</f>
        <v>0</v>
      </c>
      <c r="I82" s="49"/>
      <c r="J82" s="22">
        <f>SUMIF(Estimation!$A$16:$A$282,$C82,Estimation!R$16:R$282)</f>
        <v>0</v>
      </c>
      <c r="K82" s="49"/>
      <c r="L82" s="22">
        <f>SUMIF(Estimation!$A$16:$A$282,$C82,Estimation!V$16:V$282)</f>
        <v>0</v>
      </c>
      <c r="M82" s="49"/>
      <c r="N82" s="22">
        <f>SUMIF(Estimation!$A$16:$A$282,$C82,Estimation!Z$16:Z$282)</f>
        <v>0</v>
      </c>
      <c r="O82" s="49"/>
      <c r="P82" s="22">
        <f>SUM(F82:N82)</f>
        <v>0</v>
      </c>
      <c r="Q82" s="49"/>
      <c r="R82" s="17"/>
    </row>
    <row r="83" spans="2:30" ht="8.25" customHeight="1" x14ac:dyDescent="0.25">
      <c r="C83" s="23"/>
      <c r="E83" s="50"/>
      <c r="F83" s="51"/>
      <c r="G83" s="50"/>
      <c r="H83" s="51"/>
      <c r="I83" s="50"/>
      <c r="J83" s="51"/>
      <c r="K83" s="50"/>
      <c r="L83" s="51"/>
      <c r="M83" s="50"/>
      <c r="N83" s="51"/>
      <c r="O83" s="50"/>
      <c r="P83" s="51"/>
      <c r="Q83" s="50"/>
      <c r="R83" s="17"/>
    </row>
    <row r="84" spans="2:30" x14ac:dyDescent="0.25">
      <c r="B84" s="23"/>
      <c r="C84" s="23"/>
      <c r="D84" s="62" t="s">
        <v>42</v>
      </c>
      <c r="E84" s="49"/>
      <c r="F84" s="22">
        <f>SUM(F81:F81)</f>
        <v>0</v>
      </c>
      <c r="G84" s="49"/>
      <c r="H84" s="22">
        <f>SUM(H81:H81)</f>
        <v>0</v>
      </c>
      <c r="I84" s="49"/>
      <c r="J84" s="22">
        <f>SUM(J81:J81)</f>
        <v>0</v>
      </c>
      <c r="K84" s="49"/>
      <c r="L84" s="22">
        <f>SUM(L81:L81)</f>
        <v>0</v>
      </c>
      <c r="M84" s="49"/>
      <c r="N84" s="22">
        <f>SUM(N81:N81)</f>
        <v>0</v>
      </c>
      <c r="O84" s="49"/>
      <c r="P84" s="22">
        <f>SUM(F84:N84)</f>
        <v>0</v>
      </c>
      <c r="Q84" s="49"/>
      <c r="R84" s="17"/>
    </row>
    <row r="85" spans="2:30" x14ac:dyDescent="0.25">
      <c r="B85" s="23"/>
      <c r="C85" s="23"/>
      <c r="D85" s="23"/>
      <c r="E85" s="49"/>
      <c r="F85" s="22"/>
      <c r="G85" s="49"/>
      <c r="H85" s="22"/>
      <c r="I85" s="49"/>
      <c r="J85" s="22"/>
      <c r="K85" s="49"/>
      <c r="L85" s="22"/>
      <c r="M85" s="49"/>
      <c r="N85" s="22"/>
      <c r="O85" s="49"/>
      <c r="P85" s="22"/>
      <c r="Q85" s="49"/>
      <c r="R85" s="17"/>
    </row>
    <row r="86" spans="2:30" x14ac:dyDescent="0.25">
      <c r="B86" s="24" t="s">
        <v>103</v>
      </c>
      <c r="C86" s="24"/>
      <c r="D86" s="24"/>
      <c r="E86" s="49"/>
      <c r="F86" s="22"/>
      <c r="G86" s="49"/>
      <c r="H86" s="22"/>
      <c r="I86" s="49"/>
      <c r="J86" s="22"/>
      <c r="K86" s="49"/>
      <c r="L86" s="22"/>
      <c r="M86" s="49"/>
      <c r="N86" s="22"/>
      <c r="O86" s="49"/>
      <c r="P86" s="22"/>
      <c r="Q86" s="49"/>
      <c r="R86" s="17"/>
    </row>
    <row r="87" spans="2:30" outlineLevel="1" x14ac:dyDescent="0.25">
      <c r="C87" s="23" t="s">
        <v>192</v>
      </c>
      <c r="D87" s="24"/>
      <c r="E87" s="49"/>
      <c r="F87" s="22">
        <f>SUMIF(Estimation!$A$234:$A$274,$C87,Estimation!J$234:J$274)</f>
        <v>0</v>
      </c>
      <c r="G87" s="49"/>
      <c r="H87" s="22">
        <f>SUMIF(Estimation!$A$234:$A$274,$C87,Estimation!N$234:N$274)</f>
        <v>0</v>
      </c>
      <c r="I87" s="49"/>
      <c r="J87" s="22">
        <f>SUMIF(Estimation!$A$234:$A274,$C87,Estimation!R$234:R$274)</f>
        <v>0</v>
      </c>
      <c r="K87" s="49"/>
      <c r="L87" s="22">
        <f>SUMIF(Estimation!$A$234:$A274,$C87,Estimation!V$234:V$274)</f>
        <v>0</v>
      </c>
      <c r="M87" s="49"/>
      <c r="N87" s="22">
        <f>SUMIF(Estimation!$A$234:$A274,$C87,Estimation!Z$234:Z$274)</f>
        <v>0</v>
      </c>
      <c r="O87" s="49"/>
      <c r="P87" s="22">
        <f t="shared" ref="P87:P89" si="6">SUM(F87:N87)</f>
        <v>0</v>
      </c>
      <c r="Q87" s="49"/>
      <c r="R87" s="17"/>
    </row>
    <row r="88" spans="2:30" s="11" customFormat="1" outlineLevel="1" x14ac:dyDescent="0.25">
      <c r="C88" s="23" t="str">
        <f>Estimation!D345</f>
        <v>62199 - Contract/Consulting Services</v>
      </c>
      <c r="D88" s="39"/>
      <c r="E88" s="49"/>
      <c r="F88" s="22">
        <f>SUMIF(Estimation!$A$234:$A$274,$C88,Estimation!J$234:J$274)</f>
        <v>0</v>
      </c>
      <c r="G88" s="49"/>
      <c r="H88" s="22">
        <f>SUMIF(Estimation!$A$234:$A$274,$C88,Estimation!N$234:N$274)</f>
        <v>0</v>
      </c>
      <c r="I88" s="49"/>
      <c r="J88" s="22">
        <f ca="1">SUMIF(Estimation!$A$234:$A275,$C88,Estimation!R$234:R$274)</f>
        <v>0</v>
      </c>
      <c r="K88" s="49"/>
      <c r="L88" s="22">
        <f ca="1">SUMIF(Estimation!$A$234:$A275,$C88,Estimation!V$234:V$274)</f>
        <v>0</v>
      </c>
      <c r="M88" s="49"/>
      <c r="N88" s="22">
        <f ca="1">SUMIF(Estimation!$A$234:$A275,$C88,Estimation!Z$234:Z$274)</f>
        <v>0</v>
      </c>
      <c r="O88" s="49"/>
      <c r="P88" s="22">
        <f t="shared" ca="1" si="6"/>
        <v>0</v>
      </c>
      <c r="Q88" s="49"/>
      <c r="R88" s="29"/>
      <c r="T88" s="8"/>
      <c r="U88" s="8"/>
      <c r="V88" s="8"/>
      <c r="W88" s="8"/>
      <c r="X88" s="8"/>
      <c r="Y88" s="8"/>
      <c r="Z88" s="8"/>
      <c r="AA88" s="8"/>
      <c r="AB88" s="8"/>
      <c r="AC88" s="8"/>
      <c r="AD88" s="8"/>
    </row>
    <row r="89" spans="2:30" s="11" customFormat="1" outlineLevel="1" x14ac:dyDescent="0.25">
      <c r="C89" s="23" t="s">
        <v>217</v>
      </c>
      <c r="D89" s="39"/>
      <c r="E89" s="49"/>
      <c r="F89" s="22">
        <f>SUMIF(Estimation!$A$234:$A$274,$C89,Estimation!J$234:J$274)</f>
        <v>0</v>
      </c>
      <c r="G89" s="49"/>
      <c r="H89" s="22">
        <f>SUMIF(Estimation!$A$234:$A$274,$C89,Estimation!N$234:N$274)</f>
        <v>0</v>
      </c>
      <c r="I89" s="49"/>
      <c r="J89" s="22">
        <f ca="1">SUMIF(Estimation!$A$234:$A276,$C89,Estimation!R$234:R$274)</f>
        <v>0</v>
      </c>
      <c r="K89" s="49"/>
      <c r="L89" s="22">
        <f ca="1">SUMIF(Estimation!$A$234:$A276,$C89,Estimation!V$234:V$274)</f>
        <v>0</v>
      </c>
      <c r="M89" s="49"/>
      <c r="N89" s="22">
        <f ca="1">SUMIF(Estimation!$A$234:$A276,$C89,Estimation!Z$234:Z$274)</f>
        <v>0</v>
      </c>
      <c r="O89" s="49"/>
      <c r="P89" s="22">
        <f t="shared" ca="1" si="6"/>
        <v>0</v>
      </c>
      <c r="Q89" s="49"/>
      <c r="R89" s="29"/>
      <c r="T89" s="8"/>
      <c r="U89" s="8"/>
      <c r="V89" s="8"/>
      <c r="W89" s="8"/>
      <c r="X89" s="8"/>
      <c r="Y89" s="8"/>
      <c r="Z89" s="8"/>
      <c r="AA89" s="8"/>
      <c r="AB89" s="8"/>
      <c r="AC89" s="8"/>
      <c r="AD89" s="8"/>
    </row>
    <row r="90" spans="2:30" outlineLevel="1" x14ac:dyDescent="0.25">
      <c r="C90" s="23" t="str">
        <f>Estimation!D348</f>
        <v>62214 - Printing</v>
      </c>
      <c r="E90" s="49"/>
      <c r="F90" s="22">
        <f>SUMIF(Estimation!$A$234:$A$274,$C90,Estimation!J$234:J$274)</f>
        <v>0</v>
      </c>
      <c r="G90" s="49"/>
      <c r="H90" s="22">
        <f>SUMIF(Estimation!$A$234:$A$274,$C90,Estimation!N$234:N$274)</f>
        <v>0</v>
      </c>
      <c r="I90" s="49"/>
      <c r="J90" s="22">
        <f ca="1">SUMIF(Estimation!$A$234:$A276,$C90,Estimation!R$234:R$274)</f>
        <v>0</v>
      </c>
      <c r="K90" s="49"/>
      <c r="L90" s="22">
        <f ca="1">SUMIF(Estimation!$A$234:$A276,$C90,Estimation!V$234:V$274)</f>
        <v>0</v>
      </c>
      <c r="M90" s="49"/>
      <c r="N90" s="22">
        <f ca="1">SUMIF(Estimation!$A$234:$A276,$C90,Estimation!Z$234:Z$274)</f>
        <v>0</v>
      </c>
      <c r="O90" s="49"/>
      <c r="P90" s="22">
        <f t="shared" ref="P90" ca="1" si="7">SUM(F90:N90)</f>
        <v>0</v>
      </c>
      <c r="Q90" s="49"/>
      <c r="R90" s="17"/>
      <c r="T90" s="11"/>
      <c r="U90" s="11"/>
      <c r="V90" s="11"/>
      <c r="W90" s="11"/>
      <c r="X90" s="11"/>
      <c r="Y90" s="11"/>
      <c r="Z90" s="11"/>
      <c r="AA90" s="11"/>
      <c r="AB90" s="11"/>
      <c r="AC90" s="11"/>
      <c r="AD90" s="11"/>
    </row>
    <row r="91" spans="2:30" outlineLevel="1" x14ac:dyDescent="0.25">
      <c r="C91" s="23" t="str">
        <f>Estimation!D349</f>
        <v>62293 - Publication</v>
      </c>
      <c r="E91" s="49"/>
      <c r="F91" s="22">
        <f>SUMIF(Estimation!$A$234:$A$274,$C91,Estimation!J$234:J$274)</f>
        <v>0</v>
      </c>
      <c r="G91" s="49"/>
      <c r="H91" s="22">
        <f>SUMIF(Estimation!$A$234:$A$274,$C91,Estimation!N$234:N$274)</f>
        <v>0</v>
      </c>
      <c r="I91" s="49"/>
      <c r="J91" s="22">
        <f ca="1">SUMIF(Estimation!$A$234:$A277,$C91,Estimation!R$234:R$274)</f>
        <v>0</v>
      </c>
      <c r="K91" s="49"/>
      <c r="L91" s="22">
        <f ca="1">SUMIF(Estimation!$A$234:$A277,$C91,Estimation!V$234:V$274)</f>
        <v>0</v>
      </c>
      <c r="M91" s="49"/>
      <c r="N91" s="22">
        <f ca="1">SUMIF(Estimation!$A$234:$A277,$C91,Estimation!Z$234:Z$274)</f>
        <v>0</v>
      </c>
      <c r="O91" s="49"/>
      <c r="P91" s="22">
        <f t="shared" ref="P91:P109" ca="1" si="8">SUM(F91:N91)</f>
        <v>0</v>
      </c>
      <c r="Q91" s="49"/>
      <c r="R91" s="17"/>
    </row>
    <row r="92" spans="2:30" outlineLevel="1" x14ac:dyDescent="0.25">
      <c r="C92" s="23" t="str">
        <f>Estimation!D350</f>
        <v>62299 - Supplies</v>
      </c>
      <c r="E92" s="49"/>
      <c r="F92" s="22">
        <f>SUMIF(Estimation!$A$234:$A$274,$C92,Estimation!J$234:J$274)</f>
        <v>0</v>
      </c>
      <c r="G92" s="49"/>
      <c r="H92" s="22">
        <f>SUMIF(Estimation!$A$234:$A$274,$C92,Estimation!N$234:N$274)</f>
        <v>0</v>
      </c>
      <c r="I92" s="49"/>
      <c r="J92" s="22">
        <f ca="1">SUMIF(Estimation!$A$234:$A278,$C92,Estimation!R$234:R$274)</f>
        <v>0</v>
      </c>
      <c r="K92" s="49"/>
      <c r="L92" s="22">
        <f ca="1">SUMIF(Estimation!$A$234:$A278,$C92,Estimation!V$234:V$274)</f>
        <v>0</v>
      </c>
      <c r="M92" s="49"/>
      <c r="N92" s="22">
        <f ca="1">SUMIF(Estimation!$A$234:$A278,$C92,Estimation!Z$234:Z$274)</f>
        <v>0</v>
      </c>
      <c r="O92" s="49"/>
      <c r="P92" s="22">
        <f t="shared" ca="1" si="8"/>
        <v>0</v>
      </c>
      <c r="Q92" s="49"/>
      <c r="R92" s="17"/>
    </row>
    <row r="93" spans="2:30" outlineLevel="1" x14ac:dyDescent="0.25">
      <c r="C93" s="23" t="str">
        <f>Estimation!D351</f>
        <v>62399 - Communications</v>
      </c>
      <c r="E93" s="49"/>
      <c r="F93" s="22">
        <f>SUMIF(Estimation!$A$234:$A$274,$C93,Estimation!J$234:J$274)</f>
        <v>0</v>
      </c>
      <c r="G93" s="49"/>
      <c r="H93" s="22">
        <f>SUMIF(Estimation!$A$234:$A$274,$C93,Estimation!N$234:N$274)</f>
        <v>0</v>
      </c>
      <c r="I93" s="49"/>
      <c r="J93" s="22">
        <f ca="1">SUMIF(Estimation!$A$234:$A280,$C93,Estimation!R$234:R$274)</f>
        <v>0</v>
      </c>
      <c r="K93" s="49"/>
      <c r="L93" s="22">
        <f ca="1">SUMIF(Estimation!$A$234:$A280,$C93,Estimation!V$234:V$274)</f>
        <v>0</v>
      </c>
      <c r="M93" s="49"/>
      <c r="N93" s="22">
        <f ca="1">SUMIF(Estimation!$A$234:$A280,$C93,Estimation!Z$234:Z$274)</f>
        <v>0</v>
      </c>
      <c r="O93" s="49"/>
      <c r="P93" s="22">
        <f t="shared" ca="1" si="8"/>
        <v>0</v>
      </c>
      <c r="Q93" s="49"/>
      <c r="R93" s="17"/>
    </row>
    <row r="94" spans="2:30" outlineLevel="1" x14ac:dyDescent="0.25">
      <c r="C94" s="23" t="str">
        <f>Estimation!D352</f>
        <v>62599 - Rent</v>
      </c>
      <c r="E94" s="49"/>
      <c r="F94" s="22">
        <f>SUMIF(Estimation!$A$234:$A$274,$C94,Estimation!J$234:J$274)</f>
        <v>0</v>
      </c>
      <c r="G94" s="49"/>
      <c r="H94" s="22">
        <f>SUMIF(Estimation!$A$234:$A$274,$C94,Estimation!N$234:N$274)</f>
        <v>0</v>
      </c>
      <c r="I94" s="49"/>
      <c r="J94" s="22">
        <f ca="1">SUMIF(Estimation!$A$234:$A281,$C94,Estimation!R$234:R$274)</f>
        <v>0</v>
      </c>
      <c r="K94" s="49"/>
      <c r="L94" s="22">
        <f ca="1">SUMIF(Estimation!$A$234:$A281,$C94,Estimation!V$234:V$274)</f>
        <v>0</v>
      </c>
      <c r="M94" s="49"/>
      <c r="N94" s="22">
        <f ca="1">SUMIF(Estimation!$A$234:$A281,$C94,Estimation!Z$234:Z$274)</f>
        <v>0</v>
      </c>
      <c r="O94" s="49"/>
      <c r="P94" s="22">
        <f t="shared" ca="1" si="8"/>
        <v>0</v>
      </c>
      <c r="Q94" s="49"/>
      <c r="R94" s="17"/>
    </row>
    <row r="95" spans="2:30" outlineLevel="1" x14ac:dyDescent="0.25">
      <c r="C95" s="23" t="str">
        <f>Estimation!D353</f>
        <v>62699 - Utilities</v>
      </c>
      <c r="E95" s="49"/>
      <c r="F95" s="22">
        <f>SUMIF(Estimation!$A$234:$A$274,$C95,Estimation!J$234:J$274)</f>
        <v>0</v>
      </c>
      <c r="G95" s="49"/>
      <c r="H95" s="22">
        <f>SUMIF(Estimation!$A$234:$A$274,$C95,Estimation!N$234:N$274)</f>
        <v>0</v>
      </c>
      <c r="I95" s="49"/>
      <c r="J95" s="22">
        <f ca="1">SUMIF(Estimation!$A$234:$A282,$C95,Estimation!R$234:R$274)</f>
        <v>0</v>
      </c>
      <c r="K95" s="49"/>
      <c r="L95" s="22">
        <f ca="1">SUMIF(Estimation!$A$234:$A282,$C95,Estimation!V$234:V$274)</f>
        <v>0</v>
      </c>
      <c r="M95" s="49"/>
      <c r="N95" s="22">
        <f ca="1">SUMIF(Estimation!$A$234:$A282,$C95,Estimation!Z$234:Z$274)</f>
        <v>0</v>
      </c>
      <c r="O95" s="49"/>
      <c r="P95" s="22">
        <f t="shared" ca="1" si="8"/>
        <v>0</v>
      </c>
      <c r="Q95" s="49"/>
      <c r="R95" s="17"/>
    </row>
    <row r="96" spans="2:30" outlineLevel="1" x14ac:dyDescent="0.25">
      <c r="C96" s="23" t="str">
        <f>Estimation!D354</f>
        <v>62799 - Repairs &amp; Maintenance</v>
      </c>
      <c r="E96" s="49"/>
      <c r="F96" s="22">
        <f>SUMIF(Estimation!$A$234:$A$274,$C96,Estimation!J$234:J$274)</f>
        <v>0</v>
      </c>
      <c r="G96" s="49"/>
      <c r="H96" s="22">
        <f>SUMIF(Estimation!$A$234:$A$274,$C96,Estimation!N$234:N$274)</f>
        <v>0</v>
      </c>
      <c r="I96" s="49"/>
      <c r="J96" s="22">
        <f ca="1">SUMIF(Estimation!$A$234:$A283,$C96,Estimation!R$234:R$274)</f>
        <v>0</v>
      </c>
      <c r="K96" s="49"/>
      <c r="L96" s="22">
        <f ca="1">SUMIF(Estimation!$A$234:$A283,$C96,Estimation!V$234:V$274)</f>
        <v>0</v>
      </c>
      <c r="M96" s="49"/>
      <c r="N96" s="22">
        <f ca="1">SUMIF(Estimation!$A$234:$A283,$C96,Estimation!Z$234:Z$274)</f>
        <v>0</v>
      </c>
      <c r="O96" s="49"/>
      <c r="P96" s="22">
        <f t="shared" ca="1" si="8"/>
        <v>0</v>
      </c>
      <c r="Q96" s="49"/>
      <c r="R96" s="17"/>
    </row>
    <row r="97" spans="2:30" outlineLevel="1" x14ac:dyDescent="0.25">
      <c r="C97" s="23" t="str">
        <f>Estimation!D355</f>
        <v>62801 - Dues</v>
      </c>
      <c r="E97" s="49"/>
      <c r="F97" s="22">
        <f>SUMIF(Estimation!$A$234:$A$274,$C97,Estimation!J$234:J$274)</f>
        <v>0</v>
      </c>
      <c r="G97" s="49"/>
      <c r="H97" s="22">
        <f>SUMIF(Estimation!$A$234:$A$274,$C97,Estimation!N$234:N$274)</f>
        <v>0</v>
      </c>
      <c r="I97" s="49"/>
      <c r="J97" s="22">
        <f ca="1">SUMIF(Estimation!$A$234:$A284,$C97,Estimation!R$234:R$274)</f>
        <v>0</v>
      </c>
      <c r="K97" s="49"/>
      <c r="L97" s="22">
        <f ca="1">SUMIF(Estimation!$A$234:$A284,$C97,Estimation!V$234:V$274)</f>
        <v>0</v>
      </c>
      <c r="M97" s="49"/>
      <c r="N97" s="22">
        <f ca="1">SUMIF(Estimation!$A$234:$A284,$C97,Estimation!Z$234:Z$274)</f>
        <v>0</v>
      </c>
      <c r="O97" s="49"/>
      <c r="P97" s="22">
        <f t="shared" ca="1" si="8"/>
        <v>0</v>
      </c>
      <c r="Q97" s="49"/>
      <c r="R97" s="17"/>
    </row>
    <row r="98" spans="2:30" outlineLevel="1" x14ac:dyDescent="0.25">
      <c r="C98" s="23" t="str">
        <f>Estimation!D356</f>
        <v>62802 - Subscriptions</v>
      </c>
      <c r="E98" s="49"/>
      <c r="F98" s="22">
        <f>SUMIF(Estimation!$A$234:$A$274,$C98,Estimation!J$234:J$274)</f>
        <v>0</v>
      </c>
      <c r="G98" s="49"/>
      <c r="H98" s="22">
        <f>SUMIF(Estimation!$A$234:$A$274,$C98,Estimation!N$234:N$274)</f>
        <v>0</v>
      </c>
      <c r="I98" s="49"/>
      <c r="J98" s="22">
        <f ca="1">SUMIF(Estimation!$A$234:$A285,$C98,Estimation!R$234:R$274)</f>
        <v>0</v>
      </c>
      <c r="K98" s="49"/>
      <c r="L98" s="22">
        <f ca="1">SUMIF(Estimation!$A$234:$A285,$C98,Estimation!V$234:V$274)</f>
        <v>0</v>
      </c>
      <c r="M98" s="49"/>
      <c r="N98" s="22">
        <f ca="1">SUMIF(Estimation!$A$234:$A285,$C98,Estimation!Z$234:Z$274)</f>
        <v>0</v>
      </c>
      <c r="O98" s="49"/>
      <c r="P98" s="22">
        <f t="shared" ca="1" si="8"/>
        <v>0</v>
      </c>
      <c r="Q98" s="49"/>
      <c r="R98" s="17"/>
    </row>
    <row r="99" spans="2:30" outlineLevel="1" x14ac:dyDescent="0.25">
      <c r="C99" s="23" t="str">
        <f>Estimation!D357</f>
        <v>62809 - Education Training Costs</v>
      </c>
      <c r="E99" s="49"/>
      <c r="F99" s="22">
        <f>SUMIF(Estimation!$A$234:$A$274,$C99,Estimation!J$234:J$274)</f>
        <v>0</v>
      </c>
      <c r="G99" s="49"/>
      <c r="H99" s="22">
        <f>SUMIF(Estimation!$A$234:$A$274,$C99,Estimation!N$234:N$274)</f>
        <v>0</v>
      </c>
      <c r="I99" s="49"/>
      <c r="J99" s="22">
        <f ca="1">SUMIF(Estimation!$A$234:$A286,$C99,Estimation!R$234:R$274)</f>
        <v>0</v>
      </c>
      <c r="K99" s="49"/>
      <c r="L99" s="22">
        <f ca="1">SUMIF(Estimation!$A$234:$A286,$C99,Estimation!V$234:V$274)</f>
        <v>0</v>
      </c>
      <c r="M99" s="49"/>
      <c r="N99" s="22">
        <f ca="1">SUMIF(Estimation!$A$234:$A286,$C99,Estimation!Z$234:Z$274)</f>
        <v>0</v>
      </c>
      <c r="O99" s="49"/>
      <c r="P99" s="22">
        <f t="shared" ca="1" si="8"/>
        <v>0</v>
      </c>
      <c r="Q99" s="49"/>
      <c r="R99" s="17"/>
    </row>
    <row r="100" spans="2:30" outlineLevel="1" x14ac:dyDescent="0.25">
      <c r="C100" s="23" t="str">
        <f>Estimation!D359</f>
        <v>62812 - Allowances/Stipends</v>
      </c>
      <c r="E100" s="49"/>
      <c r="F100" s="22">
        <f>SUMIF(Estimation!$A$234:$A$274,$C100,Estimation!J$234:J$274)</f>
        <v>0</v>
      </c>
      <c r="G100" s="49"/>
      <c r="H100" s="22">
        <f>SUMIF(Estimation!$A$234:$A$274,$C100,Estimation!N$234:N$274)</f>
        <v>0</v>
      </c>
      <c r="I100" s="49"/>
      <c r="J100" s="22">
        <f ca="1">SUMIF(Estimation!$A$234:$A287,$C100,Estimation!R$234:R$274)</f>
        <v>0</v>
      </c>
      <c r="K100" s="49"/>
      <c r="L100" s="22">
        <f ca="1">SUMIF(Estimation!$A$234:$A287,$C100,Estimation!V$234:V$274)</f>
        <v>0</v>
      </c>
      <c r="M100" s="49"/>
      <c r="N100" s="22">
        <f ca="1">SUMIF(Estimation!$A$234:$A287,$C100,Estimation!Z$234:Z$274)</f>
        <v>0</v>
      </c>
      <c r="O100" s="49"/>
      <c r="P100" s="22">
        <f t="shared" ca="1" si="8"/>
        <v>0</v>
      </c>
      <c r="Q100" s="49"/>
      <c r="R100" s="17"/>
    </row>
    <row r="101" spans="2:30" outlineLevel="1" x14ac:dyDescent="0.25">
      <c r="C101" s="23" t="str">
        <f>Estimation!D360</f>
        <v>62814 - Credit Reporting Fees (Cont. Educ)</v>
      </c>
      <c r="E101" s="49"/>
      <c r="F101" s="22">
        <f>SUMIF(Estimation!$A$234:$A$274,$C101,Estimation!J$234:J$274)</f>
        <v>0</v>
      </c>
      <c r="G101" s="49"/>
      <c r="H101" s="22">
        <f>SUMIF(Estimation!$A$234:$A$274,$C101,Estimation!N$234:N$274)</f>
        <v>0</v>
      </c>
      <c r="I101" s="49"/>
      <c r="J101" s="22">
        <f ca="1">SUMIF(Estimation!$A$234:$A288,$C101,Estimation!R$234:R$274)</f>
        <v>0</v>
      </c>
      <c r="K101" s="49"/>
      <c r="L101" s="22">
        <f ca="1">SUMIF(Estimation!$A$234:$A288,$C101,Estimation!V$234:V$274)</f>
        <v>0</v>
      </c>
      <c r="M101" s="49"/>
      <c r="N101" s="22">
        <f ca="1">SUMIF(Estimation!$A$234:$A288,$C101,Estimation!Z$234:Z$274)</f>
        <v>0</v>
      </c>
      <c r="O101" s="49"/>
      <c r="P101" s="22">
        <f t="shared" ca="1" si="8"/>
        <v>0</v>
      </c>
      <c r="Q101" s="49"/>
      <c r="R101" s="17"/>
    </row>
    <row r="102" spans="2:30" outlineLevel="1" x14ac:dyDescent="0.25">
      <c r="C102" s="23" t="s">
        <v>224</v>
      </c>
      <c r="E102" s="49"/>
      <c r="F102" s="22">
        <f>SUMIF(Estimation!$A$234:$A$274,$C102,Estimation!J$234:J$274)</f>
        <v>0</v>
      </c>
      <c r="G102" s="49"/>
      <c r="H102" s="22">
        <f>SUMIF(Estimation!$A$234:$A$274,$C102,Estimation!N$234:N$274)</f>
        <v>0</v>
      </c>
      <c r="I102" s="49"/>
      <c r="J102" s="22">
        <f ca="1">SUMIF(Estimation!$A$234:$A289,$C102,Estimation!R$234:R$274)</f>
        <v>0</v>
      </c>
      <c r="K102" s="49"/>
      <c r="L102" s="22">
        <f ca="1">SUMIF(Estimation!$A$234:$A289,$C102,Estimation!V$234:V$274)</f>
        <v>0</v>
      </c>
      <c r="M102" s="49"/>
      <c r="N102" s="22">
        <f ca="1">SUMIF(Estimation!$A$234:$A289,$C102,Estimation!Z$234:Z$274)</f>
        <v>0</v>
      </c>
      <c r="O102" s="49"/>
      <c r="P102" s="22">
        <f t="shared" ca="1" si="8"/>
        <v>0</v>
      </c>
      <c r="Q102" s="49"/>
      <c r="R102" s="17"/>
    </row>
    <row r="103" spans="2:30" outlineLevel="1" x14ac:dyDescent="0.25">
      <c r="C103" s="23" t="s">
        <v>189</v>
      </c>
      <c r="E103" s="49"/>
      <c r="F103" s="22">
        <f>SUMIF(Estimation!$A$234:$A$274,$C103,Estimation!J$234:J$274)</f>
        <v>0</v>
      </c>
      <c r="G103" s="49"/>
      <c r="H103" s="22">
        <f>SUMIF(Estimation!$A$234:$A$274,$C103,Estimation!N$234:N$274)</f>
        <v>0</v>
      </c>
      <c r="I103" s="49"/>
      <c r="J103" s="22">
        <f ca="1">SUMIF(Estimation!$A$234:$A290,$C103,Estimation!R$234:R$274)</f>
        <v>0</v>
      </c>
      <c r="K103" s="49"/>
      <c r="L103" s="22">
        <f ca="1">SUMIF(Estimation!$A$234:$A290,$C103,Estimation!V$234:V$274)</f>
        <v>0</v>
      </c>
      <c r="M103" s="49"/>
      <c r="N103" s="22">
        <f ca="1">SUMIF(Estimation!$A$234:$A290,$C103,Estimation!Z$234:Z$274)</f>
        <v>0</v>
      </c>
      <c r="O103" s="49"/>
      <c r="P103" s="22">
        <f t="shared" ca="1" si="8"/>
        <v>0</v>
      </c>
      <c r="Q103" s="49"/>
      <c r="R103" s="17"/>
    </row>
    <row r="104" spans="2:30" outlineLevel="1" x14ac:dyDescent="0.25">
      <c r="C104" s="23" t="s">
        <v>219</v>
      </c>
      <c r="E104" s="49"/>
      <c r="F104" s="22">
        <f>SUMIF(Estimation!$A$234:$A$274,$C104,Estimation!J$234:J$274)</f>
        <v>0</v>
      </c>
      <c r="G104" s="49"/>
      <c r="H104" s="22">
        <f>SUMIF(Estimation!$A$234:$A$274,$C104,Estimation!N$234:N$274)</f>
        <v>0</v>
      </c>
      <c r="I104" s="49"/>
      <c r="J104" s="22">
        <f ca="1">SUMIF(Estimation!$A$234:$A291,$C104,Estimation!R$234:R$274)</f>
        <v>0</v>
      </c>
      <c r="K104" s="49"/>
      <c r="L104" s="22">
        <f ca="1">SUMIF(Estimation!$A$234:$A291,$C104,Estimation!V$234:V$274)</f>
        <v>0</v>
      </c>
      <c r="M104" s="49"/>
      <c r="N104" s="22">
        <f ca="1">SUMIF(Estimation!$A$234:$A291,$C104,Estimation!Z$234:Z$274)</f>
        <v>0</v>
      </c>
      <c r="O104" s="49"/>
      <c r="P104" s="22">
        <f t="shared" ca="1" si="8"/>
        <v>0</v>
      </c>
      <c r="Q104" s="49"/>
      <c r="R104" s="17"/>
    </row>
    <row r="105" spans="2:30" outlineLevel="1" x14ac:dyDescent="0.25">
      <c r="C105" s="23" t="s">
        <v>225</v>
      </c>
      <c r="E105" s="49"/>
      <c r="F105" s="22">
        <f>SUMIF(Estimation!$A$234:$A$274,$C105,Estimation!J$234:J$274)</f>
        <v>0</v>
      </c>
      <c r="G105" s="49"/>
      <c r="H105" s="22">
        <f>SUMIF(Estimation!$A$234:$A$274,$C105,Estimation!N$234:N$274)</f>
        <v>0</v>
      </c>
      <c r="I105" s="49"/>
      <c r="J105" s="22">
        <f ca="1">SUMIF(Estimation!$A$234:$A292,$C105,Estimation!R$234:R$274)</f>
        <v>0</v>
      </c>
      <c r="K105" s="49"/>
      <c r="L105" s="22">
        <f ca="1">SUMIF(Estimation!$A$234:$A292,$C105,Estimation!V$234:V$274)</f>
        <v>0</v>
      </c>
      <c r="M105" s="49"/>
      <c r="N105" s="22">
        <f ca="1">SUMIF(Estimation!$A$234:$A292,$C105,Estimation!Z$234:Z$274)</f>
        <v>0</v>
      </c>
      <c r="O105" s="49"/>
      <c r="P105" s="22">
        <f t="shared" ca="1" si="8"/>
        <v>0</v>
      </c>
      <c r="Q105" s="49"/>
      <c r="R105" s="17"/>
    </row>
    <row r="106" spans="2:30" outlineLevel="1" x14ac:dyDescent="0.25">
      <c r="C106" s="23" t="s">
        <v>191</v>
      </c>
      <c r="E106" s="49"/>
      <c r="F106" s="22">
        <f>SUMIF(Estimation!$A$234:$A$274,$C106,Estimation!J$234:J$274)</f>
        <v>0</v>
      </c>
      <c r="G106" s="49"/>
      <c r="H106" s="22">
        <f>SUMIF(Estimation!$A$234:$A$274,$C106,Estimation!N$234:N$274)</f>
        <v>0</v>
      </c>
      <c r="I106" s="49"/>
      <c r="J106" s="22">
        <f ca="1">SUMIF(Estimation!$A$234:$A293,$C106,Estimation!R$234:R$274)</f>
        <v>0</v>
      </c>
      <c r="K106" s="49"/>
      <c r="L106" s="22">
        <f ca="1">SUMIF(Estimation!$A$234:$A293,$C106,Estimation!V$234:V$274)</f>
        <v>0</v>
      </c>
      <c r="M106" s="49"/>
      <c r="N106" s="22">
        <f ca="1">SUMIF(Estimation!$A$234:$A293,$C106,Estimation!Z$234:Z$274)</f>
        <v>0</v>
      </c>
      <c r="O106" s="49"/>
      <c r="P106" s="22">
        <f t="shared" ca="1" si="8"/>
        <v>0</v>
      </c>
      <c r="Q106" s="49"/>
      <c r="R106" s="17"/>
    </row>
    <row r="107" spans="2:30" outlineLevel="1" x14ac:dyDescent="0.25">
      <c r="C107" s="23" t="s">
        <v>226</v>
      </c>
      <c r="E107" s="49"/>
      <c r="F107" s="22">
        <f>SUMIF(Estimation!$A$234:$A$274,$C107,Estimation!J$234:J$274)</f>
        <v>0</v>
      </c>
      <c r="G107" s="49"/>
      <c r="H107" s="22">
        <f>SUMIF(Estimation!$A$234:$A$274,$C107,Estimation!N$234:N$274)</f>
        <v>0</v>
      </c>
      <c r="I107" s="49"/>
      <c r="J107" s="22">
        <f ca="1">SUMIF(Estimation!$A$234:$A294,$C107,Estimation!R$234:R$274)</f>
        <v>0</v>
      </c>
      <c r="K107" s="49"/>
      <c r="L107" s="22">
        <f ca="1">SUMIF(Estimation!$A$234:$A294,$C107,Estimation!V$234:V$274)</f>
        <v>0</v>
      </c>
      <c r="M107" s="49"/>
      <c r="N107" s="22">
        <f ca="1">SUMIF(Estimation!$A$234:$A294,$C107,Estimation!Z$234:Z$274)</f>
        <v>0</v>
      </c>
      <c r="O107" s="49"/>
      <c r="P107" s="22">
        <f t="shared" ca="1" si="8"/>
        <v>0</v>
      </c>
      <c r="Q107" s="49"/>
      <c r="R107" s="17"/>
    </row>
    <row r="108" spans="2:30" outlineLevel="1" x14ac:dyDescent="0.25">
      <c r="C108" s="23" t="s">
        <v>190</v>
      </c>
      <c r="E108" s="49"/>
      <c r="F108" s="22">
        <f>SUMIF(Estimation!$A$234:$A$274,$C108,Estimation!J$234:J$274)</f>
        <v>0</v>
      </c>
      <c r="G108" s="49"/>
      <c r="H108" s="22">
        <f>SUMIF(Estimation!$A$234:$A$274,$C108,Estimation!N$234:N$274)</f>
        <v>0</v>
      </c>
      <c r="I108" s="49"/>
      <c r="J108" s="22">
        <f ca="1">SUMIF(Estimation!$A$234:$A295,$C108,Estimation!R$234:R$274)</f>
        <v>0</v>
      </c>
      <c r="K108" s="49"/>
      <c r="L108" s="22">
        <f ca="1">SUMIF(Estimation!$A$234:$A295,$C108,Estimation!V$234:V$274)</f>
        <v>0</v>
      </c>
      <c r="M108" s="49"/>
      <c r="N108" s="22">
        <f ca="1">SUMIF(Estimation!$A$234:$A295,$C108,Estimation!Z$234:Z$274)</f>
        <v>0</v>
      </c>
      <c r="O108" s="49"/>
      <c r="P108" s="22">
        <f t="shared" ca="1" si="8"/>
        <v>0</v>
      </c>
      <c r="Q108" s="49"/>
      <c r="R108" s="17"/>
    </row>
    <row r="109" spans="2:30" outlineLevel="1" x14ac:dyDescent="0.25">
      <c r="C109" s="23" t="str">
        <f>Estimation!D368</f>
        <v>Other</v>
      </c>
      <c r="E109" s="49"/>
      <c r="F109" s="22">
        <f>SUMIF(Estimation!$A$234:$A$274,$C109,Estimation!J$234:J$274)</f>
        <v>0</v>
      </c>
      <c r="G109" s="49"/>
      <c r="H109" s="22">
        <f>SUMIF(Estimation!$A$234:$A$274,$C109,Estimation!N$234:N$274)</f>
        <v>0</v>
      </c>
      <c r="I109" s="49"/>
      <c r="J109" s="22">
        <f ca="1">SUMIF(Estimation!$A$234:$A289,$C109,Estimation!R$234:R$274)</f>
        <v>0</v>
      </c>
      <c r="K109" s="49"/>
      <c r="L109" s="22">
        <f ca="1">SUMIF(Estimation!$A$234:$A289,$C109,Estimation!V$234:V$274)</f>
        <v>0</v>
      </c>
      <c r="M109" s="49"/>
      <c r="N109" s="22">
        <f ca="1">SUMIF(Estimation!$A$234:$A289,$C109,Estimation!Z$234:Z$274)</f>
        <v>0</v>
      </c>
      <c r="O109" s="49"/>
      <c r="P109" s="22">
        <f t="shared" ca="1" si="8"/>
        <v>0</v>
      </c>
      <c r="Q109" s="49"/>
      <c r="R109" s="17"/>
    </row>
    <row r="110" spans="2:30" ht="8.25" customHeight="1" x14ac:dyDescent="0.25">
      <c r="C110" s="23"/>
      <c r="E110" s="50"/>
      <c r="F110" s="51"/>
      <c r="G110" s="50"/>
      <c r="H110" s="51"/>
      <c r="I110" s="50"/>
      <c r="J110" s="51"/>
      <c r="K110" s="50"/>
      <c r="L110" s="51"/>
      <c r="M110" s="50"/>
      <c r="N110" s="51"/>
      <c r="O110" s="50"/>
      <c r="P110" s="51"/>
      <c r="Q110" s="50"/>
      <c r="R110" s="17"/>
    </row>
    <row r="111" spans="2:30" x14ac:dyDescent="0.25">
      <c r="B111" s="23"/>
      <c r="C111" s="23"/>
      <c r="D111" s="62" t="s">
        <v>13</v>
      </c>
      <c r="E111" s="49"/>
      <c r="F111" s="22">
        <f>SUM(F87:F109)</f>
        <v>0</v>
      </c>
      <c r="G111" s="49"/>
      <c r="H111" s="22">
        <f>SUM(H87:H109)</f>
        <v>0</v>
      </c>
      <c r="I111" s="49"/>
      <c r="J111" s="22">
        <f ca="1">SUM(J87:J109)</f>
        <v>0</v>
      </c>
      <c r="K111" s="49"/>
      <c r="L111" s="22">
        <f ca="1">SUM(L87:L109)</f>
        <v>0</v>
      </c>
      <c r="M111" s="49"/>
      <c r="N111" s="22">
        <f ca="1">SUM(N87:N109)</f>
        <v>0</v>
      </c>
      <c r="O111" s="49"/>
      <c r="P111" s="22">
        <f ca="1">SUM(F111:N111)</f>
        <v>0</v>
      </c>
      <c r="Q111" s="49"/>
      <c r="R111" s="17"/>
    </row>
    <row r="112" spans="2:30" s="11" customFormat="1" x14ac:dyDescent="0.25">
      <c r="D112" s="48"/>
      <c r="E112" s="49"/>
      <c r="F112" s="22"/>
      <c r="G112" s="49"/>
      <c r="H112" s="22"/>
      <c r="I112" s="49"/>
      <c r="J112" s="22"/>
      <c r="K112" s="49"/>
      <c r="L112" s="22"/>
      <c r="M112" s="49"/>
      <c r="N112" s="22"/>
      <c r="O112" s="49"/>
      <c r="P112" s="22"/>
      <c r="Q112" s="49"/>
      <c r="R112" s="29"/>
      <c r="T112" s="8"/>
      <c r="U112" s="8"/>
      <c r="V112" s="8"/>
      <c r="W112" s="8"/>
      <c r="X112" s="8"/>
      <c r="Y112" s="8"/>
      <c r="Z112" s="8"/>
      <c r="AA112" s="8"/>
      <c r="AB112" s="8"/>
      <c r="AC112" s="8"/>
      <c r="AD112" s="8"/>
    </row>
    <row r="113" spans="2:30" s="12" customFormat="1" x14ac:dyDescent="0.25">
      <c r="B113" s="127" t="s">
        <v>105</v>
      </c>
      <c r="C113" s="127"/>
      <c r="D113" s="128"/>
      <c r="E113" s="127"/>
      <c r="F113" s="129">
        <f>F111+F84+F75+F69+F64+F46</f>
        <v>0</v>
      </c>
      <c r="G113" s="129"/>
      <c r="H113" s="129">
        <f>H111+H84+H75+H69+H64+H46</f>
        <v>0</v>
      </c>
      <c r="I113" s="129"/>
      <c r="J113" s="129">
        <f ca="1">J111+J84+J75+J69+J64+J46</f>
        <v>0</v>
      </c>
      <c r="K113" s="129"/>
      <c r="L113" s="129">
        <f ca="1">L111+L84+L75+L69+L64+L46</f>
        <v>0</v>
      </c>
      <c r="M113" s="129"/>
      <c r="N113" s="129">
        <f ca="1">N111+N84+N75+N69+N64+N46</f>
        <v>0</v>
      </c>
      <c r="O113" s="130"/>
      <c r="P113" s="129">
        <f ca="1">SUM(N113+L113+J113+H113+F113)</f>
        <v>0</v>
      </c>
      <c r="Q113" s="128"/>
      <c r="S113" s="54">
        <f>Estimation!AD278</f>
        <v>0</v>
      </c>
      <c r="T113" s="55" t="s">
        <v>104</v>
      </c>
      <c r="U113" s="11"/>
      <c r="V113" s="11"/>
      <c r="W113" s="11"/>
      <c r="X113" s="11"/>
      <c r="Y113" s="11"/>
      <c r="Z113" s="11"/>
      <c r="AA113" s="11"/>
      <c r="AB113" s="11"/>
      <c r="AC113" s="11"/>
      <c r="AD113" s="11"/>
    </row>
    <row r="114" spans="2:30" s="12" customFormat="1" x14ac:dyDescent="0.25">
      <c r="B114" s="58"/>
      <c r="C114" s="58"/>
      <c r="D114" s="59"/>
      <c r="E114" s="13"/>
      <c r="F114" s="20"/>
      <c r="G114" s="16"/>
      <c r="H114" s="20"/>
      <c r="I114" s="16"/>
      <c r="J114" s="20"/>
      <c r="K114" s="16"/>
      <c r="L114" s="20"/>
      <c r="M114" s="16"/>
      <c r="N114" s="20"/>
      <c r="O114" s="16"/>
      <c r="P114" s="25"/>
      <c r="Q114" s="21"/>
      <c r="S114" s="54"/>
      <c r="T114" s="55"/>
    </row>
    <row r="115" spans="2:30" s="27" customFormat="1" x14ac:dyDescent="0.25">
      <c r="B115" s="131" t="s">
        <v>106</v>
      </c>
      <c r="C115" s="131"/>
      <c r="D115" s="132"/>
      <c r="E115" s="133"/>
      <c r="F115" s="134">
        <f>Estimation!J288</f>
        <v>0</v>
      </c>
      <c r="G115" s="135"/>
      <c r="H115" s="134">
        <f>Estimation!N288</f>
        <v>0</v>
      </c>
      <c r="I115" s="135"/>
      <c r="J115" s="134">
        <f>Estimation!R288</f>
        <v>0</v>
      </c>
      <c r="K115" s="135"/>
      <c r="L115" s="134">
        <f>Estimation!V288</f>
        <v>0</v>
      </c>
      <c r="M115" s="135"/>
      <c r="N115" s="134">
        <f>Estimation!Z288</f>
        <v>0</v>
      </c>
      <c r="O115" s="135"/>
      <c r="P115" s="134">
        <f>SUM(F115:N115)</f>
        <v>0</v>
      </c>
      <c r="Q115" s="133"/>
      <c r="R115" s="26"/>
      <c r="S115" s="60">
        <f>Estimation!AD288</f>
        <v>0</v>
      </c>
      <c r="T115" s="55" t="s">
        <v>104</v>
      </c>
      <c r="U115" s="12"/>
      <c r="V115" s="12"/>
      <c r="W115" s="12"/>
      <c r="X115" s="12"/>
      <c r="Y115" s="12"/>
      <c r="Z115" s="12"/>
      <c r="AA115" s="12"/>
      <c r="AB115" s="12"/>
      <c r="AC115" s="12"/>
      <c r="AD115" s="12"/>
    </row>
    <row r="116" spans="2:30" s="12" customFormat="1" x14ac:dyDescent="0.25">
      <c r="B116" s="61" t="str">
        <f>Estimation!C286</f>
        <v>This language relates to UM's NICRA - update if other than NICRA:</v>
      </c>
      <c r="D116" s="65">
        <f>Estimation!H287</f>
        <v>0.47</v>
      </c>
      <c r="E116" s="20"/>
      <c r="F116" s="87">
        <f>Estimation!J282</f>
        <v>0</v>
      </c>
      <c r="G116" s="87"/>
      <c r="H116" s="87">
        <f>Estimation!N282</f>
        <v>0</v>
      </c>
      <c r="I116" s="87"/>
      <c r="J116" s="87">
        <f>Estimation!R282</f>
        <v>0</v>
      </c>
      <c r="K116" s="87"/>
      <c r="L116" s="87">
        <f>Estimation!V282</f>
        <v>0</v>
      </c>
      <c r="M116" s="87"/>
      <c r="N116" s="87">
        <f>Estimation!Z282</f>
        <v>0</v>
      </c>
      <c r="O116" s="87"/>
      <c r="P116" s="88">
        <f>SUM(F116:N116)</f>
        <v>0</v>
      </c>
      <c r="Q116" s="17"/>
      <c r="R116" s="17"/>
      <c r="S116" s="20"/>
      <c r="U116" s="27"/>
      <c r="V116" s="27"/>
      <c r="W116" s="27"/>
      <c r="X116" s="27"/>
      <c r="Y116" s="27"/>
      <c r="Z116" s="27"/>
      <c r="AA116" s="27"/>
      <c r="AB116" s="27"/>
      <c r="AC116" s="27"/>
      <c r="AD116" s="27"/>
    </row>
    <row r="117" spans="2:30" s="41" customFormat="1" x14ac:dyDescent="0.25">
      <c r="C117" s="66" t="str">
        <f>Estimation!C287&amp;" "&amp;Estimation!C288</f>
        <v>Predetermined for the period 7/1/23 - 6/30/27. Provisional thereafter per HHS agreement dated 8/3/2023.</v>
      </c>
      <c r="D117" s="42"/>
      <c r="E117" s="17"/>
      <c r="F117" s="56"/>
      <c r="G117" s="17"/>
      <c r="H117" s="56"/>
      <c r="I117" s="17"/>
      <c r="J117" s="56"/>
      <c r="K117" s="17"/>
      <c r="L117" s="56"/>
      <c r="M117" s="17"/>
      <c r="N117" s="56"/>
      <c r="O117" s="17"/>
      <c r="Q117" s="17"/>
      <c r="R117" s="40"/>
      <c r="S117" s="81"/>
      <c r="U117" s="12"/>
      <c r="V117" s="12"/>
      <c r="W117" s="12"/>
      <c r="X117" s="12"/>
      <c r="Y117" s="12"/>
      <c r="Z117" s="12"/>
      <c r="AA117" s="12"/>
      <c r="AB117" s="12"/>
      <c r="AC117" s="12"/>
      <c r="AD117" s="12"/>
    </row>
    <row r="118" spans="2:30" s="41" customFormat="1" ht="15.75" thickBot="1" x14ac:dyDescent="0.3">
      <c r="D118" s="42"/>
      <c r="E118" s="17"/>
      <c r="F118" s="56"/>
      <c r="G118" s="17"/>
      <c r="H118" s="56"/>
      <c r="I118" s="17"/>
      <c r="J118" s="56"/>
      <c r="K118" s="17"/>
      <c r="L118" s="56"/>
      <c r="M118" s="17"/>
      <c r="N118" s="56"/>
      <c r="O118" s="17"/>
      <c r="Q118" s="17"/>
      <c r="R118" s="40"/>
      <c r="S118" s="81"/>
    </row>
    <row r="119" spans="2:30" s="42" customFormat="1" ht="16.5" thickTop="1" thickBot="1" x14ac:dyDescent="0.3">
      <c r="B119" s="136" t="s">
        <v>107</v>
      </c>
      <c r="C119" s="136"/>
      <c r="D119" s="137"/>
      <c r="E119" s="136"/>
      <c r="F119" s="138">
        <f>F115+F113</f>
        <v>0</v>
      </c>
      <c r="G119" s="138"/>
      <c r="H119" s="138">
        <f>H115+H113</f>
        <v>0</v>
      </c>
      <c r="I119" s="138"/>
      <c r="J119" s="138">
        <f ca="1">J115+J113</f>
        <v>0</v>
      </c>
      <c r="K119" s="138"/>
      <c r="L119" s="138">
        <f ca="1">L115+L113</f>
        <v>0</v>
      </c>
      <c r="M119" s="138"/>
      <c r="N119" s="138">
        <f ca="1">N115+N113</f>
        <v>0</v>
      </c>
      <c r="O119" s="139"/>
      <c r="P119" s="138">
        <f ca="1">F119+H119+J119+L119+N119</f>
        <v>0</v>
      </c>
      <c r="Q119" s="137"/>
      <c r="S119" s="44">
        <f>Estimation!AD290</f>
        <v>0</v>
      </c>
      <c r="T119" s="55" t="s">
        <v>104</v>
      </c>
      <c r="U119" s="41"/>
      <c r="V119" s="41"/>
      <c r="W119" s="41"/>
      <c r="X119" s="41"/>
      <c r="Y119" s="41"/>
      <c r="Z119" s="41"/>
      <c r="AA119" s="41"/>
      <c r="AB119" s="41"/>
      <c r="AC119" s="41"/>
      <c r="AD119" s="41"/>
    </row>
    <row r="120" spans="2:30" ht="16.5" thickTop="1" thickBot="1" x14ac:dyDescent="0.3">
      <c r="B120" s="19"/>
      <c r="C120" s="19"/>
      <c r="D120" s="47" t="s">
        <v>94</v>
      </c>
      <c r="E120" s="42"/>
      <c r="F120" s="43"/>
      <c r="G120" s="43"/>
      <c r="H120" s="43"/>
      <c r="I120" s="43"/>
      <c r="J120" s="43"/>
      <c r="K120" s="43"/>
      <c r="L120" s="43"/>
      <c r="M120" s="43"/>
      <c r="N120" s="43"/>
      <c r="O120" s="43"/>
      <c r="P120" s="43"/>
      <c r="Q120" s="42"/>
      <c r="S120" s="37"/>
      <c r="U120" s="42"/>
      <c r="V120" s="42"/>
      <c r="W120" s="42"/>
      <c r="X120" s="42"/>
      <c r="Y120" s="42"/>
      <c r="Z120" s="42"/>
      <c r="AA120" s="42"/>
      <c r="AB120" s="42"/>
      <c r="AC120" s="42"/>
      <c r="AD120" s="42"/>
    </row>
    <row r="121" spans="2:30" s="42" customFormat="1" ht="16.5" thickTop="1" thickBot="1" x14ac:dyDescent="0.3">
      <c r="B121" s="136" t="s">
        <v>53</v>
      </c>
      <c r="C121" s="136"/>
      <c r="D121" s="137"/>
      <c r="E121" s="136"/>
      <c r="F121" s="138">
        <f>Estimation!L290</f>
        <v>0</v>
      </c>
      <c r="G121" s="138"/>
      <c r="H121" s="138">
        <f>Estimation!P290</f>
        <v>0</v>
      </c>
      <c r="I121" s="138"/>
      <c r="J121" s="138">
        <f>Estimation!T290</f>
        <v>0</v>
      </c>
      <c r="K121" s="138"/>
      <c r="L121" s="138">
        <f>Estimation!X290</f>
        <v>0</v>
      </c>
      <c r="M121" s="138"/>
      <c r="N121" s="138">
        <f>Estimation!AB290</f>
        <v>0</v>
      </c>
      <c r="O121" s="139"/>
      <c r="P121" s="138">
        <f>F121+H121+J121+L121+N121</f>
        <v>0</v>
      </c>
      <c r="Q121" s="137"/>
      <c r="S121" s="44">
        <f>Estimation!AF290</f>
        <v>0</v>
      </c>
      <c r="T121" s="55" t="s">
        <v>104</v>
      </c>
      <c r="U121" s="8"/>
      <c r="V121" s="8"/>
      <c r="W121" s="8"/>
      <c r="X121" s="8"/>
      <c r="Y121" s="8"/>
      <c r="Z121" s="8"/>
      <c r="AA121" s="8"/>
      <c r="AB121" s="8"/>
      <c r="AC121" s="8"/>
      <c r="AD121" s="8"/>
    </row>
    <row r="122" spans="2:30" s="42" customFormat="1" ht="15.75" thickTop="1" x14ac:dyDescent="0.25">
      <c r="F122" s="43"/>
      <c r="G122" s="43"/>
      <c r="H122" s="43"/>
      <c r="I122" s="43"/>
      <c r="J122" s="43"/>
      <c r="K122" s="43"/>
      <c r="L122" s="43"/>
      <c r="M122" s="43"/>
      <c r="N122" s="43"/>
      <c r="O122" s="43"/>
      <c r="P122" s="43"/>
    </row>
    <row r="123" spans="2:30" x14ac:dyDescent="0.25">
      <c r="D123" s="23"/>
      <c r="E123" s="8"/>
      <c r="U123" s="42"/>
      <c r="V123" s="42"/>
      <c r="W123" s="42"/>
      <c r="X123" s="42"/>
      <c r="Y123" s="42"/>
      <c r="Z123" s="42"/>
      <c r="AA123" s="42"/>
      <c r="AB123" s="42"/>
      <c r="AC123" s="42"/>
      <c r="AD123" s="42"/>
    </row>
    <row r="124" spans="2:30" x14ac:dyDescent="0.25">
      <c r="B124" s="57"/>
      <c r="C124" s="57"/>
      <c r="D124" s="23"/>
      <c r="E124" s="8"/>
    </row>
    <row r="125" spans="2:30" x14ac:dyDescent="0.25">
      <c r="E125" s="8"/>
    </row>
    <row r="126" spans="2:30" x14ac:dyDescent="0.25">
      <c r="D126" s="23"/>
      <c r="E126" s="8"/>
    </row>
    <row r="127" spans="2:30" x14ac:dyDescent="0.25">
      <c r="E127" s="8"/>
    </row>
    <row r="128" spans="2:30" x14ac:dyDescent="0.25">
      <c r="D128" s="23"/>
      <c r="E128" s="8"/>
    </row>
    <row r="129" spans="4:5" x14ac:dyDescent="0.25">
      <c r="E129" s="8"/>
    </row>
    <row r="130" spans="4:5" x14ac:dyDescent="0.25">
      <c r="D130" s="23"/>
      <c r="E130" s="8"/>
    </row>
    <row r="131" spans="4:5" x14ac:dyDescent="0.25">
      <c r="E131" s="8"/>
    </row>
    <row r="132" spans="4:5" x14ac:dyDescent="0.25">
      <c r="E132" s="8"/>
    </row>
    <row r="133" spans="4:5" x14ac:dyDescent="0.25">
      <c r="E133" s="8"/>
    </row>
    <row r="134" spans="4:5" x14ac:dyDescent="0.25">
      <c r="E134" s="8"/>
    </row>
    <row r="135" spans="4:5" x14ac:dyDescent="0.25">
      <c r="E135" s="8"/>
    </row>
    <row r="136" spans="4:5" x14ac:dyDescent="0.25">
      <c r="E136" s="8"/>
    </row>
    <row r="137" spans="4:5" x14ac:dyDescent="0.25">
      <c r="E137" s="8"/>
    </row>
    <row r="138" spans="4:5" x14ac:dyDescent="0.25">
      <c r="E138" s="8"/>
    </row>
    <row r="139" spans="4:5" x14ac:dyDescent="0.25">
      <c r="E139" s="8"/>
    </row>
    <row r="140" spans="4:5" x14ac:dyDescent="0.25">
      <c r="E140" s="8"/>
    </row>
    <row r="141" spans="4:5" x14ac:dyDescent="0.25">
      <c r="D141" s="46"/>
      <c r="E141" s="8"/>
    </row>
    <row r="142" spans="4:5" x14ac:dyDescent="0.25">
      <c r="D142" s="46"/>
      <c r="E142" s="8"/>
    </row>
    <row r="143" spans="4:5" x14ac:dyDescent="0.25">
      <c r="D143" s="46"/>
      <c r="E143" s="8"/>
    </row>
    <row r="144" spans="4:5" x14ac:dyDescent="0.25">
      <c r="D144" s="46"/>
    </row>
    <row r="145" spans="4:4" x14ac:dyDescent="0.25">
      <c r="D145" s="46"/>
    </row>
    <row r="146" spans="4:4" x14ac:dyDescent="0.25">
      <c r="D146" s="46"/>
    </row>
    <row r="147" spans="4:4" x14ac:dyDescent="0.25">
      <c r="D147" s="46"/>
    </row>
    <row r="148" spans="4:4" x14ac:dyDescent="0.25">
      <c r="D148" s="46"/>
    </row>
    <row r="149" spans="4:4" x14ac:dyDescent="0.25">
      <c r="D149" s="46"/>
    </row>
    <row r="150" spans="4:4" x14ac:dyDescent="0.25">
      <c r="D150" s="46"/>
    </row>
    <row r="151" spans="4:4" x14ac:dyDescent="0.25">
      <c r="D151" s="46"/>
    </row>
    <row r="152" spans="4:4" x14ac:dyDescent="0.25">
      <c r="D152" s="46"/>
    </row>
    <row r="153" spans="4:4" x14ac:dyDescent="0.25">
      <c r="D153" s="46"/>
    </row>
    <row r="154" spans="4:4" x14ac:dyDescent="0.25">
      <c r="D154" s="46"/>
    </row>
    <row r="155" spans="4:4" x14ac:dyDescent="0.25">
      <c r="D155" s="46"/>
    </row>
    <row r="156" spans="4:4" x14ac:dyDescent="0.25">
      <c r="D156" s="46"/>
    </row>
    <row r="158" spans="4:4" x14ac:dyDescent="0.25">
      <c r="D158" s="23"/>
    </row>
    <row r="159" spans="4:4" x14ac:dyDescent="0.25">
      <c r="D159" s="23"/>
    </row>
    <row r="160" spans="4:4" x14ac:dyDescent="0.25">
      <c r="D160" s="23"/>
    </row>
    <row r="161" spans="4:4" x14ac:dyDescent="0.25">
      <c r="D161" s="23"/>
    </row>
    <row r="162" spans="4:4" x14ac:dyDescent="0.25">
      <c r="D162" s="23"/>
    </row>
    <row r="163" spans="4:4" x14ac:dyDescent="0.25">
      <c r="D163" s="23"/>
    </row>
    <row r="164" spans="4:4" x14ac:dyDescent="0.25">
      <c r="D164" s="23"/>
    </row>
    <row r="165" spans="4:4" x14ac:dyDescent="0.25">
      <c r="D165" s="23"/>
    </row>
    <row r="265" spans="2:30" s="19" customFormat="1" x14ac:dyDescent="0.25">
      <c r="B265" s="8"/>
      <c r="C265" s="8"/>
      <c r="D265" s="8"/>
      <c r="E265" s="9"/>
      <c r="F265" s="8"/>
      <c r="U265" s="8"/>
      <c r="V265" s="8"/>
      <c r="W265" s="8"/>
      <c r="X265" s="8"/>
      <c r="Y265" s="8"/>
      <c r="Z265" s="8"/>
      <c r="AA265" s="8"/>
      <c r="AB265" s="8"/>
      <c r="AC265" s="8"/>
      <c r="AD265" s="8"/>
    </row>
    <row r="266" spans="2:30" s="19" customFormat="1" x14ac:dyDescent="0.25">
      <c r="B266" s="8"/>
      <c r="C266" s="8"/>
      <c r="D266" s="8"/>
      <c r="E266" s="9"/>
      <c r="F266" s="8"/>
    </row>
    <row r="267" spans="2:30" s="19" customFormat="1" x14ac:dyDescent="0.25">
      <c r="D267" s="8"/>
      <c r="E267" s="9"/>
    </row>
    <row r="268" spans="2:30" s="19" customFormat="1" x14ac:dyDescent="0.25">
      <c r="D268" s="8"/>
      <c r="E268" s="9"/>
    </row>
    <row r="269" spans="2:30" x14ac:dyDescent="0.25">
      <c r="D269" s="19"/>
      <c r="E269" s="30"/>
      <c r="U269" s="19"/>
      <c r="V269" s="19"/>
      <c r="W269" s="19"/>
      <c r="X269" s="19"/>
      <c r="Y269" s="19"/>
      <c r="Z269" s="19"/>
      <c r="AA269" s="19"/>
      <c r="AB269" s="19"/>
      <c r="AC269" s="19"/>
      <c r="AD269" s="19"/>
    </row>
    <row r="270" spans="2:30" x14ac:dyDescent="0.25">
      <c r="D270" s="19"/>
      <c r="E270" s="30"/>
    </row>
  </sheetData>
  <sheetProtection formatCells="0" formatColumns="0" formatRows="0"/>
  <mergeCells count="10">
    <mergeCell ref="T13:AE13"/>
    <mergeCell ref="C9:H12"/>
    <mergeCell ref="A3:Q3"/>
    <mergeCell ref="D5:F5"/>
    <mergeCell ref="D6:F6"/>
    <mergeCell ref="M5:P5"/>
    <mergeCell ref="M6:P6"/>
    <mergeCell ref="M7:P7"/>
    <mergeCell ref="M11:P11"/>
    <mergeCell ref="M9:P9"/>
  </mergeCells>
  <pageMargins left="0.38" right="0.31" top="0.34" bottom="0.47" header="0.3" footer="0.3"/>
  <pageSetup scale="8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1"/>
  <sheetViews>
    <sheetView workbookViewId="0">
      <selection activeCell="D4" sqref="D4"/>
    </sheetView>
  </sheetViews>
  <sheetFormatPr defaultColWidth="9" defaultRowHeight="15.75" outlineLevelRow="1" x14ac:dyDescent="0.25"/>
  <cols>
    <col min="1" max="1" width="20.875" style="90" customWidth="1"/>
    <col min="2" max="2" width="7" style="91" customWidth="1"/>
    <col min="3" max="3" width="5.375" style="92" customWidth="1"/>
    <col min="4" max="9" width="8.25" style="91" customWidth="1"/>
    <col min="11" max="11" width="55" customWidth="1"/>
  </cols>
  <sheetData>
    <row r="1" spans="1:18" x14ac:dyDescent="0.25">
      <c r="K1" s="93"/>
    </row>
    <row r="2" spans="1:18" ht="28.5" customHeight="1" x14ac:dyDescent="0.25">
      <c r="A2" s="108">
        <f>+Estimation!C153</f>
        <v>0</v>
      </c>
      <c r="B2" s="109" t="s">
        <v>129</v>
      </c>
      <c r="C2" s="109" t="s">
        <v>130</v>
      </c>
      <c r="D2" s="110" t="str">
        <f>Estimation!J14</f>
        <v>Year 1</v>
      </c>
      <c r="E2" s="110" t="str">
        <f>Estimation!N14</f>
        <v>Year 2</v>
      </c>
      <c r="F2" s="110" t="str">
        <f>Estimation!R14</f>
        <v>Year 3</v>
      </c>
      <c r="G2" s="110" t="str">
        <f>Estimation!V14</f>
        <v>Year 4</v>
      </c>
      <c r="H2" s="110" t="str">
        <f>Estimation!Z14</f>
        <v>Year 5</v>
      </c>
      <c r="I2" s="111" t="str">
        <f>Estimation!AD14</f>
        <v>Total</v>
      </c>
      <c r="K2" s="145" t="s">
        <v>147</v>
      </c>
    </row>
    <row r="3" spans="1:18" ht="15.6" customHeight="1" x14ac:dyDescent="0.25">
      <c r="A3" s="409" t="str">
        <f>+Estimation!C154</f>
        <v>Description</v>
      </c>
      <c r="B3" s="410"/>
      <c r="C3" s="410"/>
      <c r="D3" s="410"/>
      <c r="E3" s="410"/>
      <c r="F3" s="410"/>
      <c r="G3" s="410"/>
      <c r="H3" s="410"/>
      <c r="I3" s="411"/>
      <c r="K3" s="404" t="s">
        <v>133</v>
      </c>
    </row>
    <row r="4" spans="1:18" s="95" customFormat="1" x14ac:dyDescent="0.25">
      <c r="A4" s="94" t="str">
        <f>Estimation!D155</f>
        <v>Airfare</v>
      </c>
      <c r="B4" s="104">
        <f>Estimation!E155</f>
        <v>0</v>
      </c>
      <c r="C4" s="102"/>
      <c r="D4" s="104">
        <f>Estimation!J155</f>
        <v>0</v>
      </c>
      <c r="E4" s="104">
        <f>Estimation!N155</f>
        <v>0</v>
      </c>
      <c r="F4" s="104">
        <f>Estimation!R155</f>
        <v>0</v>
      </c>
      <c r="G4" s="104">
        <f>Estimation!V155</f>
        <v>0</v>
      </c>
      <c r="H4" s="104">
        <f>Estimation!Z155</f>
        <v>0</v>
      </c>
      <c r="I4" s="104">
        <f>Estimation!AD155</f>
        <v>0</v>
      </c>
      <c r="K4" s="404"/>
      <c r="M4" s="92"/>
      <c r="N4" s="91"/>
      <c r="O4" s="91"/>
      <c r="P4" s="91"/>
      <c r="Q4" s="91"/>
    </row>
    <row r="5" spans="1:18" x14ac:dyDescent="0.25">
      <c r="A5" s="94" t="str">
        <f>Estimation!D156</f>
        <v>Lodging (GSA) + 10% tax</v>
      </c>
      <c r="B5" s="104">
        <f>Estimation!E156</f>
        <v>0</v>
      </c>
      <c r="C5" s="102">
        <f>Estimation!F156</f>
        <v>0</v>
      </c>
      <c r="D5" s="104">
        <f>Estimation!J156</f>
        <v>0</v>
      </c>
      <c r="E5" s="104">
        <f>Estimation!N156</f>
        <v>0</v>
      </c>
      <c r="F5" s="104">
        <f>Estimation!R156</f>
        <v>0</v>
      </c>
      <c r="G5" s="104">
        <f>Estimation!V156</f>
        <v>0</v>
      </c>
      <c r="H5" s="104">
        <f>Estimation!Z156</f>
        <v>0</v>
      </c>
      <c r="I5" s="104">
        <f>Estimation!AD156</f>
        <v>0</v>
      </c>
      <c r="K5" s="404"/>
      <c r="L5" s="95"/>
    </row>
    <row r="6" spans="1:18" x14ac:dyDescent="0.25">
      <c r="A6" s="94" t="str">
        <f>Estimation!D157</f>
        <v>Meals Per Diem</v>
      </c>
      <c r="B6" s="104">
        <f>Estimation!E157</f>
        <v>0</v>
      </c>
      <c r="C6" s="102">
        <f>Estimation!F157</f>
        <v>0</v>
      </c>
      <c r="D6" s="104">
        <f>Estimation!J157</f>
        <v>0</v>
      </c>
      <c r="E6" s="104">
        <f>Estimation!N157</f>
        <v>0</v>
      </c>
      <c r="F6" s="104">
        <f>Estimation!R157</f>
        <v>0</v>
      </c>
      <c r="G6" s="104">
        <f>Estimation!V157</f>
        <v>0</v>
      </c>
      <c r="H6" s="104">
        <f>Estimation!Z157</f>
        <v>0</v>
      </c>
      <c r="I6" s="104">
        <f>Estimation!AD157</f>
        <v>0</v>
      </c>
      <c r="K6" s="146"/>
      <c r="L6" s="95"/>
      <c r="M6" s="103"/>
      <c r="N6" s="103"/>
      <c r="O6" s="103"/>
      <c r="P6" s="103"/>
      <c r="Q6" s="96"/>
      <c r="R6" s="96"/>
    </row>
    <row r="7" spans="1:18" x14ac:dyDescent="0.25">
      <c r="A7" s="94" t="str">
        <f>Estimation!D158</f>
        <v>Incidentals</v>
      </c>
      <c r="B7" s="104">
        <f>Estimation!E158</f>
        <v>0</v>
      </c>
      <c r="C7" s="102">
        <f>Estimation!F158</f>
        <v>0</v>
      </c>
      <c r="D7" s="104">
        <f>Estimation!J158</f>
        <v>0</v>
      </c>
      <c r="E7" s="104">
        <f>Estimation!N158</f>
        <v>0</v>
      </c>
      <c r="F7" s="104">
        <f>Estimation!R158</f>
        <v>0</v>
      </c>
      <c r="G7" s="104">
        <f>Estimation!V158</f>
        <v>0</v>
      </c>
      <c r="H7" s="104">
        <f>Estimation!Z158</f>
        <v>0</v>
      </c>
      <c r="I7" s="104">
        <f>Estimation!AD158</f>
        <v>0</v>
      </c>
      <c r="K7" s="146"/>
      <c r="L7" s="95"/>
      <c r="M7" s="103"/>
      <c r="N7" s="103"/>
      <c r="O7" s="103"/>
      <c r="P7" s="103"/>
      <c r="Q7" s="96"/>
      <c r="R7" s="96"/>
    </row>
    <row r="8" spans="1:18" x14ac:dyDescent="0.25">
      <c r="A8" s="97" t="str">
        <f>Estimation!D159</f>
        <v>Registration fees</v>
      </c>
      <c r="B8" s="104">
        <f>Estimation!E159</f>
        <v>0</v>
      </c>
      <c r="C8" s="102"/>
      <c r="D8" s="104">
        <f>Estimation!J159</f>
        <v>0</v>
      </c>
      <c r="E8" s="104">
        <f>Estimation!N159</f>
        <v>0</v>
      </c>
      <c r="F8" s="104">
        <f>Estimation!R159</f>
        <v>0</v>
      </c>
      <c r="G8" s="104">
        <f>Estimation!V159</f>
        <v>0</v>
      </c>
      <c r="H8" s="104">
        <f>Estimation!Z159</f>
        <v>0</v>
      </c>
      <c r="I8" s="104">
        <f>Estimation!AD159</f>
        <v>0</v>
      </c>
      <c r="K8" s="404" t="s">
        <v>148</v>
      </c>
      <c r="L8" s="95"/>
      <c r="M8" s="103"/>
      <c r="N8" s="103"/>
      <c r="O8" s="103"/>
      <c r="P8" s="103"/>
      <c r="Q8" s="96"/>
      <c r="R8" s="96"/>
    </row>
    <row r="9" spans="1:18" x14ac:dyDescent="0.25">
      <c r="A9" s="97" t="str">
        <f>Estimation!D160</f>
        <v>Ground Transportation</v>
      </c>
      <c r="B9" s="104">
        <f>Estimation!E160</f>
        <v>0</v>
      </c>
      <c r="C9" s="102"/>
      <c r="D9" s="104">
        <f>Estimation!J160</f>
        <v>0</v>
      </c>
      <c r="E9" s="104">
        <f>Estimation!N160</f>
        <v>0</v>
      </c>
      <c r="F9" s="104">
        <f>Estimation!R160</f>
        <v>0</v>
      </c>
      <c r="G9" s="104">
        <f>Estimation!V160</f>
        <v>0</v>
      </c>
      <c r="H9" s="104">
        <f>Estimation!Z160</f>
        <v>0</v>
      </c>
      <c r="I9" s="104">
        <f>Estimation!AD160</f>
        <v>0</v>
      </c>
      <c r="K9" s="404"/>
      <c r="M9" s="103"/>
      <c r="N9" s="103"/>
      <c r="O9" s="103"/>
      <c r="P9" s="103"/>
    </row>
    <row r="10" spans="1:18" x14ac:dyDescent="0.25">
      <c r="A10" s="412" t="str">
        <f>+Estimation!C162</f>
        <v>Description</v>
      </c>
      <c r="B10" s="412"/>
      <c r="C10" s="412"/>
      <c r="D10" s="412"/>
      <c r="E10" s="412"/>
      <c r="F10" s="412"/>
      <c r="G10" s="412"/>
      <c r="H10" s="412"/>
      <c r="I10" s="412"/>
      <c r="K10" s="146"/>
      <c r="L10" s="95"/>
      <c r="M10" s="103"/>
      <c r="N10" s="103"/>
      <c r="O10" s="103"/>
      <c r="P10" s="103"/>
    </row>
    <row r="11" spans="1:18" x14ac:dyDescent="0.25">
      <c r="A11" s="94" t="str">
        <f>Estimation!D163</f>
        <v>Airfare</v>
      </c>
      <c r="B11" s="104">
        <f>Estimation!E163</f>
        <v>0</v>
      </c>
      <c r="C11" s="102"/>
      <c r="D11" s="104">
        <f>Estimation!J163</f>
        <v>0</v>
      </c>
      <c r="E11" s="104">
        <f>Estimation!N163</f>
        <v>0</v>
      </c>
      <c r="F11" s="104">
        <f>Estimation!R163</f>
        <v>0</v>
      </c>
      <c r="G11" s="104">
        <f>Estimation!V163</f>
        <v>0</v>
      </c>
      <c r="H11" s="104">
        <f>Estimation!Z163</f>
        <v>0</v>
      </c>
      <c r="I11" s="104">
        <f>Estimation!AD163</f>
        <v>0</v>
      </c>
      <c r="K11" s="404" t="s">
        <v>149</v>
      </c>
      <c r="L11" s="95"/>
    </row>
    <row r="12" spans="1:18" x14ac:dyDescent="0.25">
      <c r="A12" s="94" t="str">
        <f>Estimation!D164</f>
        <v>Lodging (GSA) + 10% tax</v>
      </c>
      <c r="B12" s="104">
        <f>Estimation!E164</f>
        <v>0</v>
      </c>
      <c r="C12" s="102">
        <f>Estimation!F164</f>
        <v>0</v>
      </c>
      <c r="D12" s="104">
        <f>Estimation!J164</f>
        <v>0</v>
      </c>
      <c r="E12" s="104">
        <f>Estimation!N164</f>
        <v>0</v>
      </c>
      <c r="F12" s="104">
        <f>Estimation!R164</f>
        <v>0</v>
      </c>
      <c r="G12" s="104">
        <f>Estimation!V164</f>
        <v>0</v>
      </c>
      <c r="H12" s="104">
        <f>Estimation!Z164</f>
        <v>0</v>
      </c>
      <c r="I12" s="104">
        <f>Estimation!AD164</f>
        <v>0</v>
      </c>
      <c r="K12" s="404"/>
      <c r="L12" s="95"/>
    </row>
    <row r="13" spans="1:18" x14ac:dyDescent="0.25">
      <c r="A13" s="94" t="str">
        <f>Estimation!D165</f>
        <v>Meals Per Diem</v>
      </c>
      <c r="B13" s="104">
        <f>Estimation!E165</f>
        <v>0</v>
      </c>
      <c r="C13" s="102">
        <f>Estimation!F165</f>
        <v>0</v>
      </c>
      <c r="D13" s="104">
        <f>Estimation!J165</f>
        <v>0</v>
      </c>
      <c r="E13" s="104">
        <f>Estimation!N165</f>
        <v>0</v>
      </c>
      <c r="F13" s="104">
        <f>Estimation!R165</f>
        <v>0</v>
      </c>
      <c r="G13" s="104">
        <f>Estimation!V165</f>
        <v>0</v>
      </c>
      <c r="H13" s="104">
        <f>Estimation!Z165</f>
        <v>0</v>
      </c>
      <c r="I13" s="104">
        <f>Estimation!AD165</f>
        <v>0</v>
      </c>
      <c r="K13" s="147"/>
      <c r="L13" s="95"/>
    </row>
    <row r="14" spans="1:18" x14ac:dyDescent="0.25">
      <c r="A14" s="94" t="str">
        <f>Estimation!D166</f>
        <v>Incidentals</v>
      </c>
      <c r="B14" s="104">
        <f>Estimation!E166</f>
        <v>0</v>
      </c>
      <c r="C14" s="102">
        <f>Estimation!F166</f>
        <v>0</v>
      </c>
      <c r="D14" s="104">
        <f>Estimation!J166</f>
        <v>0</v>
      </c>
      <c r="E14" s="104">
        <f>Estimation!N166</f>
        <v>0</v>
      </c>
      <c r="F14" s="104">
        <f>Estimation!R166</f>
        <v>0</v>
      </c>
      <c r="G14" s="104">
        <f>Estimation!V166</f>
        <v>0</v>
      </c>
      <c r="H14" s="104">
        <f>Estimation!Z166</f>
        <v>0</v>
      </c>
      <c r="I14" s="104">
        <f>Estimation!AD166</f>
        <v>0</v>
      </c>
      <c r="K14" s="146" t="s">
        <v>131</v>
      </c>
      <c r="L14" s="95"/>
    </row>
    <row r="15" spans="1:18" x14ac:dyDescent="0.25">
      <c r="A15" s="97" t="str">
        <f>Estimation!D167</f>
        <v>Conference Registration</v>
      </c>
      <c r="B15" s="104">
        <f>Estimation!E167</f>
        <v>0</v>
      </c>
      <c r="C15" s="102"/>
      <c r="D15" s="104">
        <f>Estimation!J167</f>
        <v>0</v>
      </c>
      <c r="E15" s="104">
        <f>Estimation!N167</f>
        <v>0</v>
      </c>
      <c r="F15" s="104">
        <f>Estimation!R167</f>
        <v>0</v>
      </c>
      <c r="G15" s="104">
        <f>Estimation!V167</f>
        <v>0</v>
      </c>
      <c r="H15" s="104">
        <f>Estimation!Z167</f>
        <v>0</v>
      </c>
      <c r="I15" s="104">
        <f>Estimation!AD167</f>
        <v>0</v>
      </c>
      <c r="K15" s="146" t="s">
        <v>134</v>
      </c>
    </row>
    <row r="16" spans="1:18" x14ac:dyDescent="0.25">
      <c r="A16" s="97" t="str">
        <f>Estimation!D168</f>
        <v>Ground Transportation</v>
      </c>
      <c r="B16" s="104">
        <f>Estimation!E168</f>
        <v>0</v>
      </c>
      <c r="C16" s="102"/>
      <c r="D16" s="104">
        <f>Estimation!J168</f>
        <v>0</v>
      </c>
      <c r="E16" s="104">
        <f>Estimation!N168</f>
        <v>0</v>
      </c>
      <c r="F16" s="104">
        <f>Estimation!R168</f>
        <v>0</v>
      </c>
      <c r="G16" s="104">
        <f>Estimation!V168</f>
        <v>0</v>
      </c>
      <c r="H16" s="104">
        <f>Estimation!Z168</f>
        <v>0</v>
      </c>
      <c r="I16" s="104">
        <f>Estimation!AD168</f>
        <v>0</v>
      </c>
      <c r="K16" s="146"/>
      <c r="L16" s="95"/>
    </row>
    <row r="17" spans="1:12" ht="15.6" customHeight="1" x14ac:dyDescent="0.25">
      <c r="A17" s="412" t="str">
        <f>+Estimation!C170</f>
        <v>Description</v>
      </c>
      <c r="B17" s="412"/>
      <c r="C17" s="412"/>
      <c r="D17" s="412"/>
      <c r="E17" s="412"/>
      <c r="F17" s="412"/>
      <c r="G17" s="412"/>
      <c r="H17" s="412"/>
      <c r="I17" s="412"/>
      <c r="K17" s="405" t="s">
        <v>150</v>
      </c>
      <c r="L17" s="95"/>
    </row>
    <row r="18" spans="1:12" x14ac:dyDescent="0.25">
      <c r="A18" s="94" t="str">
        <f>Estimation!D171</f>
        <v>Airfare</v>
      </c>
      <c r="B18" s="104">
        <f>Estimation!E171</f>
        <v>0</v>
      </c>
      <c r="C18" s="102"/>
      <c r="D18" s="104">
        <f>Estimation!J171</f>
        <v>0</v>
      </c>
      <c r="E18" s="104">
        <f>Estimation!N171</f>
        <v>0</v>
      </c>
      <c r="F18" s="104">
        <f>Estimation!R171</f>
        <v>0</v>
      </c>
      <c r="G18" s="104">
        <f>Estimation!V171</f>
        <v>0</v>
      </c>
      <c r="H18" s="104">
        <f>Estimation!Z171</f>
        <v>0</v>
      </c>
      <c r="I18" s="104">
        <f>Estimation!AD171</f>
        <v>0</v>
      </c>
      <c r="K18" s="405"/>
      <c r="L18" s="95"/>
    </row>
    <row r="19" spans="1:12" x14ac:dyDescent="0.25">
      <c r="A19" s="94" t="str">
        <f>Estimation!D172</f>
        <v>Lodging (GSA) + 10% tax</v>
      </c>
      <c r="B19" s="104">
        <f>Estimation!E172</f>
        <v>0</v>
      </c>
      <c r="C19" s="102">
        <f>Estimation!F172</f>
        <v>0</v>
      </c>
      <c r="D19" s="104">
        <f>Estimation!J172</f>
        <v>0</v>
      </c>
      <c r="E19" s="104">
        <f>Estimation!N172</f>
        <v>0</v>
      </c>
      <c r="F19" s="104">
        <f>Estimation!R172</f>
        <v>0</v>
      </c>
      <c r="G19" s="104">
        <f>Estimation!V172</f>
        <v>0</v>
      </c>
      <c r="H19" s="104">
        <f>Estimation!Z172</f>
        <v>0</v>
      </c>
      <c r="I19" s="104">
        <f>Estimation!AD172</f>
        <v>0</v>
      </c>
      <c r="K19" s="405"/>
      <c r="L19" s="95"/>
    </row>
    <row r="20" spans="1:12" x14ac:dyDescent="0.25">
      <c r="A20" s="94" t="str">
        <f>Estimation!D173</f>
        <v>Meals Per Diem</v>
      </c>
      <c r="B20" s="104">
        <f>Estimation!E173</f>
        <v>0</v>
      </c>
      <c r="C20" s="102">
        <f>Estimation!F173</f>
        <v>0</v>
      </c>
      <c r="D20" s="104">
        <f>Estimation!J173</f>
        <v>0</v>
      </c>
      <c r="E20" s="104">
        <f>Estimation!N173</f>
        <v>0</v>
      </c>
      <c r="F20" s="104">
        <f>Estimation!R173</f>
        <v>0</v>
      </c>
      <c r="G20" s="104">
        <f>Estimation!V173</f>
        <v>0</v>
      </c>
      <c r="H20" s="104">
        <f>Estimation!Z173</f>
        <v>0</v>
      </c>
      <c r="I20" s="104">
        <f>Estimation!AD173</f>
        <v>0</v>
      </c>
      <c r="K20" s="405"/>
      <c r="L20" s="95"/>
    </row>
    <row r="21" spans="1:12" ht="14.45" customHeight="1" collapsed="1" x14ac:dyDescent="0.25">
      <c r="A21" s="94" t="str">
        <f>Estimation!D174</f>
        <v>Incidentals</v>
      </c>
      <c r="B21" s="104">
        <f>Estimation!E174</f>
        <v>0</v>
      </c>
      <c r="C21" s="102">
        <f>Estimation!F174</f>
        <v>0</v>
      </c>
      <c r="D21" s="104">
        <f>Estimation!J174</f>
        <v>0</v>
      </c>
      <c r="E21" s="104">
        <f>Estimation!N174</f>
        <v>0</v>
      </c>
      <c r="F21" s="104">
        <f>Estimation!R174</f>
        <v>0</v>
      </c>
      <c r="G21" s="104">
        <f>Estimation!V174</f>
        <v>0</v>
      </c>
      <c r="H21" s="104">
        <f>Estimation!Z174</f>
        <v>0</v>
      </c>
      <c r="I21" s="104">
        <f>Estimation!AD174</f>
        <v>0</v>
      </c>
      <c r="K21" s="405"/>
    </row>
    <row r="22" spans="1:12" x14ac:dyDescent="0.25">
      <c r="A22" s="97" t="str">
        <f>Estimation!D175</f>
        <v>Conference Registration</v>
      </c>
      <c r="B22" s="104">
        <f>Estimation!E175</f>
        <v>0</v>
      </c>
      <c r="C22" s="102"/>
      <c r="D22" s="104">
        <f>Estimation!J175</f>
        <v>0</v>
      </c>
      <c r="E22" s="104">
        <f>Estimation!N175</f>
        <v>0</v>
      </c>
      <c r="F22" s="104">
        <f>Estimation!R175</f>
        <v>0</v>
      </c>
      <c r="G22" s="104">
        <f>Estimation!V175</f>
        <v>0</v>
      </c>
      <c r="H22" s="104">
        <f>Estimation!Z175</f>
        <v>0</v>
      </c>
      <c r="I22" s="104">
        <f>Estimation!AD175</f>
        <v>0</v>
      </c>
      <c r="K22" s="405"/>
      <c r="L22" s="95"/>
    </row>
    <row r="23" spans="1:12" x14ac:dyDescent="0.25">
      <c r="A23" s="97" t="str">
        <f>Estimation!D176</f>
        <v>Ground Transportation</v>
      </c>
      <c r="B23" s="104">
        <f>Estimation!E176</f>
        <v>0</v>
      </c>
      <c r="C23" s="102"/>
      <c r="D23" s="104">
        <f>Estimation!J176</f>
        <v>0</v>
      </c>
      <c r="E23" s="104">
        <f>Estimation!N176</f>
        <v>0</v>
      </c>
      <c r="F23" s="104">
        <f>Estimation!R176</f>
        <v>0</v>
      </c>
      <c r="G23" s="104">
        <f>Estimation!V176</f>
        <v>0</v>
      </c>
      <c r="H23" s="104">
        <f>Estimation!Z176</f>
        <v>0</v>
      </c>
      <c r="I23" s="104">
        <f>Estimation!AD176</f>
        <v>0</v>
      </c>
      <c r="K23" s="114"/>
      <c r="L23" s="95"/>
    </row>
    <row r="24" spans="1:12" x14ac:dyDescent="0.25">
      <c r="A24" s="412" t="str">
        <f>+Estimation!C178</f>
        <v>Description</v>
      </c>
      <c r="B24" s="412"/>
      <c r="C24" s="412"/>
      <c r="D24" s="412"/>
      <c r="E24" s="412"/>
      <c r="F24" s="412"/>
      <c r="G24" s="412"/>
      <c r="H24" s="412"/>
      <c r="I24" s="412"/>
      <c r="L24" s="95"/>
    </row>
    <row r="25" spans="1:12" x14ac:dyDescent="0.25">
      <c r="A25" s="94" t="str">
        <f>Estimation!D179</f>
        <v>Airfare</v>
      </c>
      <c r="B25" s="104">
        <f>Estimation!E179</f>
        <v>0</v>
      </c>
      <c r="C25" s="102"/>
      <c r="D25" s="104">
        <f>Estimation!J179</f>
        <v>0</v>
      </c>
      <c r="E25" s="104">
        <f>Estimation!N179</f>
        <v>0</v>
      </c>
      <c r="F25" s="104">
        <f>Estimation!R179</f>
        <v>0</v>
      </c>
      <c r="G25" s="104">
        <f>Estimation!V179</f>
        <v>0</v>
      </c>
      <c r="H25" s="104">
        <f>Estimation!Z179</f>
        <v>0</v>
      </c>
      <c r="I25" s="104">
        <f>Estimation!AD179</f>
        <v>0</v>
      </c>
      <c r="L25" s="95"/>
    </row>
    <row r="26" spans="1:12" x14ac:dyDescent="0.25">
      <c r="A26" s="94" t="str">
        <f>Estimation!D180</f>
        <v>Lodging (GSA) + 10% tax</v>
      </c>
      <c r="B26" s="104">
        <f>Estimation!E180</f>
        <v>0</v>
      </c>
      <c r="C26" s="102">
        <f>Estimation!F180</f>
        <v>0</v>
      </c>
      <c r="D26" s="104">
        <f>Estimation!J180</f>
        <v>0</v>
      </c>
      <c r="E26" s="104">
        <f>Estimation!N180</f>
        <v>0</v>
      </c>
      <c r="F26" s="104">
        <f>Estimation!R180</f>
        <v>0</v>
      </c>
      <c r="G26" s="104">
        <f>Estimation!V180</f>
        <v>0</v>
      </c>
      <c r="H26" s="104">
        <f>Estimation!Z180</f>
        <v>0</v>
      </c>
      <c r="I26" s="104">
        <f>Estimation!AD180</f>
        <v>0</v>
      </c>
      <c r="K26" s="115"/>
      <c r="L26" s="95" t="str">
        <f>IF(I30&gt;0,CONCATENATE(A30,"&amp;\$",B30,"&amp;",C30,IF($D$59&lt;&gt;0,CONCATENATE("&amp;\$",D30),""),IF($E$59&lt;&gt;0,CONCATENATE("&amp;\$",E30),""),IF($F$59&lt;&gt;0,CONCATENATE("&amp;\$",F30),""),IF($G$59&lt;&gt;0,CONCATENATE("&amp;\$",G30),""),IF($H$59&lt;&gt;0,CONCATENATE("&amp;\$",H30),""),"&amp;\$",I30,"\\ \hline"),"")</f>
        <v/>
      </c>
    </row>
    <row r="27" spans="1:12" x14ac:dyDescent="0.25">
      <c r="A27" s="94" t="str">
        <f>Estimation!D181</f>
        <v>Meals Per Diem</v>
      </c>
      <c r="B27" s="104">
        <f>Estimation!E181</f>
        <v>0</v>
      </c>
      <c r="C27" s="102">
        <f>Estimation!F181</f>
        <v>0</v>
      </c>
      <c r="D27" s="104">
        <f>Estimation!J181</f>
        <v>0</v>
      </c>
      <c r="E27" s="104">
        <f>Estimation!N181</f>
        <v>0</v>
      </c>
      <c r="F27" s="104">
        <f>Estimation!R181</f>
        <v>0</v>
      </c>
      <c r="G27" s="104">
        <f>Estimation!V181</f>
        <v>0</v>
      </c>
      <c r="H27" s="104">
        <f>Estimation!Z181</f>
        <v>0</v>
      </c>
      <c r="I27" s="104">
        <f>Estimation!AD181</f>
        <v>0</v>
      </c>
      <c r="K27" s="115"/>
      <c r="L27" s="95"/>
    </row>
    <row r="28" spans="1:12" ht="15.6" customHeight="1" outlineLevel="1" x14ac:dyDescent="0.25">
      <c r="A28" s="94" t="str">
        <f>Estimation!D182</f>
        <v>Incidentals</v>
      </c>
      <c r="B28" s="104">
        <f>Estimation!E182</f>
        <v>0</v>
      </c>
      <c r="C28" s="102">
        <f>Estimation!F182</f>
        <v>0</v>
      </c>
      <c r="D28" s="104">
        <f>Estimation!J182</f>
        <v>0</v>
      </c>
      <c r="E28" s="104">
        <f>Estimation!N182</f>
        <v>0</v>
      </c>
      <c r="F28" s="104">
        <f>Estimation!R182</f>
        <v>0</v>
      </c>
      <c r="G28" s="104">
        <f>Estimation!V182</f>
        <v>0</v>
      </c>
      <c r="H28" s="104">
        <f>Estimation!Z182</f>
        <v>0</v>
      </c>
      <c r="I28" s="104">
        <f>Estimation!AD182</f>
        <v>0</v>
      </c>
      <c r="K28" s="413"/>
      <c r="L28" t="str">
        <f>IF(SUM(D32:I33)&lt;&gt;0,CONCATENATE("\multicolumn{",$M$1,"}{c}{",A31,"} \\ \hline" ),"")</f>
        <v/>
      </c>
    </row>
    <row r="29" spans="1:12" outlineLevel="1" x14ac:dyDescent="0.25">
      <c r="A29" s="97" t="str">
        <f>Estimation!D183</f>
        <v>Conference Registration</v>
      </c>
      <c r="B29" s="104">
        <f>Estimation!E183</f>
        <v>0</v>
      </c>
      <c r="C29" s="102"/>
      <c r="D29" s="104">
        <f>Estimation!J183</f>
        <v>0</v>
      </c>
      <c r="E29" s="104">
        <f>Estimation!N183</f>
        <v>0</v>
      </c>
      <c r="F29" s="104">
        <f>Estimation!R183</f>
        <v>0</v>
      </c>
      <c r="G29" s="104">
        <f>Estimation!V183</f>
        <v>0</v>
      </c>
      <c r="H29" s="104">
        <f>Estimation!Z183</f>
        <v>0</v>
      </c>
      <c r="I29" s="104">
        <f>Estimation!AD183</f>
        <v>0</v>
      </c>
      <c r="K29" s="413"/>
      <c r="L29" s="95" t="str">
        <f>IF(I33&gt;0,CONCATENATE(A32,"&amp;",B32,"&amp;\",C32,REPT("&amp;",$M$1-3),I32,"\\ \hline"),"")</f>
        <v/>
      </c>
    </row>
    <row r="30" spans="1:12" outlineLevel="1" x14ac:dyDescent="0.25">
      <c r="A30" s="97" t="str">
        <f>Estimation!D184</f>
        <v>Ground Transportation</v>
      </c>
      <c r="B30" s="104">
        <f>Estimation!E184</f>
        <v>0</v>
      </c>
      <c r="C30" s="102"/>
      <c r="D30" s="104">
        <f>Estimation!J184</f>
        <v>0</v>
      </c>
      <c r="E30" s="104">
        <f>Estimation!N184</f>
        <v>0</v>
      </c>
      <c r="F30" s="104">
        <f>Estimation!R184</f>
        <v>0</v>
      </c>
      <c r="G30" s="104">
        <f>Estimation!V184</f>
        <v>0</v>
      </c>
      <c r="H30" s="104">
        <f>Estimation!Z184</f>
        <v>0</v>
      </c>
      <c r="I30" s="104">
        <f>Estimation!AD184</f>
        <v>0</v>
      </c>
      <c r="K30" s="413"/>
      <c r="L30" s="95" t="str">
        <f>IF(I33&gt;0,CONCATENATE(A33,"&amp;\$",B33,"&amp;",C33,IF($D$59&lt;&gt;0,CONCATENATE("&amp;\$",D33),""),IF($E$59&lt;&gt;0,CONCATENATE("&amp;\$",E33),""),IF($F$59&lt;&gt;0,CONCATENATE("&amp;\$",F33),""),IF($G$59&lt;&gt;0,CONCATENATE("&amp;\$",G33),""),IF($H$59&lt;&gt;0,CONCATENATE("&amp;\$",H33),""),"&amp;\$",I33,"\\ \hline"),"")</f>
        <v/>
      </c>
    </row>
    <row r="31" spans="1:12" ht="17.25" customHeight="1" x14ac:dyDescent="0.25">
      <c r="A31" s="409" t="str">
        <f>Estimation!D187</f>
        <v>Link to MT mileage rates</v>
      </c>
      <c r="B31" s="410"/>
      <c r="C31" s="410"/>
      <c r="D31" s="410"/>
      <c r="E31" s="410"/>
      <c r="F31" s="410"/>
      <c r="G31" s="410"/>
      <c r="H31" s="410"/>
      <c r="I31" s="411"/>
      <c r="K31" s="413"/>
    </row>
    <row r="32" spans="1:12" ht="29.25" customHeight="1" x14ac:dyDescent="0.25">
      <c r="A32" s="94" t="str">
        <f>+Estimation!C186</f>
        <v>Mileage - for personal vehicle use</v>
      </c>
      <c r="B32" s="111" t="str">
        <f>+Estimation!E186</f>
        <v>Cost</v>
      </c>
      <c r="C32" s="113" t="s">
        <v>132</v>
      </c>
      <c r="D32" s="94"/>
      <c r="E32" s="94"/>
      <c r="F32" s="94"/>
      <c r="G32" s="94"/>
      <c r="H32" s="94"/>
      <c r="I32" s="94"/>
      <c r="K32" s="413"/>
      <c r="L32" s="95" t="str">
        <f>IF(I35&gt;0,CONCATENATE("\multicolumn{3}{l}{\textbf{",A35,"}}",IF($D$59&lt;&gt;0,CONCATENATE("&amp;\$",D35),""),IF($E$59&lt;&gt;0,CONCATENATE("&amp;\$",E35),""),IF($F$59&lt;&gt;0,CONCATENATE("&amp;\$",F35),""),IF($G$59&lt;&gt;0,CONCATENATE("&amp;\$",G35),""),IF($H$59&lt;&gt;0,CONCATENATE("&amp;\$",H35),""),"&amp;\$",I35,"\\ \hline"),"")</f>
        <v/>
      </c>
    </row>
    <row r="33" spans="1:12" ht="14.25" customHeight="1" x14ac:dyDescent="0.25">
      <c r="A33" s="94" t="str">
        <f>Estimation!D187</f>
        <v>Link to MT mileage rates</v>
      </c>
      <c r="B33" s="105">
        <f>Estimation!E187</f>
        <v>0</v>
      </c>
      <c r="C33" s="102">
        <f>Estimation!F187</f>
        <v>0</v>
      </c>
      <c r="D33" s="104">
        <f>Estimation!J187</f>
        <v>0</v>
      </c>
      <c r="E33" s="104">
        <f>Estimation!N187</f>
        <v>0</v>
      </c>
      <c r="F33" s="104">
        <f>Estimation!R187</f>
        <v>0</v>
      </c>
      <c r="G33" s="104">
        <f>Estimation!V187</f>
        <v>0</v>
      </c>
      <c r="H33" s="104">
        <f>Estimation!Z187</f>
        <v>0</v>
      </c>
      <c r="I33" s="104">
        <f>Estimation!AD187</f>
        <v>0</v>
      </c>
      <c r="K33" s="116"/>
    </row>
    <row r="34" spans="1:12" ht="27" customHeight="1" outlineLevel="1" collapsed="1" x14ac:dyDescent="0.25">
      <c r="A34" s="406"/>
      <c r="B34" s="407"/>
      <c r="C34" s="407"/>
      <c r="D34" s="407"/>
      <c r="E34" s="407"/>
      <c r="F34" s="407"/>
      <c r="G34" s="407"/>
      <c r="H34" s="407"/>
      <c r="I34" s="408"/>
      <c r="K34" s="413"/>
      <c r="L34" t="str">
        <f>IF(I57&gt;0,CONCATENATE(A37,"&amp;",B37,"&amp;\",C37,IF($D$59&lt;&gt;0,CONCATENATE("&amp;",D37),""),IF($E$59&lt;&gt;0,CONCATENATE("&amp;",E37),""),IF($F$59&lt;&gt;0,CONCATENATE("&amp;",F37),""),IF($G$59&lt;&gt;0,CONCATENATE("&amp;",G37),""),IF($H$59&lt;&gt;0,CONCATENATE("&amp;",H37),""),"&amp;",I37,"\\ \hline"),"")</f>
        <v/>
      </c>
    </row>
    <row r="35" spans="1:12" outlineLevel="1" x14ac:dyDescent="0.25">
      <c r="A35" s="414" t="str">
        <f>Estimation!H189</f>
        <v>Subtotal Domestic Travel</v>
      </c>
      <c r="B35" s="415"/>
      <c r="C35" s="415"/>
      <c r="D35" s="106">
        <f>Estimation!J189</f>
        <v>0</v>
      </c>
      <c r="E35" s="106">
        <f>Estimation!N189</f>
        <v>0</v>
      </c>
      <c r="F35" s="106">
        <f>Estimation!R189</f>
        <v>0</v>
      </c>
      <c r="G35" s="106">
        <f>Estimation!V189</f>
        <v>0</v>
      </c>
      <c r="H35" s="106">
        <f>Estimation!Z189</f>
        <v>0</v>
      </c>
      <c r="I35" s="106">
        <f>Estimation!AD189</f>
        <v>0</v>
      </c>
      <c r="K35" s="413"/>
      <c r="L35" t="str">
        <f>IF(SUM(D39:I40)&lt;&gt;0,CONCATENATE("\multicolumn{",$M$1,"}{c}{",A38,"} \\ \hline" ),"")</f>
        <v/>
      </c>
    </row>
    <row r="36" spans="1:12" ht="15.6" customHeight="1" outlineLevel="1" x14ac:dyDescent="0.25">
      <c r="A36" s="98"/>
      <c r="B36" s="99"/>
      <c r="C36" s="99"/>
      <c r="D36" s="99"/>
      <c r="E36" s="99"/>
      <c r="F36" s="99"/>
      <c r="G36" s="99"/>
      <c r="H36" s="99"/>
      <c r="I36" s="100"/>
      <c r="K36" s="413"/>
      <c r="L36" s="95" t="str">
        <f>IF(I39&gt;0,CONCATENATE(A39,"&amp;\$",B39,"&amp;",C39,IF($D$59&lt;&gt;0,CONCATENATE("&amp;\$",D39),""),IF($E$59&lt;&gt;0,CONCATENATE("&amp;\$",E39),""),IF($F$59&lt;&gt;0,CONCATENATE("&amp;\$",F39),""),IF($G$59&lt;&gt;0,CONCATENATE("&amp;\$",G39),""),IF($H$59&lt;&gt;0,CONCATENATE("&amp;\$",H39),""),"&amp;\$",I39,"\\ \hline"),"")</f>
        <v/>
      </c>
    </row>
    <row r="37" spans="1:12" ht="15.95" customHeight="1" outlineLevel="1" x14ac:dyDescent="0.25">
      <c r="A37" s="112" t="str">
        <f>+Estimation!C191</f>
        <v>International</v>
      </c>
      <c r="B37" s="109" t="s">
        <v>129</v>
      </c>
      <c r="C37" s="109" t="s">
        <v>130</v>
      </c>
      <c r="D37" s="110" t="str">
        <f>Estimation!L14</f>
        <v>Year 1</v>
      </c>
      <c r="E37" s="110" t="str">
        <f>Estimation!N14</f>
        <v>Year 2</v>
      </c>
      <c r="F37" s="110" t="str">
        <f>Estimation!R14</f>
        <v>Year 3</v>
      </c>
      <c r="G37" s="110" t="str">
        <f>Estimation!V14</f>
        <v>Year 4</v>
      </c>
      <c r="H37" s="110" t="str">
        <f>Estimation!Z14</f>
        <v>Year 5</v>
      </c>
      <c r="I37" s="111" t="str">
        <f>Estimation!AD14</f>
        <v>Total</v>
      </c>
      <c r="K37" s="413"/>
      <c r="L37" s="95" t="str">
        <f>IF(I40&gt;0,CONCATENATE(A40,"&amp;\$",B40,"&amp;",C40,IF($D$59&lt;&gt;0,CONCATENATE("&amp;\$",D40),""),IF($E$59&lt;&gt;0,CONCATENATE("&amp;\$",E40),""),IF($F$59&lt;&gt;0,CONCATENATE("&amp;\$",F40),""),IF($G$59&lt;&gt;0,CONCATENATE("&amp;\$",G40),""),IF($H$59&lt;&gt;0,CONCATENATE("&amp;\$",H40),""),"&amp;\$",I40,"\\ \hline"),"")</f>
        <v/>
      </c>
    </row>
    <row r="38" spans="1:12" outlineLevel="1" x14ac:dyDescent="0.25">
      <c r="A38" s="412" t="str">
        <f>+Estimation!C192</f>
        <v>Description</v>
      </c>
      <c r="B38" s="412"/>
      <c r="C38" s="412"/>
      <c r="D38" s="412"/>
      <c r="E38" s="412"/>
      <c r="F38" s="412"/>
      <c r="G38" s="412"/>
      <c r="H38" s="412"/>
      <c r="I38" s="412"/>
      <c r="K38" s="116"/>
      <c r="L38" s="95" t="str">
        <f>IF(I41&gt;0,CONCATENATE(A41,"&amp;\$",B41,"&amp;",C41,IF($D$59&lt;&gt;0,CONCATENATE("&amp;\$",D41),""),IF($E$59&lt;&gt;0,CONCATENATE("&amp;\$",E41),""),IF($F$59&lt;&gt;0,CONCATENATE("&amp;\$",F41),""),IF($G$59&lt;&gt;0,CONCATENATE("&amp;\$",G41),""),IF($H$59&lt;&gt;0,CONCATENATE("&amp;\$",H41),""),"&amp;\$",I41,"\\ \hline"),"")</f>
        <v/>
      </c>
    </row>
    <row r="39" spans="1:12" outlineLevel="1" x14ac:dyDescent="0.25">
      <c r="A39" s="94" t="str">
        <f>Estimation!D193</f>
        <v>Airfare</v>
      </c>
      <c r="B39" s="104">
        <f>Estimation!E193</f>
        <v>0</v>
      </c>
      <c r="C39" s="102"/>
      <c r="D39" s="104">
        <f>Estimation!J193</f>
        <v>0</v>
      </c>
      <c r="E39" s="104">
        <f>Estimation!N193</f>
        <v>0</v>
      </c>
      <c r="F39" s="104">
        <f>Estimation!R193</f>
        <v>0</v>
      </c>
      <c r="G39" s="104">
        <f>Estimation!V193</f>
        <v>0</v>
      </c>
      <c r="H39" s="104">
        <f>Estimation!Z193</f>
        <v>0</v>
      </c>
      <c r="I39" s="104">
        <f>Estimation!AD193</f>
        <v>0</v>
      </c>
      <c r="K39" s="116"/>
      <c r="L39" s="95"/>
    </row>
    <row r="40" spans="1:12" outlineLevel="1" x14ac:dyDescent="0.25">
      <c r="A40" s="94" t="str">
        <f>Estimation!D194</f>
        <v>Lodging (DoS rate)</v>
      </c>
      <c r="B40" s="104">
        <f>Estimation!E194</f>
        <v>0</v>
      </c>
      <c r="C40" s="102">
        <f>Estimation!F194</f>
        <v>0</v>
      </c>
      <c r="D40" s="104">
        <f>Estimation!J194</f>
        <v>0</v>
      </c>
      <c r="E40" s="104">
        <f>Estimation!N194</f>
        <v>0</v>
      </c>
      <c r="F40" s="104">
        <f>Estimation!R194</f>
        <v>0</v>
      </c>
      <c r="G40" s="104">
        <f>Estimation!V194</f>
        <v>0</v>
      </c>
      <c r="H40" s="104">
        <f>Estimation!Z194</f>
        <v>0</v>
      </c>
      <c r="I40" s="104">
        <f>Estimation!AD194</f>
        <v>0</v>
      </c>
      <c r="L40" s="95"/>
    </row>
    <row r="41" spans="1:12" outlineLevel="1" x14ac:dyDescent="0.25">
      <c r="A41" s="94" t="str">
        <f>Estimation!D195</f>
        <v>Per Diem (DoS/UM rate)</v>
      </c>
      <c r="B41" s="104">
        <f>Estimation!E195</f>
        <v>0</v>
      </c>
      <c r="C41" s="102">
        <f>Estimation!F195</f>
        <v>0</v>
      </c>
      <c r="D41" s="104">
        <f>Estimation!J195</f>
        <v>0</v>
      </c>
      <c r="E41" s="104">
        <f>Estimation!N195</f>
        <v>0</v>
      </c>
      <c r="F41" s="104">
        <f>Estimation!R195</f>
        <v>0</v>
      </c>
      <c r="G41" s="104">
        <f>Estimation!V195</f>
        <v>0</v>
      </c>
      <c r="H41" s="104">
        <f>Estimation!Z195</f>
        <v>0</v>
      </c>
      <c r="I41" s="104">
        <f>Estimation!AD195</f>
        <v>0</v>
      </c>
    </row>
    <row r="42" spans="1:12" outlineLevel="1" x14ac:dyDescent="0.25">
      <c r="A42" s="97" t="str">
        <f>Estimation!D196</f>
        <v>Conference Registration</v>
      </c>
      <c r="B42" s="104">
        <f>Estimation!E196</f>
        <v>0</v>
      </c>
      <c r="C42" s="102"/>
      <c r="D42" s="104">
        <f>Estimation!J196</f>
        <v>0</v>
      </c>
      <c r="E42" s="104">
        <f>Estimation!N196</f>
        <v>0</v>
      </c>
      <c r="F42" s="104">
        <f>Estimation!R196</f>
        <v>0</v>
      </c>
      <c r="G42" s="104">
        <f>Estimation!V196</f>
        <v>0</v>
      </c>
      <c r="H42" s="104">
        <f>Estimation!Z196</f>
        <v>0</v>
      </c>
      <c r="I42" s="104">
        <f>Estimation!AD196</f>
        <v>0</v>
      </c>
      <c r="L42" s="95"/>
    </row>
    <row r="43" spans="1:12" outlineLevel="1" x14ac:dyDescent="0.25">
      <c r="A43" s="97" t="str">
        <f>Estimation!D198</f>
        <v>Ground Transportation</v>
      </c>
      <c r="B43" s="104">
        <f>Estimation!E198</f>
        <v>0</v>
      </c>
      <c r="C43" s="102"/>
      <c r="D43" s="104">
        <f>Estimation!J198</f>
        <v>0</v>
      </c>
      <c r="E43" s="104">
        <f>Estimation!N198</f>
        <v>0</v>
      </c>
      <c r="F43" s="104">
        <f>Estimation!R198</f>
        <v>0</v>
      </c>
      <c r="G43" s="104">
        <f>Estimation!V198</f>
        <v>0</v>
      </c>
      <c r="H43" s="104">
        <f>Estimation!Z198</f>
        <v>0</v>
      </c>
      <c r="I43" s="104">
        <f>Estimation!AD198</f>
        <v>0</v>
      </c>
      <c r="L43" s="95"/>
    </row>
    <row r="44" spans="1:12" outlineLevel="1" x14ac:dyDescent="0.25">
      <c r="A44" s="412" t="str">
        <f>+Estimation!C200</f>
        <v>Description</v>
      </c>
      <c r="B44" s="412"/>
      <c r="C44" s="412"/>
      <c r="D44" s="412"/>
      <c r="E44" s="412"/>
      <c r="F44" s="412"/>
      <c r="G44" s="412"/>
      <c r="H44" s="412"/>
      <c r="I44" s="412"/>
      <c r="L44" s="95"/>
    </row>
    <row r="45" spans="1:12" outlineLevel="1" x14ac:dyDescent="0.25">
      <c r="A45" s="94" t="str">
        <f>Estimation!D201</f>
        <v>Airfare</v>
      </c>
      <c r="B45" s="104">
        <f>Estimation!E201</f>
        <v>0</v>
      </c>
      <c r="C45" s="102"/>
      <c r="D45" s="104">
        <f>Estimation!J201</f>
        <v>0</v>
      </c>
      <c r="E45" s="104">
        <f>Estimation!N201</f>
        <v>0</v>
      </c>
      <c r="F45" s="104">
        <f>Estimation!R201</f>
        <v>0</v>
      </c>
      <c r="G45" s="104">
        <f>Estimation!V201</f>
        <v>0</v>
      </c>
      <c r="H45" s="104">
        <f>Estimation!Z201</f>
        <v>0</v>
      </c>
      <c r="I45" s="104">
        <f>Estimation!AD201</f>
        <v>0</v>
      </c>
      <c r="L45" s="95"/>
    </row>
    <row r="46" spans="1:12" outlineLevel="1" x14ac:dyDescent="0.25">
      <c r="A46" s="94" t="str">
        <f>Estimation!D202</f>
        <v>Lodging (DoS rate)</v>
      </c>
      <c r="B46" s="104">
        <f>Estimation!E202</f>
        <v>0</v>
      </c>
      <c r="C46" s="102">
        <f>Estimation!F202</f>
        <v>0</v>
      </c>
      <c r="D46" s="104">
        <f>Estimation!J202</f>
        <v>0</v>
      </c>
      <c r="E46" s="104">
        <f>Estimation!N202</f>
        <v>0</v>
      </c>
      <c r="F46" s="104">
        <f>Estimation!R202</f>
        <v>0</v>
      </c>
      <c r="G46" s="104">
        <f>Estimation!V202</f>
        <v>0</v>
      </c>
      <c r="H46" s="104">
        <f>Estimation!Z202</f>
        <v>0</v>
      </c>
      <c r="I46" s="104">
        <f>Estimation!AD202</f>
        <v>0</v>
      </c>
      <c r="L46" s="95"/>
    </row>
    <row r="47" spans="1:12" outlineLevel="1" x14ac:dyDescent="0.25">
      <c r="A47" s="94" t="str">
        <f>Estimation!D203</f>
        <v>Per Diem (DoS/UM rate)</v>
      </c>
      <c r="B47" s="104">
        <f>Estimation!E203</f>
        <v>0</v>
      </c>
      <c r="C47" s="102">
        <f>Estimation!F203</f>
        <v>0</v>
      </c>
      <c r="D47" s="104">
        <f>Estimation!J203</f>
        <v>0</v>
      </c>
      <c r="E47" s="104">
        <f>Estimation!N203</f>
        <v>0</v>
      </c>
      <c r="F47" s="104">
        <f>Estimation!R203</f>
        <v>0</v>
      </c>
      <c r="G47" s="104">
        <f>Estimation!V203</f>
        <v>0</v>
      </c>
      <c r="H47" s="104">
        <f>Estimation!Z203</f>
        <v>0</v>
      </c>
      <c r="I47" s="104">
        <f>Estimation!AD203</f>
        <v>0</v>
      </c>
    </row>
    <row r="48" spans="1:12" outlineLevel="1" x14ac:dyDescent="0.25">
      <c r="A48" s="97" t="str">
        <f>Estimation!D204</f>
        <v>Conference Registration</v>
      </c>
      <c r="B48" s="104">
        <f>Estimation!E204</f>
        <v>0</v>
      </c>
      <c r="C48" s="102"/>
      <c r="D48" s="104">
        <f>Estimation!J204</f>
        <v>0</v>
      </c>
      <c r="E48" s="104">
        <f>Estimation!N204</f>
        <v>0</v>
      </c>
      <c r="F48" s="104">
        <f>Estimation!R204</f>
        <v>0</v>
      </c>
      <c r="G48" s="104">
        <f>Estimation!V204</f>
        <v>0</v>
      </c>
      <c r="H48" s="104">
        <f>Estimation!Z204</f>
        <v>0</v>
      </c>
      <c r="I48" s="104">
        <f>Estimation!AD204</f>
        <v>0</v>
      </c>
      <c r="L48" s="95"/>
    </row>
    <row r="49" spans="1:12" outlineLevel="1" x14ac:dyDescent="0.25">
      <c r="A49" s="97" t="str">
        <f>Estimation!D206</f>
        <v>Ground Transportation</v>
      </c>
      <c r="B49" s="104">
        <f>Estimation!E206</f>
        <v>0</v>
      </c>
      <c r="C49" s="102"/>
      <c r="D49" s="104">
        <f>Estimation!J206</f>
        <v>0</v>
      </c>
      <c r="E49" s="104">
        <f>Estimation!N206</f>
        <v>0</v>
      </c>
      <c r="F49" s="104">
        <f>Estimation!R206</f>
        <v>0</v>
      </c>
      <c r="G49" s="104">
        <f>Estimation!V206</f>
        <v>0</v>
      </c>
      <c r="H49" s="104">
        <f>Estimation!Z206</f>
        <v>0</v>
      </c>
      <c r="I49" s="104">
        <f>Estimation!AD206</f>
        <v>0</v>
      </c>
      <c r="L49" s="95"/>
    </row>
    <row r="50" spans="1:12" outlineLevel="1" x14ac:dyDescent="0.25">
      <c r="A50" s="412" t="str">
        <f>+Estimation!C208</f>
        <v>Description</v>
      </c>
      <c r="B50" s="412"/>
      <c r="C50" s="412"/>
      <c r="D50" s="412"/>
      <c r="E50" s="412"/>
      <c r="F50" s="412"/>
      <c r="G50" s="412"/>
      <c r="H50" s="412"/>
      <c r="I50" s="412"/>
      <c r="L50" s="95"/>
    </row>
    <row r="51" spans="1:12" outlineLevel="1" x14ac:dyDescent="0.25">
      <c r="A51" s="94" t="str">
        <f>Estimation!D209</f>
        <v>Airfare</v>
      </c>
      <c r="B51" s="104">
        <f>Estimation!E209</f>
        <v>0</v>
      </c>
      <c r="C51" s="102"/>
      <c r="D51" s="107">
        <f>Estimation!J209</f>
        <v>0</v>
      </c>
      <c r="E51" s="107">
        <f>Estimation!N209</f>
        <v>0</v>
      </c>
      <c r="F51" s="107">
        <f>Estimation!R209</f>
        <v>0</v>
      </c>
      <c r="G51" s="107">
        <f>Estimation!V209</f>
        <v>0</v>
      </c>
      <c r="H51" s="107">
        <f>Estimation!Z209</f>
        <v>0</v>
      </c>
      <c r="I51" s="107">
        <f>Estimation!AD209</f>
        <v>0</v>
      </c>
      <c r="L51" s="95"/>
    </row>
    <row r="52" spans="1:12" outlineLevel="1" x14ac:dyDescent="0.25">
      <c r="A52" s="94" t="str">
        <f>Estimation!D210</f>
        <v>Lodging (DoS rate)</v>
      </c>
      <c r="B52" s="104">
        <f>Estimation!E210</f>
        <v>0</v>
      </c>
      <c r="C52" s="102">
        <f>Estimation!F210</f>
        <v>0</v>
      </c>
      <c r="D52" s="107">
        <f>Estimation!J210</f>
        <v>0</v>
      </c>
      <c r="E52" s="107">
        <f>Estimation!N210</f>
        <v>0</v>
      </c>
      <c r="F52" s="107">
        <f>Estimation!R210</f>
        <v>0</v>
      </c>
      <c r="G52" s="107">
        <f>Estimation!V210</f>
        <v>0</v>
      </c>
      <c r="H52" s="107">
        <f>Estimation!Z210</f>
        <v>0</v>
      </c>
      <c r="I52" s="107">
        <f>Estimation!AD210</f>
        <v>0</v>
      </c>
      <c r="L52" s="95"/>
    </row>
    <row r="53" spans="1:12" outlineLevel="1" x14ac:dyDescent="0.25">
      <c r="A53" s="94" t="str">
        <f>Estimation!D211</f>
        <v>Per Diem (DoS/UM rate)</v>
      </c>
      <c r="B53" s="104">
        <f>Estimation!E211</f>
        <v>0</v>
      </c>
      <c r="C53" s="102">
        <f>Estimation!F211</f>
        <v>0</v>
      </c>
      <c r="D53" s="107">
        <f>Estimation!J211</f>
        <v>0</v>
      </c>
      <c r="E53" s="107">
        <f>Estimation!N211</f>
        <v>0</v>
      </c>
      <c r="F53" s="107">
        <f>Estimation!R211</f>
        <v>0</v>
      </c>
      <c r="G53" s="107">
        <f>Estimation!V211</f>
        <v>0</v>
      </c>
      <c r="H53" s="107">
        <f>Estimation!Z211</f>
        <v>0</v>
      </c>
      <c r="I53" s="107">
        <f>Estimation!AD211</f>
        <v>0</v>
      </c>
    </row>
    <row r="54" spans="1:12" outlineLevel="1" x14ac:dyDescent="0.25">
      <c r="A54" s="97" t="str">
        <f>Estimation!D212</f>
        <v>Conference Registration</v>
      </c>
      <c r="B54" s="104">
        <f>Estimation!E212</f>
        <v>0</v>
      </c>
      <c r="C54" s="102"/>
      <c r="D54" s="107">
        <f>Estimation!J212</f>
        <v>0</v>
      </c>
      <c r="E54" s="107">
        <f>Estimation!N212</f>
        <v>0</v>
      </c>
      <c r="F54" s="107">
        <f>Estimation!R212</f>
        <v>0</v>
      </c>
      <c r="G54" s="107">
        <f>Estimation!V212</f>
        <v>0</v>
      </c>
      <c r="H54" s="107">
        <f>Estimation!Z212</f>
        <v>0</v>
      </c>
      <c r="I54" s="107">
        <f>Estimation!AD212</f>
        <v>0</v>
      </c>
      <c r="L54" s="95"/>
    </row>
    <row r="55" spans="1:12" x14ac:dyDescent="0.25">
      <c r="A55" s="97" t="str">
        <f>Estimation!D214</f>
        <v>Ground Transportation</v>
      </c>
      <c r="B55" s="104">
        <f>Estimation!E214</f>
        <v>0</v>
      </c>
      <c r="C55" s="102"/>
      <c r="D55" s="107">
        <f>Estimation!J214</f>
        <v>0</v>
      </c>
      <c r="E55" s="107">
        <f>Estimation!N214</f>
        <v>0</v>
      </c>
      <c r="F55" s="107">
        <f>Estimation!R214</f>
        <v>0</v>
      </c>
      <c r="G55" s="107">
        <f>Estimation!V214</f>
        <v>0</v>
      </c>
      <c r="H55" s="107">
        <f>Estimation!Z214</f>
        <v>0</v>
      </c>
      <c r="I55" s="107">
        <f>Estimation!AD214</f>
        <v>0</v>
      </c>
    </row>
    <row r="56" spans="1:12" x14ac:dyDescent="0.25">
      <c r="A56" s="406"/>
      <c r="B56" s="407"/>
      <c r="C56" s="407"/>
      <c r="D56" s="407"/>
      <c r="E56" s="407"/>
      <c r="F56" s="407"/>
      <c r="G56" s="407"/>
      <c r="H56" s="407"/>
      <c r="I56" s="408"/>
    </row>
    <row r="57" spans="1:12" x14ac:dyDescent="0.25">
      <c r="A57" s="414" t="str">
        <f>+Estimation!H215</f>
        <v>Subtotal International Travel</v>
      </c>
      <c r="B57" s="415"/>
      <c r="C57" s="415"/>
      <c r="D57" s="106">
        <f>Estimation!J215</f>
        <v>0</v>
      </c>
      <c r="E57" s="106">
        <f>Estimation!N215</f>
        <v>0</v>
      </c>
      <c r="F57" s="106">
        <f>Estimation!R215</f>
        <v>0</v>
      </c>
      <c r="G57" s="106">
        <f>Estimation!V215</f>
        <v>0</v>
      </c>
      <c r="H57" s="106">
        <f>Estimation!Z215</f>
        <v>0</v>
      </c>
      <c r="I57" s="106">
        <f>Estimation!AD215</f>
        <v>0</v>
      </c>
    </row>
    <row r="58" spans="1:12" x14ac:dyDescent="0.25">
      <c r="A58" s="98"/>
      <c r="B58" s="99"/>
      <c r="C58" s="99"/>
      <c r="D58" s="99"/>
      <c r="E58" s="99"/>
      <c r="F58" s="99"/>
      <c r="G58" s="99"/>
      <c r="H58" s="99"/>
      <c r="I58" s="100"/>
    </row>
    <row r="59" spans="1:12" x14ac:dyDescent="0.25">
      <c r="A59" s="415" t="str">
        <f>+Estimation!C217</f>
        <v>Total Travel</v>
      </c>
      <c r="B59" s="415"/>
      <c r="C59" s="415"/>
      <c r="D59" s="106">
        <f>Estimation!J217</f>
        <v>0</v>
      </c>
      <c r="E59" s="106">
        <f>Estimation!N217</f>
        <v>0</v>
      </c>
      <c r="F59" s="106">
        <f>Estimation!R217</f>
        <v>0</v>
      </c>
      <c r="G59" s="106">
        <f>Estimation!V217</f>
        <v>0</v>
      </c>
      <c r="H59" s="106">
        <f>Estimation!Z217</f>
        <v>0</v>
      </c>
      <c r="I59" s="106">
        <f>Estimation!AD217</f>
        <v>0</v>
      </c>
    </row>
    <row r="60" spans="1:12" x14ac:dyDescent="0.25">
      <c r="B60" s="101"/>
      <c r="D60" s="101"/>
      <c r="E60" s="101"/>
      <c r="F60" s="101"/>
      <c r="G60" s="101"/>
      <c r="H60" s="101"/>
      <c r="I60" s="101"/>
    </row>
    <row r="61" spans="1:12" x14ac:dyDescent="0.25">
      <c r="B61" s="101"/>
      <c r="D61" s="101"/>
      <c r="E61" s="101"/>
      <c r="F61" s="101"/>
      <c r="G61" s="101"/>
      <c r="H61" s="101"/>
      <c r="I61" s="101"/>
    </row>
  </sheetData>
  <mergeCells count="20">
    <mergeCell ref="A57:C57"/>
    <mergeCell ref="A59:C59"/>
    <mergeCell ref="A34:I34"/>
    <mergeCell ref="A35:C35"/>
    <mergeCell ref="A38:I38"/>
    <mergeCell ref="A44:I44"/>
    <mergeCell ref="A50:I50"/>
    <mergeCell ref="K3:K5"/>
    <mergeCell ref="K8:K9"/>
    <mergeCell ref="K11:K12"/>
    <mergeCell ref="K17:K22"/>
    <mergeCell ref="A56:I56"/>
    <mergeCell ref="A31:I31"/>
    <mergeCell ref="A3:I3"/>
    <mergeCell ref="A10:I10"/>
    <mergeCell ref="A17:I17"/>
    <mergeCell ref="A24:I24"/>
    <mergeCell ref="K28:K32"/>
    <mergeCell ref="K34:K35"/>
    <mergeCell ref="K36:K3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9"/>
  <sheetViews>
    <sheetView topLeftCell="A4" zoomScaleNormal="100" workbookViewId="0">
      <selection activeCell="F16" sqref="F16"/>
    </sheetView>
  </sheetViews>
  <sheetFormatPr defaultColWidth="9" defaultRowHeight="15" x14ac:dyDescent="0.25"/>
  <cols>
    <col min="1" max="1" width="2.75" style="8" customWidth="1"/>
    <col min="2" max="2" width="4.625" style="8" customWidth="1"/>
    <col min="3" max="3" width="18.625" style="8" customWidth="1"/>
    <col min="4" max="4" width="7.75" style="8" customWidth="1"/>
    <col min="5" max="5" width="2" style="9" customWidth="1"/>
    <col min="6" max="6" width="11.375" style="8" customWidth="1"/>
    <col min="7" max="7" width="2" style="8" customWidth="1"/>
    <col min="8" max="8" width="11.375" style="8" customWidth="1"/>
    <col min="9" max="9" width="2" style="8" customWidth="1"/>
    <col min="10" max="10" width="11.375" style="8" customWidth="1"/>
    <col min="11" max="11" width="2" style="8" customWidth="1"/>
    <col min="12" max="12" width="11.375" style="8" customWidth="1"/>
    <col min="13" max="13" width="2" style="8" customWidth="1"/>
    <col min="14" max="14" width="11.375" style="8" customWidth="1"/>
    <col min="15" max="15" width="2" style="8" customWidth="1"/>
    <col min="16" max="16" width="11.375" style="8" customWidth="1"/>
    <col min="17" max="17" width="2" style="8" customWidth="1"/>
    <col min="18" max="18" width="3.25" style="8" customWidth="1"/>
    <col min="19" max="19" width="9" style="8"/>
    <col min="20" max="20" width="20.25" style="8" customWidth="1"/>
    <col min="21" max="21" width="10.625" style="8" customWidth="1"/>
    <col min="22" max="22" width="9" style="8"/>
    <col min="23" max="23" width="2.25" style="8" customWidth="1"/>
    <col min="24" max="24" width="9" style="8"/>
    <col min="25" max="25" width="2.25" style="8" customWidth="1"/>
    <col min="26" max="26" width="9" style="8"/>
    <col min="27" max="27" width="2.25" style="8" customWidth="1"/>
    <col min="28" max="28" width="9" style="8"/>
    <col min="29" max="29" width="2.25" style="8" customWidth="1"/>
    <col min="30" max="16384" width="9" style="8"/>
  </cols>
  <sheetData>
    <row r="1" spans="1:27" ht="43.9" customHeight="1" x14ac:dyDescent="0.25"/>
    <row r="2" spans="1:27" ht="19.899999999999999" customHeight="1" x14ac:dyDescent="0.25"/>
    <row r="3" spans="1:27" ht="19.5" x14ac:dyDescent="0.25">
      <c r="A3" s="400" t="s">
        <v>108</v>
      </c>
      <c r="B3" s="400"/>
      <c r="C3" s="400"/>
      <c r="D3" s="400"/>
      <c r="E3" s="400"/>
      <c r="F3" s="400"/>
      <c r="G3" s="400"/>
      <c r="H3" s="400"/>
      <c r="I3" s="400"/>
      <c r="J3" s="400"/>
      <c r="K3" s="400"/>
      <c r="L3" s="400"/>
      <c r="M3" s="400"/>
      <c r="N3" s="400"/>
      <c r="O3" s="400"/>
      <c r="P3" s="400"/>
      <c r="Q3" s="400"/>
      <c r="R3" s="4"/>
      <c r="S3"/>
      <c r="T3"/>
      <c r="U3"/>
      <c r="V3"/>
      <c r="W3"/>
      <c r="X3"/>
      <c r="Y3"/>
      <c r="Z3"/>
      <c r="AA3"/>
    </row>
    <row r="4" spans="1:27" ht="18" customHeight="1" x14ac:dyDescent="0.25">
      <c r="B4" s="38"/>
      <c r="C4" s="38"/>
      <c r="D4" s="1"/>
      <c r="E4" s="2"/>
      <c r="F4" s="2"/>
      <c r="G4" s="2"/>
      <c r="H4" s="3"/>
      <c r="I4" s="3"/>
      <c r="J4" s="10"/>
      <c r="K4" s="4"/>
      <c r="L4" s="4"/>
      <c r="M4" s="4"/>
      <c r="N4" s="4"/>
      <c r="O4" s="4"/>
      <c r="P4" s="4"/>
      <c r="Q4" s="2"/>
      <c r="R4" s="4"/>
      <c r="S4"/>
      <c r="T4"/>
      <c r="U4"/>
      <c r="V4"/>
      <c r="W4"/>
      <c r="X4"/>
      <c r="Y4"/>
      <c r="Z4"/>
      <c r="AA4"/>
    </row>
    <row r="5" spans="1:27" ht="15.75" x14ac:dyDescent="0.25">
      <c r="B5" s="7" t="s">
        <v>176</v>
      </c>
      <c r="C5" s="38"/>
      <c r="D5" s="401">
        <f>Estimation!E1</f>
        <v>0</v>
      </c>
      <c r="E5" s="401"/>
      <c r="F5" s="401"/>
      <c r="J5" s="7" t="s">
        <v>47</v>
      </c>
      <c r="K5" s="38"/>
      <c r="M5" s="402">
        <f>Estimation!E6</f>
        <v>0</v>
      </c>
      <c r="N5" s="402"/>
      <c r="O5" s="402"/>
      <c r="P5" s="402"/>
      <c r="R5" s="39"/>
      <c r="S5"/>
      <c r="T5"/>
      <c r="U5"/>
      <c r="V5"/>
      <c r="W5"/>
      <c r="X5"/>
      <c r="Y5"/>
      <c r="Z5"/>
      <c r="AA5"/>
    </row>
    <row r="6" spans="1:27" ht="15.75" x14ac:dyDescent="0.25">
      <c r="B6" s="7" t="s">
        <v>141</v>
      </c>
      <c r="C6" s="38"/>
      <c r="D6" s="401">
        <f>Estimation!E2</f>
        <v>0</v>
      </c>
      <c r="E6" s="401"/>
      <c r="F6" s="401"/>
      <c r="J6" s="7" t="s">
        <v>48</v>
      </c>
      <c r="K6" s="38"/>
      <c r="M6" s="402">
        <f>Estimation!E7</f>
        <v>0</v>
      </c>
      <c r="N6" s="402"/>
      <c r="O6" s="402"/>
      <c r="P6" s="402"/>
      <c r="R6" s="39"/>
      <c r="S6"/>
      <c r="T6"/>
      <c r="U6"/>
      <c r="V6"/>
      <c r="W6"/>
      <c r="X6"/>
      <c r="Y6"/>
      <c r="Z6"/>
      <c r="AA6"/>
    </row>
    <row r="7" spans="1:27" ht="15.75" x14ac:dyDescent="0.25">
      <c r="B7" s="38"/>
      <c r="C7" s="38"/>
      <c r="D7" s="38"/>
      <c r="E7" s="38"/>
      <c r="F7" s="38"/>
      <c r="G7" s="38"/>
      <c r="H7" s="22"/>
      <c r="I7" s="22"/>
      <c r="J7" s="38"/>
      <c r="K7" s="38"/>
      <c r="M7" s="402">
        <f>Estimation!E8</f>
        <v>0</v>
      </c>
      <c r="N7" s="402"/>
      <c r="O7" s="402"/>
      <c r="P7" s="402"/>
      <c r="R7" s="39"/>
      <c r="S7"/>
      <c r="T7"/>
      <c r="U7"/>
      <c r="V7"/>
      <c r="W7"/>
      <c r="X7"/>
      <c r="Y7"/>
      <c r="Z7"/>
      <c r="AA7"/>
    </row>
    <row r="8" spans="1:27" ht="15.75" x14ac:dyDescent="0.25">
      <c r="B8" s="38"/>
      <c r="C8" s="38"/>
      <c r="D8" s="38"/>
      <c r="E8" s="38"/>
      <c r="F8" s="38"/>
      <c r="G8" s="38"/>
      <c r="H8" s="5"/>
      <c r="I8" s="5"/>
      <c r="J8" s="39"/>
      <c r="K8" s="39"/>
      <c r="L8" s="39"/>
      <c r="M8" s="39"/>
      <c r="N8" s="39"/>
      <c r="O8" s="39"/>
      <c r="P8" s="39"/>
      <c r="R8" s="39"/>
      <c r="S8"/>
      <c r="T8"/>
      <c r="U8"/>
      <c r="V8"/>
      <c r="W8"/>
      <c r="X8"/>
      <c r="Y8"/>
      <c r="Z8"/>
      <c r="AA8"/>
    </row>
    <row r="9" spans="1:27" ht="15.6" customHeight="1" x14ac:dyDescent="0.25">
      <c r="B9" s="7" t="s">
        <v>20</v>
      </c>
      <c r="C9" s="399">
        <f>Estimation!I7</f>
        <v>0</v>
      </c>
      <c r="D9" s="399"/>
      <c r="E9" s="399"/>
      <c r="F9" s="399"/>
      <c r="G9" s="399"/>
      <c r="H9" s="399"/>
      <c r="J9" s="57" t="s">
        <v>109</v>
      </c>
      <c r="M9" s="403">
        <f>Estimation!E3</f>
        <v>0</v>
      </c>
      <c r="N9" s="403"/>
      <c r="O9" s="403"/>
      <c r="P9" s="403"/>
      <c r="S9"/>
      <c r="T9"/>
      <c r="U9"/>
      <c r="V9"/>
      <c r="W9"/>
      <c r="X9"/>
      <c r="Y9"/>
      <c r="Z9"/>
      <c r="AA9"/>
    </row>
    <row r="10" spans="1:27" ht="15.75" x14ac:dyDescent="0.25">
      <c r="C10" s="399"/>
      <c r="D10" s="399"/>
      <c r="E10" s="399"/>
      <c r="F10" s="399"/>
      <c r="G10" s="399"/>
      <c r="H10" s="399"/>
      <c r="S10"/>
      <c r="T10"/>
      <c r="U10"/>
      <c r="V10"/>
      <c r="W10"/>
      <c r="X10"/>
      <c r="Y10"/>
      <c r="Z10"/>
      <c r="AA10"/>
    </row>
    <row r="11" spans="1:27" ht="15.75" x14ac:dyDescent="0.25">
      <c r="B11" s="6"/>
      <c r="C11" s="399"/>
      <c r="D11" s="399"/>
      <c r="E11" s="399"/>
      <c r="F11" s="399"/>
      <c r="G11" s="399"/>
      <c r="H11" s="399"/>
      <c r="J11" s="64" t="s">
        <v>18</v>
      </c>
      <c r="M11" s="402">
        <f>Estimation!K12</f>
        <v>0</v>
      </c>
      <c r="N11" s="402"/>
      <c r="O11" s="402"/>
      <c r="P11" s="402"/>
      <c r="S11"/>
      <c r="T11"/>
      <c r="U11"/>
      <c r="V11"/>
      <c r="W11"/>
      <c r="X11"/>
      <c r="Y11"/>
      <c r="Z11"/>
      <c r="AA11"/>
    </row>
    <row r="12" spans="1:27" ht="15.75" x14ac:dyDescent="0.25">
      <c r="B12" s="6"/>
      <c r="C12" s="399"/>
      <c r="D12" s="399"/>
      <c r="E12" s="399"/>
      <c r="F12" s="399"/>
      <c r="G12" s="399"/>
      <c r="H12" s="399"/>
      <c r="S12"/>
      <c r="T12"/>
      <c r="U12"/>
      <c r="V12"/>
      <c r="W12"/>
      <c r="X12"/>
      <c r="Y12"/>
      <c r="Z12"/>
      <c r="AA12"/>
    </row>
    <row r="13" spans="1:27" ht="15.75" x14ac:dyDescent="0.25">
      <c r="B13" s="38"/>
      <c r="C13" s="38"/>
      <c r="D13" s="38"/>
      <c r="E13" s="38"/>
      <c r="F13" s="38"/>
      <c r="G13" s="38"/>
      <c r="H13" s="6"/>
      <c r="I13" s="15"/>
      <c r="J13" s="6"/>
      <c r="K13" s="15"/>
      <c r="L13" s="15"/>
      <c r="M13" s="15"/>
      <c r="N13" s="15"/>
      <c r="S13"/>
      <c r="T13"/>
      <c r="U13"/>
      <c r="V13"/>
      <c r="W13"/>
      <c r="X13"/>
      <c r="Y13"/>
      <c r="Z13"/>
      <c r="AA13"/>
    </row>
    <row r="14" spans="1:27" x14ac:dyDescent="0.25">
      <c r="B14" s="122" t="s">
        <v>27</v>
      </c>
      <c r="C14" s="122"/>
      <c r="D14" s="122"/>
      <c r="E14" s="123"/>
      <c r="F14" s="124" t="s">
        <v>0</v>
      </c>
      <c r="G14" s="125"/>
      <c r="H14" s="124" t="s">
        <v>1</v>
      </c>
      <c r="I14" s="125"/>
      <c r="J14" s="124" t="s">
        <v>22</v>
      </c>
      <c r="K14" s="125"/>
      <c r="L14" s="124" t="s">
        <v>30</v>
      </c>
      <c r="M14" s="125"/>
      <c r="N14" s="124" t="s">
        <v>41</v>
      </c>
      <c r="O14" s="125"/>
      <c r="P14" s="126" t="s">
        <v>23</v>
      </c>
      <c r="Q14" s="125"/>
      <c r="R14" s="18"/>
    </row>
    <row r="15" spans="1:27" x14ac:dyDescent="0.25">
      <c r="D15" s="23"/>
      <c r="E15" s="69"/>
      <c r="G15" s="69"/>
      <c r="I15" s="69"/>
      <c r="K15" s="69"/>
      <c r="M15" s="69"/>
      <c r="O15" s="69"/>
      <c r="Q15" s="69"/>
    </row>
    <row r="16" spans="1:27" s="22" customFormat="1" x14ac:dyDescent="0.25">
      <c r="C16" s="5" t="s">
        <v>24</v>
      </c>
      <c r="D16" s="67"/>
      <c r="E16" s="70"/>
      <c r="F16" s="74">
        <f>Estimation!J142*(1+Industry!U26)</f>
        <v>0</v>
      </c>
      <c r="G16" s="70"/>
      <c r="H16" s="74">
        <f>Estimation!N142*(1+Industry!U26)</f>
        <v>0</v>
      </c>
      <c r="I16" s="70"/>
      <c r="J16" s="74">
        <f>Estimation!R142*(1+Industry!U26)</f>
        <v>0</v>
      </c>
      <c r="K16" s="70"/>
      <c r="L16" s="74">
        <f>Estimation!V142*(1+Industry!U26)</f>
        <v>0</v>
      </c>
      <c r="M16" s="70"/>
      <c r="N16" s="74">
        <f>Estimation!Z142*(1+Industry!U26)</f>
        <v>0</v>
      </c>
      <c r="O16" s="70"/>
      <c r="P16" s="68">
        <f>SUM(F16:N16)</f>
        <v>0</v>
      </c>
      <c r="Q16" s="70"/>
    </row>
    <row r="17" spans="2:30" s="22" customFormat="1" x14ac:dyDescent="0.25">
      <c r="C17" s="5" t="s">
        <v>63</v>
      </c>
      <c r="D17" s="33"/>
      <c r="E17" s="71"/>
      <c r="F17" s="34">
        <f>IF($U$25="MTDC",Estimation!J150,IF($U$25="TDC",Estimation!J150*(1+Industry!$U$26),IF($U$25="Other",Estimation!J150*(1+Industry!$U$26))))</f>
        <v>0</v>
      </c>
      <c r="G17" s="71"/>
      <c r="H17" s="34">
        <f>IF($U$25="MTDC",Estimation!N150,IF($U$25="TDC",Estimation!N150*(1+Industry!$U$26),IF($U$25="Other",Estimation!N150*(1+Industry!$U$26))))</f>
        <v>0</v>
      </c>
      <c r="I17" s="71"/>
      <c r="J17" s="34">
        <f>IF($U$25="MTDC",Estimation!R150,IF($U$25="TDC",Estimation!R150*(1+Industry!$U$26),IF($U$25="Other",Estimation!R150*(1+Industry!$U$26))))</f>
        <v>0</v>
      </c>
      <c r="K17" s="71"/>
      <c r="L17" s="34">
        <f>IF($U$25="MTDC",Estimation!V150,IF($U$25="TDC",Estimation!V150*(1+Industry!$U$26),IF($U$25="Other",Estimation!V150*(1+Industry!$U$26))))</f>
        <v>0</v>
      </c>
      <c r="M17" s="71"/>
      <c r="N17" s="34">
        <f>IF($U$25="MTDC",Estimation!Z150,IF($U$25="TDC",Estimation!Z150*(1+Industry!$U$26),IF($U$25="Other",Estimation!Z150*(1+Industry!$U$26))))</f>
        <v>0</v>
      </c>
      <c r="O17" s="71"/>
      <c r="P17" s="68">
        <f>SUM(F17:N17)</f>
        <v>0</v>
      </c>
      <c r="Q17" s="71"/>
    </row>
    <row r="18" spans="2:30" s="22" customFormat="1" x14ac:dyDescent="0.25">
      <c r="C18" s="5" t="s">
        <v>10</v>
      </c>
      <c r="D18" s="33"/>
      <c r="E18" s="71"/>
      <c r="F18" s="33">
        <f>Estimation!J217*(1+Industry!U26)</f>
        <v>0</v>
      </c>
      <c r="G18" s="71"/>
      <c r="H18" s="33">
        <f>Estimation!N217*(1+Industry!U26)</f>
        <v>0</v>
      </c>
      <c r="I18" s="71"/>
      <c r="J18" s="33">
        <f>Estimation!R217*(1+Industry!U26)</f>
        <v>0</v>
      </c>
      <c r="K18" s="71"/>
      <c r="L18" s="33">
        <f>Estimation!V217*(1+Industry!U26)</f>
        <v>0</v>
      </c>
      <c r="M18" s="71"/>
      <c r="N18" s="33">
        <f>Estimation!Z217*(1+Industry!U26)</f>
        <v>0</v>
      </c>
      <c r="O18" s="71"/>
      <c r="P18" s="68">
        <f>SUM(F18:N18)</f>
        <v>0</v>
      </c>
      <c r="Q18" s="71"/>
    </row>
    <row r="19" spans="2:30" s="22" customFormat="1" x14ac:dyDescent="0.25">
      <c r="C19" s="5" t="s">
        <v>25</v>
      </c>
      <c r="D19" s="34"/>
      <c r="E19" s="72"/>
      <c r="F19" s="34">
        <f>IF($U$25="MTDC",SUM(V28+(V29*Industry!$U$26)),IF($U$25="TDC",V28*(1+Industry!$U$26),IF($U$25="Other",SUM(V30*(1+Industry!$U$26)))))</f>
        <v>0</v>
      </c>
      <c r="G19" s="72"/>
      <c r="H19" s="34">
        <f>IF($U$25="MTDC",SUM(X28+(X29*Industry!$U$26)),IF($U$25="TDC",X28*(1+Industry!$U$26),IF($U$25="Other",SUM(X30*(1+Industry!$U$26)))))</f>
        <v>0</v>
      </c>
      <c r="I19" s="72"/>
      <c r="J19" s="34">
        <f>IF($U$25="MTDC",SUM(Z28+(Z29*Industry!$U$26)),IF($U$25="TDC",Z28*(1+Industry!$U$26),IF($U$25="Other",SUM(Z30*(1+Industry!$U$26)))))</f>
        <v>0</v>
      </c>
      <c r="K19" s="72"/>
      <c r="L19" s="34">
        <f>IF($U$25="MTDC",SUM(AB28+(AB29*Industry!$U$26)),IF($U$25="TDC",AB28*(1+Industry!$U$26),IF($U$25="Other",SUM(AB30*(1+Industry!$U$26)))))</f>
        <v>0</v>
      </c>
      <c r="M19" s="72"/>
      <c r="N19" s="34">
        <f>IF($U$25="MTDC",SUM(AD28+(AD29*Industry!$U$26)),IF($U$25="TDC",AD28*(1+Industry!$U$26),IF($U$25="Other",SUM(AD30*(1+Industry!$U$26)))))</f>
        <v>0</v>
      </c>
      <c r="O19" s="72"/>
      <c r="P19" s="68">
        <f>SUM(F19:N19)</f>
        <v>0</v>
      </c>
      <c r="Q19" s="72"/>
    </row>
    <row r="20" spans="2:30" s="22" customFormat="1" x14ac:dyDescent="0.25">
      <c r="B20" s="76"/>
      <c r="C20" s="77" t="s">
        <v>40</v>
      </c>
      <c r="D20" s="78"/>
      <c r="E20" s="79"/>
      <c r="F20" s="78">
        <f>IF($U$25="MTDC",SUM(Estimation!J249:J256)+(25000*Estimation!G282*Industry!$U$26),IF($U$25="TDC",SUM(Estimation!J249:J256)*(1+Industry!$U$26),IF($U$25="Other",SUM(Estimation!J249:J256)*(1+Industry!$U$26))))</f>
        <v>0</v>
      </c>
      <c r="G20" s="79"/>
      <c r="H20" s="78">
        <f>IF($U$25="MTDC",SUM(Estimation!N249:N256),IF($U$25="TDC",SUM(Estimation!N249:N256)*(1+Industry!$U$26),IF($U$25="Other",SUM(Estimation!N249:N256)*(1+Industry!$U$26))))</f>
        <v>0</v>
      </c>
      <c r="I20" s="79"/>
      <c r="J20" s="78">
        <f>IF($U$25="MTDC",SUM(Estimation!R249:R256),IF($U$25="TDC",SUM(Estimation!R249:R256)*(1+Industry!$U$26),IF($U$25="Other",SUM(Estimation!R249:R256)*(1+Industry!$U$26))))</f>
        <v>0</v>
      </c>
      <c r="K20" s="79"/>
      <c r="L20" s="78">
        <f>IF($U$25="MTDC",SUM(Estimation!V249:V256),IF($U$25="TDC",SUM(Estimation!V249:V256)*(1+Industry!$U$26),IF($U$25="Other",SUM(Estimation!V249:V256)*(1+Industry!$U$26))))</f>
        <v>0</v>
      </c>
      <c r="M20" s="79"/>
      <c r="N20" s="78">
        <f>IF($U$25="MTDC",SUM(Estimation!Z249:Z256),IF($U$25="TDC",SUM(Estimation!Z249:Z256)*(1+Industry!$U$26),IF($U$25="Other",SUM(Estimation!Z249:Z256)*(1+Industry!$U$26))))</f>
        <v>0</v>
      </c>
      <c r="O20" s="79"/>
      <c r="P20" s="80">
        <f>SUM(F20:N20)</f>
        <v>0</v>
      </c>
      <c r="Q20" s="79"/>
    </row>
    <row r="21" spans="2:30" s="22" customFormat="1" ht="15.75" thickBot="1" x14ac:dyDescent="0.3">
      <c r="D21" s="34"/>
      <c r="E21" s="34"/>
      <c r="F21" s="34"/>
      <c r="G21" s="34"/>
      <c r="H21" s="34"/>
      <c r="I21" s="34"/>
      <c r="J21" s="34"/>
      <c r="K21" s="34"/>
      <c r="L21" s="34"/>
      <c r="M21" s="34"/>
      <c r="N21" s="75"/>
      <c r="O21" s="34"/>
      <c r="P21" s="31"/>
      <c r="Q21" s="34"/>
    </row>
    <row r="22" spans="2:30" s="22" customFormat="1" ht="16.5" thickTop="1" thickBot="1" x14ac:dyDescent="0.3">
      <c r="B22" s="140"/>
      <c r="C22" s="141" t="s">
        <v>64</v>
      </c>
      <c r="D22" s="142"/>
      <c r="E22" s="142"/>
      <c r="F22" s="143">
        <f>SUM(F16:F20)</f>
        <v>0</v>
      </c>
      <c r="G22" s="143"/>
      <c r="H22" s="143">
        <f>SUM(H16:H20)</f>
        <v>0</v>
      </c>
      <c r="I22" s="143"/>
      <c r="J22" s="143">
        <f>SUM(J16:J20)</f>
        <v>0</v>
      </c>
      <c r="K22" s="143"/>
      <c r="L22" s="143">
        <f>SUM(L16:L20)</f>
        <v>0</v>
      </c>
      <c r="M22" s="143"/>
      <c r="N22" s="143">
        <f>SUM(N16:N20)</f>
        <v>0</v>
      </c>
      <c r="O22" s="143"/>
      <c r="P22" s="143">
        <f>SUM(P16:P20)</f>
        <v>0</v>
      </c>
      <c r="Q22" s="142"/>
    </row>
    <row r="23" spans="2:30" s="22" customFormat="1" ht="15.75" thickTop="1" x14ac:dyDescent="0.25">
      <c r="C23" s="32"/>
      <c r="D23" s="32"/>
      <c r="E23" s="32"/>
      <c r="F23" s="32"/>
      <c r="G23" s="32"/>
      <c r="H23" s="32"/>
      <c r="I23" s="32"/>
      <c r="J23" s="32"/>
      <c r="K23" s="32"/>
      <c r="L23" s="32"/>
      <c r="M23" s="32"/>
      <c r="N23" s="32"/>
      <c r="O23" s="32"/>
      <c r="P23" s="34"/>
      <c r="Q23" s="32"/>
      <c r="T23" s="31" t="s">
        <v>71</v>
      </c>
      <c r="U23" s="31" t="e">
        <f>Estimation!#REF!</f>
        <v>#REF!</v>
      </c>
      <c r="V23" s="37"/>
    </row>
    <row r="24" spans="2:30" s="22" customFormat="1" x14ac:dyDescent="0.25">
      <c r="T24" s="31"/>
      <c r="U24" s="31"/>
      <c r="V24" s="37"/>
    </row>
    <row r="25" spans="2:30" s="22" customFormat="1" x14ac:dyDescent="0.25">
      <c r="T25" s="31" t="s">
        <v>96</v>
      </c>
      <c r="U25" s="144" t="s">
        <v>83</v>
      </c>
    </row>
    <row r="26" spans="2:30" s="22" customFormat="1" x14ac:dyDescent="0.25">
      <c r="T26" s="31" t="s">
        <v>112</v>
      </c>
      <c r="U26" s="73">
        <f>Estimation!H287</f>
        <v>0.47</v>
      </c>
    </row>
    <row r="27" spans="2:30" s="22" customFormat="1" x14ac:dyDescent="0.25">
      <c r="T27" s="14"/>
      <c r="U27" s="14"/>
      <c r="V27" s="35" t="s">
        <v>72</v>
      </c>
      <c r="W27" s="35"/>
      <c r="X27" s="35" t="s">
        <v>73</v>
      </c>
      <c r="Y27" s="35"/>
      <c r="Z27" s="35" t="s">
        <v>74</v>
      </c>
      <c r="AA27" s="35"/>
      <c r="AB27" s="35" t="s">
        <v>75</v>
      </c>
      <c r="AC27" s="35"/>
      <c r="AD27" s="35" t="s">
        <v>76</v>
      </c>
    </row>
    <row r="28" spans="2:30" s="22" customFormat="1" x14ac:dyDescent="0.25">
      <c r="T28" s="31" t="s">
        <v>115</v>
      </c>
      <c r="U28" s="14"/>
      <c r="V28" s="31">
        <f>Estimation!J231+SUM(Estimation!J235:J247)+SUM(Estimation!J270:J274)</f>
        <v>0</v>
      </c>
      <c r="W28" s="31"/>
      <c r="X28" s="31">
        <f>Estimation!N231+SUM(Estimation!N235:N247)+SUM(Estimation!N270:N274)</f>
        <v>0</v>
      </c>
      <c r="Y28" s="31"/>
      <c r="Z28" s="31">
        <f>Estimation!R231+SUM(Estimation!R235:R247)+SUM(Estimation!R270:R274)</f>
        <v>0</v>
      </c>
      <c r="AA28" s="31"/>
      <c r="AB28" s="31">
        <f>Estimation!V231+SUM(Estimation!V235:V247)+SUM(Estimation!V270:V274)</f>
        <v>0</v>
      </c>
      <c r="AC28" s="31"/>
      <c r="AD28" s="31">
        <f>Estimation!Z231+SUM(Estimation!Z235:Z247)+SUM(Estimation!Z270:Z274)</f>
        <v>0</v>
      </c>
    </row>
    <row r="29" spans="2:30" x14ac:dyDescent="0.25">
      <c r="E29" s="8"/>
      <c r="T29" s="31" t="s">
        <v>116</v>
      </c>
      <c r="U29" s="14"/>
      <c r="V29" s="31">
        <f>V28-Estimation!J231-Estimation!J274</f>
        <v>0</v>
      </c>
      <c r="W29" s="14"/>
      <c r="X29" s="31">
        <f>X28-Estimation!N231-Estimation!N274</f>
        <v>0</v>
      </c>
      <c r="Y29" s="14"/>
      <c r="Z29" s="31">
        <f>Z28-Estimation!R231-Estimation!R274</f>
        <v>0</v>
      </c>
      <c r="AA29" s="14"/>
      <c r="AB29" s="31">
        <f>AB28-Estimation!V231-Estimation!V274</f>
        <v>0</v>
      </c>
      <c r="AC29" s="14"/>
      <c r="AD29" s="31">
        <f>AD28-Estimation!Z231-Estimation!Z274</f>
        <v>0</v>
      </c>
    </row>
    <row r="30" spans="2:30" x14ac:dyDescent="0.25">
      <c r="D30" s="46"/>
      <c r="E30" s="8"/>
      <c r="T30" s="31" t="s">
        <v>117</v>
      </c>
      <c r="U30" s="14"/>
      <c r="V30" s="14"/>
      <c r="W30" s="14"/>
      <c r="X30" s="14"/>
      <c r="Y30" s="14"/>
      <c r="Z30" s="14"/>
      <c r="AA30" s="14"/>
      <c r="AB30" s="14"/>
      <c r="AC30" s="14"/>
      <c r="AD30" s="14"/>
    </row>
    <row r="31" spans="2:30" x14ac:dyDescent="0.25">
      <c r="D31" s="46"/>
      <c r="E31" s="8"/>
      <c r="T31" s="22"/>
      <c r="U31" s="22"/>
      <c r="V31" s="22"/>
      <c r="W31" s="22"/>
      <c r="X31" s="22"/>
      <c r="Y31" s="22"/>
      <c r="Z31" s="22"/>
      <c r="AA31" s="22"/>
      <c r="AB31" s="22"/>
      <c r="AC31" s="22"/>
      <c r="AD31" s="22"/>
    </row>
    <row r="32" spans="2:30" x14ac:dyDescent="0.25">
      <c r="D32" s="46"/>
      <c r="E32" s="8"/>
      <c r="T32" s="82" t="s">
        <v>118</v>
      </c>
      <c r="U32" s="22"/>
      <c r="V32" s="22"/>
      <c r="W32" s="22"/>
      <c r="X32" s="22"/>
      <c r="Y32" s="22"/>
      <c r="Z32" s="22"/>
      <c r="AA32" s="22"/>
      <c r="AB32" s="22"/>
      <c r="AC32" s="22"/>
      <c r="AD32" s="22"/>
    </row>
    <row r="33" spans="4:20" x14ac:dyDescent="0.25">
      <c r="D33" s="46"/>
      <c r="T33" s="82" t="s">
        <v>119</v>
      </c>
    </row>
    <row r="34" spans="4:20" x14ac:dyDescent="0.25">
      <c r="D34" s="46"/>
    </row>
    <row r="35" spans="4:20" x14ac:dyDescent="0.25">
      <c r="D35" s="46"/>
      <c r="T35" s="36" t="s">
        <v>120</v>
      </c>
    </row>
    <row r="36" spans="4:20" x14ac:dyDescent="0.25">
      <c r="D36" s="46"/>
    </row>
    <row r="37" spans="4:20" x14ac:dyDescent="0.25">
      <c r="D37" s="46"/>
      <c r="T37" s="19" t="s">
        <v>83</v>
      </c>
    </row>
    <row r="38" spans="4:20" x14ac:dyDescent="0.25">
      <c r="D38" s="46"/>
      <c r="T38" s="19" t="s">
        <v>84</v>
      </c>
    </row>
    <row r="39" spans="4:20" x14ac:dyDescent="0.25">
      <c r="D39" s="46"/>
      <c r="T39" s="19" t="s">
        <v>34</v>
      </c>
    </row>
    <row r="40" spans="4:20" x14ac:dyDescent="0.25">
      <c r="D40" s="46"/>
    </row>
    <row r="41" spans="4:20" x14ac:dyDescent="0.25">
      <c r="D41" s="46"/>
    </row>
    <row r="42" spans="4:20" x14ac:dyDescent="0.25">
      <c r="D42" s="46"/>
    </row>
    <row r="43" spans="4:20" x14ac:dyDescent="0.25">
      <c r="D43" s="46"/>
    </row>
    <row r="44" spans="4:20" x14ac:dyDescent="0.25">
      <c r="D44" s="46"/>
    </row>
    <row r="45" spans="4:20" x14ac:dyDescent="0.25">
      <c r="D45" s="46"/>
    </row>
    <row r="47" spans="4:20" x14ac:dyDescent="0.25">
      <c r="D47" s="23"/>
    </row>
    <row r="48" spans="4:20" x14ac:dyDescent="0.25">
      <c r="D48" s="23"/>
    </row>
    <row r="49" spans="4:4" x14ac:dyDescent="0.25">
      <c r="D49" s="23"/>
    </row>
    <row r="50" spans="4:4" x14ac:dyDescent="0.25">
      <c r="D50" s="23"/>
    </row>
    <row r="51" spans="4:4" x14ac:dyDescent="0.25">
      <c r="D51" s="23"/>
    </row>
    <row r="52" spans="4:4" x14ac:dyDescent="0.25">
      <c r="D52" s="23"/>
    </row>
    <row r="53" spans="4:4" x14ac:dyDescent="0.25">
      <c r="D53" s="23"/>
    </row>
    <row r="54" spans="4:4" x14ac:dyDescent="0.25">
      <c r="D54" s="23"/>
    </row>
    <row r="154" spans="2:6" s="19" customFormat="1" x14ac:dyDescent="0.25">
      <c r="B154" s="8"/>
      <c r="C154" s="8"/>
      <c r="D154" s="8"/>
      <c r="E154" s="9"/>
      <c r="F154" s="8"/>
    </row>
    <row r="155" spans="2:6" s="19" customFormat="1" x14ac:dyDescent="0.25">
      <c r="B155" s="8"/>
      <c r="C155" s="8"/>
      <c r="D155" s="8"/>
      <c r="E155" s="9"/>
      <c r="F155" s="8"/>
    </row>
    <row r="156" spans="2:6" s="19" customFormat="1" x14ac:dyDescent="0.25">
      <c r="D156" s="8"/>
      <c r="E156" s="9"/>
    </row>
    <row r="157" spans="2:6" s="19" customFormat="1" x14ac:dyDescent="0.25">
      <c r="D157" s="8"/>
      <c r="E157" s="9"/>
    </row>
    <row r="158" spans="2:6" x14ac:dyDescent="0.25">
      <c r="D158" s="19"/>
      <c r="E158" s="30"/>
    </row>
    <row r="159" spans="2:6" x14ac:dyDescent="0.25">
      <c r="D159" s="19"/>
      <c r="E159" s="30"/>
    </row>
  </sheetData>
  <sheetProtection formatCells="0" formatColumns="0" formatRows="0"/>
  <mergeCells count="9">
    <mergeCell ref="C9:H12"/>
    <mergeCell ref="M9:P9"/>
    <mergeCell ref="M11:P11"/>
    <mergeCell ref="A3:Q3"/>
    <mergeCell ref="D5:F5"/>
    <mergeCell ref="M5:P5"/>
    <mergeCell ref="D6:F6"/>
    <mergeCell ref="M6:P6"/>
    <mergeCell ref="M7:P7"/>
  </mergeCells>
  <dataValidations disablePrompts="1" count="1">
    <dataValidation type="list" allowBlank="1" showInputMessage="1" showErrorMessage="1" sqref="U25" xr:uid="{00000000-0002-0000-0300-000000000000}">
      <formula1>$T$37:$T$39</formula1>
    </dataValidation>
  </dataValidations>
  <pageMargins left="0.38" right="0.31" top="0.78" bottom="0.47" header="0.3" footer="0.3"/>
  <pageSetup scale="8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179B-E115-4F4D-B187-C61EC42CFE9A}">
  <dimension ref="A1:H2"/>
  <sheetViews>
    <sheetView workbookViewId="0">
      <selection activeCell="D2" sqref="D2"/>
    </sheetView>
  </sheetViews>
  <sheetFormatPr defaultRowHeight="15.75" x14ac:dyDescent="0.25"/>
  <sheetData>
    <row r="1" spans="1:8" x14ac:dyDescent="0.25">
      <c r="A1" t="s">
        <v>200</v>
      </c>
      <c r="B1" t="s">
        <v>201</v>
      </c>
      <c r="C1" t="s">
        <v>202</v>
      </c>
      <c r="D1" t="s">
        <v>203</v>
      </c>
      <c r="E1" t="s">
        <v>204</v>
      </c>
      <c r="F1" t="s">
        <v>205</v>
      </c>
      <c r="G1" t="s">
        <v>206</v>
      </c>
      <c r="H1" t="s">
        <v>207</v>
      </c>
    </row>
    <row r="2" spans="1:8" x14ac:dyDescent="0.25">
      <c r="A2" s="259">
        <f>Estimation!AD142</f>
        <v>0</v>
      </c>
      <c r="B2" s="259">
        <f>Estimation!AD150</f>
        <v>0</v>
      </c>
      <c r="C2" s="259">
        <f>Estimation!AD217</f>
        <v>0</v>
      </c>
      <c r="D2" s="259">
        <f>Estimation!AD231</f>
        <v>0</v>
      </c>
      <c r="E2" s="259">
        <f>Estimation!AD276</f>
        <v>0</v>
      </c>
      <c r="F2" s="259">
        <f>Estimation!AD288</f>
        <v>0</v>
      </c>
      <c r="G2" s="259">
        <f>Estimation!AF290</f>
        <v>0</v>
      </c>
      <c r="H2" s="25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Estimation</vt:lpstr>
      <vt:lpstr>BudgetForm</vt:lpstr>
      <vt:lpstr>Output-TravelTable</vt:lpstr>
      <vt:lpstr>Industry</vt:lpstr>
      <vt:lpstr>cayuse</vt:lpstr>
      <vt:lpstr>BudgetForm!FringeBenefits</vt:lpstr>
      <vt:lpstr>BudgetForm!IndirectCosts</vt:lpstr>
      <vt:lpstr>BudgetForm!OtherDirectCosts</vt:lpstr>
      <vt:lpstr>BudgetForm!Print_Area</vt:lpstr>
      <vt:lpstr>Estimation!Print_Area</vt:lpstr>
      <vt:lpstr>Industry!Print_Area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dc:creator>
  <cp:lastModifiedBy>Quirk, Dari</cp:lastModifiedBy>
  <cp:lastPrinted>2020-06-18T15:02:54Z</cp:lastPrinted>
  <dcterms:created xsi:type="dcterms:W3CDTF">2002-09-24T21:46:17Z</dcterms:created>
  <dcterms:modified xsi:type="dcterms:W3CDTF">2026-08-19T23:00:42Z</dcterms:modified>
</cp:coreProperties>
</file>